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2173" documentId="13_ncr:1_{09AB83A8-F969-4E8F-9034-FBDE56616B19}" xr6:coauthVersionLast="47" xr6:coauthVersionMax="47" xr10:uidLastSave="{AE313E0F-3FCC-4424-8568-F8710CD88AC3}"/>
  <bookViews>
    <workbookView xWindow="900" yWindow="408" windowWidth="19860" windowHeight="11100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SMT_Internal_Sales_Target" sheetId="6" state="hidden" r:id="rId4"/>
    <sheet name="data validation" sheetId="3" state="hidden" r:id="rId5"/>
  </sheets>
  <externalReferences>
    <externalReference r:id="rId6"/>
  </externalReferences>
  <definedNames>
    <definedName name="_xlnm._FilterDatabase" localSheetId="4" hidden="1">'data validation'!$A$2:$D$2</definedName>
    <definedName name="_xlnm._FilterDatabase" localSheetId="1" hidden="1">list!$AA$10:$AH$27</definedName>
    <definedName name="_xlnm._FilterDatabase" localSheetId="3" hidden="1">SMT_Internal_Sales_Target!$A$1:$G$1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977" i="1" l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D3977" i="1"/>
  <c r="D3978" i="1"/>
  <c r="D3979" i="1"/>
  <c r="D3980" i="1"/>
  <c r="D3981" i="1"/>
  <c r="D3982" i="1"/>
  <c r="D3983" i="1"/>
  <c r="D3984" i="1"/>
  <c r="D3985" i="1"/>
  <c r="D3986" i="1"/>
  <c r="D3987" i="1"/>
  <c r="D3988" i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3995" i="1"/>
  <c r="A3995" i="1" s="1"/>
  <c r="D3996" i="1"/>
  <c r="D3997" i="1"/>
  <c r="A3997" i="1" s="1"/>
  <c r="D3998" i="1"/>
  <c r="A3998" i="1" s="1"/>
  <c r="D3999" i="1"/>
  <c r="A3999" i="1" s="1"/>
  <c r="D4000" i="1"/>
  <c r="A4000" i="1" s="1"/>
  <c r="D4001" i="1"/>
  <c r="A4001" i="1" s="1"/>
  <c r="A3988" i="1"/>
  <c r="A3996" i="1"/>
  <c r="AE3995" i="1" l="1"/>
  <c r="AF3995" i="1" s="1"/>
  <c r="AG3995" i="1"/>
  <c r="AH3995" i="1"/>
  <c r="AE3996" i="1"/>
  <c r="AF3996" i="1" s="1"/>
  <c r="AG3996" i="1"/>
  <c r="AH3996" i="1"/>
  <c r="AE3997" i="1"/>
  <c r="AF3997" i="1" s="1"/>
  <c r="AG3997" i="1"/>
  <c r="AH3997" i="1"/>
  <c r="AE3998" i="1"/>
  <c r="AF3998" i="1" s="1"/>
  <c r="AG3998" i="1"/>
  <c r="AH3998" i="1"/>
  <c r="AE3999" i="1"/>
  <c r="AF3999" i="1" s="1"/>
  <c r="AG3999" i="1"/>
  <c r="AH3999" i="1"/>
  <c r="AE4000" i="1"/>
  <c r="AF4000" i="1" s="1"/>
  <c r="AG4000" i="1"/>
  <c r="AH4000" i="1"/>
  <c r="AE4001" i="1"/>
  <c r="AF4001" i="1" s="1"/>
  <c r="AG4001" i="1"/>
  <c r="AH4001" i="1"/>
  <c r="Y3995" i="1"/>
  <c r="Z3995" i="1"/>
  <c r="Y3996" i="1"/>
  <c r="Z3996" i="1"/>
  <c r="Y3997" i="1"/>
  <c r="Z3997" i="1"/>
  <c r="Y3998" i="1"/>
  <c r="Z3998" i="1"/>
  <c r="Y3999" i="1"/>
  <c r="Z3999" i="1"/>
  <c r="Y4000" i="1"/>
  <c r="Z4000" i="1"/>
  <c r="Y4001" i="1"/>
  <c r="Z4001" i="1"/>
  <c r="I3998" i="1"/>
  <c r="I3999" i="1"/>
  <c r="I4000" i="1"/>
  <c r="I4001" i="1"/>
  <c r="AP3998" i="1"/>
  <c r="AP3999" i="1"/>
  <c r="AP4000" i="1"/>
  <c r="AP4001" i="1"/>
  <c r="AQ3998" i="1"/>
  <c r="AQ3999" i="1"/>
  <c r="AQ4000" i="1"/>
  <c r="AQ4001" i="1"/>
  <c r="AR3998" i="1"/>
  <c r="AR3999" i="1"/>
  <c r="AR4000" i="1"/>
  <c r="AR4001" i="1"/>
  <c r="AS3998" i="1"/>
  <c r="AT3998" i="1" s="1"/>
  <c r="AS3999" i="1"/>
  <c r="AT3999" i="1" s="1"/>
  <c r="AS4000" i="1"/>
  <c r="AT4000" i="1" s="1"/>
  <c r="AS4001" i="1"/>
  <c r="AT4001" i="1" s="1"/>
  <c r="AU3998" i="1" a="1"/>
  <c r="AU3998" i="1" s="1"/>
  <c r="AU3999" i="1" a="1"/>
  <c r="AU3999" i="1" s="1"/>
  <c r="AU4000" i="1" a="1"/>
  <c r="AU4000" i="1" s="1"/>
  <c r="AU4001" i="1" a="1"/>
  <c r="AU4001" i="1" s="1"/>
  <c r="AU3997" i="1" a="1"/>
  <c r="AU3997" i="1" s="1"/>
  <c r="AU3996" i="1" a="1"/>
  <c r="AU3996" i="1" s="1"/>
  <c r="AU3995" i="1" a="1"/>
  <c r="AU3995" i="1" s="1"/>
  <c r="AU3994" i="1" a="1"/>
  <c r="AU3994" i="1" s="1"/>
  <c r="AU3993" i="1" a="1"/>
  <c r="AU3993" i="1" s="1"/>
  <c r="AU3992" i="1" a="1"/>
  <c r="AU3992" i="1" s="1"/>
  <c r="G3" i="6"/>
  <c r="G4" i="6"/>
  <c r="G2" i="6"/>
  <c r="F3" i="6"/>
  <c r="F4" i="6"/>
  <c r="F2" i="6"/>
  <c r="E3" i="6"/>
  <c r="E4" i="6"/>
  <c r="E2" i="6"/>
  <c r="D3" i="6"/>
  <c r="D4" i="6"/>
  <c r="D2" i="6"/>
  <c r="AU2" i="1" a="1"/>
  <c r="AU2" i="1" s="1"/>
  <c r="AS3896" i="1"/>
  <c r="AT3896" i="1" s="1"/>
  <c r="AP3896" i="1"/>
  <c r="AQ3896" i="1"/>
  <c r="AR3896" i="1"/>
  <c r="AH3896" i="1"/>
  <c r="AH3897" i="1"/>
  <c r="AH3898" i="1"/>
  <c r="AH3899" i="1"/>
  <c r="AH3900" i="1"/>
  <c r="AH3901" i="1"/>
  <c r="AB3997" i="1" l="1"/>
  <c r="AC3997" i="1" s="1"/>
  <c r="AB3995" i="1"/>
  <c r="AC3995" i="1" s="1"/>
  <c r="AB3996" i="1"/>
  <c r="AC3996" i="1" s="1"/>
  <c r="AB3999" i="1"/>
  <c r="AC3999" i="1" s="1"/>
  <c r="AB4001" i="1"/>
  <c r="AC4001" i="1" s="1"/>
  <c r="AB4000" i="1"/>
  <c r="AC4000" i="1" s="1"/>
  <c r="AB3998" i="1"/>
  <c r="AC3998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I3976" i="1"/>
  <c r="I3977" i="1"/>
  <c r="I3978" i="1"/>
  <c r="I3979" i="1"/>
  <c r="I3980" i="1"/>
  <c r="I3981" i="1"/>
  <c r="I3982" i="1"/>
  <c r="I3983" i="1"/>
  <c r="I3984" i="1"/>
  <c r="A3977" i="1"/>
  <c r="A3978" i="1"/>
  <c r="A3979" i="1"/>
  <c r="A3980" i="1"/>
  <c r="A3981" i="1"/>
  <c r="A3982" i="1"/>
  <c r="A3983" i="1"/>
  <c r="A3984" i="1"/>
  <c r="A3985" i="1"/>
  <c r="A3986" i="1"/>
  <c r="A3987" i="1"/>
  <c r="D3976" i="1"/>
  <c r="A3976" i="1" s="1"/>
  <c r="E3976" i="1"/>
  <c r="D3972" i="1"/>
  <c r="A3972" i="1" s="1"/>
  <c r="D3973" i="1"/>
  <c r="A3973" i="1" s="1"/>
  <c r="D3974" i="1"/>
  <c r="A3974" i="1" s="1"/>
  <c r="D3975" i="1"/>
  <c r="A3975" i="1" s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P3976" i="1"/>
  <c r="AC3976" i="1"/>
  <c r="Y3976" i="1"/>
  <c r="Z3976" i="1"/>
  <c r="AS3975" i="1"/>
  <c r="AT3975" i="1" s="1"/>
  <c r="AR3975" i="1"/>
  <c r="AQ3975" i="1"/>
  <c r="AP3975" i="1"/>
  <c r="AH3975" i="1"/>
  <c r="AG3975" i="1"/>
  <c r="AE3975" i="1"/>
  <c r="AF3975" i="1" s="1"/>
  <c r="AC3975" i="1"/>
  <c r="Z3975" i="1"/>
  <c r="Y3975" i="1"/>
  <c r="P3975" i="1"/>
  <c r="I3975" i="1"/>
  <c r="AS3974" i="1"/>
  <c r="AT3974" i="1" s="1"/>
  <c r="AR3974" i="1"/>
  <c r="AQ3974" i="1"/>
  <c r="AP3974" i="1"/>
  <c r="AH3974" i="1"/>
  <c r="AG3974" i="1"/>
  <c r="AE3974" i="1"/>
  <c r="AF3974" i="1" s="1"/>
  <c r="AC3974" i="1"/>
  <c r="Z3974" i="1"/>
  <c r="Y3974" i="1"/>
  <c r="P3974" i="1"/>
  <c r="I3974" i="1"/>
  <c r="AS3973" i="1"/>
  <c r="AT3973" i="1" s="1"/>
  <c r="AR3973" i="1"/>
  <c r="AQ3973" i="1"/>
  <c r="AP3973" i="1"/>
  <c r="AH3973" i="1"/>
  <c r="AG3973" i="1"/>
  <c r="AE3973" i="1"/>
  <c r="AF3973" i="1" s="1"/>
  <c r="AC3973" i="1"/>
  <c r="Z3973" i="1"/>
  <c r="Y3973" i="1"/>
  <c r="P3973" i="1"/>
  <c r="I3973" i="1"/>
  <c r="AS3972" i="1"/>
  <c r="AT3972" i="1" s="1"/>
  <c r="AR3972" i="1"/>
  <c r="AQ3972" i="1"/>
  <c r="AP3972" i="1"/>
  <c r="AH3972" i="1"/>
  <c r="AG3972" i="1"/>
  <c r="AE3972" i="1"/>
  <c r="AF3972" i="1" s="1"/>
  <c r="AC3972" i="1"/>
  <c r="Z3972" i="1"/>
  <c r="Y3972" i="1"/>
  <c r="P3972" i="1"/>
  <c r="I3972" i="1"/>
  <c r="Y3967" i="1"/>
  <c r="Z3967" i="1"/>
  <c r="Y3968" i="1"/>
  <c r="Z3968" i="1"/>
  <c r="I3990" i="1" l="1"/>
  <c r="I3991" i="1"/>
  <c r="I3992" i="1"/>
  <c r="I3993" i="1"/>
  <c r="I3994" i="1"/>
  <c r="I3995" i="1"/>
  <c r="I3996" i="1"/>
  <c r="I3997" i="1"/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E3897" i="1"/>
  <c r="AF3897" i="1" s="1"/>
  <c r="AG3897" i="1"/>
  <c r="AE3898" i="1"/>
  <c r="AF3898" i="1" s="1"/>
  <c r="AG3898" i="1"/>
  <c r="AE3899" i="1"/>
  <c r="AF3899" i="1" s="1"/>
  <c r="AG3899" i="1"/>
  <c r="AE3900" i="1"/>
  <c r="AF3900" i="1" s="1"/>
  <c r="AG3900" i="1"/>
  <c r="AE3901" i="1"/>
  <c r="AF3901" i="1" s="1"/>
  <c r="AG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67" i="1"/>
  <c r="AC3967" i="1" s="1"/>
  <c r="AB3968" i="1"/>
  <c r="AC3968" i="1" s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9" i="1"/>
  <c r="Z3970" i="1"/>
  <c r="Z3971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9" i="1"/>
  <c r="Y3970" i="1"/>
  <c r="Y3971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994" i="1" l="1"/>
  <c r="AC3994" i="1" s="1"/>
  <c r="AB3987" i="1"/>
  <c r="AC3987" i="1" s="1"/>
  <c r="AB3979" i="1"/>
  <c r="AC3979" i="1" s="1"/>
  <c r="AB3986" i="1"/>
  <c r="AC3986" i="1" s="1"/>
  <c r="AB3978" i="1"/>
  <c r="AC3978" i="1" s="1"/>
  <c r="AB3989" i="1"/>
  <c r="AC3989" i="1" s="1"/>
  <c r="AB3981" i="1"/>
  <c r="AC3981" i="1" s="1"/>
  <c r="AB3993" i="1"/>
  <c r="AC3993" i="1" s="1"/>
  <c r="AB3985" i="1"/>
  <c r="AC3985" i="1" s="1"/>
  <c r="AB3977" i="1"/>
  <c r="AC3977" i="1" s="1"/>
  <c r="AB3990" i="1"/>
  <c r="AC3990" i="1" s="1"/>
  <c r="AB3992" i="1"/>
  <c r="AC3992" i="1" s="1"/>
  <c r="AB3982" i="1"/>
  <c r="AC3982" i="1" s="1"/>
  <c r="AB3984" i="1"/>
  <c r="AC3984" i="1" s="1"/>
  <c r="AB3988" i="1"/>
  <c r="AC3988" i="1" s="1"/>
  <c r="AB3980" i="1"/>
  <c r="AC3980" i="1" s="1"/>
  <c r="AB3971" i="1"/>
  <c r="AC3971" i="1" s="1"/>
  <c r="AB3991" i="1"/>
  <c r="AC3991" i="1" s="1"/>
  <c r="AB3983" i="1"/>
  <c r="AC3983" i="1" s="1"/>
  <c r="AB3959" i="1"/>
  <c r="AC3959" i="1" s="1"/>
  <c r="AB3969" i="1"/>
  <c r="AC3969" i="1" s="1"/>
  <c r="AB3970" i="1"/>
  <c r="AC3970" i="1" s="1"/>
  <c r="AB3957" i="1"/>
  <c r="AC3957" i="1" s="1"/>
  <c r="AB3956" i="1"/>
  <c r="AC3956" i="1" s="1"/>
  <c r="AB3954" i="1"/>
  <c r="AC3954" i="1" s="1"/>
  <c r="AB3960" i="1"/>
  <c r="AC3960" i="1" s="1"/>
  <c r="AB3961" i="1"/>
  <c r="AC3961" i="1" s="1"/>
  <c r="AB3953" i="1"/>
  <c r="AC3953" i="1" s="1"/>
  <c r="AB3964" i="1"/>
  <c r="AC3964" i="1" s="1"/>
  <c r="AB3951" i="1"/>
  <c r="AC3951" i="1" s="1"/>
  <c r="AB3966" i="1"/>
  <c r="AC3966" i="1" s="1"/>
  <c r="AB3958" i="1"/>
  <c r="AC3958" i="1" s="1"/>
  <c r="AB3950" i="1"/>
  <c r="AC3950" i="1" s="1"/>
  <c r="AB3963" i="1"/>
  <c r="AC3963" i="1" s="1"/>
  <c r="AB3955" i="1"/>
  <c r="AC3955" i="1" s="1"/>
  <c r="AB3962" i="1"/>
  <c r="AC3962" i="1" s="1"/>
  <c r="AB3952" i="1"/>
  <c r="AC3952" i="1" s="1"/>
  <c r="AB3948" i="1"/>
  <c r="AC3948" i="1" s="1"/>
  <c r="AB3965" i="1"/>
  <c r="AC3965" i="1" s="1"/>
  <c r="AB3949" i="1"/>
  <c r="AC3949" i="1" s="1"/>
  <c r="AB3946" i="1"/>
  <c r="AC3946" i="1" s="1"/>
  <c r="AB3935" i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E3898" i="1" s="1"/>
  <c r="I3899" i="1"/>
  <c r="E3899" i="1" s="1"/>
  <c r="I3900" i="1"/>
  <c r="E3900" i="1" s="1"/>
  <c r="I3901" i="1"/>
  <c r="E3901" i="1" s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E3963" i="1" s="1"/>
  <c r="I3964" i="1"/>
  <c r="E3964" i="1" s="1"/>
  <c r="I3965" i="1"/>
  <c r="E3965" i="1" s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E3971" i="1" s="1"/>
  <c r="I3985" i="1"/>
  <c r="I3986" i="1"/>
  <c r="I3987" i="1"/>
  <c r="I3988" i="1"/>
  <c r="I3989" i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AB257" i="1" s="1"/>
  <c r="AC257" i="1" s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AB260" i="1" s="1"/>
  <c r="AC260" i="1" s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AB3144" i="1" s="1"/>
  <c r="AC3144" i="1" s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AB3293" i="1" s="1"/>
  <c r="AC3293" i="1" s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AB2241" i="1" s="1"/>
  <c r="AC2241" i="1" s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AB433" i="1" s="1"/>
  <c r="AC433" i="1" s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AB1103" i="1" s="1"/>
  <c r="AC1103" i="1" s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AB1419" i="1" s="1"/>
  <c r="AC1419" i="1" s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AB668" i="1" s="1"/>
  <c r="AC668" i="1" s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484" i="1"/>
  <c r="AC1484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2144" i="1"/>
  <c r="AC2144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1459" i="1"/>
  <c r="AC1459" i="1" s="1"/>
  <c r="AB2798" i="1"/>
  <c r="AC2798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1809" i="1"/>
  <c r="AC1809" i="1" s="1"/>
  <c r="AB3160" i="1"/>
  <c r="AC3160" i="1" s="1"/>
  <c r="AB2105" i="1"/>
  <c r="AC2105" i="1" s="1"/>
  <c r="AB3140" i="1"/>
  <c r="AB605" i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1026" i="1" l="1"/>
  <c r="AC1026" i="1" s="1"/>
  <c r="AB2344" i="1"/>
  <c r="AC2344" i="1" s="1"/>
  <c r="AB1631" i="1"/>
  <c r="AC1631" i="1" s="1"/>
  <c r="AB473" i="1"/>
  <c r="AC473" i="1" s="1"/>
  <c r="AB2644" i="1"/>
  <c r="AC2644" i="1" s="1"/>
  <c r="AB2215" i="1"/>
  <c r="AC2215" i="1" s="1"/>
  <c r="AB1220" i="1"/>
  <c r="AC1220" i="1" s="1"/>
  <c r="AB679" i="1"/>
  <c r="AC679" i="1" s="1"/>
  <c r="AB1105" i="1"/>
  <c r="AC1105" i="1" s="1"/>
  <c r="AB3143" i="1"/>
  <c r="AC3143" i="1" s="1"/>
  <c r="AB112" i="1"/>
  <c r="AC112" i="1" s="1"/>
  <c r="AB1571" i="1"/>
  <c r="AC1571" i="1" s="1"/>
  <c r="AB3148" i="1"/>
  <c r="AC3148" i="1" s="1"/>
  <c r="AB1568" i="1"/>
  <c r="AC1568" i="1" s="1"/>
  <c r="AB2906" i="1"/>
  <c r="AC2906" i="1" s="1"/>
  <c r="AB2158" i="1"/>
  <c r="AC2158" i="1" s="1"/>
  <c r="AB1263" i="1"/>
  <c r="AC1263" i="1" s="1"/>
  <c r="AB3127" i="1"/>
  <c r="AC3127" i="1" s="1"/>
  <c r="AB540" i="1"/>
  <c r="AC540" i="1" s="1"/>
  <c r="AB2410" i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C1118" i="1" s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E3935" i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09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55" i="1"/>
  <c r="E3947" i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094" i="1"/>
  <c r="AB1407" i="1"/>
  <c r="AC1407" i="1" s="1"/>
  <c r="AB2312" i="1"/>
  <c r="AC2312" i="1" s="1"/>
  <c r="AB2559" i="1"/>
  <c r="AC2559" i="1" s="1"/>
  <c r="AB3343" i="1"/>
  <c r="AC3343" i="1" s="1"/>
  <c r="AB1466" i="1"/>
  <c r="AC1466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4000" i="1" l="1"/>
  <c r="AI3996" i="1"/>
  <c r="AI3997" i="1"/>
  <c r="AI3995" i="1"/>
  <c r="AI3998" i="1"/>
  <c r="AI4001" i="1"/>
  <c r="AI3994" i="1"/>
  <c r="AI3999" i="1"/>
  <c r="AI3899" i="1"/>
  <c r="AJ3896" i="1"/>
  <c r="AI3896" i="1"/>
  <c r="AI3990" i="1"/>
  <c r="AI3992" i="1"/>
  <c r="AI3987" i="1"/>
  <c r="AI3980" i="1"/>
  <c r="AI3988" i="1"/>
  <c r="AI3979" i="1"/>
  <c r="AI3977" i="1"/>
  <c r="AI3985" i="1"/>
  <c r="AI3984" i="1"/>
  <c r="AI3991" i="1"/>
  <c r="AI3989" i="1"/>
  <c r="AI3978" i="1"/>
  <c r="AI3986" i="1"/>
  <c r="AI3982" i="1"/>
  <c r="AI3981" i="1"/>
  <c r="AI3983" i="1"/>
  <c r="AI3976" i="1"/>
  <c r="AJ3975" i="1"/>
  <c r="AI3973" i="1"/>
  <c r="AI3972" i="1"/>
  <c r="AJ3974" i="1"/>
  <c r="AJ3973" i="1"/>
  <c r="AI3975" i="1"/>
  <c r="AI3974" i="1"/>
  <c r="AJ3972" i="1"/>
  <c r="AI3970" i="1"/>
  <c r="AI3969" i="1"/>
  <c r="AJ3969" i="1"/>
  <c r="AJ3970" i="1"/>
  <c r="AJ3971" i="1"/>
  <c r="AJ3967" i="1"/>
  <c r="AI3968" i="1"/>
  <c r="AJ3968" i="1"/>
  <c r="AI3967" i="1"/>
  <c r="AI3958" i="1"/>
  <c r="AI3952" i="1"/>
  <c r="AI3954" i="1"/>
  <c r="AI3960" i="1"/>
  <c r="AI3955" i="1"/>
  <c r="AI3965" i="1"/>
  <c r="AI3956" i="1"/>
  <c r="AI3957" i="1"/>
  <c r="AI3962" i="1"/>
  <c r="AI3963" i="1"/>
  <c r="AI3966" i="1"/>
  <c r="AI3959" i="1"/>
  <c r="AI3953" i="1"/>
  <c r="AI3950" i="1"/>
  <c r="AI3961" i="1"/>
  <c r="AI3951" i="1"/>
  <c r="AI3949" i="1"/>
  <c r="AI3948" i="1"/>
  <c r="AI3946" i="1"/>
  <c r="AI3947" i="1"/>
  <c r="AJ3946" i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903" i="1"/>
  <c r="AI3915" i="1"/>
  <c r="AI3917" i="1"/>
  <c r="AI3910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I3835" i="1"/>
  <c r="U14" i="2"/>
  <c r="AI3569" i="1"/>
  <c r="AI3688" i="1"/>
  <c r="AI3993" i="1"/>
  <c r="AI3790" i="1"/>
  <c r="AJ3947" i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I3762" i="1"/>
  <c r="AI3812" i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J3259" i="1" s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1552" i="1"/>
  <c r="AJ2554" i="1"/>
  <c r="AJ1518" i="1"/>
  <c r="AJ322" i="1"/>
  <c r="AJ3258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386" i="1" l="1"/>
  <c r="AK3386" i="1" s="1"/>
  <c r="AJ3999" i="1"/>
  <c r="AK3999" i="1" s="1"/>
  <c r="AJ3996" i="1"/>
  <c r="AK3996" i="1" s="1"/>
  <c r="AJ4000" i="1"/>
  <c r="AK4000" i="1" s="1"/>
  <c r="AJ3994" i="1"/>
  <c r="AK3994" i="1" s="1"/>
  <c r="AJ3998" i="1"/>
  <c r="AK3998" i="1" s="1"/>
  <c r="AJ4001" i="1"/>
  <c r="AK4001" i="1" s="1"/>
  <c r="AJ3995" i="1"/>
  <c r="AK3995" i="1" s="1"/>
  <c r="AJ3997" i="1"/>
  <c r="AK3997" i="1" s="1"/>
  <c r="AJ2092" i="1"/>
  <c r="AJ2122" i="1"/>
  <c r="AJ678" i="1"/>
  <c r="AJ3384" i="1"/>
  <c r="AJ3311" i="1"/>
  <c r="AJ2112" i="1"/>
  <c r="AK2112" i="1" s="1"/>
  <c r="AJ2942" i="1"/>
  <c r="AK2942" i="1" s="1"/>
  <c r="AJ2093" i="1"/>
  <c r="AK2093" i="1" s="1"/>
  <c r="AJ2457" i="1"/>
  <c r="AK2457" i="1" s="1"/>
  <c r="AJ2943" i="1"/>
  <c r="AJ1448" i="1"/>
  <c r="AJ1030" i="1"/>
  <c r="AJ865" i="1"/>
  <c r="AJ3385" i="1"/>
  <c r="AK3385" i="1" s="1"/>
  <c r="AJ3256" i="1"/>
  <c r="AK3256" i="1" s="1"/>
  <c r="AJ657" i="1"/>
  <c r="AK657" i="1" s="1"/>
  <c r="AJ2154" i="1"/>
  <c r="AJ1710" i="1"/>
  <c r="AJ1449" i="1"/>
  <c r="AJ1490" i="1"/>
  <c r="AJ676" i="1"/>
  <c r="AJ3383" i="1"/>
  <c r="AJ1095" i="1"/>
  <c r="AK1095" i="1" s="1"/>
  <c r="AJ679" i="1"/>
  <c r="AK679" i="1" s="1"/>
  <c r="AJ1553" i="1"/>
  <c r="AJ3310" i="1"/>
  <c r="AK531" i="1"/>
  <c r="AJ432" i="1"/>
  <c r="AJ2460" i="1"/>
  <c r="AJ675" i="1"/>
  <c r="AJ3257" i="1"/>
  <c r="AK3257" i="1" s="1"/>
  <c r="AJ677" i="1"/>
  <c r="AK677" i="1" s="1"/>
  <c r="AJ658" i="1"/>
  <c r="AJ656" i="1"/>
  <c r="AJ1073" i="1"/>
  <c r="AJ2023" i="1"/>
  <c r="AJ339" i="1"/>
  <c r="AJ1312" i="1"/>
  <c r="AJ1103" i="1"/>
  <c r="AK1103" i="1" s="1"/>
  <c r="AJ1346" i="1"/>
  <c r="AK1346" i="1" s="1"/>
  <c r="AJ111" i="1"/>
  <c r="AJ3260" i="1"/>
  <c r="AJ979" i="1"/>
  <c r="AJ1100" i="1"/>
  <c r="AJ1074" i="1"/>
  <c r="AK3896" i="1"/>
  <c r="AJ3990" i="1"/>
  <c r="AK3990" i="1" s="1"/>
  <c r="AJ3980" i="1"/>
  <c r="AK3980" i="1" s="1"/>
  <c r="AJ3986" i="1"/>
  <c r="AK3986" i="1" s="1"/>
  <c r="AJ3979" i="1"/>
  <c r="AK3979" i="1" s="1"/>
  <c r="AJ3991" i="1"/>
  <c r="AK3991" i="1" s="1"/>
  <c r="AJ3982" i="1"/>
  <c r="AK3982" i="1" s="1"/>
  <c r="AJ3985" i="1"/>
  <c r="AK3985" i="1" s="1"/>
  <c r="AJ3989" i="1"/>
  <c r="AK3989" i="1" s="1"/>
  <c r="AJ3977" i="1"/>
  <c r="AK3977" i="1" s="1"/>
  <c r="AJ3984" i="1"/>
  <c r="AK3984" i="1" s="1"/>
  <c r="AJ3988" i="1"/>
  <c r="AK3988" i="1" s="1"/>
  <c r="AJ3978" i="1"/>
  <c r="AK3978" i="1" s="1"/>
  <c r="AJ3993" i="1"/>
  <c r="AK3993" i="1" s="1"/>
  <c r="AJ3983" i="1"/>
  <c r="AK3983" i="1" s="1"/>
  <c r="AJ3981" i="1"/>
  <c r="AK3981" i="1" s="1"/>
  <c r="AJ3987" i="1"/>
  <c r="AK3987" i="1" s="1"/>
  <c r="AJ3992" i="1"/>
  <c r="AK3992" i="1" s="1"/>
  <c r="AK3973" i="1"/>
  <c r="AK3974" i="1"/>
  <c r="AK3972" i="1"/>
  <c r="AJ3976" i="1"/>
  <c r="AK3976" i="1" s="1"/>
  <c r="AK3975" i="1"/>
  <c r="AK3971" i="1"/>
  <c r="AK1449" i="1"/>
  <c r="AK3970" i="1"/>
  <c r="AK3969" i="1"/>
  <c r="AK3967" i="1"/>
  <c r="AK3968" i="1"/>
  <c r="AK3947" i="1"/>
  <c r="AJ3951" i="1"/>
  <c r="AK3951" i="1" s="1"/>
  <c r="AJ3965" i="1"/>
  <c r="AK3965" i="1" s="1"/>
  <c r="AJ3963" i="1"/>
  <c r="AK3963" i="1" s="1"/>
  <c r="AJ3954" i="1"/>
  <c r="AK3954" i="1" s="1"/>
  <c r="AJ3952" i="1"/>
  <c r="AK3952" i="1" s="1"/>
  <c r="AJ3961" i="1"/>
  <c r="AK3961" i="1" s="1"/>
  <c r="AJ3950" i="1"/>
  <c r="AK3950" i="1" s="1"/>
  <c r="AJ3953" i="1"/>
  <c r="AK3953" i="1" s="1"/>
  <c r="AJ3957" i="1"/>
  <c r="AK3957" i="1" s="1"/>
  <c r="AJ3956" i="1"/>
  <c r="AK3956" i="1" s="1"/>
  <c r="AJ3960" i="1"/>
  <c r="AK3960" i="1" s="1"/>
  <c r="AJ3959" i="1"/>
  <c r="AK3959" i="1" s="1"/>
  <c r="AJ3966" i="1"/>
  <c r="AK3966" i="1" s="1"/>
  <c r="AJ3962" i="1"/>
  <c r="AK3962" i="1" s="1"/>
  <c r="AJ3958" i="1"/>
  <c r="AK3958" i="1" s="1"/>
  <c r="AJ3955" i="1"/>
  <c r="AK3955" i="1" s="1"/>
  <c r="AJ3964" i="1"/>
  <c r="AK3964" i="1" s="1"/>
  <c r="AJ3948" i="1"/>
  <c r="AK3948" i="1" s="1"/>
  <c r="AJ3949" i="1"/>
  <c r="AK3949" i="1" s="1"/>
  <c r="AK3946" i="1"/>
  <c r="AK3944" i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528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AK3786" i="1" l="1"/>
  <c r="P21" i="2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<sst xmlns="http://schemas.openxmlformats.org/spreadsheetml/2006/main" count="51400" uniqueCount="3759">
  <si>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</si>
  <si>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</si>
  <si>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</si>
  <si>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</si>
  <si>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</si>
  <si>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</si>
  <si>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</si>
  <si>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</si>
  <si>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</si>
  <si>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</si>
  <si>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</si>
  <si>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</si>
  <si>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</si>
  <si>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</si>
  <si>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</si>
  <si>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</si>
  <si>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</si>
  <si>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</si>
  <si>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</si>
  <si>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</si>
  <si>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</si>
  <si>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</si>
  <si>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</si>
  <si>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</si>
  <si>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</si>
  <si>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</si>
  <si>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</si>
  <si>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</si>
  <si>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</si>
  <si>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</si>
  <si>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</si>
  <si>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</si>
  <si>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</si>
  <si>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</si>
  <si>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</si>
  <si>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</si>
  <si>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</si>
  <si>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</si>
  <si>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</si>
  <si>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</si>
  <si>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</si>
  <si>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</si>
  <si>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</si>
  <si>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</si>
  <si>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</si>
  <si>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</si>
  <si>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</si>
  <si>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</si>
  <si>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</si>
  <si>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</si>
  <si>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</si>
  <si>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</si>
  <si>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</si>
  <si>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</si>
  <si>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</si>
  <si>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</si>
  <si>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</si>
  <si>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</si>
  <si>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</si>
  <si>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</si>
  <si>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</si>
  <si>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</si>
  <si>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</si>
  <si>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</si>
  <si>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</si>
  <si>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</si>
  <si>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</si>
  <si>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</si>
  <si>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</si>
  <si>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</si>
  <si>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</si>
  <si>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</si>
  <si>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</si>
  <si>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</si>
  <si>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</si>
  <si>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</si>
  <si>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</si>
  <si>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</si>
  <si>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</si>
  <si>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</si>
  <si>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</si>
  <si>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</si>
  <si>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</si>
  <si>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</si>
  <si>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</si>
  <si>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</si>
  <si>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</si>
  <si>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</si>
  <si>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</si>
  <si>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</si>
  <si>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</si>
  <si>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</si>
  <si>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</si>
  <si>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</si>
  <si>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</si>
  <si>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</si>
  <si>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</si>
  <si>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</si>
  <si>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</si>
  <si>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</si>
  <si>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</si>
  <si>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</si>
  <si>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</si>
  <si>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</si>
  <si>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</si>
  <si>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</si>
  <si>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</si>
  <si>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</si>
  <si>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</si>
  <si>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</si>
  <si>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</si>
  <si>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</si>
  <si>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</si>
  <si>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</si>
  <si>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</si>
  <si>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</si>
  <si>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</si>
  <si>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</si>
  <si>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</si>
  <si>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</si>
  <si>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</si>
  <si>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</si>
  <si>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</si>
  <si>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</si>
  <si>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</si>
  <si>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</si>
  <si>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</si>
  <si>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</si>
  <si>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</si>
  <si>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</si>
  <si>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</si>
  <si>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</si>
  <si>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</si>
  <si>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</si>
  <si>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</si>
  <si>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</si>
  <si>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</si>
  <si>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</si>
  <si>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</si>
  <si>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</si>
  <si>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</si>
  <si>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</si>
  <si>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</si>
  <si>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</si>
  <si>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</si>
  <si>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</si>
  <si>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</si>
  <si>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</si>
  <si>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</si>
  <si>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</si>
  <si>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</si>
  <si>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</si>
  <si>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</si>
  <si>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</si>
  <si>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</si>
  <si>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</si>
  <si>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</si>
  <si>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</si>
  <si>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</si>
  <si>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</si>
  <si>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</si>
  <si>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</si>
  <si>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</si>
  <si>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</si>
  <si>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</si>
  <si>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</si>
  <si>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</si>
  <si>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</si>
  <si>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</si>
  <si>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</si>
  <si>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</si>
  <si>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</si>
  <si>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</si>
  <si>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</si>
  <si>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</si>
  <si>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</si>
  <si>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</si>
  <si>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</si>
  <si>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</si>
  <si>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</si>
  <si>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</si>
  <si>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</si>
  <si>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</si>
  <si>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</si>
  <si>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</si>
  <si>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</si>
  <si>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</si>
  <si>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</si>
  <si>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</si>
  <si>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</si>
  <si>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</si>
  <si>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</si>
  <si>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</si>
  <si>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</si>
  <si>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</si>
  <si>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</si>
  <si>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</si>
  <si>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</si>
  <si>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</si>
  <si>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</si>
  <si>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</si>
  <si>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</si>
  <si>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</si>
  <si>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</si>
  <si>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</si>
  <si>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</si>
  <si>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</si>
  <si>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</si>
  <si>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</si>
  <si>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</si>
  <si>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</si>
  <si>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</si>
  <si>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</si>
  <si>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</si>
  <si>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</si>
  <si>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</si>
  <si>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</si>
  <si>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</si>
  <si>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</si>
  <si>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</si>
  <si>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</si>
  <si>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</si>
  <si>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</si>
  <si>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</si>
  <si>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</si>
  <si>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</si>
  <si>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</si>
  <si>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</si>
  <si>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</si>
  <si>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</si>
  <si>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</si>
  <si>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</si>
  <si>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</si>
  <si>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</si>
  <si>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</si>
  <si>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</si>
  <si>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</si>
  <si>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</si>
  <si>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</si>
  <si>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</si>
  <si>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</si>
  <si>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</si>
  <si>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</si>
  <si>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</si>
  <si>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</si>
  <si>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</si>
  <si>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</si>
  <si>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</si>
  <si>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</si>
  <si>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</si>
  <si>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</si>
  <si>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</si>
  <si>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</si>
  <si>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</si>
  <si>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</si>
  <si>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</si>
  <si>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</si>
  <si>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</si>
  <si>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</si>
  <si>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</si>
  <si>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</si>
  <si>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</si>
  <si>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</si>
  <si>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</si>
  <si>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</si>
  <si>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</si>
  <si>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</si>
  <si>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</si>
  <si>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</si>
  <si>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</si>
  <si>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</si>
  <si>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</si>
  <si>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</si>
  <si>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</si>
  <si>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</si>
  <si>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</si>
  <si>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</si>
  <si>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</si>
  <si>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</si>
  <si>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</si>
  <si>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</si>
  <si>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</si>
  <si>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</si>
  <si>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</si>
  <si>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</si>
  <si>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</si>
  <si>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</si>
  <si>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</si>
  <si>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</si>
  <si>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</si>
  <si>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</si>
  <si>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</si>
  <si>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</si>
  <si>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</si>
  <si>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</si>
  <si>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</si>
  <si>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</si>
  <si>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</si>
  <si>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</si>
  <si>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</si>
  <si>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</si>
  <si>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</si>
  <si>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</si>
  <si>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</si>
  <si>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</si>
  <si>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</si>
  <si>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</si>
  <si>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</si>
  <si>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</si>
  <si>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</si>
  <si>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</si>
  <si>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</si>
  <si>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</si>
  <si>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</si>
  <si>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</si>
  <si>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</si>
  <si>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</si>
  <si>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</si>
  <si>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</si>
  <si>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</si>
  <si>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</si>
  <si>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</si>
  <si>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</si>
  <si>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</si>
  <si>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</si>
  <si>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</si>
  <si>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</si>
  <si>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</si>
  <si>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</si>
  <si>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</si>
  <si>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</si>
  <si>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</si>
  <si>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</si>
  <si>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</si>
  <si>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</si>
  <si>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</si>
  <si>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</si>
  <si>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</si>
  <si>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</si>
  <si>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</si>
  <si>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</si>
  <si>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</si>
  <si>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</si>
  <si>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</si>
  <si>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</si>
  <si>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</si>
  <si>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</si>
  <si>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</si>
  <si>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</si>
  <si>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</si>
  <si>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</si>
  <si>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</si>
  <si>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</si>
  <si>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</si>
  <si>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</si>
  <si>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</si>
  <si>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</si>
  <si>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</si>
  <si>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</si>
  <si>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</si>
  <si>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</si>
  <si>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</si>
  <si>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</si>
  <si>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</si>
  <si>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</si>
  <si>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</si>
  <si>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</si>
  <si>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</si>
  <si>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</si>
  <si>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</si>
  <si>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</si>
  <si>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</si>
  <si>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</si>
  <si>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</si>
  <si>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</si>
  <si>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</si>
  <si>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</si>
  <si>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</si>
  <si>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</si>
  <si>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</si>
  <si>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</si>
  <si>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</si>
  <si>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</si>
  <si>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</si>
  <si>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</si>
  <si>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</si>
  <si>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</si>
  <si>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</si>
  <si>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</si>
  <si>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</si>
  <si>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</si>
  <si>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</si>
  <si>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</si>
  <si>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</si>
  <si>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</si>
  <si>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</si>
  <si>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</si>
  <si>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</si>
  <si>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</si>
  <si>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</si>
  <si>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</si>
  <si>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</si>
  <si>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</si>
  <si>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</si>
  <si>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</si>
  <si>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</si>
  <si>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</si>
  <si>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</si>
  <si>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</si>
  <si>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</si>
  <si>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</si>
  <si>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</si>
  <si>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</si>
  <si>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</si>
  <si>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</si>
  <si>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</si>
  <si>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</si>
  <si>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</si>
  <si>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</si>
  <si>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</si>
  <si>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</si>
  <si>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</si>
  <si>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</si>
  <si>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</si>
  <si>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</si>
  <si>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</si>
  <si>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</si>
  <si>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</si>
  <si>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</si>
  <si>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</si>
  <si>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</si>
  <si>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</si>
  <si>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</si>
  <si>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</si>
  <si>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</si>
  <si>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</si>
  <si>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</si>
  <si>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</si>
  <si>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</si>
  <si>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</si>
  <si>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</si>
  <si>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</si>
  <si>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</si>
  <si>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</si>
  <si>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</si>
  <si>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</si>
  <si>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</si>
  <si>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</si>
  <si>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</si>
  <si>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</si>
  <si>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</si>
  <si>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</si>
  <si>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</si>
  <si>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</si>
  <si>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</si>
  <si>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</si>
  <si>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</si>
  <si>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</si>
  <si>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</si>
  <si>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</si>
  <si>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</si>
  <si>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</si>
  <si>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</si>
  <si>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</si>
  <si>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</si>
  <si>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</si>
  <si>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</si>
  <si>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</si>
  <si>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</si>
  <si>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</si>
  <si>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</si>
  <si>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</si>
  <si>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</si>
  <si>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</si>
  <si>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</si>
  <si>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</si>
  <si>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</si>
  <si>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</si>
  <si>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</si>
  <si>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</si>
  <si>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</si>
  <si>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</si>
  <si>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</si>
  <si>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</si>
  <si>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</si>
  <si>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</si>
  <si>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</si>
  <si>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</si>
  <si>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</si>
  <si>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</si>
  <si>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</si>
  <si>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</si>
  <si>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</si>
  <si>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</si>
  <si>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</si>
  <si>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</si>
  <si>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</si>
  <si>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</si>
  <si>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</si>
  <si>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</si>
  <si>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</si>
  <si>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</si>
  <si>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</si>
  <si>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</si>
  <si>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</si>
  <si>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</si>
  <si>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</si>
  <si>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</si>
  <si>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</si>
  <si>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</si>
  <si>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</si>
  <si>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</si>
  <si>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</si>
  <si>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</si>
  <si>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</si>
  <si>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</si>
  <si>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</si>
  <si>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</si>
  <si>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</si>
  <si>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</si>
  <si>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</si>
  <si>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</si>
  <si>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</si>
  <si>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</si>
  <si>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</si>
  <si>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</si>
  <si>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</si>
  <si>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</si>
  <si>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</si>
  <si>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</si>
  <si>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</si>
  <si>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</si>
  <si>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</si>
  <si>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</si>
  <si>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</si>
  <si>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</si>
  <si>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</si>
  <si>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</si>
  <si>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</si>
  <si>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</si>
  <si>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</si>
  <si>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</si>
  <si>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</si>
  <si>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</si>
  <si>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</si>
  <si>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</si>
  <si>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</si>
  <si>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</si>
  <si>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</si>
  <si>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</si>
  <si>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</si>
  <si>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</si>
  <si>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</si>
  <si>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</si>
  <si>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</si>
  <si>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</si>
  <si>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</si>
  <si>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</si>
  <si>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</si>
  <si>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</si>
  <si>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</si>
  <si>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</si>
  <si>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</si>
  <si>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</si>
  <si>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</si>
  <si>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</si>
  <si>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</si>
  <si>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</si>
  <si>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</si>
  <si>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</si>
  <si>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</si>
  <si>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</si>
  <si>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</si>
  <si>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</si>
  <si>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</si>
  <si>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</si>
  <si>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</si>
  <si>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</si>
  <si>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</si>
  <si>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</si>
  <si>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</si>
  <si>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</si>
  <si>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</si>
  <si>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</si>
  <si>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</si>
  <si>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</si>
  <si>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</si>
  <si>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</si>
  <si>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</si>
  <si>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</si>
  <si>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</si>
  <si>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</si>
  <si>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</si>
  <si>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</si>
  <si>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</si>
  <si>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</si>
  <si>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</si>
  <si>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</si>
  <si>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</si>
  <si>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</si>
  <si>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</si>
  <si>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</si>
  <si>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</si>
  <si>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</si>
  <si>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</si>
  <si>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</si>
  <si>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</si>
  <si>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</si>
  <si>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</si>
  <si>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</si>
  <si>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</si>
  <si>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</si>
  <si>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</si>
  <si>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</si>
  <si>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</si>
  <si>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</si>
  <si>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</si>
  <si>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</si>
  <si>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</si>
  <si>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</si>
  <si>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</si>
  <si>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</si>
  <si>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</si>
  <si>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</si>
  <si>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</si>
  <si>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</si>
  <si>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</si>
  <si>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</si>
  <si>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</si>
  <si>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</si>
  <si>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</si>
  <si>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</si>
  <si>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</si>
  <si>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</si>
  <si>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</si>
  <si>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</si>
  <si>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</si>
  <si>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</si>
  <si>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</si>
  <si>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</si>
  <si>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</si>
  <si>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</si>
  <si>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</si>
  <si>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</si>
  <si>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</si>
  <si>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</si>
  <si>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</si>
  <si>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</si>
  <si>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</si>
  <si>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</si>
  <si>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</si>
  <si>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</si>
  <si>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</si>
  <si>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</si>
  <si>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</si>
  <si>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</si>
  <si>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</si>
  <si>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</si>
  <si>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</si>
  <si>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</si>
  <si>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</si>
  <si>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</si>
  <si>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</si>
  <si>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</si>
  <si>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</si>
  <si>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</si>
  <si>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</si>
  <si>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</si>
  <si>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</si>
  <si>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</si>
  <si>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</si>
  <si>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</si>
  <si>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</si>
  <si>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</si>
  <si>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</si>
  <si>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</si>
  <si>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</si>
  <si>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</si>
  <si>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</si>
  <si>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</si>
  <si>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</si>
  <si>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</si>
  <si>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</si>
  <si>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</si>
  <si>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</si>
  <si>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</si>
  <si>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</si>
  <si>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</si>
  <si>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</si>
  <si>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</si>
  <si>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</si>
  <si>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</si>
  <si>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</si>
  <si>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</si>
  <si>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</si>
  <si>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</si>
  <si>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</si>
  <si>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</si>
  <si>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</si>
  <si>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</si>
  <si>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</si>
  <si>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</si>
  <si>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</si>
  <si>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</si>
  <si>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</si>
  <si>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</si>
  <si>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</si>
  <si>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</si>
  <si>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</si>
  <si>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</si>
  <si>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</si>
  <si>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</si>
  <si>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</si>
  <si>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</si>
  <si>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</si>
  <si>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</si>
  <si>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</si>
  <si>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</si>
  <si>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</si>
  <si>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</si>
  <si>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</si>
  <si>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</si>
  <si>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</si>
  <si>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</si>
  <si>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</si>
  <si>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</si>
  <si>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</si>
  <si>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</si>
  <si>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</si>
  <si>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</si>
  <si>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</si>
  <si>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</si>
  <si>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</si>
  <si>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</si>
  <si>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</si>
  <si>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</si>
  <si>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</si>
  <si>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</si>
  <si>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</si>
  <si>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</si>
  <si>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</si>
  <si>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</si>
  <si>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</si>
  <si>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</si>
  <si>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</si>
  <si>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</si>
  <si>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</si>
  <si>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</si>
  <si>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</si>
  <si>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</si>
  <si>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</si>
  <si>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</si>
  <si>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</si>
  <si>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</si>
  <si>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</si>
  <si>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</si>
  <si>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</si>
  <si>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</si>
  <si>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</si>
  <si>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</si>
  <si>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</si>
  <si>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</si>
  <si>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</si>
  <si>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</si>
  <si>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</si>
  <si>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</si>
  <si>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</si>
  <si>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</si>
  <si>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</si>
  <si>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</si>
  <si>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</si>
  <si>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</si>
  <si>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</si>
  <si>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</si>
  <si>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</si>
  <si>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</si>
  <si>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</si>
  <si>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</si>
  <si>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</si>
  <si>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</si>
  <si>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</si>
  <si>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</si>
  <si>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</si>
  <si>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</si>
  <si>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</si>
  <si>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</si>
  <si>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</si>
  <si>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</si>
  <si>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</si>
  <si>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</si>
  <si>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</si>
  <si>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</si>
  <si>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</si>
  <si>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</si>
  <si>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</si>
  <si>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</si>
  <si>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</si>
  <si>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</si>
  <si>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</si>
  <si>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</si>
  <si>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</si>
  <si>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</si>
  <si>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</si>
  <si>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</si>
  <si>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</si>
  <si>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</si>
  <si>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</si>
  <si>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</si>
  <si>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</si>
  <si>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</si>
  <si>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</si>
  <si>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</si>
  <si>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</si>
  <si>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</si>
  <si>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</si>
  <si>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</si>
  <si>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</si>
  <si>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</si>
  <si>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</si>
  <si>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</si>
  <si>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</si>
  <si>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</si>
  <si>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</si>
  <si>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</si>
  <si>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</si>
  <si>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</si>
  <si>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</si>
  <si>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</si>
  <si>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</si>
  <si>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</si>
  <si>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</si>
  <si>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</si>
  <si>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</si>
  <si>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</si>
  <si>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</si>
  <si>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</si>
  <si>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</si>
  <si>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</si>
  <si>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</si>
  <si>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</si>
  <si>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</si>
  <si>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</si>
  <si>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</si>
  <si>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</si>
  <si>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</si>
  <si>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</si>
  <si>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</si>
  <si>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</si>
  <si>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</si>
  <si>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</si>
  <si>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</si>
  <si>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</si>
  <si>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</si>
  <si>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</si>
  <si>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</si>
  <si>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</si>
  <si>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</si>
  <si>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</si>
  <si>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</si>
  <si>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</si>
  <si>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</si>
  <si>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</si>
  <si>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</si>
  <si>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</si>
  <si>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</si>
  <si>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</si>
  <si>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</si>
  <si>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</si>
  <si>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</si>
  <si>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</si>
  <si>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</si>
  <si>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</si>
  <si>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</si>
  <si>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</si>
  <si>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</si>
  <si>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</si>
  <si>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</si>
  <si>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</si>
  <si>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</si>
  <si>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</si>
  <si>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</si>
  <si>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</si>
  <si>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</si>
  <si>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</si>
  <si>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</si>
  <si>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</si>
  <si>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</si>
  <si>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</si>
  <si>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</si>
  <si>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</si>
  <si>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</si>
  <si>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</si>
  <si>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</si>
  <si>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</si>
  <si>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</si>
  <si>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</si>
  <si>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</si>
  <si>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</si>
  <si>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</si>
  <si>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</si>
  <si>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</si>
  <si>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</si>
  <si>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</si>
  <si>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</si>
  <si>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</si>
  <si>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</si>
  <si>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</si>
  <si>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</si>
  <si>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</si>
  <si>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</si>
  <si>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</si>
  <si>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</si>
  <si>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</si>
  <si>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</si>
  <si>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</si>
  <si>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</si>
  <si>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</si>
  <si>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</si>
  <si>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</si>
  <si>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</si>
  <si>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</si>
  <si>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</si>
  <si>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</si>
  <si>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</si>
  <si>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</si>
  <si>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</si>
  <si>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</si>
  <si>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</si>
  <si>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</si>
  <si>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</si>
  <si>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</si>
  <si>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</si>
  <si>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</si>
  <si>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</si>
  <si>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</si>
  <si>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</si>
  <si>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</si>
  <si>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</si>
  <si>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</si>
  <si>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</si>
  <si>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</si>
  <si>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</si>
  <si>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</si>
  <si>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</si>
  <si>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</si>
  <si>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</si>
  <si>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</si>
  <si>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</si>
  <si>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</si>
  <si>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</si>
  <si>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</si>
  <si>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</si>
  <si>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</si>
  <si>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</si>
  <si>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</si>
  <si>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</si>
  <si>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</si>
  <si>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</si>
  <si>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</si>
  <si>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</si>
  <si>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</si>
  <si>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</si>
  <si>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</si>
  <si>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</si>
  <si>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</si>
  <si>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</si>
  <si>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</si>
  <si>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</si>
  <si>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</si>
  <si>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</si>
  <si>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</si>
  <si>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</si>
  <si>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</si>
  <si>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</si>
  <si>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</si>
  <si>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</si>
  <si>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</si>
  <si>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</si>
  <si>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</si>
  <si>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</si>
  <si>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</si>
  <si>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</si>
  <si>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</si>
  <si>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</si>
  <si>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</si>
  <si>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</si>
  <si>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</si>
  <si>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</si>
  <si>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</si>
  <si>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</si>
  <si>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</si>
  <si>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</si>
  <si>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</si>
  <si>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</si>
  <si>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</si>
  <si>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</si>
  <si>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</si>
  <si>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</si>
  <si>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</si>
  <si>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</si>
  <si>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</si>
  <si>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</si>
  <si>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</si>
  <si>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</si>
  <si>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</si>
  <si>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</si>
  <si>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</si>
  <si>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</si>
  <si>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</si>
  <si>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</si>
  <si>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</si>
  <si>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</si>
  <si>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</si>
  <si>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</si>
  <si>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</si>
  <si>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</si>
  <si>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</si>
  <si>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</si>
  <si>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</si>
  <si>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</si>
  <si>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</si>
  <si>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</si>
  <si>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</si>
  <si>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</si>
  <si>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</si>
  <si>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</si>
  <si>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</si>
  <si>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</si>
  <si>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</si>
  <si>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</si>
  <si>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</si>
  <si>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</si>
  <si>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</si>
  <si>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</si>
  <si>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</si>
  <si>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</si>
  <si>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</si>
  <si>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</si>
  <si>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</si>
  <si>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</si>
  <si>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</si>
  <si>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</si>
  <si>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</si>
  <si>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</si>
  <si>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</si>
  <si>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</si>
  <si>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</si>
  <si>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</si>
  <si>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</si>
  <si>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</si>
  <si>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</si>
  <si>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</si>
  <si>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</si>
  <si>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</si>
  <si>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</si>
  <si>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</si>
  <si>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</si>
  <si>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</si>
  <si>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</si>
  <si>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</si>
  <si>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</si>
  <si>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</si>
  <si>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</si>
  <si>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</si>
  <si>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</si>
  <si>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</si>
  <si>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</si>
  <si>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</si>
  <si>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</si>
  <si>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</si>
  <si>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</si>
  <si>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</si>
  <si>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</si>
  <si>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</si>
  <si>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</si>
  <si>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</si>
  <si>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</si>
  <si>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</si>
  <si>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</si>
  <si>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</si>
  <si>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</si>
  <si>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</si>
  <si>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</si>
  <si>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</si>
  <si>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</si>
  <si>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</si>
  <si>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</si>
  <si>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</si>
  <si>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</si>
  <si>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</si>
  <si>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</si>
  <si>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</si>
  <si>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</si>
  <si>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</si>
  <si>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</si>
  <si>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</si>
  <si>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</si>
  <si>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</si>
  <si>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</si>
  <si>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</si>
  <si>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</si>
  <si>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</si>
  <si>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</si>
  <si>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</si>
  <si>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</si>
  <si>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</si>
  <si>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</si>
  <si>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</si>
  <si>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</si>
  <si>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</si>
  <si>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</si>
  <si>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</si>
  <si>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</si>
  <si>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</si>
  <si>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</si>
  <si>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</si>
  <si>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</si>
  <si>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</si>
  <si>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</si>
  <si>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</si>
  <si>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</si>
  <si>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</si>
  <si>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</si>
  <si>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</si>
  <si>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</si>
  <si>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</si>
  <si>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</si>
  <si>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</si>
  <si>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</si>
  <si>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</si>
  <si>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</si>
  <si>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</si>
  <si>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</si>
  <si>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</si>
  <si>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</si>
  <si>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</si>
  <si>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</si>
  <si>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</si>
  <si>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</si>
  <si>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</si>
  <si>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</si>
  <si>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</si>
  <si>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</si>
  <si>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</si>
  <si>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</si>
  <si>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</si>
  <si>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</si>
  <si>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</si>
  <si>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</si>
  <si>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</si>
  <si>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</si>
  <si>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</si>
  <si>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</si>
  <si>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</si>
  <si>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</si>
  <si>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</si>
  <si>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</si>
  <si>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</si>
  <si>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</si>
  <si>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</si>
  <si>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</si>
  <si>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</si>
  <si>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</si>
  <si>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</si>
  <si>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</si>
  <si>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</si>
  <si>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</si>
  <si>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</si>
  <si>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</si>
  <si>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</si>
  <si>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</si>
  <si>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</si>
  <si>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</si>
  <si>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</si>
  <si>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</si>
  <si>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</si>
  <si>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</si>
  <si>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</si>
  <si>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</si>
  <si>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</si>
  <si>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</si>
  <si>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</si>
  <si>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</si>
  <si>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</si>
  <si>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</si>
  <si>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</si>
  <si>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</si>
  <si>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</si>
  <si>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</si>
  <si>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</si>
  <si>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</si>
  <si>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</si>
  <si>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</si>
  <si>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</si>
  <si>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</si>
  <si>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</si>
  <si>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</si>
  <si>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</si>
  <si>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</si>
  <si>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</si>
  <si>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</si>
  <si>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</si>
  <si>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</si>
  <si>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</si>
  <si>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</si>
  <si>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</si>
  <si>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</si>
  <si>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</si>
  <si>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</si>
  <si>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</si>
  <si>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</si>
  <si>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</si>
  <si>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</si>
  <si>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</si>
  <si>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</si>
  <si>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</si>
  <si>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</si>
  <si>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</si>
  <si>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</si>
  <si>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</si>
  <si>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</si>
  <si>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</si>
  <si>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</si>
  <si>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</si>
  <si>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</si>
  <si>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</si>
  <si>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</si>
  <si>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</si>
  <si>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</si>
  <si>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</si>
  <si>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</si>
  <si>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</si>
  <si>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</si>
  <si>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</si>
  <si>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</si>
  <si>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</si>
  <si>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</si>
  <si>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</si>
  <si>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</si>
  <si>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</si>
  <si>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</si>
  <si>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</si>
  <si>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</si>
  <si>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</si>
  <si>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</si>
  <si>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</si>
  <si>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</si>
  <si>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</si>
  <si>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</si>
  <si>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</si>
  <si>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</si>
  <si>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</si>
  <si>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</si>
  <si>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</si>
  <si>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</si>
  <si>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</si>
  <si>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</si>
  <si>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</si>
  <si>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</si>
  <si>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</si>
  <si>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</si>
  <si>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</si>
  <si>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</si>
  <si>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</si>
  <si>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</si>
  <si>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</si>
  <si>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</si>
  <si>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</si>
  <si>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</si>
  <si>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</si>
  <si>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</si>
  <si>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</si>
  <si>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</si>
  <si>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</si>
  <si>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</si>
  <si>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</si>
  <si>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</si>
  <si>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</si>
  <si>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</si>
  <si>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</si>
  <si>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</si>
  <si>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</si>
  <si>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</si>
  <si>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</si>
  <si>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</si>
  <si>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</si>
  <si>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</si>
  <si>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</si>
  <si>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</si>
  <si>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</si>
  <si>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</si>
  <si>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</si>
  <si>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</si>
  <si>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</si>
  <si>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</si>
  <si>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</si>
  <si>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</si>
  <si>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</si>
  <si>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</si>
  <si>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</si>
  <si>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</si>
  <si>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</si>
  <si>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</si>
  <si>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</si>
  <si>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</si>
  <si>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</si>
  <si>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</si>
  <si>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</si>
  <si>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</si>
  <si>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</si>
  <si>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</si>
  <si>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</si>
  <si>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</si>
  <si>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</si>
  <si>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</si>
  <si>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</si>
  <si>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</si>
  <si>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</si>
  <si>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</si>
  <si>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</si>
  <si>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</si>
  <si>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</si>
  <si>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</si>
  <si>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</si>
  <si>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</si>
  <si>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</si>
  <si>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</si>
  <si>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</si>
  <si>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</si>
  <si>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</si>
  <si>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</si>
  <si>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</si>
  <si>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</si>
  <si>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</si>
  <si>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</si>
  <si>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</si>
  <si>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</si>
  <si>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</si>
  <si>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</si>
  <si>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</si>
  <si>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</si>
  <si>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</si>
  <si>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</si>
  <si>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</si>
  <si>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</si>
  <si>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</si>
  <si>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</si>
  <si>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</si>
  <si>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</si>
  <si>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</si>
  <si>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</si>
  <si>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</si>
  <si>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</si>
  <si>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</si>
  <si>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</si>
  <si>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</si>
  <si>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</si>
  <si>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</si>
  <si>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</si>
  <si>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</si>
  <si>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</si>
  <si>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</si>
  <si>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</si>
  <si>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</si>
  <si>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</si>
  <si>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</si>
  <si>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</si>
  <si>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</si>
  <si>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</si>
  <si>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</si>
  <si>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</si>
  <si>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</si>
  <si>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</si>
  <si>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</si>
  <si>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</si>
  <si>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</si>
  <si>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</si>
  <si>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</si>
  <si>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</si>
  <si>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</si>
  <si>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</si>
  <si>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</si>
  <si>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</si>
  <si>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</si>
  <si>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</si>
  <si>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</si>
  <si>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</si>
  <si>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</si>
  <si>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</si>
  <si>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</si>
  <si>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</si>
  <si>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</si>
  <si>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</si>
  <si>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</si>
  <si>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</si>
  <si>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</si>
  <si>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</si>
  <si>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</si>
  <si>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</si>
  <si>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</si>
  <si>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</si>
  <si>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</si>
  <si>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</si>
  <si>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</si>
  <si>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</si>
  <si>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</si>
  <si>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</si>
  <si>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</si>
  <si>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</si>
  <si>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</si>
  <si>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</si>
  <si>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</si>
  <si>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</si>
  <si>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</si>
  <si>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</si>
  <si>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</si>
  <si>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</si>
  <si>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</si>
  <si>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</si>
  <si>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</si>
  <si>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</si>
  <si>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</si>
  <si>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</si>
  <si>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</si>
  <si>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</si>
  <si>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</si>
  <si>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</si>
  <si>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</si>
  <si>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</si>
  <si>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</si>
  <si>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</si>
  <si>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</si>
  <si>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</si>
  <si>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</si>
  <si>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</si>
  <si>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</si>
  <si>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</si>
  <si>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</si>
  <si>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</si>
  <si>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</si>
  <si>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</si>
  <si>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</si>
  <si>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</si>
  <si>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</si>
  <si>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</si>
  <si>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</si>
  <si>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</si>
  <si>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</si>
  <si>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</si>
  <si>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</si>
  <si>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</si>
  <si>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</si>
  <si>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</si>
  <si>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</si>
  <si>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</si>
  <si>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</si>
  <si>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</si>
  <si>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</si>
  <si>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</si>
  <si>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</si>
  <si>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</si>
  <si>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</si>
  <si>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</si>
  <si>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</si>
  <si>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</si>
  <si>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</si>
  <si>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</si>
  <si>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</si>
  <si>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</si>
  <si>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</si>
  <si>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</si>
  <si>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</si>
  <si>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</si>
  <si>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</si>
  <si>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</si>
  <si>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</si>
  <si>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</si>
  <si>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</si>
  <si>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</si>
  <si>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</si>
  <si>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</si>
  <si>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</si>
  <si>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</si>
  <si>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</si>
  <si>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</si>
  <si>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</si>
  <si>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</si>
  <si>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</si>
  <si>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</si>
  <si>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</si>
  <si>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</si>
  <si>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</si>
  <si>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</si>
  <si>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</si>
  <si>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</si>
  <si>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</si>
  <si>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</si>
  <si>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</si>
  <si>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</si>
  <si>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</si>
  <si>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</si>
  <si>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</si>
  <si>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</si>
  <si>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</si>
  <si>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</si>
  <si>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</si>
  <si>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</si>
  <si>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</si>
  <si>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</si>
  <si>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</si>
  <si>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</si>
  <si>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</si>
  <si>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</si>
  <si>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</si>
  <si>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</si>
  <si>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</si>
  <si>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</si>
  <si>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</si>
  <si>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</si>
  <si>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</si>
  <si>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</si>
  <si>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</si>
  <si>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</si>
  <si>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</si>
  <si>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</si>
  <si>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</si>
  <si>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</si>
  <si>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</si>
  <si>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</si>
  <si>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</si>
  <si>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</si>
  <si>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</si>
  <si>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</si>
  <si>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</si>
  <si>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</si>
  <si>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</si>
  <si>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</si>
  <si>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</si>
  <si>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</si>
  <si>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</si>
  <si>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</si>
  <si>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</si>
  <si>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</si>
  <si>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</si>
  <si>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</si>
  <si>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</si>
  <si>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</si>
  <si>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</si>
  <si>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</si>
  <si>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</si>
  <si>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</si>
  <si>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</si>
  <si>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</si>
  <si>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</si>
  <si>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</si>
  <si>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</si>
  <si>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</si>
  <si>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</si>
  <si>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</si>
  <si>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</si>
  <si>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</si>
  <si>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</si>
  <si>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</si>
  <si>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</si>
  <si>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</si>
  <si>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</si>
  <si>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</si>
  <si>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</si>
  <si>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</si>
  <si>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</si>
  <si>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</si>
  <si>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</si>
  <si>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</si>
  <si>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</si>
  <si>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</si>
  <si>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</si>
  <si>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</si>
  <si>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</si>
  <si>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</si>
  <si>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</si>
  <si>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</si>
  <si>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</si>
  <si>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</si>
  <si>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</si>
  <si>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</si>
  <si>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</si>
  <si>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</si>
  <si>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</si>
  <si>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</si>
  <si>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</si>
  <si>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</si>
  <si>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</si>
  <si>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</si>
  <si>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</si>
  <si>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</si>
  <si>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</si>
  <si>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</si>
  <si>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</si>
  <si>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</si>
  <si>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</si>
  <si>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</si>
  <si>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</si>
  <si>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</si>
  <si>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</si>
  <si>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</si>
  <si>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</si>
  <si>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</si>
  <si>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</si>
  <si>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</si>
  <si>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</si>
  <si>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</si>
  <si>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</si>
  <si>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</si>
  <si>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</si>
  <si>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</si>
  <si>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</si>
  <si>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</si>
  <si>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</si>
  <si>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</si>
  <si>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</si>
  <si>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</si>
  <si>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</si>
  <si>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</si>
  <si>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</si>
  <si>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</si>
  <si>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</si>
  <si>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</si>
  <si>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</si>
  <si>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</si>
  <si>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</si>
  <si>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</si>
  <si>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</si>
  <si>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</si>
  <si>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</si>
  <si>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</si>
  <si>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</si>
  <si>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</si>
  <si>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</si>
  <si>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</si>
  <si>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</si>
  <si>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</si>
  <si>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</si>
  <si>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</si>
  <si>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</si>
  <si>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</si>
  <si>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</si>
  <si>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</si>
  <si>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</si>
  <si>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</si>
  <si>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</si>
  <si>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</si>
  <si>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</si>
  <si>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</si>
  <si>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</si>
  <si>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</si>
  <si>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</si>
  <si>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</si>
  <si>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</si>
  <si>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</si>
  <si>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</si>
  <si>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</si>
  <si>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</si>
  <si>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</si>
  <si>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</si>
  <si>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</si>
  <si>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</si>
  <si>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</si>
  <si>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</si>
  <si>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</si>
  <si>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</si>
  <si>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</si>
  <si>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</si>
  <si>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</si>
  <si>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</si>
  <si>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</si>
  <si>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</si>
  <si>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</si>
  <si>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</si>
  <si>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</si>
  <si>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</si>
  <si>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</si>
  <si>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</si>
  <si>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</si>
  <si>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</si>
  <si>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</si>
  <si>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</si>
  <si>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</si>
  <si>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</si>
  <si>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</si>
  <si>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</si>
  <si>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</si>
  <si>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</si>
  <si>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</si>
  <si>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</si>
  <si>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</si>
  <si>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</si>
  <si>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</si>
  <si>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</si>
  <si>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</si>
  <si>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</si>
  <si>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</si>
  <si>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</si>
  <si>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</si>
  <si>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</si>
  <si>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</si>
  <si>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</si>
  <si>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</si>
  <si>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</si>
  <si>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</si>
  <si>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</si>
  <si>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</si>
  <si>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</si>
  <si>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</si>
  <si>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</si>
  <si>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</si>
  <si>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</si>
  <si>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</si>
  <si>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</si>
  <si>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</si>
  <si>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</si>
  <si>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</si>
  <si>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</si>
  <si>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</si>
  <si>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</si>
  <si>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</si>
  <si>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</si>
  <si>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</si>
  <si>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</si>
  <si>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</si>
  <si>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</si>
  <si>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</si>
  <si>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</si>
  <si>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</si>
  <si>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</si>
  <si>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</si>
  <si>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</si>
  <si>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</si>
  <si>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</si>
  <si>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</si>
  <si>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</si>
  <si>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</si>
  <si>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</si>
  <si>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</si>
  <si>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</si>
  <si>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</si>
  <si>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</si>
  <si>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</si>
  <si>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</si>
  <si>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</si>
  <si>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</si>
  <si>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</si>
  <si>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</si>
  <si>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</si>
  <si>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</si>
  <si>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</si>
  <si>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</si>
  <si>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</si>
  <si>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</si>
  <si>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</si>
  <si>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</si>
  <si>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</si>
  <si>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</si>
  <si>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</si>
  <si>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</si>
  <si>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</si>
  <si>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</si>
  <si>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</si>
  <si>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</si>
  <si>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</si>
  <si>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</si>
  <si>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</si>
  <si>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</si>
  <si>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</si>
  <si>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</si>
  <si>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</si>
  <si>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</si>
  <si>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</si>
  <si>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</si>
  <si>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</si>
  <si>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</si>
  <si>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</si>
  <si>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</si>
  <si>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</si>
  <si>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</si>
  <si>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</si>
  <si>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</si>
  <si>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</si>
  <si>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</si>
  <si>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</si>
  <si>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</si>
  <si>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</si>
  <si>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</si>
  <si>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</si>
  <si>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</si>
  <si>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</si>
  <si>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</si>
  <si>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</si>
  <si>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</si>
  <si>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</si>
  <si>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</si>
  <si>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</si>
  <si>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</si>
  <si>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</si>
  <si>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</si>
  <si>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</si>
  <si>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</si>
  <si>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</si>
  <si>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</si>
  <si>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</si>
  <si>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</si>
  <si>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</si>
  <si>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</si>
  <si>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</si>
  <si>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</si>
  <si>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</si>
  <si>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</si>
  <si>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</si>
  <si>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</si>
  <si>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</si>
  <si>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</si>
  <si>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</si>
  <si>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</si>
  <si>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</si>
  <si>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</si>
  <si>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</si>
  <si>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</si>
  <si>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</si>
  <si>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</si>
  <si>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</si>
  <si>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</si>
  <si>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</si>
  <si>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</si>
  <si>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</si>
  <si>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</si>
  <si>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</si>
  <si>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</si>
  <si>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</si>
  <si>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</si>
  <si>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</si>
  <si>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</si>
  <si>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</si>
  <si>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</si>
  <si>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</si>
  <si>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</si>
  <si>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</si>
  <si>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</si>
  <si>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</si>
  <si>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</si>
  <si>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</si>
  <si>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</si>
  <si>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</si>
  <si>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</si>
  <si>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</si>
  <si>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</si>
  <si>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</si>
  <si>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</si>
  <si>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</si>
  <si>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</si>
  <si>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</si>
  <si>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</si>
  <si>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</si>
  <si>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</si>
  <si>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</si>
  <si>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</si>
  <si>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</si>
  <si>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</si>
  <si>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</si>
  <si>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</si>
  <si>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</si>
  <si>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</si>
  <si>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</si>
  <si>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</si>
  <si>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</si>
  <si>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</si>
  <si>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</si>
  <si>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</si>
  <si>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</si>
  <si>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</si>
  <si>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</si>
  <si>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</si>
  <si>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</si>
  <si>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</si>
  <si>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</si>
  <si>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</si>
  <si>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</si>
  <si>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</si>
  <si>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</si>
  <si>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</si>
  <si>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</si>
  <si>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</si>
  <si>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</si>
  <si>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</si>
  <si>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</si>
  <si>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</si>
  <si>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</si>
  <si>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</si>
  <si>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</si>
  <si>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</si>
  <si>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</si>
  <si>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</si>
  <si>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</si>
  <si>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</si>
  <si>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</si>
  <si>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</si>
  <si>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</si>
  <si>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</si>
  <si>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</si>
  <si>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</si>
  <si>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</si>
  <si>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</si>
  <si>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</si>
  <si>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</si>
  <si>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</si>
  <si>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</si>
  <si>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</si>
  <si>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</si>
  <si>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</si>
  <si>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</si>
  <si>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</si>
  <si>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</si>
  <si>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</si>
  <si>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</si>
  <si>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</si>
  <si>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</si>
  <si>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</si>
  <si>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</si>
  <si>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</si>
  <si>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</si>
  <si>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</si>
  <si>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</si>
  <si>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</si>
  <si>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</si>
  <si>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</si>
  <si>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</si>
  <si>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</si>
  <si>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</si>
  <si>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</si>
  <si>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</si>
  <si>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</si>
  <si>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</si>
  <si>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</si>
  <si>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</si>
  <si>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</si>
  <si>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</si>
  <si>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</si>
  <si>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</si>
  <si>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</si>
  <si>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</si>
  <si>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</si>
  <si>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</si>
  <si>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</si>
  <si>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</si>
  <si>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</si>
  <si>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</si>
  <si>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</si>
  <si>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</si>
  <si>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</si>
  <si>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</si>
  <si>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</si>
  <si>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</si>
  <si>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</si>
  <si>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</si>
  <si>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</si>
  <si>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</si>
  <si>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</si>
  <si>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</si>
  <si>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</si>
  <si>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</si>
  <si>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</si>
  <si>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</si>
  <si>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</si>
  <si>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</si>
  <si>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</si>
  <si>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</si>
  <si>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</si>
  <si>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</si>
  <si>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</si>
  <si>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</si>
  <si>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</si>
  <si>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</si>
  <si>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</si>
  <si>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</si>
  <si>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</si>
  <si>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</si>
  <si>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</si>
  <si>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</si>
  <si>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</si>
  <si>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</si>
  <si>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</si>
  <si>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</si>
  <si>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</si>
  <si>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</si>
  <si>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</si>
  <si>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</si>
  <si>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</si>
  <si>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</si>
  <si>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</si>
  <si>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</si>
  <si>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</si>
  <si>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</si>
  <si>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</si>
  <si>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</si>
  <si>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</si>
  <si>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</si>
  <si>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</si>
  <si>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</si>
  <si>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</si>
  <si>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</si>
  <si>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</si>
  <si>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</si>
  <si>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</si>
  <si>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</si>
  <si>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</si>
  <si>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</si>
  <si>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</si>
  <si>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</si>
  <si>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</si>
  <si>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</si>
  <si>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</si>
  <si>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</si>
  <si>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</si>
  <si>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</si>
  <si>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</si>
  <si>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</si>
  <si>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</si>
  <si>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</si>
  <si>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</si>
  <si>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</si>
  <si>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</si>
  <si>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</si>
  <si>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</si>
  <si>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</si>
  <si>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</si>
  <si>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</si>
  <si>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</si>
  <si>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</si>
  <si>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</si>
  <si>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</si>
  <si>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</si>
  <si>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</si>
  <si>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</si>
  <si>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</si>
  <si>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</si>
  <si>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</si>
  <si>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</si>
  <si>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</si>
  <si>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</si>
  <si>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</si>
  <si>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</si>
  <si>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</si>
  <si>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</si>
  <si>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</si>
  <si>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</si>
  <si>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</si>
  <si>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</si>
  <si>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</si>
  <si>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</si>
  <si>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</si>
  <si>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</si>
  <si>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</si>
  <si>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</si>
  <si>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</si>
  <si>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</si>
  <si>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</si>
  <si>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</si>
  <si>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</si>
  <si>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</si>
  <si>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</si>
  <si>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</si>
  <si>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</si>
  <si>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</si>
  <si>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</si>
  <si>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</si>
  <si>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</si>
  <si>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</si>
  <si>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</si>
  <si>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</si>
  <si>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</si>
  <si>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</si>
  <si>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</si>
  <si>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</si>
  <si>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</si>
  <si>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</si>
  <si>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</si>
  <si>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</si>
  <si>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</si>
  <si>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</si>
  <si>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</si>
  <si>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</si>
  <si>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</si>
  <si>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</si>
  <si>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</si>
  <si>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</si>
  <si>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</si>
  <si>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</si>
  <si>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</si>
  <si>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</si>
  <si>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</si>
  <si>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</si>
  <si>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</si>
  <si>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</si>
  <si>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</si>
  <si>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</si>
  <si>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</si>
  <si>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</si>
  <si>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</si>
  <si>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</si>
  <si>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</si>
  <si>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</si>
  <si>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</si>
  <si>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</si>
  <si>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</si>
  <si>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</si>
  <si>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</si>
  <si>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</si>
  <si>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</si>
  <si>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</si>
  <si>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</si>
  <si>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</si>
  <si>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</si>
  <si>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</si>
  <si>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</si>
  <si>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</si>
  <si>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</si>
  <si>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</si>
  <si>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</si>
  <si>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</si>
  <si>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</si>
  <si>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</si>
  <si>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</si>
  <si>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</si>
  <si>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</si>
  <si>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</si>
  <si>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</si>
  <si>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</si>
  <si>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</si>
  <si>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</si>
  <si>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</si>
  <si>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</si>
  <si>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</si>
  <si>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</si>
  <si>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</si>
  <si>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</si>
  <si>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</si>
  <si>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</si>
  <si>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</si>
  <si>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</si>
  <si>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</si>
  <si>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</si>
  <si>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</si>
  <si>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</si>
  <si>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</si>
  <si>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</si>
  <si>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</si>
  <si>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</si>
  <si>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</si>
  <si>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</si>
  <si>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</si>
  <si>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</si>
  <si>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</si>
  <si>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</si>
  <si>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</si>
  <si>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</si>
  <si>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</si>
  <si>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</si>
  <si>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</si>
  <si>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</si>
  <si>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</si>
  <si>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</si>
  <si>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</si>
  <si>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</si>
  <si>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</si>
  <si>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</si>
  <si>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</si>
  <si>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</si>
  <si>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</si>
  <si>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</si>
  <si>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</si>
  <si>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</si>
  <si>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</si>
  <si>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</si>
  <si>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</si>
  <si>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</si>
  <si>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</si>
  <si>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</si>
  <si>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</si>
  <si>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</si>
  <si>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</si>
  <si>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</si>
  <si>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</si>
  <si>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</si>
  <si>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</si>
  <si>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</si>
  <si>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</si>
  <si>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</si>
  <si>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</si>
  <si>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</si>
  <si>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</si>
  <si>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</si>
  <si>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</si>
  <si>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</si>
  <si>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</si>
  <si>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</si>
  <si>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</si>
  <si>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</si>
  <si>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</si>
  <si>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</si>
  <si>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</si>
  <si>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</si>
  <si>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</si>
  <si>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</si>
  <si>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</si>
  <si>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</si>
  <si>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</si>
  <si>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</si>
  <si>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</si>
  <si>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</si>
  <si>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</si>
  <si>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</si>
  <si>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</si>
  <si>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</si>
  <si>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</si>
  <si>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</si>
  <si>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</si>
  <si>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</si>
  <si>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</si>
  <si>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</si>
  <si>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</si>
  <si>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</si>
  <si>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</si>
  <si>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</si>
  <si>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</si>
  <si>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</si>
  <si>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</si>
  <si>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</si>
  <si>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</si>
  <si>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</si>
  <si>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</si>
  <si>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</si>
  <si>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</si>
  <si>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</si>
  <si>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</si>
  <si>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</si>
  <si>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</si>
  <si>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</si>
  <si>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</si>
  <si>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</si>
  <si>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</si>
  <si>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</si>
  <si>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</si>
  <si>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</si>
  <si>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</si>
  <si>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</si>
  <si>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</si>
  <si>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</si>
  <si>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</si>
  <si>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</si>
  <si>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</si>
  <si>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</si>
  <si>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</si>
  <si>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</si>
  <si>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</si>
  <si>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</si>
  <si>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</si>
  <si>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</si>
  <si>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</si>
  <si>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</si>
  <si>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</si>
  <si>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</si>
  <si>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</si>
  <si>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</si>
  <si>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</si>
  <si>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</si>
  <si>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</si>
  <si>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</si>
  <si>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</si>
  <si>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</si>
  <si>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</si>
  <si>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</si>
  <si>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</si>
  <si>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</si>
  <si>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</si>
  <si>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</si>
  <si>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</si>
  <si>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</si>
  <si>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</si>
  <si>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</si>
  <si>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</si>
  <si>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</si>
  <si>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</si>
  <si>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</si>
  <si>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</si>
  <si>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</si>
  <si>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</si>
  <si>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</si>
  <si>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</si>
  <si>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</si>
  <si>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</si>
  <si>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</si>
  <si>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</si>
  <si>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</si>
  <si>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</si>
  <si>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</si>
  <si>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</si>
  <si>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</si>
  <si>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</si>
  <si>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</si>
  <si>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</si>
  <si>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</si>
  <si>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</si>
  <si>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</si>
  <si>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</si>
  <si>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</si>
  <si>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</si>
  <si>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</si>
  <si>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</si>
  <si>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</si>
  <si>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</si>
  <si>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</si>
  <si>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</si>
  <si>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</si>
  <si>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</si>
  <si>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</si>
  <si>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</si>
  <si>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</si>
  <si>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</si>
  <si>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</si>
  <si>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</si>
  <si>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</si>
  <si>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</si>
  <si>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</si>
  <si>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</si>
  <si>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</si>
  <si>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</si>
  <si>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</si>
  <si>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</si>
  <si>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</si>
  <si>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</si>
  <si>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</si>
  <si>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</si>
  <si>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</si>
  <si>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</si>
  <si>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</si>
  <si>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</si>
  <si>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</si>
  <si>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</si>
  <si>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</si>
  <si>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</si>
  <si>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</si>
  <si>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</si>
  <si>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</si>
  <si>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</si>
  <si>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</si>
  <si>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</si>
  <si>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</si>
  <si>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</si>
  <si>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</si>
  <si>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</si>
  <si>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</si>
  <si>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</si>
  <si>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</si>
  <si>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</si>
  <si>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</si>
  <si>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</si>
  <si>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</si>
  <si>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</si>
  <si>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</si>
  <si>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</si>
  <si>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</si>
  <si>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</si>
  <si>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</si>
  <si>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</si>
  <si>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</si>
  <si>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</si>
  <si>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</si>
  <si>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</si>
  <si>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</si>
  <si>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</si>
  <si>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</si>
  <si>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</si>
  <si>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</si>
  <si>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</si>
  <si>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</si>
  <si>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</si>
  <si>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</si>
  <si>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</si>
  <si>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</si>
  <si>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</si>
  <si>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</si>
  <si>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</si>
  <si>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</si>
  <si>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</si>
  <si>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</si>
  <si>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</si>
  <si>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</si>
  <si>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</si>
  <si>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</si>
  <si>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</si>
  <si>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</si>
  <si>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</si>
  <si>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</si>
  <si>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</si>
  <si>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</si>
  <si>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</si>
  <si>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</si>
  <si>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</si>
  <si>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</si>
  <si>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</si>
  <si>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</si>
  <si>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</si>
  <si>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</si>
  <si>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</si>
  <si>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</si>
  <si>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</si>
  <si>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</si>
  <si>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</si>
  <si>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</si>
  <si>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</si>
  <si>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</si>
  <si>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</si>
  <si>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</si>
  <si>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</si>
  <si>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</si>
  <si>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</si>
  <si>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</si>
  <si>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</si>
  <si>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</si>
  <si>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</si>
  <si>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</si>
  <si>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</si>
  <si>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</si>
  <si>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</si>
  <si>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</si>
  <si>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</si>
  <si>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</si>
  <si>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</si>
  <si>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</si>
  <si>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</si>
  <si>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</si>
  <si>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</si>
  <si>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</si>
  <si>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</si>
  <si>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</si>
  <si>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</si>
  <si>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</si>
  <si>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</si>
  <si>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</si>
  <si>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</si>
  <si>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</si>
  <si>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</si>
  <si>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</si>
  <si>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</si>
  <si>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</si>
  <si>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</si>
  <si>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</si>
  <si>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</si>
  <si>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</si>
  <si>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</si>
  <si>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</si>
  <si>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</si>
  <si>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</si>
  <si>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</si>
  <si>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</si>
  <si>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</si>
  <si>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</si>
  <si>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</si>
  <si>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</si>
  <si>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</si>
  <si>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</si>
  <si>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</si>
  <si>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</si>
  <si>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</si>
  <si>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</si>
  <si>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</si>
  <si>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</si>
  <si>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</si>
  <si>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</si>
  <si>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</si>
  <si>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</si>
  <si>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</si>
  <si>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</si>
  <si>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</si>
  <si>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</si>
  <si>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</si>
  <si>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</si>
  <si>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</si>
  <si>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</si>
  <si>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</si>
  <si>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</si>
  <si>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</si>
  <si>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</si>
  <si>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</si>
  <si>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</si>
  <si>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</si>
  <si>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</si>
  <si>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</si>
  <si>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</si>
  <si>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</si>
  <si>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</si>
  <si>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</si>
  <si>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</si>
  <si>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</si>
  <si>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</si>
  <si>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</si>
  <si>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</si>
  <si>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</si>
  <si>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</si>
  <si>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</si>
  <si>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</si>
  <si>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</si>
  <si>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</si>
  <si>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</si>
  <si>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</si>
  <si>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</si>
  <si>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</si>
  <si>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</si>
  <si>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</si>
  <si>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</si>
  <si>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</si>
  <si>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</si>
  <si>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</si>
  <si>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</si>
  <si>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</si>
  <si>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</si>
  <si>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</si>
  <si>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</si>
  <si>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</si>
  <si>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</si>
  <si>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</si>
  <si>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</si>
  <si>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</si>
  <si>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</si>
  <si>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</si>
  <si>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</si>
  <si>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</si>
  <si>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</si>
  <si>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</si>
  <si>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</si>
  <si>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</si>
  <si>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</si>
  <si>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</si>
  <si>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</si>
  <si>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</si>
  <si>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</si>
  <si>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</si>
  <si>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</si>
  <si>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</si>
  <si>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</si>
  <si>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</si>
  <si>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</si>
  <si>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</si>
  <si>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</si>
  <si>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</si>
  <si>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</si>
  <si>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</si>
  <si>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</si>
  <si>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</si>
  <si>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</si>
  <si>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</si>
  <si>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</si>
  <si>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</si>
  <si>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</si>
  <si>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</si>
  <si>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</si>
  <si>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</si>
  <si>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</si>
  <si>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</si>
  <si>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</si>
  <si>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</si>
  <si>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</si>
  <si>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</si>
  <si>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</si>
  <si>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</si>
  <si>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</si>
  <si>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</si>
  <si>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</si>
  <si>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</si>
  <si>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</si>
  <si>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</si>
  <si>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</si>
  <si>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</si>
  <si>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</si>
  <si>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</si>
  <si>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</si>
  <si>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</si>
  <si>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</si>
  <si>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</si>
  <si>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</si>
  <si>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</si>
  <si>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</si>
  <si>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</si>
  <si>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</si>
  <si>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</si>
  <si>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</si>
  <si>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</si>
  <si>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</si>
  <si>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</si>
  <si>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</si>
  <si>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</si>
  <si>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</si>
  <si>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</si>
  <si>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</si>
  <si>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</si>
  <si>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</si>
  <si>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</si>
  <si>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</si>
  <si>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</si>
  <si>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</si>
  <si>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</si>
  <si>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</si>
  <si>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</si>
  <si>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</si>
  <si>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</si>
  <si>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</si>
  <si>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</si>
  <si>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</si>
  <si>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</si>
  <si>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</si>
  <si>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</si>
  <si>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</si>
  <si>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</si>
  <si>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</si>
  <si>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</si>
  <si>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</si>
  <si>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</si>
  <si>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</si>
  <si>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</si>
  <si>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</si>
  <si>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</si>
  <si>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</si>
  <si>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</si>
  <si>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</si>
  <si>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</si>
  <si>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</si>
  <si>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</si>
  <si>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</si>
  <si>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</si>
  <si>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</si>
  <si>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</si>
  <si>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</si>
  <si>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</si>
  <si>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</si>
  <si>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</si>
  <si>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</si>
  <si>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</si>
  <si>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</si>
  <si>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</si>
  <si>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</si>
  <si>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</si>
  <si>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</si>
  <si>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</si>
  <si>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</si>
  <si>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</si>
  <si>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</si>
  <si>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</si>
  <si>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</si>
  <si>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</si>
  <si>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</si>
  <si>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</si>
  <si>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</si>
  <si>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</si>
  <si>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</si>
  <si>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</si>
  <si>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</si>
  <si>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</si>
  <si>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</si>
  <si>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</si>
  <si>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</si>
  <si>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</si>
  <si>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</si>
  <si>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</si>
  <si>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</si>
  <si>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</si>
  <si>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</si>
  <si>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</si>
  <si>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</si>
  <si>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</si>
  <si>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</si>
  <si>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</si>
  <si>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</si>
  <si>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</si>
  <si>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</si>
  <si>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</si>
  <si>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</si>
  <si>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</si>
  <si>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</si>
  <si>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</si>
  <si>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</si>
  <si>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</si>
  <si>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</si>
  <si>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</si>
  <si>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</si>
  <si>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</si>
  <si>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</si>
  <si>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</si>
  <si>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</si>
  <si>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</si>
  <si>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</si>
  <si>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</si>
  <si>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</si>
  <si>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</si>
  <si>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</si>
  <si>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</si>
  <si>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</si>
  <si>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</si>
  <si>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</si>
  <si>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</si>
  <si>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</si>
  <si>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</si>
  <si>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</si>
  <si>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</si>
  <si>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</si>
  <si>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</si>
  <si>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</si>
  <si>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</si>
  <si>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</si>
  <si>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</si>
  <si>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</si>
  <si>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</si>
  <si>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</si>
  <si>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</si>
  <si>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</si>
  <si>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</si>
  <si>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</si>
  <si>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</si>
  <si>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</si>
  <si>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</si>
  <si>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</si>
  <si>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</si>
  <si>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</si>
  <si>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</si>
  <si>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</si>
  <si>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</si>
  <si>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</si>
  <si>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</si>
  <si>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</si>
  <si>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</si>
  <si>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</si>
  <si>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</si>
  <si>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</si>
  <si>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</si>
  <si>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</si>
  <si>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</si>
  <si>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</si>
  <si>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</si>
  <si>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</si>
  <si>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</si>
  <si>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</si>
  <si>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</si>
  <si>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</si>
  <si>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</si>
  <si>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</si>
  <si>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</si>
  <si>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</si>
  <si>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</si>
  <si>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</si>
  <si>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</si>
  <si>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</si>
  <si>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</si>
  <si>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</si>
  <si>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</si>
  <si>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</si>
  <si>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</si>
  <si>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</si>
  <si>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</si>
  <si>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</si>
  <si>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</si>
  <si>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</si>
  <si>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</si>
  <si>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</si>
  <si>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</si>
  <si>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</si>
  <si>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</si>
  <si>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</si>
  <si>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</si>
  <si>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</si>
  <si>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</si>
  <si>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</si>
  <si>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</si>
  <si>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</si>
  <si>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</si>
  <si>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</si>
  <si>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</si>
  <si>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</si>
  <si>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</si>
  <si>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</si>
  <si>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</si>
  <si>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</si>
  <si>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</si>
  <si>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</si>
  <si>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</si>
  <si>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</si>
  <si>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</si>
  <si>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</si>
  <si>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</si>
  <si>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</si>
  <si>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</si>
  <si>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</si>
  <si>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</si>
  <si>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</si>
  <si>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</si>
  <si>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</si>
  <si>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</si>
  <si>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</si>
  <si>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</si>
  <si>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</si>
  <si>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</si>
  <si>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</si>
  <si>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</si>
  <si>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</si>
  <si>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</si>
  <si>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</si>
  <si>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</si>
  <si>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</si>
  <si>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</si>
  <si>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</si>
  <si>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</si>
  <si>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</si>
  <si>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</si>
  <si>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</si>
  <si>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</si>
  <si>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</si>
  <si>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</si>
  <si>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</si>
  <si>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</si>
  <si>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</si>
  <si>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</si>
  <si>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</si>
  <si>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</si>
  <si>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</si>
  <si>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</si>
  <si>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</si>
  <si>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</si>
  <si>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</si>
  <si>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</si>
  <si>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</si>
  <si>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</si>
  <si>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</si>
  <si>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</si>
  <si>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</si>
  <si>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</si>
  <si>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</si>
  <si>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</si>
  <si>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</si>
  <si>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</si>
  <si>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</si>
  <si>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</si>
  <si>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</si>
  <si>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</si>
  <si>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</si>
  <si>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</si>
  <si>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</si>
  <si>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</si>
  <si>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</si>
  <si>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</si>
  <si>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</si>
  <si>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</si>
  <si>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</si>
  <si>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</si>
  <si>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</si>
  <si>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</si>
  <si>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</si>
  <si>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</si>
  <si>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</si>
  <si>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</si>
  <si>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</si>
  <si>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</si>
  <si>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</si>
  <si>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</si>
  <si>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</si>
  <si>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</si>
  <si>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</si>
  <si>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</si>
  <si>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</si>
  <si>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</si>
  <si>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</si>
  <si>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</si>
  <si>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</si>
  <si>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</si>
  <si>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</si>
  <si>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</si>
  <si>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</si>
  <si>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</si>
  <si>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</si>
  <si>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</si>
  <si>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</si>
  <si>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</si>
  <si>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</si>
  <si>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</si>
  <si>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</si>
  <si>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</si>
  <si>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</si>
  <si>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</si>
  <si>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</si>
  <si>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</si>
  <si>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</si>
  <si>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</si>
  <si>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</si>
  <si>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</si>
  <si>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</si>
  <si>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</si>
  <si>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</si>
  <si>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</si>
  <si>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</si>
  <si>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</si>
  <si>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</si>
  <si>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</si>
  <si>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</si>
  <si>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</si>
  <si>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</si>
  <si>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</si>
  <si>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</si>
  <si>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</si>
  <si>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</si>
  <si>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</si>
  <si>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</si>
  <si>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</si>
  <si>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</si>
  <si>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</si>
  <si>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</si>
  <si>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</si>
  <si>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</si>
  <si>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</si>
  <si>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</si>
  <si>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</si>
  <si>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</si>
  <si>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</si>
  <si>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</si>
  <si>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</si>
  <si>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</si>
  <si>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</si>
  <si>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</si>
  <si>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</si>
  <si>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</si>
  <si>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</si>
  <si>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</si>
  <si>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</si>
  <si>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</si>
  <si>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</si>
  <si>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</si>
  <si>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</si>
  <si>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</si>
  <si>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</si>
  <si>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</si>
  <si>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</si>
  <si>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</si>
  <si>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</si>
  <si>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</si>
  <si>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</si>
  <si>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</si>
  <si>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</si>
  <si>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</si>
  <si>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</si>
  <si>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</si>
  <si>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</si>
  <si>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</si>
  <si>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</si>
  <si>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</si>
  <si>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</si>
  <si>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</si>
  <si>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</si>
  <si>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</si>
  <si>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</si>
  <si>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</si>
  <si>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</si>
  <si>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</si>
  <si>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</si>
  <si>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</si>
  <si>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</si>
  <si>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</si>
  <si>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</si>
  <si>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</si>
  <si>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</si>
  <si>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</si>
  <si>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</si>
  <si>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</si>
  <si>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</si>
  <si>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</si>
  <si>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</si>
  <si>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</si>
  <si>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</si>
  <si>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</si>
  <si>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</si>
  <si>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</si>
  <si>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</si>
  <si>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</si>
  <si>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</si>
  <si>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</si>
  <si>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</si>
  <si>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</si>
  <si>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</si>
  <si>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</si>
  <si>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</si>
  <si>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</si>
  <si>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</si>
  <si>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</si>
  <si>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</si>
  <si>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</si>
  <si>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</si>
  <si>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</si>
  <si>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</si>
  <si>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</si>
  <si>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</si>
  <si>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</si>
  <si>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</si>
  <si>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</si>
  <si>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</si>
  <si>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</si>
  <si>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</si>
  <si>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</si>
  <si>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</si>
  <si>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</si>
  <si>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</si>
  <si>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</si>
  <si>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</si>
  <si>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</si>
  <si>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</si>
  <si>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</si>
  <si>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</si>
  <si>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</si>
  <si>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</si>
  <si>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</si>
  <si>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</si>
  <si>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</si>
  <si>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</si>
  <si>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</si>
  <si>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</si>
  <si>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</si>
  <si>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</si>
  <si>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</si>
  <si>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</si>
  <si>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</si>
  <si>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</si>
  <si>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</si>
  <si>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</si>
  <si>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</si>
  <si>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</si>
  <si>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</si>
  <si>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</si>
  <si>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</si>
  <si>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</si>
  <si>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</si>
  <si>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</si>
  <si>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</si>
  <si>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</si>
  <si>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</si>
  <si>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</si>
  <si>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</si>
  <si>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</si>
  <si>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</si>
  <si>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</si>
  <si>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</si>
  <si>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</si>
  <si>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</si>
  <si>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</si>
  <si>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</si>
  <si>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</si>
  <si>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</si>
  <si>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</si>
  <si>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</si>
  <si>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</si>
  <si>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</si>
  <si>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</si>
  <si>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</si>
  <si>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</si>
  <si>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</si>
  <si>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</si>
  <si>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</si>
  <si>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</si>
  <si>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</si>
  <si>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</si>
  <si>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</si>
  <si>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</si>
  <si>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</si>
  <si>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</si>
  <si>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</si>
  <si>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</si>
  <si>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</si>
  <si>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</si>
  <si>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</si>
  <si>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</si>
  <si>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</si>
  <si>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</si>
  <si>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</si>
  <si>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</si>
  <si>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</si>
  <si>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</si>
  <si>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</si>
  <si>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</si>
  <si>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</si>
  <si>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</si>
  <si>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</si>
  <si>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</si>
  <si>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</si>
  <si>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</si>
  <si>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</si>
  <si>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</si>
  <si>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</si>
  <si>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</si>
  <si>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</si>
  <si>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</si>
  <si>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</si>
  <si>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</si>
  <si>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</si>
  <si>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</si>
  <si>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</si>
  <si>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</si>
  <si>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</si>
  <si>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</si>
  <si>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</si>
  <si>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</si>
  <si>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</si>
  <si>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</si>
  <si>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</si>
  <si>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</si>
  <si>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</si>
  <si>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</si>
  <si>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</si>
  <si>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</si>
  <si>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</si>
  <si>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</si>
  <si>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</si>
  <si>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</si>
  <si>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</si>
  <si>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</si>
  <si>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</si>
  <si>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</si>
  <si>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</si>
  <si>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</si>
  <si>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</si>
  <si>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</si>
  <si>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</si>
  <si>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</si>
  <si>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</si>
  <si>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</si>
  <si>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</si>
  <si>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</si>
  <si>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</si>
  <si>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</si>
  <si>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</si>
  <si>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</si>
  <si>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</si>
  <si>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</si>
  <si>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</si>
  <si>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</si>
  <si>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</si>
  <si>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</si>
  <si>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</si>
  <si>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</si>
  <si>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</si>
  <si>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</si>
  <si>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</si>
  <si>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</si>
  <si>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</si>
  <si>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</si>
  <si>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</si>
  <si>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</si>
  <si>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</si>
  <si>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</si>
  <si>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</si>
  <si>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</si>
  <si>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</si>
  <si>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</si>
  <si>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</si>
  <si>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</si>
  <si>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</si>
  <si>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</si>
  <si>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</si>
  <si>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</si>
  <si>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</si>
  <si>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</si>
  <si>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</si>
  <si>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</si>
  <si>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</si>
  <si>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</si>
  <si>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</si>
  <si>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</si>
  <si>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</si>
  <si>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</si>
  <si>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</si>
  <si>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</si>
  <si>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</si>
  <si>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</si>
  <si>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</si>
  <si>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</si>
  <si>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</si>
  <si>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</si>
  <si>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</si>
  <si>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</si>
  <si>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</si>
  <si>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</si>
  <si>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</si>
  <si>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</si>
  <si>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</si>
  <si>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</si>
  <si>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</si>
  <si>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</si>
  <si>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</si>
  <si>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</si>
  <si>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</si>
  <si>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</si>
  <si>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</si>
  <si>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</si>
  <si>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</si>
  <si>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</si>
  <si>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</si>
  <si>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</si>
  <si>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</si>
  <si>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</si>
  <si>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</si>
  <si>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</si>
  <si>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</si>
  <si>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</si>
  <si>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</si>
  <si>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</si>
  <si>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</si>
  <si>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</si>
  <si>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</si>
  <si>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</si>
  <si>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</si>
  <si>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</si>
  <si>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</si>
  <si>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</si>
  <si>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</si>
  <si>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</si>
  <si>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</si>
  <si>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</si>
  <si>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</si>
  <si>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</si>
  <si>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</si>
  <si>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</si>
  <si>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</si>
  <si>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</si>
  <si>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</si>
  <si>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</si>
  <si>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</si>
  <si>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</si>
  <si>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</si>
  <si>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</si>
  <si>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</si>
  <si>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</si>
  <si>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</si>
  <si>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</si>
  <si>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</si>
  <si>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</si>
  <si>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</si>
  <si>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</si>
  <si>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</si>
  <si>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</si>
  <si>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</si>
  <si>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</si>
  <si>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</si>
  <si>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</si>
  <si>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</si>
  <si>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</si>
  <si>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</si>
  <si>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</si>
  <si>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</si>
  <si>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</si>
  <si>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</si>
  <si>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</si>
  <si>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</si>
  <si>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</si>
  <si>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</si>
  <si>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</si>
  <si>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</si>
  <si>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</si>
  <si>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</si>
  <si>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</si>
  <si>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</si>
  <si>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</si>
  <si>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</si>
  <si>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</si>
  <si>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</si>
  <si>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</si>
  <si>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</si>
  <si>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</si>
  <si>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</si>
  <si>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</si>
  <si>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</si>
  <si>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</si>
  <si>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</si>
  <si>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</si>
  <si>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</si>
  <si>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</si>
  <si>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</si>
  <si>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</si>
  <si>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</si>
  <si>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</si>
  <si>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</si>
  <si>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</si>
  <si>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</si>
  <si>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</si>
  <si>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</si>
  <si>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</si>
  <si>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</si>
  <si>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</si>
  <si>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</si>
  <si>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</si>
  <si>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</si>
  <si>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</si>
  <si>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</si>
  <si>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</si>
  <si>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</si>
  <si>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</si>
  <si>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</si>
  <si>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</si>
  <si>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</si>
  <si>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</si>
  <si>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</si>
  <si>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</si>
  <si>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</si>
  <si>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</si>
  <si>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</si>
  <si>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</si>
  <si>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</si>
  <si>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</si>
  <si>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</si>
  <si>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</si>
  <si>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</si>
  <si>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</si>
  <si>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</si>
  <si>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</si>
  <si>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</si>
  <si>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</si>
  <si>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</si>
  <si>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</si>
  <si>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</si>
  <si>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</si>
  <si>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</si>
  <si>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</si>
  <si>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</si>
  <si>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</si>
  <si>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</si>
  <si>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</si>
  <si>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</si>
  <si>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</si>
  <si>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</si>
  <si>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</si>
  <si>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</si>
  <si>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</si>
  <si>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</si>
  <si>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</si>
  <si>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</si>
  <si>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</si>
  <si>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</si>
  <si>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</si>
  <si>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</si>
  <si>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</si>
  <si>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</si>
  <si>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</si>
  <si>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</si>
  <si>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</si>
  <si>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</si>
  <si>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</si>
  <si>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</si>
  <si>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</si>
  <si>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</si>
  <si>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</si>
  <si>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</si>
  <si>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</si>
  <si>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</si>
  <si>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</si>
  <si>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</si>
  <si>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</si>
  <si>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</si>
  <si>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</si>
  <si>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</si>
  <si>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</si>
  <si>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</si>
  <si>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</si>
  <si>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</si>
  <si>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</si>
  <si>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</si>
  <si>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</si>
  <si>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</si>
  <si>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</si>
  <si>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</si>
  <si>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</si>
  <si>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</si>
  <si>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</si>
  <si>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</si>
  <si>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</si>
  <si>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</si>
  <si>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</si>
  <si>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</si>
  <si>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</si>
  <si>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</si>
  <si>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</si>
  <si>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</si>
  <si>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</si>
  <si>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</si>
  <si>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</si>
  <si>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</si>
  <si>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</si>
  <si>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</si>
  <si>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</si>
  <si>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</si>
  <si>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</si>
  <si>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</si>
  <si>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</si>
  <si>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</si>
  <si>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</si>
  <si>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</si>
  <si>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</si>
  <si>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</si>
  <si>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</si>
  <si>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</si>
  <si>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</si>
  <si>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</si>
  <si>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</si>
  <si>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</si>
  <si>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</si>
  <si>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</si>
  <si>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</si>
  <si>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</si>
  <si>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</si>
  <si>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</si>
  <si>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</si>
  <si>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</si>
  <si>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</si>
  <si>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</si>
  <si>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</si>
  <si>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</si>
  <si>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</si>
  <si>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</si>
  <si>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</si>
  <si>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</si>
  <si>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</si>
  <si>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</si>
  <si>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</si>
  <si>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</si>
  <si>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</si>
  <si>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</si>
  <si>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</si>
  <si>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</si>
  <si>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</si>
  <si>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</si>
  <si>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</si>
  <si>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</si>
  <si>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</si>
  <si>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</si>
  <si>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</si>
  <si>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</si>
  <si>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</si>
  <si>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</si>
  <si>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</si>
  <si>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</si>
  <si>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</si>
  <si>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</si>
  <si>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</si>
  <si>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</si>
  <si>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</si>
  <si>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</si>
  <si>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</si>
  <si>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</si>
  <si>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</si>
  <si>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</si>
  <si>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</si>
  <si>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</si>
  <si>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</si>
  <si>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</si>
  <si>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</si>
  <si>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</si>
  <si>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</si>
  <si>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</si>
  <si>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</si>
  <si>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</si>
  <si>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</si>
  <si>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</si>
  <si>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</si>
  <si>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</si>
  <si>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</si>
  <si>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</si>
  <si>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</si>
  <si>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</si>
  <si>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</si>
  <si>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</si>
  <si>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</si>
  <si>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</si>
  <si>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</si>
  <si>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</si>
  <si>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</si>
  <si>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</si>
  <si>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</si>
  <si>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</si>
  <si>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</si>
  <si>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</si>
  <si>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</si>
  <si>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</si>
  <si>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</si>
  <si>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</si>
  <si>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</si>
  <si>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</si>
  <si>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</si>
  <si>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</si>
  <si>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</si>
  <si>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</si>
  <si>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</si>
  <si>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</si>
  <si>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</si>
  <si>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</si>
  <si>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</si>
  <si>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</si>
  <si>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</si>
  <si>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</si>
  <si>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</si>
  <si>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</si>
  <si>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</si>
  <si>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</si>
  <si>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</si>
  <si>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</si>
  <si>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</si>
  <si>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</si>
  <si>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</si>
  <si>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</si>
  <si>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</si>
  <si>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</si>
  <si>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</si>
  <si>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</si>
  <si>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</si>
  <si>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</si>
  <si>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</si>
  <si>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</si>
  <si>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</si>
  <si>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</si>
  <si>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</si>
  <si>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</si>
  <si>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</si>
  <si>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</si>
  <si>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</si>
  <si>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</si>
  <si>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</si>
  <si>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</si>
  <si>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</si>
  <si>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</si>
  <si>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</si>
  <si>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</si>
  <si>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</si>
  <si>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</si>
  <si>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</si>
  <si>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</si>
  <si>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</si>
  <si>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</si>
  <si>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</si>
  <si>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</si>
  <si>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</si>
  <si>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</si>
  <si>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</si>
  <si>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</si>
  <si>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</si>
  <si>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</si>
  <si>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</si>
  <si>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</si>
  <si>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</si>
  <si>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</si>
  <si>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</si>
  <si>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</si>
  <si>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</si>
  <si>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</si>
  <si>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</si>
  <si>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</si>
  <si>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</si>
  <si>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</si>
  <si>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</si>
  <si>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</si>
  <si>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</si>
  <si>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</si>
  <si>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</si>
  <si>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</si>
  <si>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</si>
  <si>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</si>
  <si>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</si>
  <si>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</si>
  <si>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</si>
  <si>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</si>
  <si>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</si>
  <si>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</si>
  <si>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</si>
  <si>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</si>
  <si>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</si>
  <si>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</si>
  <si>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</si>
  <si>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</si>
  <si>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</si>
  <si>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</si>
  <si>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</si>
  <si>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</si>
  <si>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</si>
  <si>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</si>
  <si>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</si>
  <si>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</si>
  <si>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</si>
  <si>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</si>
  <si>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</si>
  <si>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</si>
  <si>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</si>
  <si>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</si>
  <si>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</si>
  <si>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</si>
  <si>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</si>
  <si>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</si>
  <si>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</si>
  <si>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</si>
  <si>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</si>
  <si>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</si>
  <si>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</si>
  <si>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</si>
  <si>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</si>
  <si>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</si>
  <si>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</si>
  <si>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</si>
  <si>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</si>
  <si>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</si>
  <si>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</si>
  <si>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</si>
  <si>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</si>
  <si>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</si>
  <si>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</si>
  <si>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</si>
  <si>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</si>
  <si>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</si>
  <si>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</si>
  <si>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</si>
  <si>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</si>
  <si>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</si>
  <si>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</si>
  <si>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</si>
  <si>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</si>
  <si>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</si>
  <si>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</si>
  <si>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</si>
  <si>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</si>
  <si>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</si>
  <si>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</si>
  <si>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</si>
  <si>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</si>
  <si>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</si>
  <si>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</si>
  <si>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</si>
  <si>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</si>
  <si>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</si>
  <si>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</si>
  <si>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</si>
  <si>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</si>
  <si>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</si>
  <si>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</si>
  <si>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</si>
  <si>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</si>
  <si>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</si>
  <si>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</si>
  <si>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</si>
  <si>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</si>
  <si>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</si>
  <si>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</si>
  <si>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</si>
  <si>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</si>
  <si>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</si>
  <si>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</si>
  <si>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</si>
  <si>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</si>
  <si>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</si>
  <si>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</si>
  <si>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</si>
  <si>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</si>
  <si>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</si>
  <si>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</si>
  <si>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</si>
  <si>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</si>
  <si>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</si>
  <si>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</si>
  <si>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</si>
  <si>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</si>
  <si>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</si>
  <si>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</si>
  <si>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</si>
  <si>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</si>
  <si>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</si>
  <si>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</si>
  <si>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</si>
  <si>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</si>
  <si>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</si>
  <si>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</si>
  <si>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</si>
  <si>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</si>
  <si>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</si>
  <si>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</si>
  <si>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</si>
  <si>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</si>
  <si>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</si>
  <si>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</si>
  <si>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</si>
  <si>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</si>
  <si>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</si>
  <si>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</si>
  <si>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</si>
  <si>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</si>
  <si>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</si>
  <si>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</si>
  <si>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</si>
  <si>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</si>
  <si>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</si>
  <si>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</si>
  <si>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</si>
  <si>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</si>
  <si>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</si>
  <si>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</si>
  <si>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</si>
  <si>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</si>
  <si>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</si>
  <si>
    <t>C49SZX20250022DX</t>
  </si>
  <si>
    <t>C49SZX20250023JY</t>
  </si>
  <si>
    <t>C49SZX20250030SX</t>
  </si>
  <si>
    <t>C49SZX20250027BH</t>
  </si>
  <si>
    <t>精速佳</t>
  </si>
  <si>
    <t>C49SHA20250221/TWB</t>
  </si>
  <si>
    <t>C49SHA20250225/HZY</t>
  </si>
  <si>
    <t>YRM20R</t>
  </si>
  <si>
    <t>宁波朗能</t>
    <phoneticPr fontId="6" type="noConversion"/>
  </si>
  <si>
    <t>浙江科至</t>
    <phoneticPr fontId="6" type="noConversion"/>
  </si>
  <si>
    <t>C49SZX20250029JY</t>
  </si>
  <si>
    <t>C49SZX20250026JY</t>
  </si>
  <si>
    <t>C49SZX20250032SX</t>
  </si>
  <si>
    <t>C49SZX20250033SX</t>
  </si>
  <si>
    <t>C28SHA20250228</t>
  </si>
  <si>
    <t>C49SHA20250228ZQR</t>
  </si>
  <si>
    <t>C49XIY20250228LJY</t>
  </si>
  <si>
    <t>西安康发</t>
  </si>
  <si>
    <t>C49SZX20250036SX</t>
  </si>
  <si>
    <t>C49SZX20250035SX</t>
  </si>
  <si>
    <t>C49SZX20250038HC</t>
  </si>
  <si>
    <t>旺利兴</t>
  </si>
  <si>
    <t>C49SZX20250040SX</t>
  </si>
  <si>
    <t>C49SZX20250039EC</t>
  </si>
  <si>
    <t>海红天远（end user: 珠海海红）</t>
  </si>
  <si>
    <t>C49SHA20250313/TWB</t>
  </si>
  <si>
    <t>丽水市长新</t>
  </si>
  <si>
    <t>C49CTU20250307/FZM</t>
  </si>
  <si>
    <t>MVC</t>
  </si>
  <si>
    <t>C49SZX20250031JY</t>
  </si>
  <si>
    <t>阳江</t>
  </si>
  <si>
    <t>C49SZX20250041SS</t>
  </si>
  <si>
    <t>C49SZX20250042SX</t>
  </si>
  <si>
    <t>Signed Contract Amt</t>
  </si>
  <si>
    <t>含税到厂</t>
  </si>
  <si>
    <t>DAP</t>
  </si>
  <si>
    <t>CIF</t>
  </si>
  <si>
    <t xml:space="preserve">含税到厂 </t>
  </si>
  <si>
    <t>DPU Viet Nam</t>
  </si>
  <si>
    <t>DDU VIETNAM</t>
  </si>
  <si>
    <t>Delivery_Terms</t>
  </si>
  <si>
    <t>DDP</t>
  </si>
  <si>
    <t>CIP Vietnam</t>
  </si>
  <si>
    <t>Total _Sales_Target(Inv Amt HKD)</t>
  </si>
  <si>
    <t>C49SZX20250015DZ&amp;JAL</t>
  </si>
  <si>
    <t>C49SHA20250320/LQM</t>
  </si>
  <si>
    <t>C28SHA20250320/LQM</t>
  </si>
  <si>
    <t>C49SZX20250045EC</t>
  </si>
  <si>
    <t>仟朝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</si>
</sst>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_-* #,##0_-;\-* #,##0_-;_-* &quot;-&quot;??_-;_-@_-"/>
    <numFmt numFmtId="173" formatCode="_-* #,##0_-;\-* #,##0_-;_-* &quot;-&quot;?_-;_-@_-"/>
  </numFmts>
  <fonts count="62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  <font>
      <sz val="12"/>
      <color theme="1"/>
      <name val="Arial"/>
      <family val="2"/>
      <charset val="136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0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10" fontId="0" fillId="2" borderId="0" xfId="0" applyNumberFormat="1" applyFill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167" fontId="0" fillId="8" borderId="0" xfId="1" applyNumberFormat="1" applyFont="1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16"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patternFill>
          <bgColor rgb="FFCCCCFF"/>
        </patternFill>
      </fill>
    </dxf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CCCCFF"/>
      <color rgb="FFBAA9F0"/>
      <color rgb="FF9CF0E3"/>
      <color rgb="FFFEA0E3"/>
      <color rgb="FFFFCCFF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selhk.sharepoint.com/Shared%20Documents/c49/c49szx.cs-common/NEW%20South%20China%20-%20Contract%20LogBook.xlsx" TargetMode="External"/><Relationship Id="rId1" Type="http://schemas.openxmlformats.org/officeDocument/2006/relationships/externalLinkPath" Target="/Shared%20Documents/c49/c49szx.cs-common/NEW%20South%20China%20-%20Contract%20LogBoo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1TekH2ioW024m2CtOMJ4Imt2oe8OKTBJlLRQedoXsJwHS-zc52aPTrK7C9B-O1F3" itemId="01IWVH5ON2DYSZC4MH35G2BZ4SSHTCE7MO">
      <xxl21:absoluteUrl r:id="rId2"/>
    </xxl21:alternateUrls>
    <sheetNames>
      <sheetName val="Sheet2"/>
      <sheetName val="Raw data"/>
      <sheetName val="Sheet3"/>
      <sheetName val="Data pick list"/>
      <sheetName val="Sheet1"/>
      <sheetName val="工作表1"/>
    </sheetNames>
    <sheetDataSet>
      <sheetData sheetId="0"/>
      <sheetData sheetId="1">
        <row r="1">
          <cell r="A1" t="str">
            <v>Contract Signed
Month</v>
          </cell>
          <cell r="C1" t="str">
            <v>Contract No.</v>
          </cell>
          <cell r="Y1" t="str">
            <v>Contract 
Unit Price</v>
          </cell>
          <cell r="AG1" t="str">
            <v>Delivery Terms</v>
          </cell>
        </row>
        <row r="2">
          <cell r="C2">
            <v>158569</v>
          </cell>
          <cell r="Y2">
            <v>7050000</v>
          </cell>
          <cell r="AG2" t="str">
            <v>DAP</v>
          </cell>
        </row>
        <row r="3">
          <cell r="C3" t="str">
            <v>‘20180528</v>
          </cell>
          <cell r="Y3">
            <v>33000</v>
          </cell>
          <cell r="AG3" t="str">
            <v>DDP 四川</v>
          </cell>
        </row>
        <row r="4">
          <cell r="C4" t="str">
            <v>C28SZX20170103HC</v>
          </cell>
          <cell r="Y4">
            <v>1162000</v>
          </cell>
          <cell r="AG4"/>
        </row>
        <row r="5">
          <cell r="C5" t="str">
            <v>C28SZX20170110KC</v>
          </cell>
          <cell r="Y5">
            <v>260000</v>
          </cell>
          <cell r="AG5"/>
        </row>
        <row r="6">
          <cell r="C6" t="str">
            <v>C28SZX20170115YY</v>
          </cell>
          <cell r="Y6">
            <v>350000</v>
          </cell>
          <cell r="AG6" t="str">
            <v>含税到厂</v>
          </cell>
        </row>
        <row r="7">
          <cell r="C7" t="str">
            <v>C28SZX20180008YY</v>
          </cell>
          <cell r="Y7">
            <v>36000</v>
          </cell>
          <cell r="AG7" t="str">
            <v>CIF</v>
          </cell>
        </row>
        <row r="8">
          <cell r="C8" t="str">
            <v>C28SZX20180015YY</v>
          </cell>
          <cell r="Y8">
            <v>32420</v>
          </cell>
          <cell r="AG8" t="str">
            <v>含税到厂</v>
          </cell>
        </row>
        <row r="9">
          <cell r="C9" t="str">
            <v>C28SZX20180015YY</v>
          </cell>
          <cell r="Y9">
            <v>54230</v>
          </cell>
          <cell r="AG9" t="str">
            <v>含税到厂</v>
          </cell>
        </row>
        <row r="10">
          <cell r="C10" t="str">
            <v>C28SZX20180015YY</v>
          </cell>
          <cell r="Y10">
            <v>44910</v>
          </cell>
          <cell r="AG10" t="str">
            <v>含税到厂</v>
          </cell>
        </row>
        <row r="11">
          <cell r="C11" t="str">
            <v>C28SZX20180027YY</v>
          </cell>
          <cell r="Y11">
            <v>490000</v>
          </cell>
          <cell r="AG11" t="str">
            <v>含税到厂</v>
          </cell>
        </row>
        <row r="12">
          <cell r="C12" t="str">
            <v>C28SZX20180032YY</v>
          </cell>
          <cell r="Y12">
            <v>5514720</v>
          </cell>
          <cell r="AG12" t="str">
            <v>DDP 中山</v>
          </cell>
        </row>
        <row r="13">
          <cell r="C13" t="str">
            <v>C28SZX20180038YY</v>
          </cell>
          <cell r="Y13">
            <v>445000</v>
          </cell>
          <cell r="AG13" t="str">
            <v>含税到厂</v>
          </cell>
        </row>
        <row r="14">
          <cell r="C14" t="str">
            <v>C28SZX2018030YY</v>
          </cell>
          <cell r="Y14">
            <v>39500</v>
          </cell>
          <cell r="AG14" t="str">
            <v>CIF HK</v>
          </cell>
        </row>
        <row r="15">
          <cell r="C15" t="str">
            <v>C49SZX201700177JL</v>
          </cell>
          <cell r="Y15">
            <v>11730000</v>
          </cell>
          <cell r="AG15" t="str">
            <v>CIF HK</v>
          </cell>
        </row>
        <row r="16">
          <cell r="C16" t="str">
            <v>C49SZX20170038RW</v>
          </cell>
          <cell r="Y16">
            <v>11327150</v>
          </cell>
          <cell r="AG16" t="str">
            <v>DAP</v>
          </cell>
        </row>
        <row r="17">
          <cell r="C17" t="str">
            <v>C49SZX20170083RW</v>
          </cell>
          <cell r="Y17">
            <v>28575000</v>
          </cell>
          <cell r="AG17" t="str">
            <v>CIF</v>
          </cell>
        </row>
        <row r="18">
          <cell r="C18" t="str">
            <v>C49SZX20170083RW</v>
          </cell>
          <cell r="Y18">
            <v>28575000</v>
          </cell>
          <cell r="AG18" t="str">
            <v>CIF</v>
          </cell>
        </row>
        <row r="19">
          <cell r="C19" t="str">
            <v>C49SZX20170083RW</v>
          </cell>
          <cell r="Y19">
            <v>14585000</v>
          </cell>
          <cell r="AG19" t="str">
            <v>CIF</v>
          </cell>
        </row>
        <row r="20">
          <cell r="C20" t="str">
            <v>C49SZX20170083RW</v>
          </cell>
          <cell r="Y20">
            <v>14585000</v>
          </cell>
          <cell r="AG20" t="str">
            <v>CIF</v>
          </cell>
        </row>
        <row r="21">
          <cell r="C21" t="str">
            <v>C49SZX20170085JL </v>
          </cell>
          <cell r="Y21">
            <v>33000000</v>
          </cell>
          <cell r="AG21" t="str">
            <v>CIF</v>
          </cell>
        </row>
        <row r="22">
          <cell r="C22" t="str">
            <v>C49SZX20170118JY</v>
          </cell>
          <cell r="Y22">
            <v>10337775</v>
          </cell>
          <cell r="AG22" t="str">
            <v>DAP</v>
          </cell>
        </row>
        <row r="23">
          <cell r="C23" t="str">
            <v>C49SZX20170121KW</v>
          </cell>
          <cell r="Y23">
            <v>9666667</v>
          </cell>
          <cell r="AG23"/>
        </row>
        <row r="24">
          <cell r="C24" t="str">
            <v>C49SZX20170135RW</v>
          </cell>
          <cell r="Y24">
            <v>7000000</v>
          </cell>
          <cell r="AG24"/>
        </row>
        <row r="25">
          <cell r="C25" t="str">
            <v>C49SZX20170139SS</v>
          </cell>
          <cell r="Y25">
            <v>26000000</v>
          </cell>
          <cell r="AG25"/>
        </row>
        <row r="26">
          <cell r="C26" t="str">
            <v>C49SZX20170147JY, C/N.C49SZX20170147JY</v>
          </cell>
          <cell r="Y26">
            <v>9900000</v>
          </cell>
          <cell r="AG26" t="str">
            <v>DAP</v>
          </cell>
        </row>
        <row r="27">
          <cell r="C27" t="str">
            <v>C49SZX20170152YJ</v>
          </cell>
          <cell r="Y27">
            <v>13100000</v>
          </cell>
          <cell r="AG27"/>
        </row>
        <row r="28">
          <cell r="C28" t="str">
            <v>C49SZX20170153YJ</v>
          </cell>
          <cell r="Y28">
            <v>10170000</v>
          </cell>
          <cell r="AG28"/>
        </row>
        <row r="29">
          <cell r="C29" t="str">
            <v>C49SZX20170157KW</v>
          </cell>
          <cell r="Y29">
            <v>811934</v>
          </cell>
          <cell r="AG29" t="str">
            <v>含税到厂</v>
          </cell>
        </row>
        <row r="30">
          <cell r="C30" t="str">
            <v>Sunset日东</v>
          </cell>
          <cell r="Y30">
            <v>860000</v>
          </cell>
          <cell r="AG30"/>
        </row>
        <row r="31">
          <cell r="C31" t="str">
            <v>C49SZX20170162JY</v>
          </cell>
          <cell r="Y31">
            <v>11500000</v>
          </cell>
          <cell r="AG31" t="str">
            <v>DAP</v>
          </cell>
        </row>
        <row r="32">
          <cell r="C32" t="str">
            <v>C49SZX20170162JY</v>
          </cell>
          <cell r="Y32">
            <v>18200000</v>
          </cell>
          <cell r="AG32" t="str">
            <v>DAP</v>
          </cell>
        </row>
        <row r="33">
          <cell r="C33" t="str">
            <v>C49SZX20170167JY</v>
          </cell>
          <cell r="Y33">
            <v>12000000</v>
          </cell>
          <cell r="AG33"/>
        </row>
        <row r="34">
          <cell r="C34" t="str">
            <v>C49SZX20170168ZX</v>
          </cell>
          <cell r="Y34">
            <v>10400000</v>
          </cell>
          <cell r="AG34"/>
        </row>
        <row r="35">
          <cell r="C35" t="str">
            <v>C49SZX20170169SX</v>
          </cell>
          <cell r="Y35">
            <v>12129250</v>
          </cell>
          <cell r="AG35"/>
        </row>
        <row r="36">
          <cell r="C36" t="str">
            <v>C49SZX20170171JL</v>
          </cell>
          <cell r="Y36">
            <v>12400000</v>
          </cell>
          <cell r="AG36"/>
        </row>
        <row r="37">
          <cell r="C37" t="str">
            <v>C49SZX20170171JL</v>
          </cell>
          <cell r="Y37">
            <v>7509000</v>
          </cell>
          <cell r="AG37"/>
        </row>
        <row r="38">
          <cell r="C38" t="str">
            <v>C49SZX20170172JL</v>
          </cell>
          <cell r="Y38">
            <v>8800000</v>
          </cell>
          <cell r="AG38"/>
        </row>
        <row r="39">
          <cell r="C39" t="str">
            <v>C49SZX20170175JY</v>
          </cell>
          <cell r="Y39">
            <v>11530000</v>
          </cell>
          <cell r="AG39"/>
        </row>
        <row r="40">
          <cell r="C40" t="str">
            <v>C49SZX20170178DZ</v>
          </cell>
          <cell r="Y40">
            <v>11210000</v>
          </cell>
          <cell r="AG40" t="str">
            <v>CIF</v>
          </cell>
        </row>
        <row r="41">
          <cell r="C41" t="str">
            <v>C49SZX20170180SX</v>
          </cell>
          <cell r="Y41">
            <v>18426000</v>
          </cell>
          <cell r="AG41" t="str">
            <v>DAP</v>
          </cell>
        </row>
        <row r="42">
          <cell r="C42" t="str">
            <v>C49SZX20170181RW</v>
          </cell>
          <cell r="Y42">
            <v>16000000</v>
          </cell>
          <cell r="AG42"/>
        </row>
        <row r="43">
          <cell r="C43" t="str">
            <v>C49SZX20170182DZ</v>
          </cell>
          <cell r="Y43">
            <v>10588000</v>
          </cell>
          <cell r="AG43"/>
        </row>
        <row r="44">
          <cell r="C44" t="str">
            <v>C49SZX20170183DZ</v>
          </cell>
          <cell r="Y44">
            <v>10588000</v>
          </cell>
          <cell r="AG44" t="str">
            <v>CIF</v>
          </cell>
        </row>
        <row r="45">
          <cell r="C45" t="str">
            <v>C49SZX20170186RW</v>
          </cell>
          <cell r="Y45">
            <v>630000</v>
          </cell>
          <cell r="AG45"/>
        </row>
        <row r="46">
          <cell r="C46" t="str">
            <v>C49SZX20170188JY</v>
          </cell>
          <cell r="Y46">
            <v>12460000</v>
          </cell>
          <cell r="AG46" t="str">
            <v>CIF HK</v>
          </cell>
        </row>
        <row r="47">
          <cell r="C47" t="str">
            <v>C49SZX20170189JL</v>
          </cell>
          <cell r="Y47">
            <v>9500000</v>
          </cell>
          <cell r="AG47" t="str">
            <v>CIF</v>
          </cell>
        </row>
        <row r="48">
          <cell r="C48" t="str">
            <v>C49SZX20170190JL</v>
          </cell>
          <cell r="Y48">
            <v>12400000</v>
          </cell>
          <cell r="AG48" t="str">
            <v>CIF</v>
          </cell>
        </row>
        <row r="49">
          <cell r="C49" t="str">
            <v>C49SZX20170190JL</v>
          </cell>
          <cell r="Y49">
            <v>12400000</v>
          </cell>
          <cell r="AG49" t="str">
            <v>CIF</v>
          </cell>
        </row>
        <row r="50">
          <cell r="C50" t="str">
            <v>C49SZX20170190JL</v>
          </cell>
          <cell r="Y50">
            <v>7509000</v>
          </cell>
          <cell r="AG50" t="str">
            <v>CIF</v>
          </cell>
        </row>
        <row r="51">
          <cell r="C51" t="str">
            <v>C49SZX20170191DZ</v>
          </cell>
          <cell r="Y51">
            <v>12200000</v>
          </cell>
          <cell r="AG51"/>
        </row>
        <row r="52">
          <cell r="C52" t="str">
            <v>C49SZX20170191DZ</v>
          </cell>
          <cell r="Y52">
            <v>10000000</v>
          </cell>
          <cell r="AG52"/>
        </row>
        <row r="53">
          <cell r="C53" t="str">
            <v>C49SZX20170192ZX</v>
          </cell>
          <cell r="Y53">
            <v>12500000</v>
          </cell>
          <cell r="AG53" t="str">
            <v>DAP</v>
          </cell>
        </row>
        <row r="54">
          <cell r="C54" t="str">
            <v>C49SZX20170193JL</v>
          </cell>
          <cell r="Y54">
            <v>11820000</v>
          </cell>
          <cell r="AG54" t="str">
            <v>CIF</v>
          </cell>
        </row>
        <row r="55">
          <cell r="C55" t="str">
            <v>C49SZX20170195JL</v>
          </cell>
          <cell r="Y55">
            <v>700000</v>
          </cell>
          <cell r="AG55" t="str">
            <v>含税到厂</v>
          </cell>
        </row>
        <row r="56">
          <cell r="C56" t="str">
            <v>C49SZX20170197DZ</v>
          </cell>
          <cell r="Y56">
            <v>10180000</v>
          </cell>
          <cell r="AG56" t="str">
            <v>CIF</v>
          </cell>
        </row>
        <row r="57">
          <cell r="C57" t="str">
            <v>C49SZX20170197DZ</v>
          </cell>
          <cell r="Y57">
            <v>10180000</v>
          </cell>
          <cell r="AG57" t="str">
            <v>CIF</v>
          </cell>
        </row>
        <row r="58">
          <cell r="C58" t="str">
            <v>C49SZX20180001SX</v>
          </cell>
          <cell r="Y58">
            <v>9480000</v>
          </cell>
          <cell r="AG58" t="str">
            <v>DAP</v>
          </cell>
        </row>
        <row r="59">
          <cell r="C59" t="str">
            <v>C49SZX20180001SX</v>
          </cell>
          <cell r="Y59">
            <v>9480000</v>
          </cell>
          <cell r="AG59" t="str">
            <v>DAP</v>
          </cell>
        </row>
        <row r="60">
          <cell r="C60" t="str">
            <v>C49SZX20180002JL</v>
          </cell>
          <cell r="Y60">
            <v>9000000</v>
          </cell>
          <cell r="AG60" t="str">
            <v>CIF</v>
          </cell>
        </row>
        <row r="61">
          <cell r="C61" t="str">
            <v>C49SZX201800038SS</v>
          </cell>
          <cell r="Y61">
            <v>12280000</v>
          </cell>
          <cell r="AG61" t="str">
            <v>DAP</v>
          </cell>
        </row>
        <row r="62">
          <cell r="C62" t="str">
            <v>C49SZX20180005JY</v>
          </cell>
          <cell r="Y62">
            <v>13000000</v>
          </cell>
          <cell r="AG62" t="str">
            <v>DAP</v>
          </cell>
        </row>
        <row r="63">
          <cell r="C63" t="str">
            <v>C49SZX20180005JY</v>
          </cell>
          <cell r="Y63">
            <v>15000000</v>
          </cell>
          <cell r="AG63" t="str">
            <v>DAP</v>
          </cell>
        </row>
        <row r="64">
          <cell r="C64" t="str">
            <v>C49SZX20180006JYR1</v>
          </cell>
          <cell r="Y64">
            <v>13020000</v>
          </cell>
          <cell r="AG64" t="str">
            <v>DAP</v>
          </cell>
        </row>
        <row r="65">
          <cell r="C65" t="str">
            <v>C49SZX20180008JL</v>
          </cell>
          <cell r="Y65">
            <v>9000000</v>
          </cell>
          <cell r="AG65" t="str">
            <v>CIF</v>
          </cell>
        </row>
        <row r="66">
          <cell r="C66" t="str">
            <v>C49SZX20180008JL</v>
          </cell>
          <cell r="Y66">
            <v>9000000</v>
          </cell>
          <cell r="AG66" t="str">
            <v>CIF</v>
          </cell>
        </row>
        <row r="67">
          <cell r="C67" t="str">
            <v>C49SZX20180008ZX</v>
          </cell>
          <cell r="Y67">
            <v>15000000</v>
          </cell>
          <cell r="AG67" t="str">
            <v>DAP</v>
          </cell>
        </row>
        <row r="68">
          <cell r="C68" t="str">
            <v>C49SZX20180008ZX</v>
          </cell>
          <cell r="Y68">
            <v>15000000</v>
          </cell>
          <cell r="AG68" t="str">
            <v>DAP</v>
          </cell>
        </row>
        <row r="69">
          <cell r="C69" t="str">
            <v>C49SZX20180010DZ</v>
          </cell>
          <cell r="Y69">
            <v>12440000</v>
          </cell>
          <cell r="AG69" t="str">
            <v>CIF</v>
          </cell>
        </row>
        <row r="70">
          <cell r="C70" t="str">
            <v>C49SZX20180011ZX</v>
          </cell>
          <cell r="Y70">
            <v>15000000</v>
          </cell>
          <cell r="AG70" t="str">
            <v>DAP</v>
          </cell>
        </row>
        <row r="71">
          <cell r="C71" t="str">
            <v>C49SZX20180011ZX</v>
          </cell>
          <cell r="Y71">
            <v>15000000</v>
          </cell>
          <cell r="AG71" t="str">
            <v>DAP</v>
          </cell>
        </row>
        <row r="72">
          <cell r="C72" t="str">
            <v>C49SZX20180015SS</v>
          </cell>
          <cell r="Y72">
            <v>14333333.33</v>
          </cell>
          <cell r="AG72" t="str">
            <v>DAP</v>
          </cell>
        </row>
        <row r="73">
          <cell r="C73" t="str">
            <v>C49SZX20180015SS</v>
          </cell>
          <cell r="Y73">
            <v>14333333.33</v>
          </cell>
          <cell r="AG73" t="str">
            <v>DAP</v>
          </cell>
        </row>
        <row r="74">
          <cell r="C74" t="str">
            <v>C49SZX20180017MZ</v>
          </cell>
          <cell r="Y74">
            <v>10000000</v>
          </cell>
          <cell r="AG74" t="str">
            <v>CIF</v>
          </cell>
        </row>
        <row r="75">
          <cell r="C75" t="str">
            <v>C49SZX20180019GL</v>
          </cell>
          <cell r="Y75">
            <v>11520000</v>
          </cell>
          <cell r="AG75" t="str">
            <v>DAP</v>
          </cell>
        </row>
        <row r="76">
          <cell r="C76" t="str">
            <v>C49SZX20180020-R1SX</v>
          </cell>
          <cell r="Y76">
            <v>11819760</v>
          </cell>
          <cell r="AG76" t="str">
            <v>DAP</v>
          </cell>
        </row>
        <row r="77">
          <cell r="C77" t="str">
            <v>C49SZX20180020SX</v>
          </cell>
          <cell r="Y77">
            <v>9996000</v>
          </cell>
          <cell r="AG77" t="str">
            <v>DAP</v>
          </cell>
        </row>
        <row r="78">
          <cell r="C78" t="str">
            <v>C49SZX20180020SX</v>
          </cell>
          <cell r="Y78">
            <v>9996000</v>
          </cell>
          <cell r="AG78" t="str">
            <v>DAP</v>
          </cell>
        </row>
        <row r="79">
          <cell r="C79" t="str">
            <v>C49SZX20180021SX</v>
          </cell>
          <cell r="Y79">
            <v>16830000</v>
          </cell>
          <cell r="AG79" t="str">
            <v>DAP</v>
          </cell>
        </row>
        <row r="80">
          <cell r="C80" t="str">
            <v>C49SZX20180022SX</v>
          </cell>
          <cell r="Y80">
            <v>16830000</v>
          </cell>
          <cell r="AG80" t="str">
            <v>DAP</v>
          </cell>
        </row>
        <row r="81">
          <cell r="C81" t="str">
            <v>C49SZX20180022SX</v>
          </cell>
          <cell r="Y81">
            <v>16830000</v>
          </cell>
          <cell r="AG81" t="str">
            <v>DAP</v>
          </cell>
        </row>
        <row r="82">
          <cell r="C82" t="str">
            <v>C49SZX20180023RW</v>
          </cell>
          <cell r="Y82">
            <v>10827200</v>
          </cell>
          <cell r="AG82" t="str">
            <v>DAP</v>
          </cell>
        </row>
        <row r="83">
          <cell r="C83" t="str">
            <v>C49SZX20180023RW</v>
          </cell>
          <cell r="Y83">
            <v>10827200</v>
          </cell>
          <cell r="AG83" t="str">
            <v>DAP</v>
          </cell>
        </row>
        <row r="84">
          <cell r="C84" t="str">
            <v>C49SZX20180028SX</v>
          </cell>
          <cell r="Y84">
            <v>6936000</v>
          </cell>
          <cell r="AG84" t="str">
            <v>DAP</v>
          </cell>
        </row>
        <row r="85">
          <cell r="C85" t="str">
            <v>C49SZX20180029SS</v>
          </cell>
          <cell r="Y85">
            <v>9800000</v>
          </cell>
          <cell r="AG85" t="str">
            <v>DAP</v>
          </cell>
        </row>
        <row r="86">
          <cell r="C86" t="str">
            <v>C49SZX20180030SS</v>
          </cell>
          <cell r="Y86">
            <v>10140000</v>
          </cell>
          <cell r="AG86" t="str">
            <v>CIF</v>
          </cell>
        </row>
        <row r="87">
          <cell r="C87" t="str">
            <v>C49SZX20180033GL</v>
          </cell>
          <cell r="Y87">
            <v>10000000</v>
          </cell>
          <cell r="AG87" t="str">
            <v>CIF</v>
          </cell>
        </row>
        <row r="88">
          <cell r="C88" t="str">
            <v>C49SZX20180033GL</v>
          </cell>
          <cell r="Y88">
            <v>10000000</v>
          </cell>
          <cell r="AG88" t="str">
            <v>CIF</v>
          </cell>
        </row>
        <row r="89">
          <cell r="C89" t="str">
            <v>C49SZX20180033GL</v>
          </cell>
          <cell r="Y89">
            <v>10000000</v>
          </cell>
          <cell r="AG89" t="str">
            <v>CIF</v>
          </cell>
        </row>
        <row r="90">
          <cell r="C90" t="str">
            <v>C49SZX20180033GL</v>
          </cell>
          <cell r="Y90">
            <v>10000000</v>
          </cell>
          <cell r="AG90" t="str">
            <v>CIF</v>
          </cell>
        </row>
        <row r="91">
          <cell r="C91" t="str">
            <v>C49SZX20180035JL</v>
          </cell>
          <cell r="Y91">
            <v>10886000</v>
          </cell>
          <cell r="AG91" t="str">
            <v>CIF</v>
          </cell>
        </row>
        <row r="92">
          <cell r="C92" t="str">
            <v>C49SZX20180035JL</v>
          </cell>
          <cell r="Y92">
            <v>8656000</v>
          </cell>
          <cell r="AG92" t="str">
            <v>CIF</v>
          </cell>
        </row>
        <row r="93">
          <cell r="C93" t="str">
            <v>C49SZX20180035JL</v>
          </cell>
          <cell r="Y93">
            <v>8656000</v>
          </cell>
          <cell r="AG93" t="str">
            <v>CIF</v>
          </cell>
        </row>
        <row r="94">
          <cell r="C94" t="str">
            <v>C49SZX20180036JL</v>
          </cell>
          <cell r="Y94">
            <v>10220000</v>
          </cell>
          <cell r="AG94" t="str">
            <v>CIF</v>
          </cell>
        </row>
        <row r="95">
          <cell r="C95" t="str">
            <v>C49SZX20180036JL</v>
          </cell>
          <cell r="Y95">
            <v>10220000</v>
          </cell>
          <cell r="AG95" t="str">
            <v>CIF</v>
          </cell>
        </row>
        <row r="96">
          <cell r="C96" t="str">
            <v>C49SZX20180036JL</v>
          </cell>
          <cell r="Y96">
            <v>10220000</v>
          </cell>
          <cell r="AG96" t="str">
            <v>CIF</v>
          </cell>
        </row>
        <row r="97">
          <cell r="C97" t="str">
            <v>C49SZX20180036JL</v>
          </cell>
          <cell r="Y97">
            <v>10220000</v>
          </cell>
          <cell r="AG97" t="str">
            <v>CIF</v>
          </cell>
        </row>
        <row r="98">
          <cell r="C98" t="str">
            <v>C49SZX20180036JL</v>
          </cell>
          <cell r="Y98">
            <v>10220000</v>
          </cell>
          <cell r="AG98" t="str">
            <v>CIF</v>
          </cell>
        </row>
        <row r="99">
          <cell r="C99" t="str">
            <v>C49SZX20180036JL</v>
          </cell>
          <cell r="Y99">
            <v>10220000</v>
          </cell>
          <cell r="AG99" t="str">
            <v>CIF</v>
          </cell>
        </row>
        <row r="100">
          <cell r="C100" t="str">
            <v>C49SZX20180037SS</v>
          </cell>
          <cell r="Y100">
            <v>11380000</v>
          </cell>
          <cell r="AG100" t="str">
            <v>DAP</v>
          </cell>
        </row>
        <row r="101">
          <cell r="C101" t="str">
            <v>C49SZX20180039JY</v>
          </cell>
          <cell r="Y101">
            <v>12042200</v>
          </cell>
          <cell r="AG101" t="str">
            <v>DAP</v>
          </cell>
        </row>
        <row r="102">
          <cell r="C102" t="str">
            <v>C49SZX20180041SX</v>
          </cell>
          <cell r="Y102">
            <v>9961884.5</v>
          </cell>
          <cell r="AG102" t="str">
            <v>DAP</v>
          </cell>
        </row>
        <row r="103">
          <cell r="C103" t="str">
            <v>C49SZX20180042SX</v>
          </cell>
          <cell r="Y103">
            <v>9098400</v>
          </cell>
          <cell r="AG103" t="str">
            <v>DAP</v>
          </cell>
        </row>
        <row r="104">
          <cell r="C104" t="str">
            <v>C49SZX20180043SX</v>
          </cell>
          <cell r="Y104">
            <v>9098400</v>
          </cell>
          <cell r="AG104" t="str">
            <v>DAP</v>
          </cell>
        </row>
        <row r="105">
          <cell r="C105" t="str">
            <v>C49SZX20180045JY</v>
          </cell>
          <cell r="Y105">
            <v>7350000</v>
          </cell>
          <cell r="AG105" t="str">
            <v>DAP</v>
          </cell>
        </row>
        <row r="106">
          <cell r="C106" t="str">
            <v>C49SZX20180046SX</v>
          </cell>
          <cell r="Y106">
            <v>16833680</v>
          </cell>
          <cell r="AG106" t="str">
            <v>CIF</v>
          </cell>
        </row>
        <row r="107">
          <cell r="C107" t="str">
            <v>C49SZX20180047SX</v>
          </cell>
          <cell r="Y107">
            <v>14820000</v>
          </cell>
          <cell r="AG107" t="str">
            <v>CIF</v>
          </cell>
        </row>
        <row r="108">
          <cell r="C108" t="str">
            <v>C49SZX20180048DZ</v>
          </cell>
          <cell r="Y108">
            <v>800000</v>
          </cell>
          <cell r="AG108" t="str">
            <v>含税到厂</v>
          </cell>
        </row>
        <row r="109">
          <cell r="C109" t="str">
            <v>C49SZX20180049DZ</v>
          </cell>
          <cell r="Y109">
            <v>670000</v>
          </cell>
          <cell r="AG109" t="str">
            <v>含税到厂</v>
          </cell>
        </row>
        <row r="110">
          <cell r="C110" t="str">
            <v>C49SZX20180050MZ</v>
          </cell>
          <cell r="Y110">
            <v>9625000</v>
          </cell>
          <cell r="AG110" t="str">
            <v>CIF</v>
          </cell>
        </row>
        <row r="111">
          <cell r="C111" t="str">
            <v>C49SZX20180051MZ</v>
          </cell>
          <cell r="Y111">
            <v>9625000</v>
          </cell>
          <cell r="AG111" t="str">
            <v>CIF</v>
          </cell>
        </row>
        <row r="112">
          <cell r="C112" t="str">
            <v>C49SZX20180051MZ</v>
          </cell>
          <cell r="Y112">
            <v>9625000</v>
          </cell>
          <cell r="AG112" t="str">
            <v>CIF</v>
          </cell>
        </row>
        <row r="113">
          <cell r="C113" t="str">
            <v>C49SZX20180051MZ</v>
          </cell>
          <cell r="Y113">
            <v>9625000</v>
          </cell>
          <cell r="AG113" t="str">
            <v>CIF</v>
          </cell>
        </row>
        <row r="114">
          <cell r="C114" t="str">
            <v>C49SZX20180052SX</v>
          </cell>
          <cell r="Y114">
            <v>9071880</v>
          </cell>
          <cell r="AG114" t="str">
            <v>DAP</v>
          </cell>
        </row>
        <row r="115">
          <cell r="C115" t="str">
            <v>C49SZX20180052SX</v>
          </cell>
          <cell r="Y115">
            <v>9071880</v>
          </cell>
          <cell r="AG115" t="str">
            <v>DAP</v>
          </cell>
        </row>
        <row r="116">
          <cell r="C116" t="str">
            <v>C49SZX20180053SX</v>
          </cell>
          <cell r="Y116">
            <v>9071880</v>
          </cell>
          <cell r="AG116" t="str">
            <v>DAP</v>
          </cell>
        </row>
        <row r="117">
          <cell r="C117" t="str">
            <v>C49SZX20180055ZX</v>
          </cell>
          <cell r="Y117">
            <v>13500000</v>
          </cell>
          <cell r="AG117" t="str">
            <v>DAP SZ</v>
          </cell>
        </row>
        <row r="118">
          <cell r="C118" t="str">
            <v>C49SZX20180055ZX</v>
          </cell>
          <cell r="Y118">
            <v>13500000</v>
          </cell>
          <cell r="AG118" t="str">
            <v>DAP SZ</v>
          </cell>
        </row>
        <row r="119">
          <cell r="C119" t="str">
            <v>C49SZX20180055ZX</v>
          </cell>
          <cell r="Y119">
            <v>13500000</v>
          </cell>
          <cell r="AG119" t="str">
            <v>DAP SZ</v>
          </cell>
        </row>
        <row r="120">
          <cell r="C120" t="str">
            <v>C49SZX20180055ZX</v>
          </cell>
          <cell r="Y120">
            <v>13500000</v>
          </cell>
          <cell r="AG120" t="str">
            <v>DAP SZ</v>
          </cell>
        </row>
        <row r="121">
          <cell r="C121" t="str">
            <v>C49SZX20180056ZX</v>
          </cell>
          <cell r="Y121">
            <v>9900000</v>
          </cell>
          <cell r="AG121" t="str">
            <v>DAP</v>
          </cell>
        </row>
        <row r="122">
          <cell r="C122" t="str">
            <v>C49SZX20180056ZX</v>
          </cell>
          <cell r="Y122">
            <v>15000000</v>
          </cell>
          <cell r="AG122" t="str">
            <v>DAP</v>
          </cell>
        </row>
        <row r="123">
          <cell r="C123" t="str">
            <v>C49SZX20180056ZX</v>
          </cell>
          <cell r="Y123">
            <v>15000000</v>
          </cell>
          <cell r="AG123" t="str">
            <v>DAP</v>
          </cell>
        </row>
        <row r="124">
          <cell r="C124" t="str">
            <v>C49SZX20180057SS</v>
          </cell>
          <cell r="Y124">
            <v>736000</v>
          </cell>
          <cell r="AG124" t="str">
            <v>含税到厂</v>
          </cell>
        </row>
        <row r="125">
          <cell r="C125" t="str">
            <v>C49SZX20180058KW</v>
          </cell>
          <cell r="Y125">
            <v>756588</v>
          </cell>
          <cell r="AG125" t="str">
            <v>DDP SZ</v>
          </cell>
        </row>
        <row r="126">
          <cell r="C126" t="str">
            <v>C49SZX20180058KW</v>
          </cell>
          <cell r="Y126">
            <v>1000000</v>
          </cell>
          <cell r="AG126" t="str">
            <v>DDP SZ</v>
          </cell>
        </row>
        <row r="127">
          <cell r="C127" t="str">
            <v>C49SZX20180059ZX</v>
          </cell>
          <cell r="Y127">
            <v>9330000</v>
          </cell>
          <cell r="AG127" t="str">
            <v>DAP</v>
          </cell>
        </row>
        <row r="128">
          <cell r="C128" t="str">
            <v>C49SZX20180060JL</v>
          </cell>
          <cell r="Y128">
            <v>15800000</v>
          </cell>
          <cell r="AG128" t="str">
            <v>CIF</v>
          </cell>
        </row>
        <row r="129">
          <cell r="C129" t="str">
            <v>C49SZX20180060JL</v>
          </cell>
          <cell r="Y129">
            <v>11700000</v>
          </cell>
          <cell r="AG129" t="str">
            <v>CIF</v>
          </cell>
        </row>
        <row r="130">
          <cell r="C130" t="str">
            <v>C49SZX20180061JL</v>
          </cell>
          <cell r="Y130">
            <v>15800000</v>
          </cell>
          <cell r="AG130" t="str">
            <v>CIF</v>
          </cell>
        </row>
        <row r="131">
          <cell r="C131" t="str">
            <v>C49SZX20180061JL</v>
          </cell>
          <cell r="Y131">
            <v>11700000</v>
          </cell>
          <cell r="AG131" t="str">
            <v>CIF</v>
          </cell>
        </row>
        <row r="132">
          <cell r="C132" t="str">
            <v>C49SZX20180061JL</v>
          </cell>
          <cell r="Y132">
            <v>15800000</v>
          </cell>
          <cell r="AG132" t="str">
            <v>CIF</v>
          </cell>
        </row>
        <row r="133">
          <cell r="C133" t="str">
            <v>C49SZX20180061JL</v>
          </cell>
          <cell r="Y133">
            <v>11700000</v>
          </cell>
          <cell r="AG133" t="str">
            <v>CIF</v>
          </cell>
        </row>
        <row r="134">
          <cell r="C134" t="str">
            <v>C49SZX20180062ZX</v>
          </cell>
          <cell r="Y134">
            <v>14000000</v>
          </cell>
          <cell r="AG134" t="str">
            <v>DAP</v>
          </cell>
        </row>
        <row r="135">
          <cell r="C135" t="str">
            <v>C49SZX20180062ZX</v>
          </cell>
          <cell r="Y135">
            <v>9000000</v>
          </cell>
          <cell r="AG135" t="str">
            <v>DAP</v>
          </cell>
        </row>
        <row r="136">
          <cell r="C136" t="str">
            <v>C49SZX20180063ZX</v>
          </cell>
          <cell r="Y136">
            <v>9000000</v>
          </cell>
          <cell r="AG136" t="str">
            <v>DAP</v>
          </cell>
        </row>
        <row r="137">
          <cell r="C137" t="str">
            <v>C49SZX20180063ZX</v>
          </cell>
          <cell r="Y137">
            <v>9000000</v>
          </cell>
          <cell r="AG137" t="str">
            <v>DAP</v>
          </cell>
        </row>
        <row r="138">
          <cell r="C138" t="str">
            <v>C49SZX20180063ZX</v>
          </cell>
          <cell r="Y138">
            <v>14000000</v>
          </cell>
          <cell r="AG138" t="str">
            <v>DAP</v>
          </cell>
        </row>
        <row r="139">
          <cell r="C139" t="str">
            <v>C49SZX20180063ZX</v>
          </cell>
          <cell r="Y139">
            <v>14000000</v>
          </cell>
          <cell r="AG139" t="str">
            <v>DAP</v>
          </cell>
        </row>
        <row r="140">
          <cell r="C140" t="str">
            <v>C49SZX20180063ZX</v>
          </cell>
          <cell r="Y140">
            <v>14000000</v>
          </cell>
          <cell r="AG140" t="str">
            <v>DAP</v>
          </cell>
        </row>
        <row r="141">
          <cell r="C141" t="str">
            <v>C49SZX20180063ZX</v>
          </cell>
          <cell r="Y141">
            <v>14000000</v>
          </cell>
          <cell r="AG141" t="str">
            <v>DAP</v>
          </cell>
        </row>
        <row r="142">
          <cell r="C142" t="str">
            <v>C49SZX20180066JY</v>
          </cell>
          <cell r="Y142">
            <v>9275000</v>
          </cell>
          <cell r="AG142" t="str">
            <v>DAP SZ</v>
          </cell>
        </row>
        <row r="143">
          <cell r="C143" t="str">
            <v>C49SZX20180066JY</v>
          </cell>
          <cell r="Y143">
            <v>9275000</v>
          </cell>
          <cell r="AG143" t="str">
            <v>DAP SZ</v>
          </cell>
        </row>
        <row r="144">
          <cell r="C144" t="str">
            <v>C49SZX20180067JY</v>
          </cell>
          <cell r="Y144">
            <v>780000</v>
          </cell>
          <cell r="AG144" t="str">
            <v>含税到厂</v>
          </cell>
        </row>
        <row r="145">
          <cell r="C145" t="str">
            <v>C49SZX20180068R1JY</v>
          </cell>
          <cell r="Y145">
            <v>16150000</v>
          </cell>
          <cell r="AG145" t="str">
            <v>DAP</v>
          </cell>
        </row>
        <row r="146">
          <cell r="C146" t="str">
            <v>C49SZX20180068R1JY</v>
          </cell>
          <cell r="Y146">
            <v>16150000</v>
          </cell>
          <cell r="AG146" t="str">
            <v>DAP</v>
          </cell>
        </row>
        <row r="147">
          <cell r="C147" t="str">
            <v>C49SZX20180069JY</v>
          </cell>
          <cell r="Y147">
            <v>16150000</v>
          </cell>
          <cell r="AG147" t="str">
            <v>DAP</v>
          </cell>
        </row>
        <row r="148">
          <cell r="C148" t="str">
            <v>C49SZX20180069JY</v>
          </cell>
          <cell r="Y148">
            <v>16150000</v>
          </cell>
          <cell r="AG148" t="str">
            <v>DAP</v>
          </cell>
        </row>
        <row r="149">
          <cell r="C149" t="str">
            <v>C49SZX20180070SX</v>
          </cell>
          <cell r="Y149">
            <v>15370982</v>
          </cell>
          <cell r="AG149" t="str">
            <v>DAP SZ</v>
          </cell>
        </row>
        <row r="150">
          <cell r="C150" t="str">
            <v>C49SZX20180070SX</v>
          </cell>
          <cell r="Y150">
            <v>15370983</v>
          </cell>
          <cell r="AG150" t="str">
            <v>DAP SZ</v>
          </cell>
        </row>
        <row r="151">
          <cell r="C151" t="str">
            <v>C49SZX20180071SX</v>
          </cell>
          <cell r="Y151">
            <v>9611403</v>
          </cell>
          <cell r="AG151" t="str">
            <v>DAP</v>
          </cell>
        </row>
        <row r="152">
          <cell r="C152" t="str">
            <v>C49SZX20180072DZ</v>
          </cell>
          <cell r="Y152">
            <v>650000</v>
          </cell>
          <cell r="AG152" t="str">
            <v>含税到厂</v>
          </cell>
        </row>
        <row r="153">
          <cell r="C153" t="str">
            <v>C49SZX20180075ZX</v>
          </cell>
          <cell r="Y153">
            <v>8790000</v>
          </cell>
          <cell r="AG153" t="str">
            <v>DAP</v>
          </cell>
        </row>
        <row r="154">
          <cell r="C154" t="str">
            <v>C49SZX20180076SX </v>
          </cell>
          <cell r="Y154">
            <v>9080000</v>
          </cell>
          <cell r="AG154" t="str">
            <v>CIF HK</v>
          </cell>
        </row>
        <row r="155">
          <cell r="C155" t="str">
            <v>C49SZX20180076SX </v>
          </cell>
          <cell r="Y155">
            <v>9080000</v>
          </cell>
          <cell r="AG155" t="str">
            <v>CIF HK</v>
          </cell>
        </row>
        <row r="156">
          <cell r="C156" t="str">
            <v>C49SZX20180078DZ</v>
          </cell>
          <cell r="Y156">
            <v>11940000</v>
          </cell>
          <cell r="AG156" t="str">
            <v>CIF</v>
          </cell>
        </row>
        <row r="157">
          <cell r="C157" t="str">
            <v>C49SZX20180078DZ</v>
          </cell>
          <cell r="Y157">
            <v>15000000</v>
          </cell>
          <cell r="AG157" t="str">
            <v>CIF</v>
          </cell>
        </row>
        <row r="158">
          <cell r="C158" t="str">
            <v>C49SZX20180078DZ</v>
          </cell>
          <cell r="Y158">
            <v>15000000</v>
          </cell>
          <cell r="AG158" t="str">
            <v>CIF</v>
          </cell>
        </row>
        <row r="159">
          <cell r="C159" t="str">
            <v>C49SZX20180079DZ</v>
          </cell>
          <cell r="Y159">
            <v>15000000</v>
          </cell>
          <cell r="AG159" t="str">
            <v>CIF</v>
          </cell>
        </row>
        <row r="160">
          <cell r="C160" t="str">
            <v>C49SZX20180079DZ</v>
          </cell>
          <cell r="Y160">
            <v>11940000</v>
          </cell>
          <cell r="AG160" t="str">
            <v>CIF</v>
          </cell>
        </row>
        <row r="161">
          <cell r="C161" t="str">
            <v>C49SZX20180080SX</v>
          </cell>
          <cell r="Y161">
            <v>15641700</v>
          </cell>
          <cell r="AG161" t="str">
            <v>DAP SZ</v>
          </cell>
        </row>
        <row r="162">
          <cell r="C162" t="str">
            <v>C49SZX20180081SX</v>
          </cell>
          <cell r="Y162">
            <v>15641700</v>
          </cell>
          <cell r="AG162" t="str">
            <v>DAP SZ</v>
          </cell>
        </row>
        <row r="163">
          <cell r="C163" t="str">
            <v>C49SZX20180082JL</v>
          </cell>
          <cell r="Y163">
            <v>10500000</v>
          </cell>
          <cell r="AG163" t="str">
            <v>CIF</v>
          </cell>
        </row>
        <row r="164">
          <cell r="C164" t="str">
            <v>C49SZX20180082JL</v>
          </cell>
          <cell r="Y164">
            <v>10500000</v>
          </cell>
          <cell r="AG164" t="str">
            <v>CIF</v>
          </cell>
        </row>
        <row r="165">
          <cell r="C165" t="str">
            <v>C49SZX20180082JL</v>
          </cell>
          <cell r="Y165">
            <v>10500000</v>
          </cell>
          <cell r="AG165" t="str">
            <v>CIF</v>
          </cell>
        </row>
        <row r="166">
          <cell r="C166" t="str">
            <v>C49SZX20180082JL</v>
          </cell>
          <cell r="Y166">
            <v>10500000</v>
          </cell>
          <cell r="AG166" t="str">
            <v>CIF</v>
          </cell>
        </row>
        <row r="167">
          <cell r="C167" t="str">
            <v>C49SZX20180082JL</v>
          </cell>
          <cell r="Y167">
            <v>10500000</v>
          </cell>
          <cell r="AG167" t="str">
            <v>CIF</v>
          </cell>
        </row>
        <row r="168">
          <cell r="C168" t="str">
            <v>C49SZX20180082JL</v>
          </cell>
          <cell r="Y168">
            <v>10500000</v>
          </cell>
          <cell r="AG168" t="str">
            <v>CIF</v>
          </cell>
        </row>
        <row r="169">
          <cell r="C169" t="str">
            <v>C49SZX20180082JL</v>
          </cell>
          <cell r="Y169">
            <v>10500000</v>
          </cell>
          <cell r="AG169" t="str">
            <v>CIF</v>
          </cell>
        </row>
        <row r="170">
          <cell r="C170" t="str">
            <v xml:space="preserve"> </v>
          </cell>
          <cell r="Y170">
            <v>10500000</v>
          </cell>
          <cell r="AG170" t="str">
            <v>CIF</v>
          </cell>
        </row>
        <row r="171">
          <cell r="C171" t="str">
            <v>C49SZX20180082JL</v>
          </cell>
          <cell r="Y171">
            <v>14000000</v>
          </cell>
          <cell r="AG171" t="str">
            <v>CIF</v>
          </cell>
        </row>
        <row r="172">
          <cell r="C172" t="str">
            <v>C49SZX20180082JL</v>
          </cell>
          <cell r="Y172">
            <v>14000000</v>
          </cell>
          <cell r="AG172" t="str">
            <v>CIF</v>
          </cell>
        </row>
        <row r="173">
          <cell r="C173" t="str">
            <v>C49SZX20180082JL</v>
          </cell>
          <cell r="Y173">
            <v>14000000</v>
          </cell>
          <cell r="AG173" t="str">
            <v>CIF</v>
          </cell>
        </row>
        <row r="174">
          <cell r="C174" t="str">
            <v>C49SZX20180082JL</v>
          </cell>
          <cell r="Y174">
            <v>14000000</v>
          </cell>
          <cell r="AG174" t="str">
            <v>CIF</v>
          </cell>
        </row>
        <row r="175">
          <cell r="C175" t="str">
            <v>C49SZX20180082JL</v>
          </cell>
          <cell r="Y175">
            <v>14000000</v>
          </cell>
          <cell r="AG175" t="str">
            <v>CIF</v>
          </cell>
        </row>
        <row r="176">
          <cell r="C176" t="str">
            <v>C49SZX20180082JL</v>
          </cell>
          <cell r="Y176">
            <v>14000000</v>
          </cell>
          <cell r="AG176" t="str">
            <v>CIF</v>
          </cell>
        </row>
        <row r="177">
          <cell r="C177" t="str">
            <v>C49SZX20180082JL</v>
          </cell>
          <cell r="Y177">
            <v>14000000</v>
          </cell>
          <cell r="AG177" t="str">
            <v>CIF</v>
          </cell>
        </row>
        <row r="178">
          <cell r="C178" t="str">
            <v>C49SZX20180082JL</v>
          </cell>
          <cell r="Y178">
            <v>14000000</v>
          </cell>
          <cell r="AG178" t="str">
            <v>CIF</v>
          </cell>
        </row>
        <row r="179">
          <cell r="C179" t="str">
            <v>C49SZX20180082JL</v>
          </cell>
          <cell r="Y179">
            <v>14000000</v>
          </cell>
          <cell r="AG179" t="str">
            <v>CIF</v>
          </cell>
        </row>
        <row r="180">
          <cell r="C180" t="str">
            <v>C49SZX20180082JL</v>
          </cell>
          <cell r="Y180">
            <v>14000000</v>
          </cell>
          <cell r="AG180" t="str">
            <v>CIF</v>
          </cell>
        </row>
        <row r="181">
          <cell r="C181" t="str">
            <v>C49SZX20180082JL</v>
          </cell>
          <cell r="Y181">
            <v>14000000</v>
          </cell>
          <cell r="AG181" t="str">
            <v>CIF</v>
          </cell>
        </row>
        <row r="182">
          <cell r="C182" t="str">
            <v>C49SZX20180082JL</v>
          </cell>
          <cell r="Y182">
            <v>14000000</v>
          </cell>
          <cell r="AG182" t="str">
            <v>CIF</v>
          </cell>
        </row>
        <row r="183">
          <cell r="C183" t="str">
            <v>C49SZX20180082JL</v>
          </cell>
          <cell r="Y183">
            <v>14000000</v>
          </cell>
          <cell r="AG183" t="str">
            <v>CIF</v>
          </cell>
        </row>
        <row r="184">
          <cell r="C184" t="str">
            <v>C49SZX20180082JL</v>
          </cell>
          <cell r="Y184">
            <v>14000000</v>
          </cell>
          <cell r="AG184" t="str">
            <v>CIF</v>
          </cell>
        </row>
        <row r="185">
          <cell r="C185" t="str">
            <v>C49SZX20180083DZ</v>
          </cell>
          <cell r="Y185">
            <v>10200000</v>
          </cell>
          <cell r="AG185" t="str">
            <v>DAP SZ</v>
          </cell>
        </row>
        <row r="186">
          <cell r="C186" t="str">
            <v>C49SZX20180083DZ</v>
          </cell>
          <cell r="Y186">
            <v>10200000</v>
          </cell>
          <cell r="AG186" t="str">
            <v>DAP SZ</v>
          </cell>
        </row>
        <row r="187">
          <cell r="C187" t="str">
            <v>C49SZX20180083DZ</v>
          </cell>
          <cell r="Y187">
            <v>10200000</v>
          </cell>
          <cell r="AG187" t="str">
            <v>DAP SZ</v>
          </cell>
        </row>
        <row r="188">
          <cell r="C188" t="str">
            <v>C49SZX20180085SX</v>
          </cell>
          <cell r="Y188">
            <v>12546000</v>
          </cell>
          <cell r="AG188" t="str">
            <v>DAP 东莞</v>
          </cell>
        </row>
        <row r="189">
          <cell r="C189" t="str">
            <v>C49SZX20180086DZ</v>
          </cell>
          <cell r="Y189">
            <v>13150000</v>
          </cell>
          <cell r="AG189" t="str">
            <v>CIF HK</v>
          </cell>
        </row>
        <row r="190">
          <cell r="C190" t="str">
            <v>C49SZX20180086DZ</v>
          </cell>
          <cell r="Y190">
            <v>13150000</v>
          </cell>
          <cell r="AG190" t="str">
            <v>CIF HK</v>
          </cell>
        </row>
        <row r="191">
          <cell r="C191" t="str">
            <v>C49SZX20180086DZ</v>
          </cell>
          <cell r="Y191">
            <v>19000000</v>
          </cell>
          <cell r="AG191" t="str">
            <v>CIF HK</v>
          </cell>
        </row>
        <row r="192">
          <cell r="C192" t="str">
            <v>C49SZX20180086DZ</v>
          </cell>
          <cell r="Y192">
            <v>19000000</v>
          </cell>
          <cell r="AG192" t="str">
            <v>CIF HK</v>
          </cell>
        </row>
        <row r="193">
          <cell r="C193" t="str">
            <v>C49SZX20180086DZ</v>
          </cell>
          <cell r="Y193">
            <v>19000000</v>
          </cell>
          <cell r="AG193" t="str">
            <v>CIF HK</v>
          </cell>
        </row>
        <row r="194">
          <cell r="C194" t="str">
            <v>C49SZX20180086DZ</v>
          </cell>
          <cell r="Y194">
            <v>19000000</v>
          </cell>
          <cell r="AG194" t="str">
            <v>CIF HK</v>
          </cell>
        </row>
        <row r="195">
          <cell r="C195" t="str">
            <v>C49SZX20180086DZ</v>
          </cell>
          <cell r="Y195">
            <v>19000000</v>
          </cell>
          <cell r="AG195" t="str">
            <v>CIF HK</v>
          </cell>
        </row>
        <row r="196">
          <cell r="C196" t="str">
            <v>C49SZX20180087DZ</v>
          </cell>
          <cell r="Y196">
            <v>19000000</v>
          </cell>
          <cell r="AG196" t="str">
            <v>CIF HK</v>
          </cell>
        </row>
        <row r="197">
          <cell r="C197" t="str">
            <v>C49SZX20180087DZ</v>
          </cell>
          <cell r="Y197">
            <v>13150000</v>
          </cell>
          <cell r="AG197" t="str">
            <v>CIF HK</v>
          </cell>
        </row>
        <row r="198">
          <cell r="C198" t="str">
            <v>C49SZX20180087DZ</v>
          </cell>
          <cell r="Y198">
            <v>13150000</v>
          </cell>
          <cell r="AG198" t="str">
            <v>CIF HK</v>
          </cell>
        </row>
        <row r="199">
          <cell r="C199" t="str">
            <v>C49SZX20180087DZ</v>
          </cell>
          <cell r="Y199">
            <v>19000000</v>
          </cell>
          <cell r="AG199" t="str">
            <v>CIF HK</v>
          </cell>
        </row>
        <row r="200">
          <cell r="C200" t="str">
            <v>C49SZX20180087DZ</v>
          </cell>
          <cell r="Y200">
            <v>19000000</v>
          </cell>
          <cell r="AG200" t="str">
            <v>CIF HK</v>
          </cell>
        </row>
        <row r="201">
          <cell r="C201" t="str">
            <v>C49SZX20180087DZ</v>
          </cell>
          <cell r="Y201">
            <v>19000000</v>
          </cell>
          <cell r="AG201" t="str">
            <v>CIF HK</v>
          </cell>
        </row>
        <row r="202">
          <cell r="C202" t="str">
            <v>C49SZX20180087DZ</v>
          </cell>
          <cell r="Y202">
            <v>19000000</v>
          </cell>
          <cell r="AG202" t="str">
            <v>CIF HK</v>
          </cell>
        </row>
        <row r="203">
          <cell r="C203" t="str">
            <v>C49SZX20180088RW</v>
          </cell>
          <cell r="Y203">
            <v>29178900</v>
          </cell>
          <cell r="AG203" t="str">
            <v>DAP</v>
          </cell>
        </row>
        <row r="204">
          <cell r="C204" t="str">
            <v>C49SZX20180088RW</v>
          </cell>
          <cell r="Y204">
            <v>12120000</v>
          </cell>
          <cell r="AG204" t="str">
            <v>DAP</v>
          </cell>
        </row>
        <row r="205">
          <cell r="C205" t="str">
            <v>C49SZX20180088RW</v>
          </cell>
          <cell r="Y205">
            <v>9352600</v>
          </cell>
          <cell r="AG205" t="str">
            <v>DAP</v>
          </cell>
        </row>
        <row r="206">
          <cell r="C206" t="str">
            <v>C49SZX20180089ZX</v>
          </cell>
          <cell r="Y206">
            <v>9250000</v>
          </cell>
          <cell r="AG206" t="str">
            <v>DAP SZ</v>
          </cell>
        </row>
        <row r="207">
          <cell r="C207" t="str">
            <v>C49SZX20180090MZ</v>
          </cell>
          <cell r="Y207">
            <v>500000</v>
          </cell>
          <cell r="AG207" t="str">
            <v>DDP SZ</v>
          </cell>
        </row>
        <row r="208">
          <cell r="C208" t="str">
            <v>C49SZX20180090MZ</v>
          </cell>
          <cell r="Y208">
            <v>600000</v>
          </cell>
          <cell r="AG208" t="str">
            <v>DDP SZ</v>
          </cell>
        </row>
        <row r="209">
          <cell r="C209" t="str">
            <v>C49SZX20180091LC</v>
          </cell>
          <cell r="Y209">
            <v>10216000</v>
          </cell>
          <cell r="AG209" t="str">
            <v>DAP SZ</v>
          </cell>
        </row>
        <row r="210">
          <cell r="C210" t="str">
            <v>C49SZX20180092LC</v>
          </cell>
          <cell r="Y210">
            <v>10216000</v>
          </cell>
          <cell r="AG210" t="str">
            <v>DAP SZ</v>
          </cell>
        </row>
        <row r="211">
          <cell r="C211" t="str">
            <v>C49SZX20180092LC</v>
          </cell>
          <cell r="Y211">
            <v>10216000</v>
          </cell>
          <cell r="AG211" t="str">
            <v>DAP SZ</v>
          </cell>
        </row>
        <row r="212">
          <cell r="C212" t="str">
            <v>C49SZX20180092LC</v>
          </cell>
          <cell r="Y212">
            <v>10216000</v>
          </cell>
          <cell r="AG212" t="str">
            <v>DAP SZ</v>
          </cell>
        </row>
        <row r="213">
          <cell r="C213" t="str">
            <v>C49SZX20180092LC</v>
          </cell>
          <cell r="Y213">
            <v>10216000</v>
          </cell>
          <cell r="AG213" t="str">
            <v>DAP SZ</v>
          </cell>
        </row>
        <row r="214">
          <cell r="C214" t="str">
            <v>C49SZX20180095SS</v>
          </cell>
          <cell r="Y214">
            <v>9090000</v>
          </cell>
          <cell r="AG214" t="str">
            <v>DAP SZ</v>
          </cell>
        </row>
        <row r="215">
          <cell r="C215" t="str">
            <v>C49SZX20180097SS</v>
          </cell>
          <cell r="Y215">
            <v>10460000</v>
          </cell>
          <cell r="AG215" t="str">
            <v>DAP SZ</v>
          </cell>
        </row>
        <row r="216">
          <cell r="C216" t="str">
            <v>C49SZX20180097SS</v>
          </cell>
          <cell r="Y216">
            <v>10460000</v>
          </cell>
          <cell r="AG216" t="str">
            <v>DAP SZ</v>
          </cell>
        </row>
        <row r="217">
          <cell r="C217" t="str">
            <v>C49SZX20180098SX</v>
          </cell>
          <cell r="Y217">
            <v>9116260</v>
          </cell>
          <cell r="AG217" t="str">
            <v>DAP SZ</v>
          </cell>
        </row>
        <row r="218">
          <cell r="C218" t="str">
            <v>C49SZX20180099JY</v>
          </cell>
          <cell r="Y218">
            <v>9651240</v>
          </cell>
          <cell r="AG218" t="str">
            <v>DAP</v>
          </cell>
        </row>
        <row r="219">
          <cell r="C219" t="str">
            <v>C49SZX20180100SS</v>
          </cell>
          <cell r="Y219">
            <v>554640</v>
          </cell>
          <cell r="AG219" t="str">
            <v>DDP SZ</v>
          </cell>
        </row>
        <row r="220">
          <cell r="C220" t="str">
            <v>C49SZX20180101JL</v>
          </cell>
          <cell r="Y220">
            <v>15200000</v>
          </cell>
          <cell r="AG220" t="str">
            <v>DAP 广州</v>
          </cell>
        </row>
        <row r="221">
          <cell r="C221" t="str">
            <v>C49SZX20180101JL</v>
          </cell>
          <cell r="Y221">
            <v>15200000</v>
          </cell>
          <cell r="AG221" t="str">
            <v>DAP 广州</v>
          </cell>
        </row>
        <row r="222">
          <cell r="C222" t="str">
            <v>C49SZX20180102JL</v>
          </cell>
          <cell r="Y222">
            <v>14670000</v>
          </cell>
          <cell r="AG222" t="str">
            <v>DAP 广州</v>
          </cell>
        </row>
        <row r="223">
          <cell r="C223" t="str">
            <v>C49SZX20180102JL</v>
          </cell>
          <cell r="Y223">
            <v>14670000</v>
          </cell>
          <cell r="AG223" t="str">
            <v>DAP 广州</v>
          </cell>
        </row>
        <row r="224">
          <cell r="C224" t="str">
            <v>C49SZX20180103MZ</v>
          </cell>
          <cell r="Y224">
            <v>19700000</v>
          </cell>
          <cell r="AG224" t="str">
            <v>DAP 惠州</v>
          </cell>
        </row>
        <row r="225">
          <cell r="C225" t="str">
            <v>C49SZX20180105JY</v>
          </cell>
          <cell r="Y225">
            <v>14250000</v>
          </cell>
          <cell r="AG225" t="str">
            <v>DAP 东莞</v>
          </cell>
        </row>
        <row r="226">
          <cell r="C226" t="str">
            <v>C49SZX20180105JY</v>
          </cell>
          <cell r="Y226">
            <v>12350000</v>
          </cell>
          <cell r="AG226" t="str">
            <v>DAP 东莞</v>
          </cell>
        </row>
        <row r="227">
          <cell r="C227" t="str">
            <v>C49SZX20180106R1JY</v>
          </cell>
          <cell r="Y227">
            <v>9600000</v>
          </cell>
          <cell r="AG227" t="str">
            <v>DAP  深圳</v>
          </cell>
        </row>
        <row r="228">
          <cell r="C228" t="str">
            <v>C49SZX20180107MZ</v>
          </cell>
          <cell r="Y228">
            <v>9400000</v>
          </cell>
          <cell r="AG228" t="str">
            <v>CIF</v>
          </cell>
        </row>
        <row r="229">
          <cell r="C229" t="str">
            <v>C49SZX20180107MZ</v>
          </cell>
          <cell r="Y229">
            <v>11400000</v>
          </cell>
          <cell r="AG229" t="str">
            <v>CIF</v>
          </cell>
        </row>
        <row r="230">
          <cell r="C230" t="str">
            <v>C49SZX20180108MZ</v>
          </cell>
          <cell r="Y230">
            <v>8500000</v>
          </cell>
          <cell r="AG230" t="str">
            <v>CIF</v>
          </cell>
        </row>
        <row r="231">
          <cell r="C231" t="str">
            <v>C49SZX20180108MZ</v>
          </cell>
          <cell r="Y231">
            <v>8500000</v>
          </cell>
          <cell r="AG231" t="str">
            <v>CIF</v>
          </cell>
        </row>
        <row r="232">
          <cell r="C232" t="str">
            <v>C49SZX20180109SX</v>
          </cell>
          <cell r="Y232">
            <v>14448643</v>
          </cell>
          <cell r="AG232" t="str">
            <v>DAP SZ</v>
          </cell>
        </row>
        <row r="233">
          <cell r="C233" t="str">
            <v>C49SZX20180111SX</v>
          </cell>
          <cell r="Y233">
            <v>9666667</v>
          </cell>
          <cell r="AG233" t="str">
            <v>DAP 惠州</v>
          </cell>
        </row>
        <row r="234">
          <cell r="C234" t="str">
            <v>C49SZX20180111SX</v>
          </cell>
          <cell r="Y234">
            <v>9666667</v>
          </cell>
          <cell r="AG234" t="str">
            <v>DAP 惠州</v>
          </cell>
        </row>
        <row r="235">
          <cell r="C235" t="str">
            <v>C49SZX20180111SX</v>
          </cell>
          <cell r="Y235">
            <v>9666666</v>
          </cell>
          <cell r="AG235" t="str">
            <v>DAP 惠州</v>
          </cell>
        </row>
        <row r="236">
          <cell r="C236" t="str">
            <v xml:space="preserve">C49SZX20180113JL </v>
          </cell>
          <cell r="Y236">
            <v>12400000</v>
          </cell>
          <cell r="AG236" t="str">
            <v>CIF</v>
          </cell>
        </row>
        <row r="237">
          <cell r="C237" t="str">
            <v>C49SZX20180115ZX</v>
          </cell>
          <cell r="Y237">
            <v>605000</v>
          </cell>
          <cell r="AG237" t="str">
            <v>含税到厂</v>
          </cell>
        </row>
        <row r="238">
          <cell r="C238" t="str">
            <v>C49SZX20180116SX</v>
          </cell>
          <cell r="Y238">
            <v>9679840</v>
          </cell>
          <cell r="AG238" t="str">
            <v>DAP 东莞</v>
          </cell>
        </row>
        <row r="239">
          <cell r="C239" t="str">
            <v>C49SZX20180117MZ</v>
          </cell>
          <cell r="Y239">
            <v>10750000</v>
          </cell>
          <cell r="AG239" t="str">
            <v>DAP 东莞</v>
          </cell>
        </row>
        <row r="240">
          <cell r="C240" t="str">
            <v>C49SZX20180119SS</v>
          </cell>
          <cell r="Y240">
            <v>722750</v>
          </cell>
          <cell r="AG240" t="str">
            <v>含税到厂</v>
          </cell>
        </row>
        <row r="241">
          <cell r="C241" t="str">
            <v>C49SZX20180119SS</v>
          </cell>
          <cell r="Y241">
            <v>722750</v>
          </cell>
          <cell r="AG241" t="str">
            <v>含税到厂</v>
          </cell>
        </row>
        <row r="242">
          <cell r="C242" t="str">
            <v>C49SZX20180120SX</v>
          </cell>
          <cell r="Y242">
            <v>8544600</v>
          </cell>
          <cell r="AG242" t="str">
            <v>DAP 深圳</v>
          </cell>
        </row>
        <row r="243">
          <cell r="C243" t="str">
            <v>C49SZX20180120SX</v>
          </cell>
          <cell r="Y243">
            <v>8544600</v>
          </cell>
          <cell r="AG243" t="str">
            <v>DAP 深圳</v>
          </cell>
        </row>
        <row r="244">
          <cell r="C244" t="str">
            <v>C49SZX20180121SX</v>
          </cell>
          <cell r="Y244">
            <v>8544600</v>
          </cell>
          <cell r="AG244" t="str">
            <v>DAP 深圳</v>
          </cell>
        </row>
        <row r="245">
          <cell r="C245" t="str">
            <v>C49SZX20180121SX</v>
          </cell>
          <cell r="Y245">
            <v>8544600</v>
          </cell>
          <cell r="AG245" t="str">
            <v>DAP 深圳</v>
          </cell>
        </row>
        <row r="246">
          <cell r="C246" t="str">
            <v>C49SZX20180121SX</v>
          </cell>
          <cell r="Y246">
            <v>8544600</v>
          </cell>
          <cell r="AG246" t="str">
            <v>DAP 深圳</v>
          </cell>
        </row>
        <row r="247">
          <cell r="C247" t="str">
            <v>C49SZX20180123JL</v>
          </cell>
          <cell r="Y247">
            <v>12000000</v>
          </cell>
          <cell r="AG247" t="str">
            <v>CIF</v>
          </cell>
        </row>
        <row r="248">
          <cell r="C248" t="str">
            <v>C49SZX20180123JL</v>
          </cell>
          <cell r="Y248">
            <v>12000000</v>
          </cell>
          <cell r="AG248" t="str">
            <v>CIF</v>
          </cell>
        </row>
        <row r="249">
          <cell r="C249" t="str">
            <v>C49SZX20180123JL</v>
          </cell>
          <cell r="Y249">
            <v>12000000</v>
          </cell>
          <cell r="AG249" t="str">
            <v>CIF</v>
          </cell>
        </row>
        <row r="250">
          <cell r="C250" t="str">
            <v>C49SZX20180123JL</v>
          </cell>
          <cell r="Y250">
            <v>12000000</v>
          </cell>
          <cell r="AG250" t="str">
            <v>CIF</v>
          </cell>
        </row>
        <row r="251">
          <cell r="C251" t="str">
            <v>C49SZX20180124JL</v>
          </cell>
          <cell r="Y251">
            <v>11000000</v>
          </cell>
          <cell r="AG251" t="str">
            <v>CIF HK</v>
          </cell>
        </row>
        <row r="252">
          <cell r="C252" t="str">
            <v>C49SZX20180125SX</v>
          </cell>
          <cell r="Y252">
            <v>27923924</v>
          </cell>
          <cell r="AG252" t="str">
            <v>DAP 深圳</v>
          </cell>
        </row>
        <row r="253">
          <cell r="C253" t="str">
            <v>C49SZX20180126SX</v>
          </cell>
          <cell r="Y253">
            <v>27923924</v>
          </cell>
          <cell r="AG253" t="str">
            <v>DAP 深圳</v>
          </cell>
        </row>
        <row r="254">
          <cell r="C254" t="str">
            <v>C49SZX20180127JL</v>
          </cell>
          <cell r="Y254">
            <v>8360000</v>
          </cell>
          <cell r="AG254" t="str">
            <v>CIF HK</v>
          </cell>
        </row>
        <row r="255">
          <cell r="C255" t="str">
            <v>C49SZX20180129JL</v>
          </cell>
          <cell r="Y255">
            <v>11000000</v>
          </cell>
          <cell r="AG255" t="str">
            <v>CIF HK</v>
          </cell>
        </row>
        <row r="256">
          <cell r="C256" t="str">
            <v>C49SZX20180131DZ</v>
          </cell>
          <cell r="Y256">
            <v>12235000</v>
          </cell>
          <cell r="AG256" t="str">
            <v>CIF</v>
          </cell>
        </row>
        <row r="257">
          <cell r="C257" t="str">
            <v>C49SZX20180131DZ</v>
          </cell>
          <cell r="Y257">
            <v>14000000</v>
          </cell>
          <cell r="AG257" t="str">
            <v>CIF</v>
          </cell>
        </row>
        <row r="258">
          <cell r="C258" t="str">
            <v>C49SZX20180132R1JY</v>
          </cell>
          <cell r="Y258">
            <v>710000</v>
          </cell>
          <cell r="AG258" t="str">
            <v>含税到厂</v>
          </cell>
        </row>
        <row r="259">
          <cell r="C259" t="str">
            <v>C49SZX20180132R1JY</v>
          </cell>
          <cell r="Y259">
            <v>500000</v>
          </cell>
          <cell r="AG259" t="str">
            <v>含税到厂</v>
          </cell>
        </row>
        <row r="260">
          <cell r="C260" t="str">
            <v>C49SZX20180168SX</v>
          </cell>
          <cell r="Y260">
            <v>13000000</v>
          </cell>
          <cell r="AG260" t="str">
            <v>DAP 东莞</v>
          </cell>
        </row>
        <row r="261">
          <cell r="C261" t="str">
            <v>C49SZX20180168SX</v>
          </cell>
          <cell r="Y261">
            <v>13000000</v>
          </cell>
          <cell r="AG261" t="str">
            <v>DAP 东莞</v>
          </cell>
        </row>
        <row r="262">
          <cell r="C262" t="str">
            <v>C49SZX20180133SX</v>
          </cell>
          <cell r="Y262">
            <v>9079250</v>
          </cell>
          <cell r="AG262" t="str">
            <v>DAP 东莞</v>
          </cell>
        </row>
        <row r="263">
          <cell r="C263" t="str">
            <v>C49SZX20180133SX</v>
          </cell>
          <cell r="Y263">
            <v>9079250</v>
          </cell>
          <cell r="AG263" t="str">
            <v>DAP 东莞</v>
          </cell>
        </row>
        <row r="264">
          <cell r="C264" t="str">
            <v>C49SZX20180133SX</v>
          </cell>
          <cell r="Y264">
            <v>9079250</v>
          </cell>
          <cell r="AG264" t="str">
            <v>DAP 东莞</v>
          </cell>
        </row>
        <row r="265">
          <cell r="C265" t="str">
            <v>C49SZX20180133SX</v>
          </cell>
          <cell r="Y265">
            <v>9079250</v>
          </cell>
          <cell r="AG265" t="str">
            <v>DAP 东莞</v>
          </cell>
        </row>
        <row r="266">
          <cell r="C266" t="str">
            <v>C49SZX20180135SX</v>
          </cell>
          <cell r="Y266">
            <v>13730000</v>
          </cell>
          <cell r="AG266" t="str">
            <v xml:space="preserve">CIF </v>
          </cell>
        </row>
        <row r="267">
          <cell r="C267" t="str">
            <v>C49SZX20180135SX</v>
          </cell>
          <cell r="Y267">
            <v>13730000</v>
          </cell>
          <cell r="AG267" t="str">
            <v xml:space="preserve">CIF </v>
          </cell>
        </row>
        <row r="268">
          <cell r="C268" t="str">
            <v>C49SZX20180136JY</v>
          </cell>
          <cell r="Y268">
            <v>14695500</v>
          </cell>
          <cell r="AG268" t="str">
            <v>DAP深圳</v>
          </cell>
        </row>
        <row r="269">
          <cell r="C269" t="str">
            <v>C49SZX20180136JY</v>
          </cell>
          <cell r="Y269">
            <v>14695500</v>
          </cell>
          <cell r="AG269" t="str">
            <v>DAP深圳</v>
          </cell>
        </row>
        <row r="270">
          <cell r="C270" t="str">
            <v>C49SZX20180137DZ</v>
          </cell>
          <cell r="Y270">
            <v>17407500</v>
          </cell>
          <cell r="AG270" t="str">
            <v>CIF</v>
          </cell>
        </row>
        <row r="271">
          <cell r="C271" t="str">
            <v>C49SZX20180137DZ</v>
          </cell>
          <cell r="Y271">
            <v>17407500</v>
          </cell>
          <cell r="AG271" t="str">
            <v>CIF</v>
          </cell>
        </row>
        <row r="272">
          <cell r="C272" t="str">
            <v>C49SZX20180138RY</v>
          </cell>
          <cell r="Y272">
            <v>12724000</v>
          </cell>
          <cell r="AG272" t="str">
            <v>DAP 深圳</v>
          </cell>
        </row>
        <row r="273">
          <cell r="C273" t="str">
            <v>C49SZX20180139RY</v>
          </cell>
          <cell r="Y273">
            <v>12724000</v>
          </cell>
          <cell r="AG273" t="str">
            <v>DAP 深圳</v>
          </cell>
        </row>
        <row r="274">
          <cell r="C274" t="str">
            <v>C49SZX20180140SS</v>
          </cell>
          <cell r="Y274">
            <v>14856000</v>
          </cell>
          <cell r="AG274" t="str">
            <v>DAP 深圳</v>
          </cell>
        </row>
        <row r="275">
          <cell r="C275" t="str">
            <v>C49SZX20180140SS</v>
          </cell>
          <cell r="Y275">
            <v>14856000</v>
          </cell>
          <cell r="AG275" t="str">
            <v>DAP 深圳</v>
          </cell>
        </row>
        <row r="276">
          <cell r="C276" t="str">
            <v>C49SZX20180143KW</v>
          </cell>
          <cell r="Y276">
            <v>10500000</v>
          </cell>
          <cell r="AG276" t="str">
            <v>CIF</v>
          </cell>
        </row>
        <row r="277">
          <cell r="C277" t="str">
            <v>C49SZX20180145MZ</v>
          </cell>
          <cell r="Y277">
            <v>9175000</v>
          </cell>
          <cell r="AG277" t="str">
            <v>CIF</v>
          </cell>
        </row>
        <row r="278">
          <cell r="C278" t="str">
            <v>C49SZX20180149JY</v>
          </cell>
          <cell r="Y278">
            <v>793000</v>
          </cell>
          <cell r="AG278" t="str">
            <v>含税到厂</v>
          </cell>
        </row>
        <row r="279">
          <cell r="C279" t="str">
            <v>C49SZX20180150JY</v>
          </cell>
          <cell r="Y279">
            <v>8800000</v>
          </cell>
          <cell r="AG279" t="str">
            <v>DAP 深圳</v>
          </cell>
        </row>
        <row r="280">
          <cell r="C280" t="str">
            <v>C49SZX20180150JY</v>
          </cell>
          <cell r="Y280">
            <v>8800000</v>
          </cell>
          <cell r="AG280" t="str">
            <v>DAP 深圳</v>
          </cell>
        </row>
        <row r="281">
          <cell r="C281" t="str">
            <v>C49SZX20180151SS</v>
          </cell>
          <cell r="Y281">
            <v>1570000</v>
          </cell>
          <cell r="AG281" t="str">
            <v>含税到厂</v>
          </cell>
        </row>
        <row r="282">
          <cell r="C282" t="str">
            <v>CEE-1809039</v>
          </cell>
          <cell r="Y282">
            <v>420000</v>
          </cell>
          <cell r="AG282" t="str">
            <v>CIF</v>
          </cell>
        </row>
        <row r="283">
          <cell r="C283" t="str">
            <v>CT0218053</v>
          </cell>
          <cell r="Y283">
            <v>24000000</v>
          </cell>
          <cell r="AG283" t="str">
            <v xml:space="preserve">CIF </v>
          </cell>
        </row>
        <row r="284">
          <cell r="C284" t="str">
            <v>EESPI180418</v>
          </cell>
          <cell r="Y284">
            <v>348406.5</v>
          </cell>
          <cell r="AG284" t="str">
            <v>DDP GX</v>
          </cell>
        </row>
        <row r="285">
          <cell r="C285" t="str">
            <v>ESDEPQ18010028</v>
          </cell>
          <cell r="Y285">
            <v>26642000</v>
          </cell>
          <cell r="AG285" t="str">
            <v>DAP</v>
          </cell>
        </row>
        <row r="286">
          <cell r="C286" t="str">
            <v>ESDEPQ18010028</v>
          </cell>
          <cell r="Y286">
            <v>26642000</v>
          </cell>
          <cell r="AG286" t="str">
            <v>DAP</v>
          </cell>
        </row>
        <row r="287">
          <cell r="C287" t="str">
            <v>HXOM2020180426001</v>
          </cell>
          <cell r="Y287">
            <v>793373</v>
          </cell>
          <cell r="AG287" t="str">
            <v>DDP HB</v>
          </cell>
        </row>
        <row r="288">
          <cell r="C288" t="str">
            <v>P81804003</v>
          </cell>
          <cell r="Y288">
            <v>440339</v>
          </cell>
          <cell r="AG288" t="str">
            <v>CIF</v>
          </cell>
        </row>
        <row r="289">
          <cell r="C289" t="str">
            <v>P8544EQYM44</v>
          </cell>
          <cell r="Y289">
            <v>7100000</v>
          </cell>
          <cell r="AG289" t="str">
            <v xml:space="preserve">CIF  </v>
          </cell>
        </row>
        <row r="290">
          <cell r="C290" t="str">
            <v>PR-GL02-201712140002</v>
          </cell>
          <cell r="Y290">
            <v>941880</v>
          </cell>
          <cell r="AG290" t="str">
            <v>含税到厂</v>
          </cell>
        </row>
        <row r="291">
          <cell r="C291" t="str">
            <v>PR-HZ02-201711300001</v>
          </cell>
          <cell r="Y291">
            <v>1470000</v>
          </cell>
          <cell r="AG291" t="str">
            <v>含税到厂</v>
          </cell>
        </row>
        <row r="292">
          <cell r="C292" t="str">
            <v>PR-HZ02-201711300001 </v>
          </cell>
          <cell r="Y292">
            <v>1177179</v>
          </cell>
          <cell r="AG292" t="str">
            <v>含税到厂</v>
          </cell>
        </row>
        <row r="293">
          <cell r="C293" t="str">
            <v>SPA20180209120</v>
          </cell>
          <cell r="Y293">
            <v>540000</v>
          </cell>
          <cell r="AG293" t="str">
            <v>含税到厂</v>
          </cell>
        </row>
        <row r="294">
          <cell r="C294" t="str">
            <v>TH-PG1507A-1</v>
          </cell>
          <cell r="Y294">
            <v>275000</v>
          </cell>
          <cell r="AG294"/>
        </row>
        <row r="295">
          <cell r="C295" t="str">
            <v>SDPUR-20180047</v>
          </cell>
          <cell r="Y295">
            <v>757875</v>
          </cell>
          <cell r="AG295" t="str">
            <v>含税到厂</v>
          </cell>
        </row>
        <row r="296">
          <cell r="C296" t="str">
            <v>SDPUR-20180047</v>
          </cell>
          <cell r="Y296">
            <v>757875</v>
          </cell>
          <cell r="AG296" t="str">
            <v>含税到厂</v>
          </cell>
        </row>
        <row r="297">
          <cell r="C297" t="str">
            <v>GCB20180928002</v>
          </cell>
          <cell r="Y297">
            <v>380000</v>
          </cell>
          <cell r="AG297" t="str">
            <v>含税到厂</v>
          </cell>
        </row>
        <row r="298">
          <cell r="C298" t="str">
            <v>C49SZX20180152ZX</v>
          </cell>
          <cell r="Y298">
            <v>9000000</v>
          </cell>
          <cell r="AG298" t="str">
            <v>CIF</v>
          </cell>
        </row>
        <row r="299">
          <cell r="C299" t="str">
            <v>C49SZX20180152ZX</v>
          </cell>
          <cell r="Y299">
            <v>14000000</v>
          </cell>
          <cell r="AG299" t="str">
            <v>CIF</v>
          </cell>
        </row>
        <row r="300">
          <cell r="C300" t="str">
            <v>C49SZX20180152ZX</v>
          </cell>
          <cell r="Y300">
            <v>14000000</v>
          </cell>
          <cell r="AG300" t="str">
            <v>CIF</v>
          </cell>
        </row>
        <row r="301">
          <cell r="C301" t="str">
            <v>201809200146</v>
          </cell>
          <cell r="Y301">
            <v>898000</v>
          </cell>
          <cell r="AG301" t="str">
            <v>含税到厂</v>
          </cell>
        </row>
        <row r="302">
          <cell r="C302" t="str">
            <v>C49SZX20180158ZX</v>
          </cell>
          <cell r="Y302">
            <v>16250000</v>
          </cell>
          <cell r="AG302" t="str">
            <v>DAP 深圳</v>
          </cell>
        </row>
        <row r="303">
          <cell r="C303" t="str">
            <v>C49SZX20180156SX</v>
          </cell>
          <cell r="Y303">
            <v>14140000</v>
          </cell>
          <cell r="AG303" t="str">
            <v>DAP 广州</v>
          </cell>
        </row>
        <row r="304">
          <cell r="C304" t="str">
            <v>C49SZX20180156SX</v>
          </cell>
          <cell r="Y304">
            <v>14140000</v>
          </cell>
          <cell r="AG304" t="str">
            <v>DAP 广州</v>
          </cell>
        </row>
        <row r="305">
          <cell r="C305" t="str">
            <v>C49SZX20180162SS</v>
          </cell>
          <cell r="Y305">
            <v>1600000</v>
          </cell>
          <cell r="AG305" t="str">
            <v>含税到厂</v>
          </cell>
        </row>
        <row r="306">
          <cell r="C306" t="str">
            <v>C49SZX20180162SS</v>
          </cell>
          <cell r="Y306">
            <v>1600000</v>
          </cell>
          <cell r="AG306" t="str">
            <v>含税到厂</v>
          </cell>
        </row>
        <row r="307">
          <cell r="C307" t="str">
            <v>C49SZX20180165ZX</v>
          </cell>
          <cell r="Y307">
            <v>12500000</v>
          </cell>
          <cell r="AG307" t="str">
            <v>DAP 深圳</v>
          </cell>
        </row>
        <row r="308">
          <cell r="C308" t="str">
            <v>C49SZX20180167DZ</v>
          </cell>
          <cell r="Y308">
            <v>15500000</v>
          </cell>
          <cell r="AG308" t="str">
            <v>CIF</v>
          </cell>
        </row>
        <row r="309">
          <cell r="C309" t="str">
            <v>C49SZX20180167DZ</v>
          </cell>
          <cell r="Y309">
            <v>15500000</v>
          </cell>
          <cell r="AG309" t="str">
            <v>CIF</v>
          </cell>
        </row>
        <row r="310">
          <cell r="C310" t="str">
            <v>C49SZX20180167DZ</v>
          </cell>
          <cell r="Y310">
            <v>15500000</v>
          </cell>
          <cell r="AG310" t="str">
            <v>CIF</v>
          </cell>
        </row>
        <row r="311">
          <cell r="C311" t="str">
            <v>C49SZX20180167DZ</v>
          </cell>
          <cell r="Y311">
            <v>15500000</v>
          </cell>
          <cell r="AG311" t="str">
            <v>CIF</v>
          </cell>
        </row>
        <row r="312">
          <cell r="C312" t="str">
            <v>C49SZX20180167DZ</v>
          </cell>
          <cell r="Y312">
            <v>12882566</v>
          </cell>
          <cell r="AG312" t="str">
            <v>CIF</v>
          </cell>
        </row>
        <row r="313">
          <cell r="C313" t="str">
            <v>C49SZX20180167DZ</v>
          </cell>
          <cell r="Y313">
            <v>12882566</v>
          </cell>
          <cell r="AG313" t="str">
            <v>CIF</v>
          </cell>
        </row>
        <row r="314">
          <cell r="C314" t="str">
            <v>C49SZX20180167DZ</v>
          </cell>
          <cell r="Y314">
            <v>12882566</v>
          </cell>
          <cell r="AG314" t="str">
            <v>CIF</v>
          </cell>
        </row>
        <row r="315">
          <cell r="C315" t="str">
            <v>C49SZX20180167DZ</v>
          </cell>
          <cell r="Y315">
            <v>12882566</v>
          </cell>
          <cell r="AG315" t="str">
            <v>CIF</v>
          </cell>
        </row>
        <row r="316">
          <cell r="C316" t="str">
            <v>C49SZX20180167DZ</v>
          </cell>
          <cell r="Y316">
            <v>12882566</v>
          </cell>
          <cell r="AG316" t="str">
            <v>CIF</v>
          </cell>
        </row>
        <row r="317">
          <cell r="C317" t="str">
            <v>C49SZX20180167DZ</v>
          </cell>
          <cell r="Y317">
            <v>12882566</v>
          </cell>
          <cell r="AG317" t="str">
            <v>CIF</v>
          </cell>
        </row>
        <row r="318">
          <cell r="C318" t="str">
            <v>C49SZX20180167DZ</v>
          </cell>
          <cell r="Y318">
            <v>12882566</v>
          </cell>
          <cell r="AG318" t="str">
            <v>CIF</v>
          </cell>
        </row>
        <row r="319">
          <cell r="C319" t="str">
            <v>C49SZX20180166ZX</v>
          </cell>
          <cell r="Y319">
            <v>12875000</v>
          </cell>
          <cell r="AG319" t="str">
            <v>DAP</v>
          </cell>
        </row>
        <row r="320">
          <cell r="C320" t="str">
            <v>C49SZX20180166ZX</v>
          </cell>
          <cell r="Y320">
            <v>12875000</v>
          </cell>
          <cell r="AG320" t="str">
            <v>DAP</v>
          </cell>
        </row>
        <row r="321">
          <cell r="C321" t="str">
            <v>"201810180046</v>
          </cell>
          <cell r="Y321">
            <v>445000</v>
          </cell>
          <cell r="AG321" t="str">
            <v>含税到厂</v>
          </cell>
        </row>
        <row r="322">
          <cell r="C322" t="str">
            <v>C28SZX20180075YY</v>
          </cell>
          <cell r="Y322">
            <v>310000</v>
          </cell>
          <cell r="AG322" t="str">
            <v>含税到厂</v>
          </cell>
        </row>
        <row r="323">
          <cell r="C323" t="str">
            <v>C49SZX20180154JL</v>
          </cell>
          <cell r="Y323">
            <v>14000000</v>
          </cell>
          <cell r="AG323" t="str">
            <v>DAP东莞</v>
          </cell>
        </row>
        <row r="324">
          <cell r="C324" t="str">
            <v>C49SZX20180154JL</v>
          </cell>
          <cell r="Y324">
            <v>14000000</v>
          </cell>
          <cell r="AG324" t="str">
            <v>DAP东莞</v>
          </cell>
        </row>
        <row r="325">
          <cell r="C325" t="str">
            <v>C49SZX20180154JL</v>
          </cell>
          <cell r="Y325">
            <v>14000000</v>
          </cell>
          <cell r="AG325" t="str">
            <v>DAP东莞</v>
          </cell>
        </row>
        <row r="326">
          <cell r="C326" t="str">
            <v>C49SZX20180154JL</v>
          </cell>
          <cell r="Y326">
            <v>14000000</v>
          </cell>
          <cell r="AG326" t="str">
            <v>DAP东莞</v>
          </cell>
        </row>
        <row r="327">
          <cell r="C327" t="str">
            <v>C49SZX20180154JL</v>
          </cell>
          <cell r="Y327">
            <v>14000000</v>
          </cell>
          <cell r="AG327" t="str">
            <v>DAP东莞</v>
          </cell>
        </row>
        <row r="328">
          <cell r="C328" t="str">
            <v>C49SZX20180154JL</v>
          </cell>
          <cell r="Y328">
            <v>14000000</v>
          </cell>
          <cell r="AG328" t="str">
            <v>DAP东莞</v>
          </cell>
        </row>
        <row r="329">
          <cell r="C329" t="str">
            <v>C49SZX20180154JL</v>
          </cell>
          <cell r="Y329">
            <v>10500000</v>
          </cell>
          <cell r="AG329" t="str">
            <v>DAP东莞</v>
          </cell>
        </row>
        <row r="330">
          <cell r="C330" t="str">
            <v>C49SZX20180154JL</v>
          </cell>
          <cell r="Y330">
            <v>10500000</v>
          </cell>
          <cell r="AG330" t="str">
            <v>DAP东莞</v>
          </cell>
        </row>
        <row r="331">
          <cell r="C331" t="str">
            <v>C49SZX20180154JL</v>
          </cell>
          <cell r="Y331">
            <v>10500000</v>
          </cell>
          <cell r="AG331" t="str">
            <v>DAP东莞</v>
          </cell>
        </row>
        <row r="332">
          <cell r="C332" t="str">
            <v>C49SZX20180154JL</v>
          </cell>
          <cell r="Y332">
            <v>10500000</v>
          </cell>
          <cell r="AG332" t="str">
            <v>DAP东莞</v>
          </cell>
        </row>
        <row r="333">
          <cell r="C333" t="str">
            <v>C49SZX20180171JY</v>
          </cell>
          <cell r="Y333">
            <v>8600000</v>
          </cell>
          <cell r="AG333" t="str">
            <v>DAP深圳</v>
          </cell>
        </row>
        <row r="334">
          <cell r="C334" t="str">
            <v>C49SZX20180172ZX</v>
          </cell>
          <cell r="Y334">
            <v>11000000</v>
          </cell>
          <cell r="AG334" t="str">
            <v>DAP深圳</v>
          </cell>
        </row>
        <row r="335">
          <cell r="C335" t="str">
            <v>C49SZX20180173ZX</v>
          </cell>
          <cell r="Y335">
            <v>12500000</v>
          </cell>
          <cell r="AG335" t="str">
            <v>DAP深圳</v>
          </cell>
        </row>
        <row r="336">
          <cell r="C336" t="str">
            <v>C49SZX20180176SX</v>
          </cell>
          <cell r="Y336">
            <v>16151975</v>
          </cell>
          <cell r="AG336" t="str">
            <v>DAP东莞</v>
          </cell>
        </row>
        <row r="337">
          <cell r="C337" t="str">
            <v>C49SZX20180175SX</v>
          </cell>
          <cell r="Y337">
            <v>14483672.5</v>
          </cell>
          <cell r="AG337" t="str">
            <v>DAP深圳</v>
          </cell>
        </row>
        <row r="338">
          <cell r="C338" t="str">
            <v>C49SZX20180175SX</v>
          </cell>
          <cell r="Y338">
            <v>14483672.5</v>
          </cell>
          <cell r="AG338" t="str">
            <v>DAP深圳</v>
          </cell>
        </row>
        <row r="339">
          <cell r="C339" t="str">
            <v>C49SZX20180180ZX</v>
          </cell>
          <cell r="Y339">
            <v>10000000</v>
          </cell>
          <cell r="AG339" t="str">
            <v>DAP深圳</v>
          </cell>
        </row>
        <row r="340">
          <cell r="C340" t="str">
            <v>C49SZX20180161RY</v>
          </cell>
          <cell r="Y340">
            <v>9766000</v>
          </cell>
          <cell r="AG340" t="str">
            <v>DAP深圳</v>
          </cell>
        </row>
        <row r="341">
          <cell r="C341" t="str">
            <v>C49SZX20180185ZX</v>
          </cell>
          <cell r="Y341">
            <v>1000000</v>
          </cell>
          <cell r="AG341" t="str">
            <v>含税到厂</v>
          </cell>
        </row>
        <row r="342">
          <cell r="C342" t="str">
            <v>C49SZX20180183RW</v>
          </cell>
          <cell r="Y342">
            <v>12500000</v>
          </cell>
          <cell r="AG342" t="str">
            <v>CIF</v>
          </cell>
        </row>
        <row r="343">
          <cell r="C343" t="str">
            <v>C49SZX20180183RW</v>
          </cell>
          <cell r="Y343">
            <v>12500000</v>
          </cell>
          <cell r="AG343" t="str">
            <v>CIF</v>
          </cell>
        </row>
        <row r="344">
          <cell r="C344" t="str">
            <v>C49SZX20180184RW</v>
          </cell>
          <cell r="Y344">
            <v>12500000</v>
          </cell>
          <cell r="AG344" t="str">
            <v>CIF</v>
          </cell>
        </row>
        <row r="345">
          <cell r="C345" t="str">
            <v>C49SZX20180184RW</v>
          </cell>
          <cell r="Y345">
            <v>12500000</v>
          </cell>
          <cell r="AG345" t="str">
            <v>CIF</v>
          </cell>
        </row>
        <row r="346">
          <cell r="C346" t="str">
            <v>C49SZX20180184RW</v>
          </cell>
          <cell r="Y346">
            <v>12500000</v>
          </cell>
          <cell r="AG346" t="str">
            <v>CIF</v>
          </cell>
        </row>
        <row r="347">
          <cell r="C347" t="str">
            <v>C49SZX20180184RW</v>
          </cell>
          <cell r="Y347">
            <v>12500000</v>
          </cell>
          <cell r="AG347" t="str">
            <v>CIF</v>
          </cell>
        </row>
        <row r="348">
          <cell r="C348" t="str">
            <v>C49SZX20180177JL</v>
          </cell>
          <cell r="Y348">
            <v>12260000</v>
          </cell>
          <cell r="AG348" t="str">
            <v>CIF</v>
          </cell>
        </row>
        <row r="349">
          <cell r="C349" t="str">
            <v>C49SZX20180177JL</v>
          </cell>
          <cell r="Y349">
            <v>8000000</v>
          </cell>
          <cell r="AG349" t="str">
            <v>CIF</v>
          </cell>
        </row>
        <row r="350">
          <cell r="C350" t="str">
            <v>C49SZX20180177JL</v>
          </cell>
          <cell r="Y350">
            <v>12260000</v>
          </cell>
          <cell r="AG350" t="str">
            <v>CIF</v>
          </cell>
        </row>
        <row r="351">
          <cell r="C351" t="str">
            <v>C49SZX20180177JL</v>
          </cell>
          <cell r="Y351">
            <v>8000000</v>
          </cell>
          <cell r="AG351" t="str">
            <v>CIF</v>
          </cell>
        </row>
        <row r="352">
          <cell r="C352" t="str">
            <v>C49SZX20190001JY</v>
          </cell>
          <cell r="Y352">
            <v>16058000</v>
          </cell>
          <cell r="AG352" t="str">
            <v>CIF</v>
          </cell>
        </row>
        <row r="353">
          <cell r="C353" t="str">
            <v>C49SZX20190001JY</v>
          </cell>
          <cell r="Y353">
            <v>16996000</v>
          </cell>
          <cell r="AG353" t="str">
            <v>CIF HK</v>
          </cell>
        </row>
        <row r="354">
          <cell r="C354" t="str">
            <v>C49SZX20190001JY</v>
          </cell>
          <cell r="Y354">
            <v>11500000</v>
          </cell>
          <cell r="AG354" t="str">
            <v>CIF HK</v>
          </cell>
        </row>
        <row r="355">
          <cell r="C355" t="str">
            <v>C49SZX20190001JY</v>
          </cell>
          <cell r="Y355">
            <v>11500000</v>
          </cell>
          <cell r="AG355" t="str">
            <v>CIF HK</v>
          </cell>
        </row>
        <row r="356">
          <cell r="C356" t="str">
            <v>C49SZX20190002JY</v>
          </cell>
          <cell r="Y356">
            <v>15800000</v>
          </cell>
          <cell r="AG356" t="str">
            <v>CIF</v>
          </cell>
        </row>
        <row r="357">
          <cell r="C357" t="str">
            <v>C49SZX20190002JY</v>
          </cell>
          <cell r="Y357">
            <v>15800000</v>
          </cell>
          <cell r="AG357" t="str">
            <v>CIF</v>
          </cell>
        </row>
        <row r="358">
          <cell r="C358" t="str">
            <v>C49SZX20190002JY</v>
          </cell>
          <cell r="Y358">
            <v>10000000</v>
          </cell>
          <cell r="AG358" t="str">
            <v>CIF</v>
          </cell>
        </row>
        <row r="359">
          <cell r="C359" t="str">
            <v>C49SZX20190002JY</v>
          </cell>
          <cell r="Y359">
            <v>10000000</v>
          </cell>
          <cell r="AG359" t="str">
            <v>CIF</v>
          </cell>
        </row>
        <row r="360">
          <cell r="C360" t="str">
            <v>C49SZX20190005SX</v>
          </cell>
          <cell r="Y360">
            <v>848000</v>
          </cell>
          <cell r="AG360" t="str">
            <v>含税到厂</v>
          </cell>
        </row>
        <row r="361">
          <cell r="C361" t="str">
            <v>C49SZX20190006ZX</v>
          </cell>
          <cell r="Y361">
            <v>917500</v>
          </cell>
          <cell r="AG361" t="str">
            <v>含税到厂</v>
          </cell>
        </row>
        <row r="362">
          <cell r="C362" t="str">
            <v>C49SZX20190006ZX</v>
          </cell>
          <cell r="Y362">
            <v>917500</v>
          </cell>
          <cell r="AG362" t="str">
            <v>含税到厂</v>
          </cell>
        </row>
        <row r="363">
          <cell r="C363" t="str">
            <v>C49SZX20190011SX</v>
          </cell>
          <cell r="Y363">
            <v>840000</v>
          </cell>
          <cell r="AG363" t="str">
            <v>含税到厂</v>
          </cell>
        </row>
        <row r="364">
          <cell r="C364" t="str">
            <v>C49SZX20190007JL</v>
          </cell>
          <cell r="Y364">
            <v>9350000</v>
          </cell>
          <cell r="AG364" t="str">
            <v>CIF</v>
          </cell>
        </row>
        <row r="365">
          <cell r="C365" t="str">
            <v>C49SZX20190007JL</v>
          </cell>
          <cell r="Y365">
            <v>9350000</v>
          </cell>
          <cell r="AG365" t="str">
            <v>CIF</v>
          </cell>
        </row>
        <row r="366">
          <cell r="C366" t="str">
            <v>C49SZX20190008JL</v>
          </cell>
          <cell r="Y366">
            <v>9350000</v>
          </cell>
          <cell r="AG366" t="str">
            <v>CIF</v>
          </cell>
        </row>
        <row r="367">
          <cell r="C367" t="str">
            <v>C49SZX20190008JL</v>
          </cell>
          <cell r="Y367">
            <v>9350000</v>
          </cell>
          <cell r="AG367" t="str">
            <v>CIF</v>
          </cell>
        </row>
        <row r="368">
          <cell r="C368" t="str">
            <v>C49SZX20190008JL</v>
          </cell>
          <cell r="Y368">
            <v>9350000</v>
          </cell>
          <cell r="AG368" t="str">
            <v>CIF</v>
          </cell>
        </row>
        <row r="369">
          <cell r="C369" t="str">
            <v>C49SZX20190008JL</v>
          </cell>
          <cell r="Y369">
            <v>9350000</v>
          </cell>
          <cell r="AG369" t="str">
            <v>CIF</v>
          </cell>
        </row>
        <row r="370">
          <cell r="C370" t="str">
            <v>C49SZX20190008JL</v>
          </cell>
          <cell r="Y370">
            <v>9350000</v>
          </cell>
          <cell r="AG370" t="str">
            <v>CIF</v>
          </cell>
        </row>
        <row r="371">
          <cell r="C371" t="str">
            <v>C49SZX20190008JL</v>
          </cell>
          <cell r="Y371">
            <v>9350000</v>
          </cell>
          <cell r="AG371" t="str">
            <v>CIF</v>
          </cell>
        </row>
        <row r="372">
          <cell r="C372" t="str">
            <v>C49SZX20190009SS</v>
          </cell>
          <cell r="Y372">
            <v>14304539</v>
          </cell>
          <cell r="AG372" t="str">
            <v>DAP 深圳</v>
          </cell>
        </row>
        <row r="373">
          <cell r="C373" t="str">
            <v>C49SZX20190009SS</v>
          </cell>
          <cell r="Y373">
            <v>10000000</v>
          </cell>
          <cell r="AG373" t="str">
            <v>DAP 深圳</v>
          </cell>
        </row>
        <row r="374">
          <cell r="C374" t="str">
            <v>C49SZX20190012SX</v>
          </cell>
          <cell r="Y374">
            <v>14626800</v>
          </cell>
          <cell r="AG374" t="str">
            <v>DAP 江西</v>
          </cell>
        </row>
        <row r="375">
          <cell r="C375" t="str">
            <v>GF201812050</v>
          </cell>
          <cell r="Y375">
            <v>350000</v>
          </cell>
          <cell r="AG375" t="str">
            <v>含税到厂</v>
          </cell>
        </row>
        <row r="376">
          <cell r="C376" t="str">
            <v>GF201812050</v>
          </cell>
          <cell r="Y376">
            <v>6500</v>
          </cell>
          <cell r="AG376" t="str">
            <v>含税到厂</v>
          </cell>
        </row>
        <row r="377">
          <cell r="C377" t="str">
            <v>GF201812050</v>
          </cell>
          <cell r="Y377">
            <v>9500</v>
          </cell>
          <cell r="AG377" t="str">
            <v>含税到厂</v>
          </cell>
        </row>
        <row r="378">
          <cell r="C378" t="str">
            <v>C49SZX20190013DZ</v>
          </cell>
          <cell r="Y378">
            <v>12770000</v>
          </cell>
          <cell r="AG378" t="str">
            <v xml:space="preserve">CIF </v>
          </cell>
        </row>
        <row r="379">
          <cell r="C379" t="str">
            <v>C49SZX20190013DZ</v>
          </cell>
          <cell r="Y379">
            <v>12770000</v>
          </cell>
          <cell r="AG379" t="str">
            <v xml:space="preserve">CIF </v>
          </cell>
        </row>
        <row r="380">
          <cell r="C380" t="str">
            <v>C49SZX20190013DZ</v>
          </cell>
          <cell r="Y380">
            <v>12770000</v>
          </cell>
          <cell r="AG380" t="str">
            <v xml:space="preserve">CIF </v>
          </cell>
        </row>
        <row r="381">
          <cell r="C381" t="str">
            <v>C49SZX20190014DZ</v>
          </cell>
          <cell r="Y381">
            <v>12770000</v>
          </cell>
          <cell r="AG381" t="str">
            <v xml:space="preserve">CIF </v>
          </cell>
        </row>
        <row r="382">
          <cell r="C382" t="str">
            <v>C49SZX20190014DZ</v>
          </cell>
          <cell r="Y382">
            <v>12770000</v>
          </cell>
          <cell r="AG382" t="str">
            <v xml:space="preserve">CIF </v>
          </cell>
        </row>
        <row r="383">
          <cell r="C383" t="str">
            <v>C49SZX20190014DZ</v>
          </cell>
          <cell r="Y383">
            <v>12770000</v>
          </cell>
          <cell r="AG383" t="str">
            <v xml:space="preserve">CIF </v>
          </cell>
        </row>
        <row r="384">
          <cell r="C384" t="str">
            <v>C49SZX20190016KW</v>
          </cell>
          <cell r="Y384">
            <v>621000</v>
          </cell>
          <cell r="AG384" t="str">
            <v>DAP 深圳</v>
          </cell>
        </row>
        <row r="385">
          <cell r="C385" t="str">
            <v>C49SZX20190016KW</v>
          </cell>
          <cell r="Y385">
            <v>552000</v>
          </cell>
          <cell r="AG385" t="str">
            <v>DAP 深圳</v>
          </cell>
        </row>
        <row r="386">
          <cell r="C386" t="str">
            <v>C49SZX20190016KW</v>
          </cell>
          <cell r="Y386">
            <v>552000</v>
          </cell>
          <cell r="AG386" t="str">
            <v>DAP 深圳</v>
          </cell>
        </row>
        <row r="387">
          <cell r="C387" t="str">
            <v>C49SZX20190019SX</v>
          </cell>
          <cell r="Y387">
            <v>9696000</v>
          </cell>
          <cell r="AG387" t="str">
            <v>DAP 深圳</v>
          </cell>
        </row>
        <row r="388">
          <cell r="C388" t="str">
            <v>C49SZX20190021JL</v>
          </cell>
          <cell r="Y388">
            <v>833000</v>
          </cell>
          <cell r="AG388" t="str">
            <v>含税到厂</v>
          </cell>
        </row>
        <row r="389">
          <cell r="C389" t="str">
            <v>C49SZX20190022SS</v>
          </cell>
          <cell r="Y389">
            <v>16000000</v>
          </cell>
          <cell r="AG389" t="str">
            <v>DAP 深圳</v>
          </cell>
        </row>
        <row r="390">
          <cell r="C390" t="str">
            <v>C49SZX20190024JL</v>
          </cell>
          <cell r="Y390">
            <v>10208000</v>
          </cell>
          <cell r="AG390" t="str">
            <v>CIF</v>
          </cell>
        </row>
        <row r="391">
          <cell r="C391" t="str">
            <v>C49SZX20190024JL</v>
          </cell>
          <cell r="Y391">
            <v>10208000</v>
          </cell>
          <cell r="AG391" t="str">
            <v>CIF</v>
          </cell>
        </row>
        <row r="392">
          <cell r="C392" t="str">
            <v>C49SZX20190024JL</v>
          </cell>
          <cell r="Y392">
            <v>10208000</v>
          </cell>
          <cell r="AG392" t="str">
            <v>CIF</v>
          </cell>
        </row>
        <row r="393">
          <cell r="C393" t="str">
            <v>C49SZX20190023SS</v>
          </cell>
          <cell r="Y393">
            <v>8420000</v>
          </cell>
          <cell r="AG393" t="str">
            <v>DAP 深圳</v>
          </cell>
        </row>
        <row r="394">
          <cell r="C394" t="str">
            <v>C49SZX20190023SS</v>
          </cell>
          <cell r="Y394">
            <v>8420000</v>
          </cell>
          <cell r="AG394" t="str">
            <v>DAP 深圳</v>
          </cell>
        </row>
        <row r="395">
          <cell r="C395" t="str">
            <v>C49SZX20190031MZ</v>
          </cell>
          <cell r="Y395">
            <v>13200000</v>
          </cell>
          <cell r="AG395" t="str">
            <v>CIF HK</v>
          </cell>
        </row>
        <row r="396">
          <cell r="C396" t="str">
            <v>C49SZX20190031MZ</v>
          </cell>
          <cell r="Y396">
            <v>13200000</v>
          </cell>
          <cell r="AG396" t="str">
            <v>CIF HK</v>
          </cell>
        </row>
        <row r="397">
          <cell r="C397" t="str">
            <v>C49SZX20190031MZ</v>
          </cell>
          <cell r="Y397">
            <v>9400000</v>
          </cell>
          <cell r="AG397" t="str">
            <v>CIF HK</v>
          </cell>
        </row>
        <row r="398">
          <cell r="C398" t="str">
            <v>C49SZX20190031MZ</v>
          </cell>
          <cell r="Y398">
            <v>9400000</v>
          </cell>
          <cell r="AG398" t="str">
            <v>CIF HK</v>
          </cell>
        </row>
        <row r="399">
          <cell r="C399" t="str">
            <v>C49SZX20190030SX</v>
          </cell>
          <cell r="Y399">
            <v>10538640</v>
          </cell>
          <cell r="AG399" t="str">
            <v>DAP惠阳</v>
          </cell>
        </row>
        <row r="400">
          <cell r="C400" t="str">
            <v>C28SZX20190001YY</v>
          </cell>
          <cell r="Y400">
            <v>260000</v>
          </cell>
          <cell r="AG400" t="str">
            <v>含税到厂</v>
          </cell>
        </row>
        <row r="401">
          <cell r="C401" t="str">
            <v>C49SZX20190026ZX</v>
          </cell>
          <cell r="Y401">
            <v>17200000</v>
          </cell>
          <cell r="AG401" t="str">
            <v>DAP SZ</v>
          </cell>
        </row>
        <row r="402">
          <cell r="C402" t="str">
            <v>C49SZX20190029ZX</v>
          </cell>
          <cell r="Y402">
            <v>13000000</v>
          </cell>
          <cell r="AG402" t="str">
            <v>DAP 东莞</v>
          </cell>
        </row>
        <row r="403">
          <cell r="C403" t="str">
            <v>C49SZX20190027MZ</v>
          </cell>
          <cell r="Y403">
            <v>15000000</v>
          </cell>
          <cell r="AG403" t="str">
            <v>DAP 深圳</v>
          </cell>
        </row>
        <row r="404">
          <cell r="C404" t="str">
            <v>C49SZX20190027MZ</v>
          </cell>
          <cell r="Y404">
            <v>12000000</v>
          </cell>
          <cell r="AG404" t="str">
            <v>DAP 深圳</v>
          </cell>
        </row>
        <row r="405">
          <cell r="C405" t="str">
            <v>C49SZX20190028MZ</v>
          </cell>
          <cell r="Y405">
            <v>15000000</v>
          </cell>
          <cell r="AG405" t="str">
            <v>DAP 深圳</v>
          </cell>
        </row>
        <row r="406">
          <cell r="C406" t="str">
            <v>C49SZX20190028MZ</v>
          </cell>
          <cell r="Y406">
            <v>15000000</v>
          </cell>
          <cell r="AG406" t="str">
            <v>DAP 深圳</v>
          </cell>
        </row>
        <row r="407">
          <cell r="C407" t="str">
            <v>C49SZX20190028MZ</v>
          </cell>
          <cell r="Y407">
            <v>15000000</v>
          </cell>
          <cell r="AG407" t="str">
            <v>DAP 深圳</v>
          </cell>
        </row>
        <row r="408">
          <cell r="C408" t="str">
            <v>C49SZX20190028MZ</v>
          </cell>
          <cell r="Y408">
            <v>12000000</v>
          </cell>
          <cell r="AG408" t="str">
            <v>DAP 深圳</v>
          </cell>
        </row>
        <row r="409">
          <cell r="C409" t="str">
            <v>C49SZX20190028MZ</v>
          </cell>
          <cell r="Y409">
            <v>12000000</v>
          </cell>
          <cell r="AG409" t="str">
            <v>DAP 深圳</v>
          </cell>
        </row>
        <row r="410">
          <cell r="C410" t="str">
            <v>C49SZX20190028MZ</v>
          </cell>
          <cell r="Y410">
            <v>12000000</v>
          </cell>
          <cell r="AG410" t="str">
            <v>DAP 深圳</v>
          </cell>
        </row>
        <row r="411">
          <cell r="C411" t="str">
            <v>C28BJS20190018LY</v>
          </cell>
          <cell r="Y411">
            <v>380000</v>
          </cell>
          <cell r="AG411" t="str">
            <v>含税到厂</v>
          </cell>
        </row>
        <row r="412">
          <cell r="C412" t="str">
            <v>C49SZX20190037RW</v>
          </cell>
          <cell r="Y412">
            <v>12786600</v>
          </cell>
          <cell r="AG412" t="str">
            <v>DAP 深圳</v>
          </cell>
        </row>
        <row r="413">
          <cell r="C413" t="str">
            <v>C49SZX20190038RW</v>
          </cell>
          <cell r="Y413">
            <v>12786600</v>
          </cell>
          <cell r="AG413" t="str">
            <v>DAP 深圳</v>
          </cell>
        </row>
        <row r="414">
          <cell r="C414" t="str">
            <v>C49SZX20190035ZX</v>
          </cell>
          <cell r="Y414">
            <v>10000000</v>
          </cell>
          <cell r="AG414" t="str">
            <v>DAP 深圳</v>
          </cell>
        </row>
        <row r="415">
          <cell r="C415" t="str">
            <v>C49SZX20190035ZX</v>
          </cell>
          <cell r="Y415">
            <v>13000000</v>
          </cell>
          <cell r="AG415" t="str">
            <v>DAP 深圳</v>
          </cell>
        </row>
        <row r="416">
          <cell r="C416" t="str">
            <v>C49SZX20190032SX</v>
          </cell>
          <cell r="Y416">
            <v>12293400</v>
          </cell>
          <cell r="AG416" t="str">
            <v>DAP 深圳</v>
          </cell>
        </row>
        <row r="417">
          <cell r="C417" t="str">
            <v>C49SZX20190032SX</v>
          </cell>
          <cell r="Y417">
            <v>9563000</v>
          </cell>
          <cell r="AG417" t="str">
            <v>DAP 深圳</v>
          </cell>
        </row>
        <row r="418">
          <cell r="C418" t="str">
            <v>C49SZX20190046SX</v>
          </cell>
          <cell r="Y418">
            <v>12342400</v>
          </cell>
          <cell r="AG418" t="str">
            <v>DAP 深圳</v>
          </cell>
        </row>
        <row r="419">
          <cell r="C419" t="str">
            <v>C49SZX20190045SS</v>
          </cell>
          <cell r="Y419">
            <v>14300000</v>
          </cell>
          <cell r="AG419" t="str">
            <v>DAP 深圳</v>
          </cell>
        </row>
        <row r="420">
          <cell r="C420" t="str">
            <v>C49SZX20190025SX</v>
          </cell>
          <cell r="Y420">
            <v>12320000</v>
          </cell>
          <cell r="AG420" t="str">
            <v>DAP 深圳</v>
          </cell>
        </row>
        <row r="421">
          <cell r="C421" t="str">
            <v>C49SZX20190025SX</v>
          </cell>
          <cell r="Y421">
            <v>12320000</v>
          </cell>
          <cell r="AG421" t="str">
            <v>DAP 深圳</v>
          </cell>
        </row>
        <row r="422">
          <cell r="C422" t="str">
            <v>C49SZX20190040JL</v>
          </cell>
          <cell r="Y422">
            <v>10200000</v>
          </cell>
          <cell r="AG422" t="str">
            <v>CIF HK</v>
          </cell>
        </row>
        <row r="423">
          <cell r="C423" t="str">
            <v>C49SZX20190040JL</v>
          </cell>
          <cell r="Y423">
            <v>10200000</v>
          </cell>
          <cell r="AG423" t="str">
            <v>CIF HK</v>
          </cell>
        </row>
        <row r="424">
          <cell r="C424" t="str">
            <v>C49SZX20190041JL</v>
          </cell>
          <cell r="Y424">
            <v>13707000</v>
          </cell>
          <cell r="AG424" t="str">
            <v>CIF HK</v>
          </cell>
        </row>
        <row r="425">
          <cell r="C425" t="str">
            <v>C49SZX20190041JL</v>
          </cell>
          <cell r="Y425">
            <v>13707000</v>
          </cell>
          <cell r="AG425" t="str">
            <v>CIF HK</v>
          </cell>
        </row>
        <row r="426">
          <cell r="C426" t="str">
            <v>C49SZX20190047SS</v>
          </cell>
          <cell r="Y426">
            <v>8920000</v>
          </cell>
          <cell r="AG426" t="str">
            <v>DAP 深圳</v>
          </cell>
        </row>
        <row r="427">
          <cell r="C427" t="str">
            <v>C49SZX20190049SS</v>
          </cell>
          <cell r="Y427">
            <v>9500000</v>
          </cell>
          <cell r="AG427" t="str">
            <v>DAP 深圳</v>
          </cell>
        </row>
        <row r="428">
          <cell r="C428" t="str">
            <v>C49SZX20190043SX</v>
          </cell>
          <cell r="Y428">
            <v>16830000</v>
          </cell>
          <cell r="AG428" t="str">
            <v>DAP 恩平</v>
          </cell>
        </row>
        <row r="429">
          <cell r="C429" t="str">
            <v>C49SZX20190048JY</v>
          </cell>
          <cell r="Y429">
            <v>11110000</v>
          </cell>
          <cell r="AG429" t="str">
            <v>DAP东莞</v>
          </cell>
        </row>
        <row r="430">
          <cell r="C430" t="str">
            <v>C49SZX20190051SS</v>
          </cell>
          <cell r="Y430">
            <v>16500000</v>
          </cell>
          <cell r="AG430" t="str">
            <v>DAP 深圳</v>
          </cell>
        </row>
        <row r="431">
          <cell r="C431" t="str">
            <v>C49SZX20190052SS</v>
          </cell>
          <cell r="Y431">
            <v>14000876</v>
          </cell>
          <cell r="AG431" t="str">
            <v>DAP东莞</v>
          </cell>
        </row>
        <row r="432">
          <cell r="C432" t="str">
            <v>C49SZX20190052SS</v>
          </cell>
          <cell r="Y432">
            <v>8603500</v>
          </cell>
          <cell r="AG432" t="str">
            <v>DAP东莞</v>
          </cell>
        </row>
        <row r="433">
          <cell r="C433" t="str">
            <v>C49SZX20190052SS</v>
          </cell>
          <cell r="Y433">
            <v>8603500</v>
          </cell>
          <cell r="AG433" t="str">
            <v>DAP东莞</v>
          </cell>
        </row>
        <row r="434">
          <cell r="C434" t="str">
            <v>C49SZX20190042JL</v>
          </cell>
          <cell r="Y434">
            <v>15920000</v>
          </cell>
          <cell r="AG434" t="str">
            <v>DAP 深圳</v>
          </cell>
        </row>
        <row r="435">
          <cell r="C435" t="str">
            <v>C49SZX20190058SX</v>
          </cell>
          <cell r="Y435">
            <v>15029975</v>
          </cell>
          <cell r="AG435" t="str">
            <v>DAP SZ</v>
          </cell>
        </row>
        <row r="436">
          <cell r="C436" t="str">
            <v>C49SZX20190059SX</v>
          </cell>
          <cell r="Y436">
            <v>14642375</v>
          </cell>
          <cell r="AG436" t="str">
            <v>DAP 深圳</v>
          </cell>
        </row>
        <row r="437">
          <cell r="C437" t="str">
            <v>C49SZX20190059SX</v>
          </cell>
          <cell r="Y437">
            <v>14642375</v>
          </cell>
          <cell r="AG437" t="str">
            <v>DAP 深圳</v>
          </cell>
        </row>
        <row r="438">
          <cell r="C438" t="str">
            <v>C49SZX20190056RW</v>
          </cell>
          <cell r="Y438">
            <v>12030000</v>
          </cell>
          <cell r="AG438" t="str">
            <v>CIF HK</v>
          </cell>
        </row>
        <row r="439">
          <cell r="C439" t="str">
            <v>C49SZX20190056RW</v>
          </cell>
          <cell r="Y439">
            <v>12030000</v>
          </cell>
          <cell r="AG439" t="str">
            <v>CIF HK</v>
          </cell>
        </row>
        <row r="440">
          <cell r="C440" t="str">
            <v>C49SZX20190054JL</v>
          </cell>
          <cell r="Y440">
            <v>8150000</v>
          </cell>
          <cell r="AG440" t="str">
            <v>DAP 深圳</v>
          </cell>
        </row>
        <row r="441">
          <cell r="C441" t="str">
            <v>C49SZX20190054JL</v>
          </cell>
          <cell r="Y441">
            <v>8150000</v>
          </cell>
          <cell r="AG441" t="str">
            <v>DAP 深圳</v>
          </cell>
        </row>
        <row r="442">
          <cell r="C442" t="str">
            <v>C49SZX20190060DZ</v>
          </cell>
          <cell r="Y442">
            <v>12440000</v>
          </cell>
          <cell r="AG442" t="str">
            <v>CIF HK</v>
          </cell>
        </row>
        <row r="443">
          <cell r="C443" t="str">
            <v>C49SZX20190062ZX</v>
          </cell>
          <cell r="Y443">
            <v>10000000</v>
          </cell>
          <cell r="AG443" t="str">
            <v>DAP 深圳</v>
          </cell>
        </row>
        <row r="444">
          <cell r="C444" t="str">
            <v>C49SZX20190062ZX</v>
          </cell>
          <cell r="Y444">
            <v>10000000</v>
          </cell>
          <cell r="AG444" t="str">
            <v>DAP 深圳</v>
          </cell>
        </row>
        <row r="445">
          <cell r="C445" t="str">
            <v>C49SZX20190062ZX</v>
          </cell>
          <cell r="Y445">
            <v>10000000</v>
          </cell>
          <cell r="AG445" t="str">
            <v>DAP 深圳</v>
          </cell>
        </row>
        <row r="446">
          <cell r="C446" t="str">
            <v>C49SZX20190062ZX</v>
          </cell>
          <cell r="Y446">
            <v>10000000</v>
          </cell>
          <cell r="AG446" t="str">
            <v>DAP 深圳</v>
          </cell>
        </row>
        <row r="447">
          <cell r="C447" t="str">
            <v>C28SZX20190047YY</v>
          </cell>
          <cell r="Y447">
            <v>300000</v>
          </cell>
          <cell r="AG447" t="str">
            <v>含税到厂</v>
          </cell>
        </row>
        <row r="448">
          <cell r="C448" t="str">
            <v>C49SZX20190061JL</v>
          </cell>
          <cell r="Y448">
            <v>13610000</v>
          </cell>
          <cell r="AG448" t="str">
            <v>CIF HK</v>
          </cell>
        </row>
        <row r="449">
          <cell r="C449" t="str">
            <v>C49SZX20190061JL</v>
          </cell>
          <cell r="Y449">
            <v>9340000</v>
          </cell>
          <cell r="AG449" t="str">
            <v>CIF HK</v>
          </cell>
        </row>
        <row r="450">
          <cell r="C450" t="str">
            <v>C28BJS20190048LY</v>
          </cell>
          <cell r="Y450">
            <v>328000</v>
          </cell>
          <cell r="AG450" t="str">
            <v>含税到厂</v>
          </cell>
        </row>
        <row r="451">
          <cell r="C451" t="str">
            <v>C49SZX20190063MZ</v>
          </cell>
          <cell r="Y451">
            <v>9225000</v>
          </cell>
          <cell r="AG451" t="str">
            <v>CIF HK</v>
          </cell>
        </row>
        <row r="452">
          <cell r="C452" t="str">
            <v>C49SZX20190063MZ</v>
          </cell>
          <cell r="Y452">
            <v>9225000</v>
          </cell>
          <cell r="AG452" t="str">
            <v>CIF HK</v>
          </cell>
        </row>
        <row r="453">
          <cell r="C453" t="str">
            <v>C49SZX20190050SX</v>
          </cell>
          <cell r="Y453">
            <v>9771600</v>
          </cell>
          <cell r="AG453" t="str">
            <v>DAP SZ</v>
          </cell>
        </row>
        <row r="454">
          <cell r="C454" t="str">
            <v>C49SZX20190068ZX</v>
          </cell>
          <cell r="Y454">
            <v>13350000</v>
          </cell>
          <cell r="AG454" t="str">
            <v>DAP SZ</v>
          </cell>
        </row>
        <row r="455">
          <cell r="C455" t="str">
            <v>C49SZX20190068ZX</v>
          </cell>
          <cell r="Y455">
            <v>13350000</v>
          </cell>
          <cell r="AG455" t="str">
            <v>DAP SZ</v>
          </cell>
        </row>
        <row r="456">
          <cell r="C456" t="str">
            <v>C49SZX20190069KW</v>
          </cell>
          <cell r="Y456">
            <v>15210000</v>
          </cell>
          <cell r="AG456" t="str">
            <v>CIF HK</v>
          </cell>
        </row>
        <row r="457">
          <cell r="C457" t="str">
            <v>C49SZX20190069KW</v>
          </cell>
          <cell r="Y457">
            <v>15210000</v>
          </cell>
          <cell r="AG457" t="str">
            <v>CIF HK</v>
          </cell>
        </row>
        <row r="458">
          <cell r="C458" t="str">
            <v>C49SZX20190069KW</v>
          </cell>
          <cell r="Y458">
            <v>15210000</v>
          </cell>
          <cell r="AG458" t="str">
            <v>CIF HK</v>
          </cell>
        </row>
        <row r="459">
          <cell r="C459" t="str">
            <v>C49SZX20190069KW</v>
          </cell>
          <cell r="Y459">
            <v>11835000</v>
          </cell>
          <cell r="AG459" t="str">
            <v>CIF HK</v>
          </cell>
        </row>
        <row r="460">
          <cell r="C460" t="str">
            <v>C49SZX20190069KW</v>
          </cell>
          <cell r="Y460">
            <v>11835000</v>
          </cell>
          <cell r="AG460" t="str">
            <v>CIF HK</v>
          </cell>
        </row>
        <row r="461">
          <cell r="C461" t="str">
            <v>C49SZX20190072ZX</v>
          </cell>
          <cell r="Y461">
            <v>720000</v>
          </cell>
          <cell r="AG461" t="str">
            <v>含税到厂</v>
          </cell>
        </row>
        <row r="462">
          <cell r="C462" t="str">
            <v>C49SZX20190071SX</v>
          </cell>
          <cell r="Y462">
            <v>9579840</v>
          </cell>
          <cell r="AG462" t="str">
            <v>DAP SZ</v>
          </cell>
        </row>
        <row r="463">
          <cell r="C463" t="str">
            <v>C49SZX20190076SS</v>
          </cell>
          <cell r="Y463">
            <v>550000</v>
          </cell>
          <cell r="AG463" t="str">
            <v>含税到厂</v>
          </cell>
        </row>
        <row r="464">
          <cell r="C464" t="str">
            <v>C49SZX20190076SS</v>
          </cell>
          <cell r="Y464">
            <v>944400</v>
          </cell>
          <cell r="AG464" t="str">
            <v>含税到厂</v>
          </cell>
        </row>
        <row r="465">
          <cell r="C465" t="str">
            <v>C49SZX20190066MZ</v>
          </cell>
          <cell r="Y465">
            <v>843000</v>
          </cell>
          <cell r="AG465" t="str">
            <v>含税到厂</v>
          </cell>
        </row>
        <row r="466">
          <cell r="C466" t="str">
            <v>C49SZX20190069KW</v>
          </cell>
          <cell r="Y466">
            <v>15210000</v>
          </cell>
          <cell r="AG466" t="str">
            <v>CIF HK</v>
          </cell>
        </row>
        <row r="467">
          <cell r="C467" t="str">
            <v>C49SZX20190078ZX</v>
          </cell>
          <cell r="Y467">
            <v>9000000</v>
          </cell>
          <cell r="AG467" t="str">
            <v>CIF HK</v>
          </cell>
        </row>
        <row r="468">
          <cell r="C468" t="str">
            <v>C49SZX20190078ZX</v>
          </cell>
          <cell r="Y468">
            <v>9000000</v>
          </cell>
          <cell r="AG468" t="str">
            <v>CIF HK</v>
          </cell>
        </row>
        <row r="469">
          <cell r="C469" t="str">
            <v>C49SZX20190078ZX</v>
          </cell>
          <cell r="Y469">
            <v>13275000</v>
          </cell>
          <cell r="AG469" t="str">
            <v>CIF HK</v>
          </cell>
        </row>
        <row r="470">
          <cell r="C470" t="str">
            <v>C49SZX20190078ZX</v>
          </cell>
          <cell r="Y470">
            <v>13275000</v>
          </cell>
          <cell r="AG470" t="str">
            <v>CIF HK</v>
          </cell>
        </row>
        <row r="471">
          <cell r="C471" t="str">
            <v>C49SZX20190077SX</v>
          </cell>
          <cell r="Y471">
            <v>760000</v>
          </cell>
          <cell r="AG471" t="str">
            <v>含税到厂</v>
          </cell>
        </row>
        <row r="472">
          <cell r="C472" t="str">
            <v>C49SZX20190077SX</v>
          </cell>
          <cell r="Y472">
            <v>1000000</v>
          </cell>
          <cell r="AG472" t="str">
            <v>含税到厂</v>
          </cell>
        </row>
        <row r="473">
          <cell r="C473" t="str">
            <v>C49SZX20190065JY</v>
          </cell>
          <cell r="Y473">
            <v>938000</v>
          </cell>
          <cell r="AG473" t="str">
            <v>含税到厂</v>
          </cell>
        </row>
        <row r="474">
          <cell r="C474" t="str">
            <v>C49SZX20190073JL</v>
          </cell>
          <cell r="Y474">
            <v>600000</v>
          </cell>
          <cell r="AG474" t="str">
            <v>含税到厂</v>
          </cell>
        </row>
        <row r="475">
          <cell r="C475" t="str">
            <v>C49SZX20190073JL</v>
          </cell>
          <cell r="Y475">
            <v>600000</v>
          </cell>
          <cell r="AG475" t="str">
            <v>含税到厂</v>
          </cell>
        </row>
        <row r="476">
          <cell r="C476" t="str">
            <v>C49SZX20190073JL</v>
          </cell>
          <cell r="Y476">
            <v>600000</v>
          </cell>
          <cell r="AG476" t="str">
            <v>含税到厂</v>
          </cell>
        </row>
        <row r="477">
          <cell r="C477" t="str">
            <v>C49SZX20190073JL</v>
          </cell>
          <cell r="Y477">
            <v>820000</v>
          </cell>
          <cell r="AG477" t="str">
            <v>含税到厂</v>
          </cell>
        </row>
        <row r="478">
          <cell r="C478" t="str">
            <v>C49SZX20190075ZX</v>
          </cell>
          <cell r="Y478">
            <v>9000000</v>
          </cell>
          <cell r="AG478" t="str">
            <v>CIF HK</v>
          </cell>
        </row>
        <row r="479">
          <cell r="C479" t="str">
            <v>C49SZX20190075ZX</v>
          </cell>
          <cell r="Y479">
            <v>13500000</v>
          </cell>
          <cell r="AG479" t="str">
            <v>CIF HK</v>
          </cell>
        </row>
        <row r="480">
          <cell r="C480" t="str">
            <v>C49SZX20190075ZX</v>
          </cell>
          <cell r="Y480">
            <v>13500000</v>
          </cell>
          <cell r="AG480" t="str">
            <v>CIF HK</v>
          </cell>
        </row>
        <row r="481">
          <cell r="C481" t="str">
            <v>C49SZX20190079ZX</v>
          </cell>
          <cell r="Y481">
            <v>9000000</v>
          </cell>
          <cell r="AG481" t="str">
            <v>CIF HK</v>
          </cell>
        </row>
        <row r="482">
          <cell r="C482" t="str">
            <v>C49SZX20190079ZX</v>
          </cell>
          <cell r="Y482">
            <v>13500000</v>
          </cell>
          <cell r="AG482" t="str">
            <v>CIF HK</v>
          </cell>
        </row>
        <row r="483">
          <cell r="C483" t="str">
            <v>C49SZX20190079ZX</v>
          </cell>
          <cell r="Y483">
            <v>13500000</v>
          </cell>
          <cell r="AG483" t="str">
            <v>CIF HK</v>
          </cell>
        </row>
        <row r="484">
          <cell r="C484" t="str">
            <v>C49SZX20190080ZX</v>
          </cell>
          <cell r="Y484">
            <v>13000000</v>
          </cell>
          <cell r="AG484" t="str">
            <v>DAP 长沙</v>
          </cell>
        </row>
        <row r="485">
          <cell r="C485" t="str">
            <v>C49SZX20190080ZX</v>
          </cell>
          <cell r="Y485">
            <v>20000000</v>
          </cell>
          <cell r="AG485" t="str">
            <v>DAP 长沙</v>
          </cell>
        </row>
        <row r="486">
          <cell r="C486" t="str">
            <v>C49SZX20190082ZX</v>
          </cell>
          <cell r="Y486">
            <v>11200000</v>
          </cell>
          <cell r="AG486" t="str">
            <v>DAP SZ</v>
          </cell>
        </row>
        <row r="487">
          <cell r="C487" t="str">
            <v>C49SZX20190085JL</v>
          </cell>
          <cell r="Y487">
            <v>570000</v>
          </cell>
          <cell r="AG487" t="str">
            <v>DAP SZ</v>
          </cell>
        </row>
        <row r="488">
          <cell r="C488" t="str">
            <v>C49SZX20190086JL</v>
          </cell>
          <cell r="Y488">
            <v>8150000</v>
          </cell>
          <cell r="AG488" t="str">
            <v>DAP 深圳</v>
          </cell>
        </row>
        <row r="489">
          <cell r="C489" t="str">
            <v>C49SZX20190089ZX</v>
          </cell>
          <cell r="Y489">
            <v>880000</v>
          </cell>
          <cell r="AG489" t="str">
            <v>含税到厂</v>
          </cell>
        </row>
        <row r="490">
          <cell r="C490" t="str">
            <v>C49SZX20190087JL</v>
          </cell>
          <cell r="Y490">
            <v>10705500</v>
          </cell>
          <cell r="AG490" t="str">
            <v xml:space="preserve">CIF </v>
          </cell>
        </row>
        <row r="491">
          <cell r="C491" t="str">
            <v>C49SZX20190087JL</v>
          </cell>
          <cell r="Y491">
            <v>13794500</v>
          </cell>
          <cell r="AG491" t="str">
            <v xml:space="preserve">CIF </v>
          </cell>
        </row>
        <row r="492">
          <cell r="C492" t="str">
            <v>C49SZX20190088JL</v>
          </cell>
          <cell r="Y492">
            <v>10705500</v>
          </cell>
          <cell r="AG492" t="str">
            <v xml:space="preserve">CIF </v>
          </cell>
        </row>
        <row r="493">
          <cell r="C493" t="str">
            <v>C49SZX20190088JL</v>
          </cell>
          <cell r="Y493">
            <v>13794500</v>
          </cell>
          <cell r="AG493" t="str">
            <v xml:space="preserve">CIF </v>
          </cell>
        </row>
        <row r="494">
          <cell r="C494" t="str">
            <v>C49SZX20190090SX</v>
          </cell>
          <cell r="Y494">
            <v>630000</v>
          </cell>
          <cell r="AG494" t="str">
            <v>含税到厂</v>
          </cell>
        </row>
        <row r="495">
          <cell r="C495" t="str">
            <v>C49SZX20190091JL</v>
          </cell>
          <cell r="Y495">
            <v>563500</v>
          </cell>
          <cell r="AG495" t="str">
            <v>含税到厂</v>
          </cell>
        </row>
        <row r="496">
          <cell r="C496" t="str">
            <v>C49SZX20190091JL</v>
          </cell>
          <cell r="Y496">
            <v>563500</v>
          </cell>
          <cell r="AG496" t="str">
            <v>含税到厂</v>
          </cell>
        </row>
        <row r="497">
          <cell r="C497" t="str">
            <v>C49SZX20190094MZ</v>
          </cell>
          <cell r="Y497">
            <v>11022500</v>
          </cell>
          <cell r="AG497" t="str">
            <v>CIF HK</v>
          </cell>
        </row>
        <row r="498">
          <cell r="C498" t="str">
            <v>C49SZX20190094MZ</v>
          </cell>
          <cell r="Y498">
            <v>11022500</v>
          </cell>
          <cell r="AG498" t="str">
            <v>CIF HK</v>
          </cell>
        </row>
        <row r="499">
          <cell r="C499" t="str">
            <v>C49SZX20190094MZ</v>
          </cell>
          <cell r="Y499">
            <v>9000000</v>
          </cell>
          <cell r="AG499" t="str">
            <v>CIF HK</v>
          </cell>
        </row>
        <row r="500">
          <cell r="C500" t="str">
            <v>C49SZX20190094MZ</v>
          </cell>
          <cell r="Y500">
            <v>9000000</v>
          </cell>
          <cell r="AG500" t="str">
            <v>CIF HK</v>
          </cell>
        </row>
        <row r="501">
          <cell r="C501" t="str">
            <v>C49SZX20190094MZ</v>
          </cell>
          <cell r="Y501">
            <v>9000000</v>
          </cell>
          <cell r="AG501" t="str">
            <v>CIF HK</v>
          </cell>
        </row>
        <row r="502">
          <cell r="C502" t="str">
            <v>C49SZX20190150JY</v>
          </cell>
          <cell r="Y502">
            <v>8646865</v>
          </cell>
          <cell r="AG502" t="str">
            <v>CIF HK</v>
          </cell>
        </row>
        <row r="503">
          <cell r="C503" t="str">
            <v>C49SZX20190150JY</v>
          </cell>
          <cell r="Y503">
            <v>8646865</v>
          </cell>
          <cell r="AG503" t="str">
            <v>CIF HK</v>
          </cell>
        </row>
        <row r="504">
          <cell r="C504" t="str">
            <v>C49SZX20190150JY</v>
          </cell>
          <cell r="Y504">
            <v>8646865</v>
          </cell>
          <cell r="AG504" t="str">
            <v>CIF HK</v>
          </cell>
        </row>
        <row r="505">
          <cell r="C505" t="str">
            <v>C49SZX20190095ZX</v>
          </cell>
          <cell r="Y505">
            <v>1010000</v>
          </cell>
          <cell r="AG505" t="str">
            <v>含税到厂</v>
          </cell>
        </row>
        <row r="506">
          <cell r="C506" t="str">
            <v>C49SZX20190099SX</v>
          </cell>
          <cell r="Y506">
            <v>580000</v>
          </cell>
          <cell r="AG506" t="str">
            <v>含税到厂</v>
          </cell>
        </row>
        <row r="507">
          <cell r="C507" t="str">
            <v>C49SZX20190100SX</v>
          </cell>
          <cell r="Y507">
            <v>650000</v>
          </cell>
          <cell r="AG507" t="str">
            <v>含税到厂</v>
          </cell>
        </row>
        <row r="508">
          <cell r="C508" t="str">
            <v>C49SZX20190101KW</v>
          </cell>
          <cell r="Y508">
            <v>18449000</v>
          </cell>
          <cell r="AG508" t="str">
            <v>CIF HK</v>
          </cell>
        </row>
        <row r="509">
          <cell r="C509" t="str">
            <v>C49SZX20190101KW</v>
          </cell>
          <cell r="Y509">
            <v>18449000</v>
          </cell>
          <cell r="AG509" t="str">
            <v>CIF HK</v>
          </cell>
        </row>
        <row r="510">
          <cell r="C510" t="str">
            <v>C49SZX20190102SX</v>
          </cell>
          <cell r="Y510">
            <v>1000000</v>
          </cell>
          <cell r="AG510" t="str">
            <v>含税到厂</v>
          </cell>
        </row>
        <row r="511">
          <cell r="C511" t="str">
            <v>C49SZX20190102SX</v>
          </cell>
          <cell r="Y511">
            <v>730000</v>
          </cell>
          <cell r="AG511" t="str">
            <v>含税到厂</v>
          </cell>
        </row>
        <row r="512">
          <cell r="C512" t="str">
            <v>C49SZX20190015JY</v>
          </cell>
          <cell r="Y512">
            <v>15943175</v>
          </cell>
          <cell r="AG512" t="str">
            <v>DAP惠州</v>
          </cell>
        </row>
        <row r="513">
          <cell r="C513" t="str">
            <v>C49SZX20190015JY</v>
          </cell>
          <cell r="Y513">
            <v>15943175</v>
          </cell>
          <cell r="AG513" t="str">
            <v>DAP惠州</v>
          </cell>
        </row>
        <row r="514">
          <cell r="C514" t="str">
            <v>C49SZX20190015JY</v>
          </cell>
          <cell r="Y514">
            <v>11000000</v>
          </cell>
          <cell r="AG514" t="str">
            <v>DAP惠州</v>
          </cell>
        </row>
        <row r="515">
          <cell r="C515" t="str">
            <v>C49SZX20190015JY</v>
          </cell>
          <cell r="Y515">
            <v>11000000</v>
          </cell>
          <cell r="AG515" t="str">
            <v>DAP惠州</v>
          </cell>
        </row>
        <row r="516">
          <cell r="C516" t="str">
            <v>C49SZX201901008ZX</v>
          </cell>
          <cell r="Y516">
            <v>650000</v>
          </cell>
          <cell r="AG516" t="str">
            <v>含税到厂</v>
          </cell>
        </row>
        <row r="517">
          <cell r="C517" t="str">
            <v>C49SZX20190108ZX</v>
          </cell>
          <cell r="Y517">
            <v>650000</v>
          </cell>
          <cell r="AG517" t="str">
            <v>含税到厂</v>
          </cell>
        </row>
        <row r="518">
          <cell r="C518" t="str">
            <v>C49SZX20190108ZX</v>
          </cell>
          <cell r="Y518">
            <v>900000</v>
          </cell>
          <cell r="AG518" t="str">
            <v>含税到厂</v>
          </cell>
        </row>
        <row r="519">
          <cell r="C519" t="str">
            <v>C49SZX20190108ZX</v>
          </cell>
          <cell r="Y519">
            <v>900000</v>
          </cell>
          <cell r="AG519" t="str">
            <v>含税到厂</v>
          </cell>
        </row>
        <row r="520">
          <cell r="C520" t="str">
            <v>C49SZX20190105ZX</v>
          </cell>
          <cell r="Y520">
            <v>550000</v>
          </cell>
          <cell r="AG520" t="str">
            <v xml:space="preserve">含税到厂 </v>
          </cell>
        </row>
        <row r="521">
          <cell r="C521" t="str">
            <v>C49SZX20190105ZX</v>
          </cell>
          <cell r="Y521">
            <v>550000</v>
          </cell>
          <cell r="AG521" t="str">
            <v xml:space="preserve">含税到厂 </v>
          </cell>
        </row>
        <row r="522">
          <cell r="C522" t="str">
            <v>C49SZX20190093JL</v>
          </cell>
          <cell r="Y522">
            <v>14000000</v>
          </cell>
          <cell r="AG522" t="str">
            <v>DAP SZ</v>
          </cell>
        </row>
        <row r="523">
          <cell r="C523" t="str">
            <v>C49SZX20190093JL</v>
          </cell>
          <cell r="Y523">
            <v>14000000</v>
          </cell>
          <cell r="AG523" t="str">
            <v>DAP SZ</v>
          </cell>
        </row>
        <row r="524">
          <cell r="C524" t="str">
            <v>C49SZX20190093JL</v>
          </cell>
          <cell r="Y524">
            <v>10000000</v>
          </cell>
          <cell r="AG524" t="str">
            <v>DAP SZ</v>
          </cell>
        </row>
        <row r="525">
          <cell r="C525" t="str">
            <v>C49SZX20190093JL</v>
          </cell>
          <cell r="Y525">
            <v>10000000</v>
          </cell>
          <cell r="AG525" t="str">
            <v>DAP SZ</v>
          </cell>
        </row>
        <row r="526">
          <cell r="C526" t="str">
            <v>C49SZX20190107DZ</v>
          </cell>
          <cell r="Y526">
            <v>934800</v>
          </cell>
          <cell r="AG526" t="str">
            <v>含税到厂</v>
          </cell>
        </row>
        <row r="527">
          <cell r="C527" t="str">
            <v>C49SZX20190109MZ</v>
          </cell>
          <cell r="Y527">
            <v>11900000</v>
          </cell>
          <cell r="AG527" t="str">
            <v>CIF HK</v>
          </cell>
        </row>
        <row r="528">
          <cell r="C528" t="str">
            <v>C49SZX20190109MZ</v>
          </cell>
          <cell r="Y528">
            <v>11900000</v>
          </cell>
          <cell r="AG528" t="str">
            <v>CIF HK</v>
          </cell>
        </row>
        <row r="529">
          <cell r="C529" t="str">
            <v>C28SHA20190025KC</v>
          </cell>
          <cell r="Y529">
            <v>265000</v>
          </cell>
          <cell r="AG529" t="str">
            <v>含税到厂</v>
          </cell>
        </row>
        <row r="530">
          <cell r="C530" t="str">
            <v>PG-GL02-201906140004</v>
          </cell>
          <cell r="Y530">
            <v>520000</v>
          </cell>
          <cell r="AG530" t="str">
            <v>含税到厂</v>
          </cell>
        </row>
        <row r="531">
          <cell r="C531" t="str">
            <v>C49SZX20190033SX</v>
          </cell>
          <cell r="Y531">
            <v>578800</v>
          </cell>
          <cell r="AG531" t="str">
            <v>含税到厂</v>
          </cell>
        </row>
        <row r="532">
          <cell r="C532" t="str">
            <v>C49SZX20190114MX</v>
          </cell>
          <cell r="Y532">
            <v>820000</v>
          </cell>
          <cell r="AG532" t="str">
            <v>含税到厂</v>
          </cell>
        </row>
        <row r="533">
          <cell r="C533" t="str">
            <v>C49SZX20190110ZX</v>
          </cell>
          <cell r="Y533">
            <v>720000</v>
          </cell>
          <cell r="AG533" t="str">
            <v>含税到厂</v>
          </cell>
        </row>
        <row r="534">
          <cell r="C534" t="str">
            <v>C49SZX20190110ZX</v>
          </cell>
          <cell r="Y534">
            <v>720000</v>
          </cell>
          <cell r="AG534" t="str">
            <v>含税到厂</v>
          </cell>
        </row>
        <row r="535">
          <cell r="C535" t="str">
            <v>C49SZX20190110ZX</v>
          </cell>
          <cell r="Y535">
            <v>720000</v>
          </cell>
          <cell r="AG535" t="str">
            <v>含税到厂</v>
          </cell>
        </row>
        <row r="536">
          <cell r="C536" t="str">
            <v>C49SZX20190118R1SS</v>
          </cell>
          <cell r="Y536">
            <v>760000</v>
          </cell>
          <cell r="AG536" t="str">
            <v>含税到厂</v>
          </cell>
        </row>
        <row r="537">
          <cell r="C537" t="str">
            <v>C49SZX20190118R1SS</v>
          </cell>
          <cell r="Y537">
            <v>760000</v>
          </cell>
          <cell r="AG537" t="str">
            <v>含税到厂</v>
          </cell>
        </row>
        <row r="538">
          <cell r="C538" t="str">
            <v>C49SZX20190118R1SS</v>
          </cell>
          <cell r="Y538">
            <v>550000</v>
          </cell>
          <cell r="AG538" t="str">
            <v>含税到厂</v>
          </cell>
        </row>
        <row r="539">
          <cell r="C539" t="str">
            <v>C49SZX20190118SS</v>
          </cell>
          <cell r="Y539">
            <v>550000</v>
          </cell>
          <cell r="AG539" t="str">
            <v>含税到厂</v>
          </cell>
        </row>
        <row r="540">
          <cell r="C540" t="str">
            <v>C49SZX20190118SS</v>
          </cell>
          <cell r="Y540">
            <v>550000</v>
          </cell>
          <cell r="AG540" t="str">
            <v>含税到厂</v>
          </cell>
        </row>
        <row r="541">
          <cell r="C541" t="str">
            <v>C49SZX20190115SS</v>
          </cell>
          <cell r="Y541">
            <v>540000</v>
          </cell>
          <cell r="AG541" t="str">
            <v>含税到厂</v>
          </cell>
        </row>
        <row r="542">
          <cell r="C542" t="str">
            <v>C49SZX20190113LC</v>
          </cell>
          <cell r="Y542">
            <v>1200000</v>
          </cell>
          <cell r="AG542" t="str">
            <v>含税到厂</v>
          </cell>
        </row>
        <row r="543">
          <cell r="C543" t="str">
            <v>C49SZX20190113LC</v>
          </cell>
          <cell r="Y543">
            <v>800000</v>
          </cell>
          <cell r="AG543" t="str">
            <v>含税到厂</v>
          </cell>
        </row>
        <row r="544">
          <cell r="C544" t="str">
            <v>C49SZX20190113LC</v>
          </cell>
          <cell r="Y544">
            <v>800000</v>
          </cell>
          <cell r="AG544" t="str">
            <v>含税到厂</v>
          </cell>
        </row>
        <row r="545">
          <cell r="C545" t="str">
            <v>C49SZX20190119SX</v>
          </cell>
          <cell r="Y545">
            <v>993333.33</v>
          </cell>
          <cell r="AG545" t="str">
            <v>含税到厂</v>
          </cell>
        </row>
        <row r="546">
          <cell r="C546" t="str">
            <v>C49SZX20190119SX</v>
          </cell>
          <cell r="Y546">
            <v>993333.33</v>
          </cell>
          <cell r="AG546" t="str">
            <v>含税到厂</v>
          </cell>
        </row>
        <row r="547">
          <cell r="C547" t="str">
            <v>C49SZX20190119SX</v>
          </cell>
          <cell r="Y547">
            <v>993333.33</v>
          </cell>
          <cell r="AG547" t="str">
            <v>含税到厂</v>
          </cell>
        </row>
        <row r="548">
          <cell r="C548" t="str">
            <v>C49SZX20190119SX</v>
          </cell>
          <cell r="Y548">
            <v>650000</v>
          </cell>
          <cell r="AG548" t="str">
            <v>含税到厂</v>
          </cell>
        </row>
        <row r="549">
          <cell r="C549" t="str">
            <v>C49SZX20190119SX</v>
          </cell>
          <cell r="Y549">
            <v>650000</v>
          </cell>
          <cell r="AG549" t="str">
            <v>含税到厂</v>
          </cell>
        </row>
        <row r="550">
          <cell r="C550" t="str">
            <v>C49SZX20190119SX</v>
          </cell>
          <cell r="Y550">
            <v>650000</v>
          </cell>
          <cell r="AG550" t="str">
            <v>含税到厂</v>
          </cell>
        </row>
        <row r="551">
          <cell r="C551" t="str">
            <v>C49SZX20190119SX</v>
          </cell>
          <cell r="Y551">
            <v>650000</v>
          </cell>
          <cell r="AG551" t="str">
            <v>含税到厂</v>
          </cell>
        </row>
        <row r="552">
          <cell r="C552" t="str">
            <v>C49SZX20190119SX</v>
          </cell>
          <cell r="Y552">
            <v>650000</v>
          </cell>
          <cell r="AG552" t="str">
            <v>含税到厂</v>
          </cell>
        </row>
        <row r="553">
          <cell r="C553" t="str">
            <v>C49SZX20190122JL</v>
          </cell>
          <cell r="Y553">
            <v>910000</v>
          </cell>
          <cell r="AG553" t="str">
            <v>含税到厂</v>
          </cell>
        </row>
        <row r="554">
          <cell r="C554" t="str">
            <v>C49SZX20190126MZ</v>
          </cell>
          <cell r="Y554">
            <v>870000</v>
          </cell>
          <cell r="AG554" t="str">
            <v>含税到厂</v>
          </cell>
        </row>
        <row r="555">
          <cell r="C555" t="str">
            <v>C49SZX20190121JY</v>
          </cell>
          <cell r="Y555">
            <v>590000</v>
          </cell>
          <cell r="AG555" t="str">
            <v>含税到厂</v>
          </cell>
        </row>
        <row r="556">
          <cell r="C556" t="str">
            <v>C49SZX20190125KW</v>
          </cell>
          <cell r="Y556">
            <v>17025000</v>
          </cell>
          <cell r="AG556" t="str">
            <v>CIF HK</v>
          </cell>
        </row>
        <row r="557">
          <cell r="C557" t="str">
            <v>C49SZX20190125KW</v>
          </cell>
          <cell r="Y557">
            <v>17025000</v>
          </cell>
          <cell r="AG557" t="str">
            <v>CIF HK</v>
          </cell>
        </row>
        <row r="558">
          <cell r="C558" t="str">
            <v>C49SZX20190117SX</v>
          </cell>
          <cell r="Y558">
            <v>678000</v>
          </cell>
          <cell r="AG558" t="str">
            <v>含税到厂</v>
          </cell>
        </row>
        <row r="559">
          <cell r="C559" t="str">
            <v>C49SZX20190127JY</v>
          </cell>
          <cell r="Y559">
            <v>750000</v>
          </cell>
          <cell r="AG559" t="str">
            <v>含税到厂</v>
          </cell>
        </row>
        <row r="560">
          <cell r="C560" t="str">
            <v>C49SZX20190120DY</v>
          </cell>
          <cell r="Y560">
            <v>1020000</v>
          </cell>
          <cell r="AG560" t="str">
            <v>含税到厂</v>
          </cell>
        </row>
        <row r="561">
          <cell r="C561" t="str">
            <v>C49SZX20190130JL</v>
          </cell>
          <cell r="Y561">
            <v>785000</v>
          </cell>
          <cell r="AG561" t="str">
            <v>含税到厂</v>
          </cell>
        </row>
        <row r="562">
          <cell r="C562" t="str">
            <v>C49SZX20190129DZ</v>
          </cell>
          <cell r="Y562">
            <v>840000</v>
          </cell>
          <cell r="AG562" t="str">
            <v>含税到厂</v>
          </cell>
        </row>
        <row r="563">
          <cell r="C563" t="str">
            <v>C49SZX20190129DZ</v>
          </cell>
          <cell r="Y563">
            <v>840000</v>
          </cell>
          <cell r="AG563" t="str">
            <v>含税到厂</v>
          </cell>
        </row>
        <row r="564">
          <cell r="C564" t="str">
            <v>C49SZX20190129DZ</v>
          </cell>
          <cell r="Y564">
            <v>840000</v>
          </cell>
          <cell r="AG564" t="str">
            <v>含税到厂</v>
          </cell>
        </row>
        <row r="565">
          <cell r="C565" t="str">
            <v>C49SZX20190129DZ</v>
          </cell>
          <cell r="Y565">
            <v>840000</v>
          </cell>
          <cell r="AG565" t="str">
            <v>含税到厂</v>
          </cell>
        </row>
        <row r="566">
          <cell r="C566" t="str">
            <v>C49SZX20190129DZ</v>
          </cell>
          <cell r="Y566">
            <v>840000</v>
          </cell>
          <cell r="AG566" t="str">
            <v>含税到厂</v>
          </cell>
        </row>
        <row r="567">
          <cell r="C567" t="str">
            <v>C49SZX20190129DZ</v>
          </cell>
          <cell r="Y567">
            <v>840000</v>
          </cell>
          <cell r="AG567" t="str">
            <v>含税到厂</v>
          </cell>
        </row>
        <row r="568">
          <cell r="C568" t="str">
            <v>C49SZX20190129DZ</v>
          </cell>
          <cell r="Y568">
            <v>840000</v>
          </cell>
          <cell r="AG568" t="str">
            <v>含税到厂</v>
          </cell>
        </row>
        <row r="569">
          <cell r="C569" t="str">
            <v>C49SZX20190129DZ</v>
          </cell>
          <cell r="Y569">
            <v>840000</v>
          </cell>
          <cell r="AG569" t="str">
            <v>含税到厂</v>
          </cell>
        </row>
        <row r="570">
          <cell r="C570" t="str">
            <v>C49SZX20190129DZ</v>
          </cell>
          <cell r="Y570">
            <v>624100</v>
          </cell>
          <cell r="AG570" t="str">
            <v>含税到厂</v>
          </cell>
        </row>
        <row r="571">
          <cell r="C571" t="str">
            <v>C49SZX20190129DZ</v>
          </cell>
          <cell r="Y571">
            <v>624100</v>
          </cell>
          <cell r="AG571" t="str">
            <v>含税到厂</v>
          </cell>
        </row>
        <row r="572">
          <cell r="C572" t="str">
            <v>C49SZX20190129DZ</v>
          </cell>
          <cell r="Y572">
            <v>624100</v>
          </cell>
          <cell r="AG572" t="str">
            <v>含税到厂</v>
          </cell>
        </row>
        <row r="573">
          <cell r="C573" t="str">
            <v>C49SZX20190129DZ</v>
          </cell>
          <cell r="Y573">
            <v>624100</v>
          </cell>
          <cell r="AG573" t="str">
            <v>含税到厂</v>
          </cell>
        </row>
        <row r="574">
          <cell r="C574" t="str">
            <v>C49SZX20190135SX</v>
          </cell>
          <cell r="Y574">
            <v>1050000</v>
          </cell>
          <cell r="AG574" t="str">
            <v>含税到厂</v>
          </cell>
        </row>
        <row r="575">
          <cell r="C575" t="str">
            <v>C49SZX20190135SX</v>
          </cell>
          <cell r="Y575">
            <v>1050000</v>
          </cell>
          <cell r="AG575" t="str">
            <v>含税到厂</v>
          </cell>
        </row>
        <row r="576">
          <cell r="C576" t="str">
            <v>C49SZX20190123SX</v>
          </cell>
          <cell r="Y576">
            <v>1112500</v>
          </cell>
          <cell r="AG576" t="str">
            <v>含税到厂</v>
          </cell>
        </row>
        <row r="577">
          <cell r="C577" t="str">
            <v>C49SZX20190123SX</v>
          </cell>
          <cell r="Y577">
            <v>1112500</v>
          </cell>
          <cell r="AG577" t="str">
            <v>含税到厂</v>
          </cell>
        </row>
        <row r="578">
          <cell r="C578" t="str">
            <v>C49SZX20190128DZ</v>
          </cell>
          <cell r="Y578">
            <v>690000</v>
          </cell>
          <cell r="AG578" t="str">
            <v>CIF HK</v>
          </cell>
        </row>
        <row r="579">
          <cell r="C579" t="str">
            <v>C49SZX20190128DZ</v>
          </cell>
          <cell r="Y579">
            <v>690000</v>
          </cell>
          <cell r="AG579" t="str">
            <v>CIF HK</v>
          </cell>
        </row>
        <row r="580">
          <cell r="C580" t="str">
            <v>C49SZX201900131JL</v>
          </cell>
          <cell r="Y580">
            <v>1160000</v>
          </cell>
          <cell r="AG580" t="str">
            <v>含税到厂</v>
          </cell>
        </row>
        <row r="581">
          <cell r="C581" t="str">
            <v>C49SZX201900131JL</v>
          </cell>
          <cell r="Y581">
            <v>1090000</v>
          </cell>
          <cell r="AG581" t="str">
            <v>含税到厂</v>
          </cell>
        </row>
        <row r="582">
          <cell r="C582" t="str">
            <v>C49SZX201900131JL</v>
          </cell>
          <cell r="Y582">
            <v>1090000</v>
          </cell>
          <cell r="AG582" t="str">
            <v>含税到厂</v>
          </cell>
        </row>
        <row r="583">
          <cell r="C583" t="str">
            <v>C49SZX20190133MX</v>
          </cell>
          <cell r="Y583">
            <v>880000</v>
          </cell>
          <cell r="AG583" t="str">
            <v>含税到厂</v>
          </cell>
        </row>
        <row r="584">
          <cell r="C584" t="str">
            <v>C49SZX20190133MX</v>
          </cell>
          <cell r="Y584">
            <v>600000</v>
          </cell>
          <cell r="AG584" t="str">
            <v>含税到厂</v>
          </cell>
        </row>
        <row r="585">
          <cell r="C585" t="str">
            <v>C49SZX20190140SS</v>
          </cell>
          <cell r="Y585">
            <v>560000</v>
          </cell>
          <cell r="AG585" t="str">
            <v>含税到厂</v>
          </cell>
        </row>
        <row r="586">
          <cell r="C586" t="str">
            <v>C49SZX20190142KW</v>
          </cell>
          <cell r="Y586">
            <v>1080000</v>
          </cell>
          <cell r="AG586" t="str">
            <v>含税到厂</v>
          </cell>
        </row>
        <row r="587">
          <cell r="C587" t="str">
            <v>C49SZX20190139SX</v>
          </cell>
          <cell r="Y587">
            <v>1300000</v>
          </cell>
          <cell r="AG587" t="str">
            <v>含税到厂</v>
          </cell>
        </row>
        <row r="588">
          <cell r="C588" t="str">
            <v>C49SZX20190139SX</v>
          </cell>
          <cell r="Y588">
            <v>1300000</v>
          </cell>
          <cell r="AG588" t="str">
            <v>含税到厂</v>
          </cell>
        </row>
        <row r="589">
          <cell r="C589" t="str">
            <v>C49SZX20190138ZX</v>
          </cell>
          <cell r="Y589">
            <v>182250</v>
          </cell>
          <cell r="AG589" t="str">
            <v>CIF HK</v>
          </cell>
        </row>
        <row r="590">
          <cell r="C590" t="str">
            <v>C49SZX20190138ZX</v>
          </cell>
          <cell r="Y590">
            <v>182250</v>
          </cell>
          <cell r="AG590" t="str">
            <v>CIF HK</v>
          </cell>
        </row>
        <row r="591">
          <cell r="C591" t="str">
            <v>C49SZX20190145DZ</v>
          </cell>
          <cell r="Y591">
            <v>885000</v>
          </cell>
          <cell r="AG591" t="str">
            <v>含税到厂</v>
          </cell>
        </row>
        <row r="592">
          <cell r="C592" t="str">
            <v>C49SZX20190145DZ</v>
          </cell>
          <cell r="Y592">
            <v>885000</v>
          </cell>
          <cell r="AG592" t="str">
            <v>含税到厂</v>
          </cell>
        </row>
        <row r="593">
          <cell r="C593" t="str">
            <v>C49SZX20190146DZ</v>
          </cell>
          <cell r="Y593">
            <v>1416800</v>
          </cell>
          <cell r="AG593" t="str">
            <v>含税到厂</v>
          </cell>
        </row>
        <row r="594">
          <cell r="C594" t="str">
            <v>C49SZX20190146DZ</v>
          </cell>
          <cell r="Y594">
            <v>1416800</v>
          </cell>
          <cell r="AG594" t="str">
            <v>含税到厂</v>
          </cell>
        </row>
        <row r="595">
          <cell r="C595" t="str">
            <v>C49SZX20190146DZ</v>
          </cell>
          <cell r="Y595">
            <v>1416800</v>
          </cell>
          <cell r="AG595" t="str">
            <v>含税到厂</v>
          </cell>
        </row>
        <row r="596">
          <cell r="C596" t="str">
            <v>C49SZX20190146DZ</v>
          </cell>
          <cell r="Y596">
            <v>1416800</v>
          </cell>
          <cell r="AG596" t="str">
            <v>含税到厂</v>
          </cell>
        </row>
        <row r="597">
          <cell r="C597" t="str">
            <v>C49SZX20190146DZ</v>
          </cell>
          <cell r="Y597">
            <v>1416800</v>
          </cell>
          <cell r="AG597" t="str">
            <v>含税到厂</v>
          </cell>
        </row>
        <row r="598">
          <cell r="C598" t="str">
            <v>C49SZX20190146DZ</v>
          </cell>
          <cell r="Y598">
            <v>1416800</v>
          </cell>
          <cell r="AG598" t="str">
            <v>含税到厂</v>
          </cell>
        </row>
        <row r="599">
          <cell r="C599" t="str">
            <v>C49SZX20190147DZ</v>
          </cell>
          <cell r="Y599">
            <v>18880000</v>
          </cell>
          <cell r="AG599" t="str">
            <v>CIF HK</v>
          </cell>
        </row>
        <row r="600">
          <cell r="C600" t="str">
            <v>C49SZX20190147DZ</v>
          </cell>
          <cell r="Y600">
            <v>18880000</v>
          </cell>
          <cell r="AG600" t="str">
            <v>CIF HK</v>
          </cell>
        </row>
        <row r="601">
          <cell r="C601" t="str">
            <v>C49SZX20190147DZ</v>
          </cell>
          <cell r="Y601">
            <v>18880000</v>
          </cell>
          <cell r="AG601" t="str">
            <v>CIF HK</v>
          </cell>
        </row>
        <row r="602">
          <cell r="C602" t="str">
            <v>C49SZX20190147DZ</v>
          </cell>
          <cell r="Y602">
            <v>18880000</v>
          </cell>
          <cell r="AG602" t="str">
            <v>CIF HK</v>
          </cell>
        </row>
        <row r="603">
          <cell r="C603" t="str">
            <v>C49SZX20190147DZ</v>
          </cell>
          <cell r="Y603">
            <v>18880000</v>
          </cell>
          <cell r="AG603" t="str">
            <v>CIF HK</v>
          </cell>
        </row>
        <row r="604">
          <cell r="C604" t="str">
            <v>C49SZX20190147DZ</v>
          </cell>
          <cell r="Y604">
            <v>18880000</v>
          </cell>
          <cell r="AG604" t="str">
            <v>CIF HK</v>
          </cell>
        </row>
        <row r="605">
          <cell r="C605" t="str">
            <v>C49SZX20190143SX</v>
          </cell>
          <cell r="Y605">
            <v>9100000</v>
          </cell>
          <cell r="AG605" t="str">
            <v>DAP SZ</v>
          </cell>
        </row>
        <row r="606">
          <cell r="C606" t="str">
            <v>C49SZX20190148SX</v>
          </cell>
          <cell r="Y606">
            <v>1000000</v>
          </cell>
          <cell r="AG606" t="str">
            <v>含税到厂</v>
          </cell>
        </row>
        <row r="607">
          <cell r="C607" t="str">
            <v>C49SZX20190148SX</v>
          </cell>
          <cell r="Y607">
            <v>580000</v>
          </cell>
          <cell r="AG607" t="str">
            <v>含税到厂</v>
          </cell>
        </row>
        <row r="608">
          <cell r="C608" t="str">
            <v>C49SZX20190028MZR1</v>
          </cell>
          <cell r="Y608">
            <v>15000000</v>
          </cell>
          <cell r="AG608" t="str">
            <v>DAP SZ</v>
          </cell>
        </row>
        <row r="609">
          <cell r="C609" t="str">
            <v>C49SZX20190028MZR1</v>
          </cell>
          <cell r="Y609">
            <v>15000000</v>
          </cell>
          <cell r="AG609" t="str">
            <v>DAP SZ</v>
          </cell>
        </row>
        <row r="610">
          <cell r="C610" t="str">
            <v>C49SZX20190028MZR1</v>
          </cell>
          <cell r="Y610">
            <v>12000000</v>
          </cell>
          <cell r="AG610" t="str">
            <v>DAP SZ</v>
          </cell>
        </row>
        <row r="611">
          <cell r="C611" t="str">
            <v>C49SZX20190028MZR1</v>
          </cell>
          <cell r="Y611">
            <v>12000000</v>
          </cell>
          <cell r="AG611" t="str">
            <v>DAP SZ</v>
          </cell>
        </row>
        <row r="612">
          <cell r="C612" t="str">
            <v>C49SZX20190151MZ</v>
          </cell>
          <cell r="Y612">
            <v>15000000</v>
          </cell>
          <cell r="AG612" t="str">
            <v>DAP SZ</v>
          </cell>
        </row>
        <row r="613">
          <cell r="C613" t="str">
            <v>C49SZX20190151MZ</v>
          </cell>
          <cell r="Y613">
            <v>12000000</v>
          </cell>
          <cell r="AG613" t="str">
            <v>DAP SZ</v>
          </cell>
        </row>
        <row r="614">
          <cell r="C614" t="str">
            <v>C49SZX20190152JL</v>
          </cell>
          <cell r="Y614">
            <v>891000</v>
          </cell>
          <cell r="AG614" t="str">
            <v>含税到厂</v>
          </cell>
        </row>
        <row r="615">
          <cell r="C615" t="str">
            <v>C49SZX20190155JY</v>
          </cell>
          <cell r="Y615">
            <v>13760000</v>
          </cell>
          <cell r="AG615" t="str">
            <v>DAP SZ</v>
          </cell>
        </row>
        <row r="616">
          <cell r="C616" t="str">
            <v>C49SZX20190155JY</v>
          </cell>
          <cell r="Y616">
            <v>8000000</v>
          </cell>
          <cell r="AG616" t="str">
            <v>DAP SZ</v>
          </cell>
        </row>
        <row r="617">
          <cell r="C617" t="str">
            <v>C49SZX20190157CX</v>
          </cell>
          <cell r="Y617">
            <v>9196000</v>
          </cell>
          <cell r="AG617" t="str">
            <v>DAP SZ</v>
          </cell>
        </row>
        <row r="618">
          <cell r="C618" t="str">
            <v>C28SZX20190077KC</v>
          </cell>
          <cell r="Y618">
            <v>50000</v>
          </cell>
          <cell r="AG618" t="str">
            <v>CIF 越南</v>
          </cell>
        </row>
        <row r="619">
          <cell r="C619" t="str">
            <v>C49SZX20190159SS</v>
          </cell>
          <cell r="Y619">
            <v>11000000</v>
          </cell>
          <cell r="AG619" t="str">
            <v>DAP SZ</v>
          </cell>
        </row>
        <row r="620">
          <cell r="C620" t="str">
            <v>C49SZX20190161SX</v>
          </cell>
          <cell r="Y620">
            <v>11200000</v>
          </cell>
          <cell r="AG620" t="str">
            <v>DAP SZ</v>
          </cell>
        </row>
        <row r="621">
          <cell r="C621" t="str">
            <v>C49SZX20190116CX</v>
          </cell>
          <cell r="Y621">
            <v>1000000</v>
          </cell>
          <cell r="AG621" t="str">
            <v>含税到厂</v>
          </cell>
        </row>
        <row r="622">
          <cell r="C622" t="str">
            <v>C49SZX20190116CX</v>
          </cell>
          <cell r="Y622">
            <v>800000</v>
          </cell>
          <cell r="AG622" t="str">
            <v>含税到厂</v>
          </cell>
        </row>
        <row r="623">
          <cell r="C623" t="str">
            <v>C49SZX20190153JL</v>
          </cell>
          <cell r="Y623">
            <v>530000</v>
          </cell>
          <cell r="AG623" t="str">
            <v>含税到厂</v>
          </cell>
        </row>
        <row r="624">
          <cell r="C624" t="str">
            <v>C49SZX20190153JL</v>
          </cell>
          <cell r="Y624">
            <v>530000</v>
          </cell>
          <cell r="AG624" t="str">
            <v>含税到厂</v>
          </cell>
        </row>
        <row r="625">
          <cell r="C625" t="str">
            <v>C49SZX20190156-1ZX</v>
          </cell>
          <cell r="Y625">
            <v>10000000</v>
          </cell>
          <cell r="AG625" t="str">
            <v>DAP GZ</v>
          </cell>
        </row>
        <row r="626">
          <cell r="C626" t="str">
            <v>C49SZX20190156-2ZX</v>
          </cell>
          <cell r="Y626">
            <v>9900000</v>
          </cell>
          <cell r="AG626" t="str">
            <v>DAP GZ</v>
          </cell>
        </row>
        <row r="627">
          <cell r="C627" t="str">
            <v>C49SZX20190156-1ZX</v>
          </cell>
          <cell r="Y627">
            <v>12750000</v>
          </cell>
          <cell r="AG627" t="str">
            <v>DAP GZ</v>
          </cell>
        </row>
        <row r="628">
          <cell r="C628" t="str">
            <v>C49SZX20190156-1ZX</v>
          </cell>
          <cell r="Y628">
            <v>12750000</v>
          </cell>
          <cell r="AG628" t="str">
            <v>DAP GZ</v>
          </cell>
        </row>
        <row r="629">
          <cell r="C629" t="str">
            <v>C49SZX20190156-2ZX</v>
          </cell>
          <cell r="Y629">
            <v>12600000</v>
          </cell>
          <cell r="AG629" t="str">
            <v>DAP GZ</v>
          </cell>
        </row>
        <row r="630">
          <cell r="C630" t="str">
            <v>C49SZX20190156-2ZX</v>
          </cell>
          <cell r="Y630">
            <v>12600000</v>
          </cell>
          <cell r="AG630" t="str">
            <v>DAP GZ</v>
          </cell>
        </row>
        <row r="631">
          <cell r="C631" t="str">
            <v>C49SZX20190156-2ZX</v>
          </cell>
          <cell r="Y631">
            <v>12600000</v>
          </cell>
          <cell r="AG631" t="str">
            <v>DAP GZ</v>
          </cell>
        </row>
        <row r="632">
          <cell r="C632" t="str">
            <v>C49SZX20190158ZX</v>
          </cell>
          <cell r="Y632">
            <v>10000000</v>
          </cell>
          <cell r="AG632" t="str">
            <v>DAP GZ</v>
          </cell>
        </row>
        <row r="633">
          <cell r="C633" t="str">
            <v>C49SZX20190158ZX</v>
          </cell>
          <cell r="Y633">
            <v>10000000</v>
          </cell>
          <cell r="AG633" t="str">
            <v>DAP GZ</v>
          </cell>
        </row>
        <row r="634">
          <cell r="C634" t="str">
            <v>C49SZX20190158ZX</v>
          </cell>
          <cell r="Y634">
            <v>10000000</v>
          </cell>
          <cell r="AG634" t="str">
            <v>DAP GZ</v>
          </cell>
        </row>
        <row r="635">
          <cell r="C635" t="str">
            <v>C49SZX20190158ZX</v>
          </cell>
          <cell r="Y635">
            <v>12650000</v>
          </cell>
          <cell r="AG635" t="str">
            <v>DAP GZ</v>
          </cell>
        </row>
        <row r="636">
          <cell r="C636" t="str">
            <v>C49SZX20190158ZX</v>
          </cell>
          <cell r="Y636">
            <v>12650000</v>
          </cell>
          <cell r="AG636" t="str">
            <v>DAP GZ</v>
          </cell>
        </row>
        <row r="637">
          <cell r="C637" t="str">
            <v>C49SZX20190158ZX</v>
          </cell>
          <cell r="Y637">
            <v>12650000</v>
          </cell>
          <cell r="AG637" t="str">
            <v>DAP GZ</v>
          </cell>
        </row>
        <row r="638">
          <cell r="C638" t="str">
            <v>C49SZX20190158ZX</v>
          </cell>
          <cell r="Y638">
            <v>12650000</v>
          </cell>
          <cell r="AG638" t="str">
            <v>DAP GZ</v>
          </cell>
        </row>
        <row r="639">
          <cell r="C639" t="str">
            <v>C49SZX20190158ZX</v>
          </cell>
          <cell r="Y639">
            <v>12650000</v>
          </cell>
          <cell r="AG639" t="str">
            <v>DAP GZ</v>
          </cell>
        </row>
        <row r="640">
          <cell r="C640" t="str">
            <v>C49SZX20190158ZX</v>
          </cell>
          <cell r="Y640">
            <v>12650000</v>
          </cell>
          <cell r="AG640" t="str">
            <v>DAP GZ</v>
          </cell>
        </row>
        <row r="641">
          <cell r="C641" t="str">
            <v>C49SZX20190158ZX</v>
          </cell>
          <cell r="Y641">
            <v>12650000</v>
          </cell>
          <cell r="AG641" t="str">
            <v>DAP GZ</v>
          </cell>
        </row>
        <row r="642">
          <cell r="C642" t="str">
            <v>C49SZX20190158ZX</v>
          </cell>
          <cell r="Y642">
            <v>12650000</v>
          </cell>
          <cell r="AG642" t="str">
            <v>DAP GZ</v>
          </cell>
        </row>
        <row r="643">
          <cell r="C643" t="str">
            <v>C49SZX20190158ZX</v>
          </cell>
          <cell r="Y643">
            <v>12650000</v>
          </cell>
          <cell r="AG643" t="str">
            <v>DAP GZ</v>
          </cell>
        </row>
        <row r="644">
          <cell r="C644" t="str">
            <v>C49SZX20190158ZX</v>
          </cell>
          <cell r="Y644">
            <v>12650000</v>
          </cell>
          <cell r="AG644" t="str">
            <v>DAP GZ</v>
          </cell>
        </row>
        <row r="645">
          <cell r="C645" t="str">
            <v>C49SZX20190158ZX</v>
          </cell>
          <cell r="Y645">
            <v>12650000</v>
          </cell>
          <cell r="AG645" t="str">
            <v>DAP GZ</v>
          </cell>
        </row>
        <row r="646">
          <cell r="C646" t="str">
            <v>C49SZX20190158ZX</v>
          </cell>
          <cell r="Y646">
            <v>12650000</v>
          </cell>
          <cell r="AG646" t="str">
            <v>DAP GZ</v>
          </cell>
        </row>
        <row r="647">
          <cell r="C647" t="str">
            <v>C49SZX20190168JL</v>
          </cell>
          <cell r="Y647">
            <v>560000</v>
          </cell>
          <cell r="AG647" t="str">
            <v>含税到厂</v>
          </cell>
        </row>
        <row r="648">
          <cell r="C648" t="str">
            <v>C49SZX20190165DZ</v>
          </cell>
          <cell r="Y648">
            <v>7000000</v>
          </cell>
          <cell r="AG648" t="str">
            <v>CIF HK</v>
          </cell>
        </row>
        <row r="649">
          <cell r="C649" t="str">
            <v>C49SZX20190165DZ</v>
          </cell>
          <cell r="Y649">
            <v>7000000</v>
          </cell>
          <cell r="AG649" t="str">
            <v>CIF HK</v>
          </cell>
        </row>
        <row r="650">
          <cell r="C650" t="str">
            <v>C49SZX20190163JY</v>
          </cell>
          <cell r="Y650">
            <v>11000000</v>
          </cell>
          <cell r="AG650" t="str">
            <v>DAP SZ</v>
          </cell>
        </row>
        <row r="651">
          <cell r="C651" t="str">
            <v>C49SZX20190163JY</v>
          </cell>
          <cell r="Y651">
            <v>11000000</v>
          </cell>
          <cell r="AG651" t="str">
            <v>DAP SZ</v>
          </cell>
        </row>
        <row r="652">
          <cell r="C652" t="str">
            <v>C49SZX20190163JY</v>
          </cell>
          <cell r="Y652">
            <v>11000000</v>
          </cell>
          <cell r="AG652" t="str">
            <v>DAP SZ</v>
          </cell>
        </row>
        <row r="653">
          <cell r="C653" t="str">
            <v>C49SZX20190163JY</v>
          </cell>
          <cell r="Y653">
            <v>11000000</v>
          </cell>
          <cell r="AG653" t="str">
            <v>DAP SZ</v>
          </cell>
        </row>
        <row r="654">
          <cell r="C654" t="str">
            <v>C49SZX20190163JY</v>
          </cell>
          <cell r="Y654">
            <v>11000000</v>
          </cell>
          <cell r="AG654" t="str">
            <v>DAP SZ</v>
          </cell>
        </row>
        <row r="655">
          <cell r="C655" t="str">
            <v>C49SZX20190163JY</v>
          </cell>
          <cell r="Y655">
            <v>7750000</v>
          </cell>
          <cell r="AG655" t="str">
            <v>DAP SZ</v>
          </cell>
        </row>
        <row r="656">
          <cell r="C656" t="str">
            <v>C49SZX20190163JY</v>
          </cell>
          <cell r="Y656">
            <v>7750000</v>
          </cell>
          <cell r="AG656" t="str">
            <v>DAP SZ</v>
          </cell>
        </row>
        <row r="657">
          <cell r="C657" t="str">
            <v>C49SZX20190163JY</v>
          </cell>
          <cell r="Y657">
            <v>7750000</v>
          </cell>
          <cell r="AG657" t="str">
            <v>DAP SZ</v>
          </cell>
        </row>
        <row r="658">
          <cell r="C658" t="str">
            <v>C49SZX20190163JY</v>
          </cell>
          <cell r="Y658">
            <v>7750000</v>
          </cell>
          <cell r="AG658" t="str">
            <v>DAP SZ</v>
          </cell>
        </row>
        <row r="659">
          <cell r="C659" t="str">
            <v>C49SZX20190160ZX</v>
          </cell>
          <cell r="Y659">
            <v>14700000</v>
          </cell>
          <cell r="AG659" t="str">
            <v>DAP HZ</v>
          </cell>
        </row>
        <row r="660">
          <cell r="C660" t="str">
            <v>C28SZX20190085YY</v>
          </cell>
          <cell r="Y660">
            <v>260000</v>
          </cell>
          <cell r="AG660" t="str">
            <v>含税到厂</v>
          </cell>
        </row>
        <row r="661">
          <cell r="C661" t="str">
            <v>C49SZX20190617SS</v>
          </cell>
          <cell r="Y661">
            <v>8200000</v>
          </cell>
          <cell r="AG661" t="str">
            <v>DAP DG</v>
          </cell>
        </row>
        <row r="662">
          <cell r="C662" t="str">
            <v>C49SZX20190170SS</v>
          </cell>
          <cell r="Y662">
            <v>1360000</v>
          </cell>
          <cell r="AG662" t="str">
            <v>含税到厂</v>
          </cell>
        </row>
        <row r="663">
          <cell r="C663" t="str">
            <v>C49SZX20190171CX</v>
          </cell>
          <cell r="Y663">
            <v>12600000</v>
          </cell>
          <cell r="AG663" t="str">
            <v>DAP SZ</v>
          </cell>
        </row>
        <row r="664">
          <cell r="C664" t="str">
            <v>C49SZX20190172ZX</v>
          </cell>
          <cell r="Y664">
            <v>9000000</v>
          </cell>
          <cell r="AG664" t="str">
            <v>CIF HK</v>
          </cell>
        </row>
        <row r="665">
          <cell r="C665" t="str">
            <v>C49SZX20190172ZX</v>
          </cell>
          <cell r="Y665">
            <v>12900000</v>
          </cell>
          <cell r="AG665" t="str">
            <v>CIF HK</v>
          </cell>
        </row>
        <row r="666">
          <cell r="C666" t="str">
            <v>C49SZX20190172ZX</v>
          </cell>
          <cell r="Y666">
            <v>12900000</v>
          </cell>
          <cell r="AG666" t="str">
            <v>CIF HK</v>
          </cell>
        </row>
        <row r="667">
          <cell r="C667" t="str">
            <v>C49SZX20190169MZ</v>
          </cell>
          <cell r="Y667">
            <v>12800000</v>
          </cell>
          <cell r="AG667" t="str">
            <v>CIF HK</v>
          </cell>
        </row>
        <row r="668">
          <cell r="C668" t="str">
            <v>C49SZX20190157CX</v>
          </cell>
          <cell r="Y668">
            <v>12274000</v>
          </cell>
          <cell r="AG668" t="str">
            <v>DAP SZ</v>
          </cell>
        </row>
        <row r="669">
          <cell r="C669" t="str">
            <v>C49SZX20190175SX</v>
          </cell>
          <cell r="Y669">
            <v>1664000</v>
          </cell>
          <cell r="AG669" t="str">
            <v>DDP DG</v>
          </cell>
        </row>
        <row r="670">
          <cell r="C670" t="str">
            <v>C49SZX20190179SX</v>
          </cell>
          <cell r="Y670">
            <v>864000</v>
          </cell>
          <cell r="AG670" t="str">
            <v>DDP SZ</v>
          </cell>
        </row>
        <row r="671">
          <cell r="C671" t="str">
            <v>C49SZX20190179SX</v>
          </cell>
          <cell r="Y671">
            <v>864000</v>
          </cell>
          <cell r="AG671" t="str">
            <v>DDP SZ</v>
          </cell>
        </row>
        <row r="672">
          <cell r="C672" t="str">
            <v>C49SZX20190167SS</v>
          </cell>
          <cell r="Y672">
            <v>12350000</v>
          </cell>
          <cell r="AG672" t="str">
            <v>DAP SZ</v>
          </cell>
        </row>
        <row r="673">
          <cell r="C673" t="str">
            <v>C49SZX20190167SS</v>
          </cell>
          <cell r="Y673">
            <v>12350000</v>
          </cell>
          <cell r="AG673" t="str">
            <v>DAP SZ</v>
          </cell>
        </row>
        <row r="674">
          <cell r="C674" t="str">
            <v>C28SZX20190099YY</v>
          </cell>
          <cell r="Y674">
            <v>79000</v>
          </cell>
          <cell r="AG674" t="str">
            <v>CIF HK</v>
          </cell>
        </row>
        <row r="675">
          <cell r="C675" t="str">
            <v>C28SZX20190097YY</v>
          </cell>
          <cell r="Y675">
            <v>51000</v>
          </cell>
          <cell r="AG675" t="str">
            <v>CIF HK</v>
          </cell>
        </row>
        <row r="676">
          <cell r="C676" t="str">
            <v>C49SZX20190181DY</v>
          </cell>
          <cell r="Y676">
            <v>1090000</v>
          </cell>
          <cell r="AG676" t="str">
            <v>DDP SZ</v>
          </cell>
        </row>
        <row r="677">
          <cell r="C677" t="str">
            <v>C49SZX20190177SS</v>
          </cell>
          <cell r="Y677">
            <v>11840000</v>
          </cell>
          <cell r="AG677" t="str">
            <v>DAP SZ</v>
          </cell>
        </row>
        <row r="678">
          <cell r="C678" t="str">
            <v>C49SZX20190180SS</v>
          </cell>
          <cell r="Y678">
            <v>7400000</v>
          </cell>
          <cell r="AG678" t="str">
            <v>DAP SZ</v>
          </cell>
        </row>
        <row r="679">
          <cell r="C679" t="str">
            <v>C49SZX20190160R1ZX</v>
          </cell>
          <cell r="Y679">
            <v>14700000</v>
          </cell>
          <cell r="AG679" t="str">
            <v>DAP HZ</v>
          </cell>
        </row>
        <row r="680">
          <cell r="C680" t="str">
            <v>C49SZX20190173DZ</v>
          </cell>
          <cell r="Y680">
            <v>15830000</v>
          </cell>
          <cell r="AG680" t="str">
            <v>CIF HK</v>
          </cell>
        </row>
        <row r="681">
          <cell r="C681" t="str">
            <v>C49SZX20190173DZ</v>
          </cell>
          <cell r="Y681">
            <v>15830000</v>
          </cell>
          <cell r="AG681" t="str">
            <v>CIF HK</v>
          </cell>
        </row>
        <row r="682">
          <cell r="C682" t="str">
            <v>C49SZX20190173DZ</v>
          </cell>
          <cell r="Y682">
            <v>15830000</v>
          </cell>
          <cell r="AG682" t="str">
            <v>CIF HK</v>
          </cell>
        </row>
        <row r="683">
          <cell r="C683" t="str">
            <v>C49SZX20190149SX</v>
          </cell>
          <cell r="Y683">
            <v>1530000</v>
          </cell>
          <cell r="AG683" t="str">
            <v>DDP HZ</v>
          </cell>
        </row>
        <row r="684">
          <cell r="C684" t="str">
            <v>C49SZX20190141SS</v>
          </cell>
          <cell r="Y684">
            <v>11000000</v>
          </cell>
          <cell r="AG684" t="str">
            <v>CIF HK</v>
          </cell>
        </row>
        <row r="685">
          <cell r="C685" t="str">
            <v>C49SZX20190141SS</v>
          </cell>
          <cell r="Y685">
            <v>11000000</v>
          </cell>
          <cell r="AG685" t="str">
            <v>CIF HK</v>
          </cell>
        </row>
        <row r="686">
          <cell r="C686" t="str">
            <v>C49SZX20190141SS</v>
          </cell>
          <cell r="Y686">
            <v>11000000</v>
          </cell>
          <cell r="AG686" t="str">
            <v>CIF HK</v>
          </cell>
        </row>
        <row r="687">
          <cell r="C687" t="str">
            <v>C49SZX20190141SS</v>
          </cell>
          <cell r="Y687">
            <v>11000000</v>
          </cell>
          <cell r="AG687" t="str">
            <v>CIF HK</v>
          </cell>
        </row>
        <row r="688">
          <cell r="C688" t="str">
            <v>C49SZX20190141SS</v>
          </cell>
          <cell r="Y688">
            <v>11000000</v>
          </cell>
          <cell r="AG688" t="str">
            <v>CIF HK</v>
          </cell>
        </row>
        <row r="689">
          <cell r="C689" t="str">
            <v>C49SZX20190141SS</v>
          </cell>
          <cell r="Y689">
            <v>7722000</v>
          </cell>
          <cell r="AG689" t="str">
            <v>CIF HK</v>
          </cell>
        </row>
        <row r="690">
          <cell r="C690" t="str">
            <v>C49SZX20190141SS</v>
          </cell>
          <cell r="Y690">
            <v>7722000</v>
          </cell>
          <cell r="AG690" t="str">
            <v>CIF HK</v>
          </cell>
        </row>
        <row r="691">
          <cell r="C691" t="str">
            <v>C49SZX20190141SS</v>
          </cell>
          <cell r="Y691">
            <v>7722000</v>
          </cell>
          <cell r="AG691" t="str">
            <v>CIF HK</v>
          </cell>
        </row>
        <row r="692">
          <cell r="C692" t="str">
            <v>C49SZX20190141SS</v>
          </cell>
          <cell r="Y692">
            <v>7722000</v>
          </cell>
          <cell r="AG692" t="str">
            <v>CIF HK</v>
          </cell>
        </row>
        <row r="693">
          <cell r="C693" t="str">
            <v>C49SZX20190141SS</v>
          </cell>
          <cell r="Y693">
            <v>7722000</v>
          </cell>
          <cell r="AG693" t="str">
            <v>CIF HK</v>
          </cell>
        </row>
        <row r="694">
          <cell r="C694" t="str">
            <v>C49SZX20190141SS</v>
          </cell>
          <cell r="Y694">
            <v>7722000</v>
          </cell>
          <cell r="AG694" t="str">
            <v>CIF HK</v>
          </cell>
        </row>
        <row r="695">
          <cell r="C695" t="str">
            <v>C28SZX20190098YY</v>
          </cell>
          <cell r="Y695">
            <v>5820000</v>
          </cell>
          <cell r="AG695" t="str">
            <v>CIF HK</v>
          </cell>
        </row>
        <row r="696">
          <cell r="C696" t="str">
            <v>C49SZX20190182JL</v>
          </cell>
          <cell r="Y696">
            <v>11000000</v>
          </cell>
          <cell r="AG696" t="str">
            <v>CIF HK</v>
          </cell>
        </row>
        <row r="697">
          <cell r="C697" t="str">
            <v>C49SZX20190182JL</v>
          </cell>
          <cell r="Y697">
            <v>11000000</v>
          </cell>
          <cell r="AG697" t="str">
            <v>CIF HK</v>
          </cell>
        </row>
        <row r="698">
          <cell r="C698" t="str">
            <v>C49SZX20190182JL</v>
          </cell>
          <cell r="Y698">
            <v>11000000</v>
          </cell>
          <cell r="AG698" t="str">
            <v>CIF HK</v>
          </cell>
        </row>
        <row r="699">
          <cell r="C699" t="str">
            <v>C49SZX20190182JL</v>
          </cell>
          <cell r="Y699">
            <v>10510000</v>
          </cell>
          <cell r="AG699" t="str">
            <v>CIF HK</v>
          </cell>
        </row>
        <row r="700">
          <cell r="C700" t="str">
            <v>C49SZX20190185DZ</v>
          </cell>
          <cell r="Y700">
            <v>1550000</v>
          </cell>
          <cell r="AG700" t="str">
            <v>DDP SZ</v>
          </cell>
        </row>
        <row r="701">
          <cell r="C701" t="str">
            <v>C49SZX20190185DZ</v>
          </cell>
          <cell r="Y701">
            <v>1550000</v>
          </cell>
          <cell r="AG701" t="str">
            <v>DDP SZ</v>
          </cell>
        </row>
        <row r="702">
          <cell r="C702" t="str">
            <v>FS20191216</v>
          </cell>
          <cell r="Y702">
            <v>7150000</v>
          </cell>
          <cell r="AG702" t="str">
            <v>CIF HK</v>
          </cell>
        </row>
        <row r="703">
          <cell r="C703" t="str">
            <v>C49SZX20190189DY</v>
          </cell>
          <cell r="Y703">
            <v>600000</v>
          </cell>
          <cell r="AG703" t="str">
            <v>含税到厂</v>
          </cell>
        </row>
        <row r="704">
          <cell r="C704" t="str">
            <v>C49SZX20190187JY</v>
          </cell>
          <cell r="Y704">
            <v>16200000</v>
          </cell>
          <cell r="AG704" t="str">
            <v>DAP SZ</v>
          </cell>
        </row>
        <row r="705">
          <cell r="C705" t="str">
            <v>C49SZX20190187JY</v>
          </cell>
          <cell r="Y705">
            <v>10200000</v>
          </cell>
          <cell r="AG705" t="str">
            <v>DAP SZ</v>
          </cell>
        </row>
        <row r="706">
          <cell r="C706" t="str">
            <v>C49SZX20190188JY</v>
          </cell>
          <cell r="Y706">
            <v>10600000</v>
          </cell>
          <cell r="AG706" t="str">
            <v>DAP SZ</v>
          </cell>
        </row>
        <row r="707">
          <cell r="C707" t="str">
            <v>C49SZX20190188JY</v>
          </cell>
          <cell r="Y707">
            <v>8150000</v>
          </cell>
          <cell r="AG707" t="str">
            <v>DAP SZ</v>
          </cell>
        </row>
        <row r="708">
          <cell r="C708" t="str">
            <v>C49SZX20190188JY</v>
          </cell>
          <cell r="Y708">
            <v>8150000</v>
          </cell>
          <cell r="AG708" t="str">
            <v>DAP SZ</v>
          </cell>
        </row>
        <row r="709">
          <cell r="C709" t="str">
            <v>C49SZX20190186SS</v>
          </cell>
          <cell r="Y709">
            <v>1450000</v>
          </cell>
          <cell r="AG709" t="str">
            <v>含税到厂</v>
          </cell>
        </row>
        <row r="710">
          <cell r="C710" t="str">
            <v>C49SZX20190186SS</v>
          </cell>
          <cell r="Y710">
            <v>1450000</v>
          </cell>
          <cell r="AG710" t="str">
            <v>含税到厂</v>
          </cell>
        </row>
        <row r="711">
          <cell r="C711" t="str">
            <v>C49SZX20190033SX</v>
          </cell>
          <cell r="Y711">
            <v>602800</v>
          </cell>
          <cell r="AG711" t="str">
            <v>含税到厂</v>
          </cell>
        </row>
        <row r="712">
          <cell r="C712" t="str">
            <v>C49SZX20190192MZ</v>
          </cell>
          <cell r="Y712">
            <v>12500000</v>
          </cell>
          <cell r="AG712" t="str">
            <v>CIF HK</v>
          </cell>
        </row>
        <row r="713">
          <cell r="C713" t="str">
            <v>C49SZX20190192MZ</v>
          </cell>
          <cell r="Y713">
            <v>9000000</v>
          </cell>
          <cell r="AG713" t="str">
            <v>CIF HK</v>
          </cell>
        </row>
        <row r="714">
          <cell r="C714" t="str">
            <v>C49SZX20190193SS</v>
          </cell>
          <cell r="Y714">
            <v>1400000</v>
          </cell>
          <cell r="AG714" t="str">
            <v>含税到厂</v>
          </cell>
        </row>
        <row r="715">
          <cell r="C715" t="str">
            <v>C49SZX20200001SX</v>
          </cell>
          <cell r="Y715">
            <v>15000000</v>
          </cell>
          <cell r="AG715" t="str">
            <v>DAP DG</v>
          </cell>
        </row>
        <row r="716">
          <cell r="C716" t="str">
            <v>C49SZX20200001SX</v>
          </cell>
          <cell r="Y716">
            <v>9442000</v>
          </cell>
          <cell r="AG716" t="str">
            <v>DAP DG</v>
          </cell>
        </row>
        <row r="717">
          <cell r="C717" t="str">
            <v>C49SZX20200002MZ</v>
          </cell>
          <cell r="Y717">
            <v>11300000</v>
          </cell>
          <cell r="AG717" t="str">
            <v>DAP DG</v>
          </cell>
        </row>
        <row r="718">
          <cell r="C718" t="str">
            <v>C28BJS20190108LY</v>
          </cell>
          <cell r="Y718">
            <v>328000</v>
          </cell>
          <cell r="AG718" t="str">
            <v>含税到厂</v>
          </cell>
        </row>
        <row r="719">
          <cell r="C719" t="str">
            <v>C49SZX20200003CX</v>
          </cell>
          <cell r="Y719">
            <v>14500000</v>
          </cell>
          <cell r="AG719" t="str">
            <v>DAP ST</v>
          </cell>
        </row>
        <row r="720">
          <cell r="C720" t="str">
            <v>C49SZX20190195KW</v>
          </cell>
          <cell r="Y720">
            <v>1500000</v>
          </cell>
          <cell r="AG720" t="str">
            <v>含税到厂</v>
          </cell>
        </row>
        <row r="721">
          <cell r="C721" t="str">
            <v>C49SZX20190195KW</v>
          </cell>
          <cell r="Y721">
            <v>1500000</v>
          </cell>
          <cell r="AG721" t="str">
            <v>含税到厂</v>
          </cell>
        </row>
        <row r="722">
          <cell r="C722" t="str">
            <v>C49SZX20200005SS</v>
          </cell>
          <cell r="Y722">
            <v>11714000</v>
          </cell>
          <cell r="AG722" t="str">
            <v>DAP SZ</v>
          </cell>
        </row>
        <row r="723">
          <cell r="C723" t="str">
            <v>C49SZX20200008MX</v>
          </cell>
          <cell r="Y723">
            <v>10736800</v>
          </cell>
          <cell r="AG723" t="str">
            <v>CIF HK</v>
          </cell>
        </row>
        <row r="724">
          <cell r="C724" t="str">
            <v>C49SZX20200008MX</v>
          </cell>
          <cell r="Y724">
            <v>7158000</v>
          </cell>
          <cell r="AG724" t="str">
            <v>CIF HK</v>
          </cell>
        </row>
        <row r="725">
          <cell r="C725" t="str">
            <v>C49SZX20200012SS</v>
          </cell>
          <cell r="Y725">
            <v>11344000</v>
          </cell>
          <cell r="AG725" t="str">
            <v>DAP SZ</v>
          </cell>
        </row>
        <row r="726">
          <cell r="C726" t="str">
            <v>C49SZX20200010DZ</v>
          </cell>
          <cell r="Y726">
            <v>850000</v>
          </cell>
          <cell r="AG726" t="str">
            <v>含税到厂</v>
          </cell>
        </row>
        <row r="727">
          <cell r="C727" t="str">
            <v>C49SZX20200010DZ</v>
          </cell>
          <cell r="Y727">
            <v>850000</v>
          </cell>
          <cell r="AG727" t="str">
            <v>含税到厂</v>
          </cell>
        </row>
        <row r="728">
          <cell r="C728" t="str">
            <v>C49SZX20200013SS</v>
          </cell>
          <cell r="Y728">
            <v>9163000</v>
          </cell>
          <cell r="AG728" t="str">
            <v>DAP SZ</v>
          </cell>
        </row>
        <row r="729">
          <cell r="C729" t="str">
            <v>C49SZX20200013SS</v>
          </cell>
          <cell r="Y729">
            <v>9163000</v>
          </cell>
          <cell r="AG729" t="str">
            <v>DAP SZ</v>
          </cell>
        </row>
        <row r="730">
          <cell r="C730" t="str">
            <v>C49SZX20200015JL</v>
          </cell>
          <cell r="Y730">
            <v>10400000</v>
          </cell>
          <cell r="AG730" t="str">
            <v>CIF HK</v>
          </cell>
        </row>
        <row r="731">
          <cell r="C731" t="str">
            <v>C49SZX20200015JL</v>
          </cell>
          <cell r="Y731">
            <v>7200000</v>
          </cell>
          <cell r="AG731" t="str">
            <v>CIF HK</v>
          </cell>
        </row>
        <row r="732">
          <cell r="C732" t="str">
            <v>C49SZX20200016SX</v>
          </cell>
          <cell r="Y732">
            <v>8367850</v>
          </cell>
          <cell r="AG732" t="str">
            <v>DAP SZ</v>
          </cell>
        </row>
        <row r="733">
          <cell r="C733" t="str">
            <v>C49SZX20200016SX</v>
          </cell>
          <cell r="Y733">
            <v>8367850</v>
          </cell>
          <cell r="AG733" t="str">
            <v>DAP SZ</v>
          </cell>
        </row>
        <row r="734">
          <cell r="C734" t="str">
            <v>C49SZX20200017CX</v>
          </cell>
          <cell r="Y734">
            <v>9100000</v>
          </cell>
          <cell r="AG734" t="str">
            <v>DAP SZ</v>
          </cell>
        </row>
        <row r="735">
          <cell r="C735" t="str">
            <v>C49SZX20200017CX</v>
          </cell>
          <cell r="Y735">
            <v>9100000</v>
          </cell>
          <cell r="AG735" t="str">
            <v>DAP SZ</v>
          </cell>
        </row>
        <row r="736">
          <cell r="C736" t="str">
            <v>C49SZX20200018SX</v>
          </cell>
          <cell r="Y736">
            <v>15884750</v>
          </cell>
          <cell r="AG736" t="str">
            <v>DAP DG</v>
          </cell>
        </row>
        <row r="737">
          <cell r="C737" t="str">
            <v>C49SZX20200021SS</v>
          </cell>
          <cell r="Y737">
            <v>10800000</v>
          </cell>
          <cell r="AG737" t="str">
            <v>DAP SZ</v>
          </cell>
        </row>
        <row r="738">
          <cell r="C738" t="str">
            <v>C49SZX20200020SS</v>
          </cell>
          <cell r="Y738">
            <v>7400000</v>
          </cell>
          <cell r="AG738" t="str">
            <v>DAP SZ</v>
          </cell>
        </row>
        <row r="739">
          <cell r="C739" t="str">
            <v>C49SZX20200022SX</v>
          </cell>
          <cell r="Y739">
            <v>680000</v>
          </cell>
          <cell r="AG739" t="str">
            <v>含税到厂</v>
          </cell>
        </row>
        <row r="740">
          <cell r="C740" t="str">
            <v>C49SZX20200023SX</v>
          </cell>
          <cell r="Y740">
            <v>7367500</v>
          </cell>
          <cell r="AG740" t="str">
            <v>DAP DG</v>
          </cell>
        </row>
        <row r="741">
          <cell r="C741" t="str">
            <v>C49SZX20200023SX</v>
          </cell>
          <cell r="Y741">
            <v>7367500</v>
          </cell>
          <cell r="AG741" t="str">
            <v>DAP DG</v>
          </cell>
        </row>
        <row r="742">
          <cell r="C742" t="str">
            <v>C49SZX20200023SX</v>
          </cell>
          <cell r="Y742">
            <v>7367500</v>
          </cell>
          <cell r="AG742" t="str">
            <v>DAP DG</v>
          </cell>
        </row>
        <row r="743">
          <cell r="C743" t="str">
            <v>C49SZX20200023SX</v>
          </cell>
          <cell r="Y743">
            <v>7367500</v>
          </cell>
          <cell r="AG743" t="str">
            <v>DAP DG</v>
          </cell>
        </row>
        <row r="744">
          <cell r="C744" t="str">
            <v>C49SZX20200019SX</v>
          </cell>
          <cell r="Y744">
            <v>882530</v>
          </cell>
          <cell r="AG744" t="str">
            <v>含税到厂</v>
          </cell>
        </row>
        <row r="745">
          <cell r="C745" t="str">
            <v>C49SZX20200027JY</v>
          </cell>
          <cell r="Y745">
            <v>942920</v>
          </cell>
          <cell r="AG745" t="str">
            <v>DAP DG</v>
          </cell>
        </row>
        <row r="746">
          <cell r="C746" t="str">
            <v>C49SZX20200027JY</v>
          </cell>
          <cell r="Y746">
            <v>650000</v>
          </cell>
          <cell r="AG746" t="str">
            <v>DAP DG</v>
          </cell>
        </row>
        <row r="747">
          <cell r="C747" t="str">
            <v>C49SZX20200029SS</v>
          </cell>
          <cell r="Y747">
            <v>11998800</v>
          </cell>
          <cell r="AG747" t="str">
            <v>DAP SZ</v>
          </cell>
        </row>
        <row r="748">
          <cell r="C748" t="str">
            <v>C49SZX20200028JYR1</v>
          </cell>
          <cell r="Y748">
            <v>1031822</v>
          </cell>
          <cell r="AG748" t="str">
            <v>含税到厂</v>
          </cell>
        </row>
        <row r="749">
          <cell r="C749" t="str">
            <v>4300001028</v>
          </cell>
          <cell r="Y749">
            <v>303000</v>
          </cell>
          <cell r="AG749" t="str">
            <v>含税到厂</v>
          </cell>
        </row>
        <row r="750">
          <cell r="C750" t="str">
            <v>C49SZX20200009MX</v>
          </cell>
          <cell r="Y750">
            <v>790000</v>
          </cell>
          <cell r="AG750" t="str">
            <v>含税到厂</v>
          </cell>
        </row>
        <row r="751">
          <cell r="C751" t="str">
            <v>C49SZX20200030SX</v>
          </cell>
          <cell r="Y751">
            <v>17593685</v>
          </cell>
          <cell r="AG751" t="str">
            <v>DAP DG</v>
          </cell>
        </row>
        <row r="752">
          <cell r="C752" t="str">
            <v>C49SZX20200026SX</v>
          </cell>
          <cell r="Y752">
            <v>19000000</v>
          </cell>
          <cell r="AG752" t="str">
            <v>DAP DG</v>
          </cell>
        </row>
        <row r="753">
          <cell r="C753" t="str">
            <v>C49SZX20200031DZ</v>
          </cell>
          <cell r="Y753">
            <v>600000</v>
          </cell>
          <cell r="AG753" t="str">
            <v>含税到厂</v>
          </cell>
        </row>
        <row r="754">
          <cell r="C754" t="str">
            <v>C49SZX20200031DZ</v>
          </cell>
          <cell r="Y754">
            <v>900000</v>
          </cell>
          <cell r="AG754" t="str">
            <v>含税到厂</v>
          </cell>
        </row>
        <row r="755">
          <cell r="C755" t="str">
            <v>C49SZX20200036CX</v>
          </cell>
          <cell r="Y755">
            <v>9800000</v>
          </cell>
          <cell r="AG755" t="str">
            <v>DAP SZ</v>
          </cell>
        </row>
        <row r="756">
          <cell r="C756" t="str">
            <v>C49SZX20200036CX</v>
          </cell>
          <cell r="Y756">
            <v>11000000</v>
          </cell>
          <cell r="AG756" t="str">
            <v>DAP SZ</v>
          </cell>
        </row>
        <row r="757">
          <cell r="C757" t="str">
            <v>C49SZX20200007SS</v>
          </cell>
          <cell r="Y757">
            <v>15800000</v>
          </cell>
          <cell r="AG757" t="str">
            <v>DAP DG</v>
          </cell>
        </row>
        <row r="758">
          <cell r="C758" t="str">
            <v>C49SZX20200040MZ</v>
          </cell>
          <cell r="Y758">
            <v>15100000</v>
          </cell>
          <cell r="AG758" t="str">
            <v>CIF HK</v>
          </cell>
        </row>
        <row r="759">
          <cell r="C759" t="str">
            <v>C49SZX20200039SX</v>
          </cell>
          <cell r="Y759">
            <v>880000</v>
          </cell>
          <cell r="AG759" t="str">
            <v>含税到厂</v>
          </cell>
        </row>
        <row r="760">
          <cell r="C760" t="str">
            <v>C49SZX20200035JY</v>
          </cell>
          <cell r="Y760">
            <v>15943175</v>
          </cell>
          <cell r="AG760" t="str">
            <v>DAP HZ</v>
          </cell>
        </row>
        <row r="761">
          <cell r="C761" t="str">
            <v>C49SZX20200035JY</v>
          </cell>
          <cell r="Y761">
            <v>15943175</v>
          </cell>
          <cell r="AG761" t="str">
            <v>DAP HZ</v>
          </cell>
        </row>
        <row r="762">
          <cell r="C762" t="str">
            <v>C49SZX20200035JY</v>
          </cell>
          <cell r="Y762">
            <v>11000000</v>
          </cell>
          <cell r="AG762" t="str">
            <v>DAP HZ</v>
          </cell>
        </row>
        <row r="763">
          <cell r="C763" t="str">
            <v>C49SZX20200035JY</v>
          </cell>
          <cell r="Y763">
            <v>11000000</v>
          </cell>
          <cell r="AG763" t="str">
            <v>DAP HZ</v>
          </cell>
        </row>
        <row r="764">
          <cell r="C764" t="str">
            <v>C49SZX20200041JY</v>
          </cell>
          <cell r="Y764">
            <v>930000</v>
          </cell>
          <cell r="AG764" t="str">
            <v>含税到厂</v>
          </cell>
        </row>
        <row r="765">
          <cell r="C765" t="str">
            <v>C49SZX20200041JY</v>
          </cell>
          <cell r="Y765">
            <v>580000</v>
          </cell>
          <cell r="AG765" t="str">
            <v>含税到厂</v>
          </cell>
        </row>
        <row r="766">
          <cell r="C766" t="str">
            <v>C49SZX20200038SX</v>
          </cell>
          <cell r="Y766">
            <v>8300000</v>
          </cell>
          <cell r="AG766" t="str">
            <v>DAP DG</v>
          </cell>
        </row>
        <row r="767">
          <cell r="C767" t="str">
            <v>C49SZX20200006KW</v>
          </cell>
          <cell r="Y767">
            <v>15800000</v>
          </cell>
          <cell r="AG767" t="str">
            <v>CIF HK</v>
          </cell>
        </row>
        <row r="768">
          <cell r="C768" t="str">
            <v>C49SZX20200045SX</v>
          </cell>
          <cell r="Y768">
            <v>1067000</v>
          </cell>
          <cell r="AG768" t="str">
            <v>含税到厂</v>
          </cell>
        </row>
        <row r="769">
          <cell r="C769" t="str">
            <v>C49SZX20200050SX</v>
          </cell>
          <cell r="Y769">
            <v>790000</v>
          </cell>
          <cell r="AG769" t="str">
            <v>含税到厂</v>
          </cell>
        </row>
        <row r="770">
          <cell r="C770" t="str">
            <v>C49SZX20200049MX</v>
          </cell>
          <cell r="Y770">
            <v>830000</v>
          </cell>
          <cell r="AG770" t="str">
            <v>含税到厂</v>
          </cell>
        </row>
        <row r="771">
          <cell r="C771" t="str">
            <v>C49SZX20200049MX</v>
          </cell>
          <cell r="Y771">
            <v>830000</v>
          </cell>
          <cell r="AG771" t="str">
            <v>含税到厂</v>
          </cell>
        </row>
        <row r="772">
          <cell r="C772" t="str">
            <v>C49SZX20200049MX</v>
          </cell>
          <cell r="Y772">
            <v>830000</v>
          </cell>
          <cell r="AG772" t="str">
            <v>含税到厂</v>
          </cell>
        </row>
        <row r="773">
          <cell r="C773" t="str">
            <v>C49SZX20200049MX</v>
          </cell>
          <cell r="Y773">
            <v>830000</v>
          </cell>
          <cell r="AG773" t="str">
            <v>含税到厂</v>
          </cell>
        </row>
        <row r="774">
          <cell r="C774" t="str">
            <v>C49SZX20200042JL</v>
          </cell>
          <cell r="Y774">
            <v>530000</v>
          </cell>
          <cell r="AG774" t="str">
            <v>含税到厂</v>
          </cell>
        </row>
        <row r="775">
          <cell r="C775" t="str">
            <v>C49SZX20200048DZ</v>
          </cell>
          <cell r="Y775">
            <v>1158250</v>
          </cell>
          <cell r="AG775" t="str">
            <v>含税到厂</v>
          </cell>
        </row>
        <row r="776">
          <cell r="C776" t="str">
            <v>C49SZX20200048DZ</v>
          </cell>
          <cell r="Y776">
            <v>1158250</v>
          </cell>
          <cell r="AG776" t="str">
            <v>含税到厂</v>
          </cell>
        </row>
        <row r="777">
          <cell r="C777" t="str">
            <v>C49SZX20200048DZ</v>
          </cell>
          <cell r="Y777">
            <v>1158250</v>
          </cell>
          <cell r="AG777" t="str">
            <v>含税到厂</v>
          </cell>
        </row>
        <row r="778">
          <cell r="C778" t="str">
            <v>C49SZX20200051SX</v>
          </cell>
          <cell r="Y778">
            <v>860000</v>
          </cell>
          <cell r="AG778" t="str">
            <v>含税到厂</v>
          </cell>
        </row>
        <row r="779">
          <cell r="C779" t="str">
            <v>C49SZX20200051SX</v>
          </cell>
          <cell r="Y779">
            <v>1000000</v>
          </cell>
          <cell r="AG779" t="str">
            <v>含税到厂</v>
          </cell>
        </row>
        <row r="780">
          <cell r="C780" t="str">
            <v>C28SZX20200034YY</v>
          </cell>
          <cell r="Y780">
            <v>505600</v>
          </cell>
          <cell r="AG780" t="str">
            <v>含税到厂</v>
          </cell>
        </row>
        <row r="781">
          <cell r="C781" t="str">
            <v>C28SZX20200026YY</v>
          </cell>
          <cell r="Y781">
            <v>431000</v>
          </cell>
          <cell r="AG781" t="str">
            <v>含税到厂</v>
          </cell>
        </row>
        <row r="782">
          <cell r="C782" t="str">
            <v>C28SZX20200027YY</v>
          </cell>
          <cell r="Y782">
            <v>407100</v>
          </cell>
          <cell r="AG782" t="str">
            <v>含税到厂</v>
          </cell>
        </row>
        <row r="783">
          <cell r="C783" t="str">
            <v>C49SZX20200055SX</v>
          </cell>
          <cell r="Y783">
            <v>810000</v>
          </cell>
          <cell r="AG783" t="str">
            <v>含税到厂</v>
          </cell>
        </row>
        <row r="784">
          <cell r="C784" t="str">
            <v>C49SZX20200046JY</v>
          </cell>
          <cell r="Y784">
            <v>12000000</v>
          </cell>
          <cell r="AG784" t="str">
            <v>DAP SZ</v>
          </cell>
        </row>
        <row r="785">
          <cell r="C785" t="str">
            <v>C49SZX20200011DZ</v>
          </cell>
          <cell r="Y785">
            <v>580000</v>
          </cell>
          <cell r="AG785" t="str">
            <v>含税到厂</v>
          </cell>
        </row>
        <row r="786">
          <cell r="C786" t="str">
            <v>C49SZX20200047MZ</v>
          </cell>
          <cell r="Y786">
            <v>1050000</v>
          </cell>
          <cell r="AG786" t="str">
            <v>含税到厂</v>
          </cell>
        </row>
        <row r="787">
          <cell r="C787" t="str">
            <v>C49SZX20200047MZ</v>
          </cell>
          <cell r="Y787">
            <v>700000</v>
          </cell>
          <cell r="AG787" t="str">
            <v>含税到厂</v>
          </cell>
        </row>
        <row r="788">
          <cell r="C788" t="str">
            <v>C49SZX20200053SS</v>
          </cell>
          <cell r="Y788">
            <v>11000000</v>
          </cell>
          <cell r="AG788" t="str">
            <v>DAP SZ</v>
          </cell>
        </row>
        <row r="789">
          <cell r="C789" t="str">
            <v>C49SZX20200043CY</v>
          </cell>
          <cell r="Y789">
            <v>643012</v>
          </cell>
          <cell r="AG789" t="str">
            <v>含税到厂</v>
          </cell>
        </row>
        <row r="790">
          <cell r="C790" t="str">
            <v>C49SZX20200052JY</v>
          </cell>
          <cell r="Y790">
            <v>11256350</v>
          </cell>
          <cell r="AG790" t="str">
            <v>DAP HZ</v>
          </cell>
        </row>
        <row r="791">
          <cell r="C791" t="str">
            <v>C49SZX20200052JY</v>
          </cell>
          <cell r="Y791">
            <v>11256350</v>
          </cell>
          <cell r="AG791" t="str">
            <v>DAP HZ</v>
          </cell>
        </row>
        <row r="792">
          <cell r="C792" t="str">
            <v>C49SZX20200056MZ</v>
          </cell>
          <cell r="Y792">
            <v>10800000</v>
          </cell>
          <cell r="AG792" t="str">
            <v>DAP SZ</v>
          </cell>
        </row>
        <row r="793">
          <cell r="C793" t="str">
            <v>C49SZX20200037SX-R1</v>
          </cell>
          <cell r="Y793">
            <v>900000</v>
          </cell>
          <cell r="AG793" t="str">
            <v>含税到厂</v>
          </cell>
        </row>
        <row r="794">
          <cell r="C794" t="str">
            <v>C49SZX20200037SX-R1</v>
          </cell>
          <cell r="Y794">
            <v>620000</v>
          </cell>
          <cell r="AG794" t="str">
            <v>含税到厂</v>
          </cell>
        </row>
        <row r="795">
          <cell r="C795" t="str">
            <v>C49SZX20200060SX</v>
          </cell>
          <cell r="Y795">
            <v>1045000</v>
          </cell>
          <cell r="AG795" t="str">
            <v>含税到厂</v>
          </cell>
        </row>
        <row r="796">
          <cell r="C796" t="str">
            <v>C49SZX20200060SX</v>
          </cell>
          <cell r="Y796">
            <v>1045000</v>
          </cell>
          <cell r="AG796" t="str">
            <v>含税到厂</v>
          </cell>
        </row>
        <row r="797">
          <cell r="C797" t="str">
            <v>&lt;0&gt;-2020-5-F-010</v>
          </cell>
          <cell r="Y797">
            <v>310000</v>
          </cell>
          <cell r="AG797" t="str">
            <v>含税到厂</v>
          </cell>
        </row>
        <row r="798">
          <cell r="C798" t="str">
            <v>C49SZX20200057KW</v>
          </cell>
          <cell r="Y798">
            <v>13360000</v>
          </cell>
          <cell r="AG798" t="str">
            <v>DAP SZ</v>
          </cell>
        </row>
        <row r="799">
          <cell r="C799" t="str">
            <v>C49SZX20200057KW</v>
          </cell>
          <cell r="Y799">
            <v>8500000</v>
          </cell>
          <cell r="AG799" t="str">
            <v>DAP SZ</v>
          </cell>
        </row>
        <row r="800">
          <cell r="C800" t="str">
            <v>C49SZX20200033DZ</v>
          </cell>
          <cell r="Y800">
            <v>10300000</v>
          </cell>
          <cell r="AG800" t="str">
            <v>CIF HK</v>
          </cell>
        </row>
        <row r="801">
          <cell r="C801" t="str">
            <v>C49SZX20200033DZ</v>
          </cell>
          <cell r="Y801">
            <v>10300000</v>
          </cell>
          <cell r="AG801" t="str">
            <v>CIF HK</v>
          </cell>
        </row>
        <row r="802">
          <cell r="C802" t="str">
            <v>C49SZX20200033DZ</v>
          </cell>
          <cell r="Y802">
            <v>10300000</v>
          </cell>
          <cell r="AG802" t="str">
            <v>CIF HK</v>
          </cell>
        </row>
        <row r="803">
          <cell r="C803" t="str">
            <v>C49SZX20200025MX</v>
          </cell>
          <cell r="Y803">
            <v>570000</v>
          </cell>
          <cell r="AG803" t="str">
            <v>含税到厂</v>
          </cell>
        </row>
        <row r="804">
          <cell r="C804" t="str">
            <v>202005080315</v>
          </cell>
          <cell r="Y804">
            <v>468000</v>
          </cell>
          <cell r="AG804" t="str">
            <v>含税到厂</v>
          </cell>
        </row>
        <row r="805">
          <cell r="C805" t="str">
            <v>202005080315</v>
          </cell>
          <cell r="Y805">
            <v>468000</v>
          </cell>
          <cell r="AG805" t="str">
            <v>含税到厂</v>
          </cell>
        </row>
        <row r="806">
          <cell r="C806" t="str">
            <v>202005080315</v>
          </cell>
          <cell r="Y806">
            <v>468000</v>
          </cell>
          <cell r="AG806" t="str">
            <v>含税到厂</v>
          </cell>
        </row>
        <row r="807">
          <cell r="C807" t="str">
            <v>C49SZX20200058SS</v>
          </cell>
          <cell r="Y807">
            <v>780000</v>
          </cell>
          <cell r="AG807" t="str">
            <v>含税到厂</v>
          </cell>
        </row>
        <row r="808">
          <cell r="C808" t="str">
            <v>C49SZX20200058SS</v>
          </cell>
          <cell r="Y808">
            <v>1000000</v>
          </cell>
          <cell r="AG808" t="str">
            <v>含税到厂</v>
          </cell>
        </row>
        <row r="809">
          <cell r="C809" t="str">
            <v>C49SZX20200058SS</v>
          </cell>
          <cell r="Y809">
            <v>1000000</v>
          </cell>
          <cell r="AG809" t="str">
            <v>含税到厂</v>
          </cell>
        </row>
        <row r="810">
          <cell r="C810" t="str">
            <v>C49SZX2200059CX</v>
          </cell>
          <cell r="Y810">
            <v>14356000</v>
          </cell>
          <cell r="AG810" t="str">
            <v>DAP SZ</v>
          </cell>
        </row>
        <row r="811">
          <cell r="C811" t="str">
            <v>C49SZX20200062SS</v>
          </cell>
          <cell r="Y811">
            <v>690000</v>
          </cell>
          <cell r="AG811" t="str">
            <v>含税到厂</v>
          </cell>
        </row>
        <row r="812">
          <cell r="C812" t="str">
            <v>C49SZX20200065JZ</v>
          </cell>
          <cell r="Y812">
            <v>570000</v>
          </cell>
          <cell r="AG812" t="str">
            <v>含税到厂</v>
          </cell>
        </row>
        <row r="813">
          <cell r="C813" t="str">
            <v>C49SZX20200061JY</v>
          </cell>
          <cell r="Y813">
            <v>7000000</v>
          </cell>
          <cell r="AG813" t="str">
            <v>DAP SZ</v>
          </cell>
        </row>
        <row r="814">
          <cell r="C814" t="str">
            <v>C49SZX20200067JZ</v>
          </cell>
          <cell r="Y814">
            <v>1500000</v>
          </cell>
          <cell r="AG814" t="str">
            <v>含税到厂</v>
          </cell>
        </row>
        <row r="815">
          <cell r="C815" t="str">
            <v>C49SZX20200067JZ</v>
          </cell>
          <cell r="Y815">
            <v>1500000</v>
          </cell>
          <cell r="AG815" t="str">
            <v>含税到厂</v>
          </cell>
        </row>
        <row r="816">
          <cell r="C816" t="str">
            <v>C49SZX20200063SS</v>
          </cell>
          <cell r="Y816">
            <v>540000</v>
          </cell>
          <cell r="AG816" t="str">
            <v>含税到厂</v>
          </cell>
        </row>
        <row r="817">
          <cell r="C817" t="str">
            <v>C49SZX20200069JY</v>
          </cell>
          <cell r="Y817">
            <v>11430000</v>
          </cell>
          <cell r="AG817" t="str">
            <v>DAP SZ</v>
          </cell>
        </row>
        <row r="818">
          <cell r="C818" t="str">
            <v>C49SZX20200076JL</v>
          </cell>
          <cell r="Y818">
            <v>848000</v>
          </cell>
          <cell r="AG818" t="str">
            <v>含税到厂</v>
          </cell>
        </row>
        <row r="819">
          <cell r="C819" t="str">
            <v>C49SZX20200076JL</v>
          </cell>
          <cell r="Y819">
            <v>580000</v>
          </cell>
          <cell r="AG819" t="str">
            <v>含税到厂</v>
          </cell>
        </row>
        <row r="820">
          <cell r="C820" t="str">
            <v>C49SZX20200076JL</v>
          </cell>
          <cell r="Y820">
            <v>580000</v>
          </cell>
          <cell r="AG820" t="str">
            <v>含税到厂</v>
          </cell>
        </row>
        <row r="821">
          <cell r="C821" t="str">
            <v>C49SZX20200077JZ</v>
          </cell>
          <cell r="Y821">
            <v>1500000</v>
          </cell>
          <cell r="AG821" t="str">
            <v>含税到厂</v>
          </cell>
        </row>
        <row r="822">
          <cell r="C822" t="str">
            <v>C49SZX20200071JY</v>
          </cell>
          <cell r="Y822">
            <v>12000000</v>
          </cell>
          <cell r="AG822" t="str">
            <v>DAP SZ</v>
          </cell>
        </row>
        <row r="823">
          <cell r="C823" t="str">
            <v>C49SZX20200071JY</v>
          </cell>
          <cell r="Y823">
            <v>8200000</v>
          </cell>
          <cell r="AG823" t="str">
            <v>DAP SZ</v>
          </cell>
        </row>
        <row r="824">
          <cell r="C824" t="str">
            <v>C49SZX20200079KW</v>
          </cell>
          <cell r="Y824">
            <v>1000000</v>
          </cell>
          <cell r="AG824" t="str">
            <v>含税到厂</v>
          </cell>
        </row>
        <row r="825">
          <cell r="C825" t="str">
            <v>C49SZX20200079KW</v>
          </cell>
          <cell r="Y825">
            <v>800000</v>
          </cell>
          <cell r="AG825" t="str">
            <v>含税到厂</v>
          </cell>
        </row>
        <row r="826">
          <cell r="C826" t="str">
            <v>C49SZX20200081DZ</v>
          </cell>
          <cell r="Y826">
            <v>12169500</v>
          </cell>
          <cell r="AG826" t="str">
            <v>CIF HK</v>
          </cell>
        </row>
        <row r="827">
          <cell r="C827" t="str">
            <v>C49SZX20200081DZ</v>
          </cell>
          <cell r="Y827">
            <v>8169500</v>
          </cell>
          <cell r="AG827" t="str">
            <v>CIF HK</v>
          </cell>
        </row>
        <row r="828">
          <cell r="C828" t="str">
            <v>C49SZX20200081DZ</v>
          </cell>
          <cell r="Y828">
            <v>8169500</v>
          </cell>
          <cell r="AG828" t="str">
            <v>CIF HK</v>
          </cell>
        </row>
        <row r="829">
          <cell r="C829" t="str">
            <v>C49SZX20200082DZ</v>
          </cell>
          <cell r="Y829">
            <v>12169500</v>
          </cell>
          <cell r="AG829" t="str">
            <v>CIF HK</v>
          </cell>
        </row>
        <row r="830">
          <cell r="C830" t="str">
            <v>C49SZX20200085JL</v>
          </cell>
          <cell r="Y830">
            <v>577500</v>
          </cell>
          <cell r="AG830" t="str">
            <v>含税到厂</v>
          </cell>
        </row>
        <row r="831">
          <cell r="C831" t="str">
            <v>C49SZX20200085JL</v>
          </cell>
          <cell r="Y831">
            <v>577500</v>
          </cell>
          <cell r="AG831" t="str">
            <v>含税到厂</v>
          </cell>
        </row>
        <row r="832">
          <cell r="C832" t="str">
            <v>C49SZX20200083JL</v>
          </cell>
          <cell r="Y832">
            <v>590000</v>
          </cell>
          <cell r="AG832" t="str">
            <v>含税到厂</v>
          </cell>
        </row>
        <row r="833">
          <cell r="C833" t="str">
            <v>C49SZX20200032DZ</v>
          </cell>
          <cell r="Y833">
            <v>13200000</v>
          </cell>
          <cell r="AG833" t="str">
            <v>CIF HK</v>
          </cell>
        </row>
        <row r="834">
          <cell r="C834" t="str">
            <v>C49SZX20200032DZ</v>
          </cell>
          <cell r="Y834">
            <v>9200000</v>
          </cell>
          <cell r="AG834" t="str">
            <v>CIF HK</v>
          </cell>
        </row>
        <row r="835">
          <cell r="C835" t="str">
            <v>C49SZX20200032DZ</v>
          </cell>
          <cell r="Y835">
            <v>9200000</v>
          </cell>
          <cell r="AG835" t="str">
            <v>CIF HK</v>
          </cell>
        </row>
        <row r="836">
          <cell r="C836" t="str">
            <v>C49SZX20200032DZ</v>
          </cell>
          <cell r="Y836">
            <v>9200000</v>
          </cell>
          <cell r="AG836" t="str">
            <v>CIF HK</v>
          </cell>
        </row>
        <row r="837">
          <cell r="C837" t="str">
            <v>C49SZX20200070JY</v>
          </cell>
          <cell r="Y837">
            <v>15000000</v>
          </cell>
          <cell r="AG837" t="str">
            <v>DAP HZ</v>
          </cell>
        </row>
        <row r="838">
          <cell r="C838" t="str">
            <v>C49SZX20200070JY</v>
          </cell>
          <cell r="Y838">
            <v>10100100</v>
          </cell>
          <cell r="AG838" t="str">
            <v>DAP HZ</v>
          </cell>
        </row>
        <row r="839">
          <cell r="C839" t="str">
            <v>C49SZX20200070JY</v>
          </cell>
          <cell r="Y839">
            <v>10100100</v>
          </cell>
          <cell r="AG839" t="str">
            <v>DAP HZ</v>
          </cell>
        </row>
        <row r="840">
          <cell r="C840" t="str">
            <v>C49SZX20200090SS</v>
          </cell>
          <cell r="Y840">
            <v>7300000</v>
          </cell>
          <cell r="AG840" t="str">
            <v>DAP DG</v>
          </cell>
        </row>
        <row r="841">
          <cell r="C841" t="str">
            <v>C49SZX20200087DZ</v>
          </cell>
          <cell r="Y841">
            <v>1250000</v>
          </cell>
          <cell r="AG841" t="str">
            <v>含税到厂</v>
          </cell>
        </row>
        <row r="842">
          <cell r="C842" t="str">
            <v>C49SZX20200072JY</v>
          </cell>
          <cell r="Y842">
            <v>7900000</v>
          </cell>
          <cell r="AG842" t="str">
            <v>DAP DG</v>
          </cell>
        </row>
        <row r="843">
          <cell r="C843" t="str">
            <v>C49SZX20200116JL</v>
          </cell>
          <cell r="Y843">
            <v>14000000</v>
          </cell>
          <cell r="AG843" t="str">
            <v>DAP SZ</v>
          </cell>
        </row>
        <row r="844">
          <cell r="C844" t="str">
            <v>C49SZX20200116JL</v>
          </cell>
          <cell r="Y844">
            <v>14000000</v>
          </cell>
          <cell r="AG844" t="str">
            <v>DAP SZ</v>
          </cell>
        </row>
        <row r="845">
          <cell r="C845" t="str">
            <v>C49SZX20200116JL</v>
          </cell>
          <cell r="Y845">
            <v>14000000</v>
          </cell>
          <cell r="AG845" t="str">
            <v>DAP SZ</v>
          </cell>
        </row>
        <row r="846">
          <cell r="C846" t="str">
            <v>C49SZX20200116JL</v>
          </cell>
          <cell r="Y846">
            <v>14000000</v>
          </cell>
          <cell r="AG846" t="str">
            <v>DAP SZ</v>
          </cell>
        </row>
        <row r="847">
          <cell r="C847" t="str">
            <v>C49SZX20200116JL</v>
          </cell>
          <cell r="Y847">
            <v>24000000</v>
          </cell>
          <cell r="AG847" t="str">
            <v>DAP SZ</v>
          </cell>
        </row>
        <row r="848">
          <cell r="C848" t="str">
            <v>C49SZX20200086JL</v>
          </cell>
          <cell r="Y848">
            <v>900000</v>
          </cell>
          <cell r="AG848" t="str">
            <v>含税到厂</v>
          </cell>
        </row>
        <row r="849">
          <cell r="C849" t="str">
            <v>C49SZX20200086JL</v>
          </cell>
          <cell r="Y849">
            <v>630000</v>
          </cell>
          <cell r="AG849" t="str">
            <v>含税到厂</v>
          </cell>
        </row>
        <row r="850">
          <cell r="C850" t="str">
            <v>C49SZX20200088SS</v>
          </cell>
          <cell r="Y850">
            <v>12100000</v>
          </cell>
          <cell r="AG850" t="str">
            <v>DAP SZ</v>
          </cell>
        </row>
        <row r="851">
          <cell r="C851" t="str">
            <v>C28SZX20200049KC</v>
          </cell>
          <cell r="Y851">
            <v>59000</v>
          </cell>
          <cell r="AG851" t="str">
            <v>CIF HK</v>
          </cell>
        </row>
        <row r="852">
          <cell r="C852" t="str">
            <v>C49SZX20200095R1SS</v>
          </cell>
          <cell r="Y852">
            <v>6565000</v>
          </cell>
          <cell r="AG852" t="str">
            <v>DAP SZ</v>
          </cell>
        </row>
        <row r="853">
          <cell r="C853" t="str">
            <v>C49SZX20200095R1SS</v>
          </cell>
          <cell r="Y853">
            <v>6565000</v>
          </cell>
          <cell r="AG853" t="str">
            <v>DAP SZ</v>
          </cell>
        </row>
        <row r="854">
          <cell r="C854" t="str">
            <v>C49SZX20200092SS</v>
          </cell>
          <cell r="Y854">
            <v>12663000</v>
          </cell>
          <cell r="AG854" t="str">
            <v>DAP SZ</v>
          </cell>
        </row>
        <row r="855">
          <cell r="C855" t="str">
            <v>C49SZX20200068MZ</v>
          </cell>
          <cell r="Y855">
            <v>10500000</v>
          </cell>
          <cell r="AG855" t="str">
            <v>DAP SZ</v>
          </cell>
        </row>
        <row r="856">
          <cell r="C856" t="str">
            <v>C49SZX20200093SS</v>
          </cell>
          <cell r="Y856">
            <v>11000000</v>
          </cell>
          <cell r="AG856" t="str">
            <v>DAP SZ</v>
          </cell>
        </row>
        <row r="857">
          <cell r="C857" t="str">
            <v>C49SZX20200075EC</v>
          </cell>
          <cell r="Y857">
            <v>10000000</v>
          </cell>
          <cell r="AG857" t="str">
            <v>CIF HK</v>
          </cell>
        </row>
        <row r="858">
          <cell r="C858" t="str">
            <v>C49SZX20200075EC</v>
          </cell>
          <cell r="Y858">
            <v>10000000</v>
          </cell>
          <cell r="AG858" t="str">
            <v>CIF HK</v>
          </cell>
        </row>
        <row r="859">
          <cell r="C859" t="str">
            <v>C49SZX20200075EC</v>
          </cell>
          <cell r="Y859">
            <v>14200000</v>
          </cell>
          <cell r="AG859" t="str">
            <v>CIF HK</v>
          </cell>
        </row>
        <row r="860">
          <cell r="C860" t="str">
            <v>C49SZX20200098ZX</v>
          </cell>
          <cell r="Y860">
            <v>7300000</v>
          </cell>
          <cell r="AG860" t="str">
            <v>DAP SZ</v>
          </cell>
        </row>
        <row r="861">
          <cell r="C861" t="str">
            <v>C49SZX20200098ZX</v>
          </cell>
          <cell r="Y861">
            <v>7300000</v>
          </cell>
          <cell r="AG861" t="str">
            <v>DAP SZ</v>
          </cell>
        </row>
        <row r="862">
          <cell r="C862" t="str">
            <v>C49SZX20200089JL-R2</v>
          </cell>
          <cell r="Y862">
            <v>10800000</v>
          </cell>
          <cell r="AG862" t="str">
            <v>CIF HK</v>
          </cell>
        </row>
        <row r="863">
          <cell r="C863" t="str">
            <v>C49SZX20200089JL-R2</v>
          </cell>
          <cell r="Y863">
            <v>10800000</v>
          </cell>
          <cell r="AG863" t="str">
            <v>CIF HK</v>
          </cell>
        </row>
        <row r="864">
          <cell r="C864" t="str">
            <v>C49SZX20200089JL-R3</v>
          </cell>
          <cell r="Y864">
            <v>10800000</v>
          </cell>
          <cell r="AG864" t="str">
            <v>CIF HK</v>
          </cell>
        </row>
        <row r="865">
          <cell r="C865" t="str">
            <v>C49SZX20200089JL-R3</v>
          </cell>
          <cell r="Y865">
            <v>10800000</v>
          </cell>
          <cell r="AG865" t="str">
            <v>CIF HK</v>
          </cell>
        </row>
        <row r="866">
          <cell r="C866" t="str">
            <v>C49SZX20200089JL-R2</v>
          </cell>
          <cell r="Y866">
            <v>6896000</v>
          </cell>
          <cell r="AG866" t="str">
            <v>CIF HK</v>
          </cell>
        </row>
        <row r="867">
          <cell r="C867" t="str">
            <v>C49SZX20200089JL-R2</v>
          </cell>
          <cell r="Y867">
            <v>6896000</v>
          </cell>
          <cell r="AG867" t="str">
            <v>CIF HK</v>
          </cell>
        </row>
        <row r="868">
          <cell r="C868" t="str">
            <v>C49SZX20200089JL-R3</v>
          </cell>
          <cell r="Y868">
            <v>6896000</v>
          </cell>
          <cell r="AG868" t="str">
            <v>CIF HK</v>
          </cell>
        </row>
        <row r="869">
          <cell r="C869" t="str">
            <v>C49SZX20200089JL-R3</v>
          </cell>
          <cell r="Y869">
            <v>6896000</v>
          </cell>
          <cell r="AG869" t="str">
            <v>CIF HK</v>
          </cell>
        </row>
        <row r="870">
          <cell r="C870" t="str">
            <v>C49SZX20200103SS</v>
          </cell>
          <cell r="Y870">
            <v>7942000</v>
          </cell>
          <cell r="AG870" t="str">
            <v>DAP SZ</v>
          </cell>
        </row>
        <row r="871">
          <cell r="C871" t="str">
            <v>C49SZX20200105SS</v>
          </cell>
          <cell r="Y871">
            <v>8758000</v>
          </cell>
          <cell r="AG871" t="str">
            <v>DAP SZ</v>
          </cell>
        </row>
        <row r="872">
          <cell r="C872" t="str">
            <v>C49SZX20200101MZ</v>
          </cell>
          <cell r="Y872">
            <v>21400000</v>
          </cell>
          <cell r="AG872" t="str">
            <v>CIF HK</v>
          </cell>
        </row>
        <row r="873">
          <cell r="C873" t="str">
            <v>C49SZX20200102MZ</v>
          </cell>
          <cell r="Y873">
            <v>12000000</v>
          </cell>
          <cell r="AG873" t="str">
            <v>CIF HK</v>
          </cell>
        </row>
        <row r="874">
          <cell r="C874" t="str">
            <v>C49SZX20200102MZ</v>
          </cell>
          <cell r="Y874">
            <v>12000000</v>
          </cell>
          <cell r="AG874" t="str">
            <v>CIF HK</v>
          </cell>
        </row>
        <row r="875">
          <cell r="C875" t="str">
            <v>C49SZX20200102MZ</v>
          </cell>
          <cell r="Y875">
            <v>8040000</v>
          </cell>
          <cell r="AG875" t="str">
            <v>CIF HK</v>
          </cell>
        </row>
        <row r="876">
          <cell r="C876" t="str">
            <v>C49SZX20200102MZ</v>
          </cell>
          <cell r="Y876">
            <v>8040000</v>
          </cell>
          <cell r="AG876" t="str">
            <v>CIF HK</v>
          </cell>
        </row>
        <row r="877">
          <cell r="C877" t="str">
            <v>C49SZX20200073JY</v>
          </cell>
          <cell r="Y877">
            <v>9500000</v>
          </cell>
          <cell r="AG877" t="str">
            <v>DAP DG</v>
          </cell>
        </row>
        <row r="878">
          <cell r="C878" t="str">
            <v>C49SZX20200106SS</v>
          </cell>
          <cell r="Y878">
            <v>12365000</v>
          </cell>
          <cell r="AG878" t="str">
            <v>DAP SZ</v>
          </cell>
        </row>
        <row r="879">
          <cell r="C879" t="str">
            <v>C49SZX20200096MZ</v>
          </cell>
          <cell r="Y879">
            <v>775000</v>
          </cell>
          <cell r="AG879" t="str">
            <v>含税到厂</v>
          </cell>
        </row>
        <row r="880">
          <cell r="C880" t="str">
            <v>C49SZX20200066SX</v>
          </cell>
          <cell r="Y880">
            <v>7175000</v>
          </cell>
          <cell r="AG880" t="str">
            <v>DAP HZ</v>
          </cell>
        </row>
        <row r="881">
          <cell r="C881" t="str">
            <v>C49SZX20200066SX</v>
          </cell>
          <cell r="Y881">
            <v>7175000</v>
          </cell>
          <cell r="AG881" t="str">
            <v>DAP HZ</v>
          </cell>
        </row>
        <row r="882">
          <cell r="C882" t="str">
            <v>C49SZX20200110MZ</v>
          </cell>
          <cell r="Y882">
            <v>14000000</v>
          </cell>
          <cell r="AG882" t="str">
            <v>CIF HK</v>
          </cell>
        </row>
        <row r="883">
          <cell r="C883" t="str">
            <v>C49SZX20200110MZ</v>
          </cell>
          <cell r="Y883">
            <v>10000000</v>
          </cell>
          <cell r="AG883" t="str">
            <v>CIF HK</v>
          </cell>
        </row>
        <row r="884">
          <cell r="C884" t="str">
            <v>C49SZX20200097JY</v>
          </cell>
          <cell r="Y884">
            <v>575200</v>
          </cell>
          <cell r="AG884" t="str">
            <v>含税到厂</v>
          </cell>
        </row>
        <row r="885">
          <cell r="C885" t="str">
            <v>C49SZX20200125JY</v>
          </cell>
          <cell r="Y885">
            <v>7771400</v>
          </cell>
          <cell r="AG885" t="str">
            <v>DAP SZ</v>
          </cell>
        </row>
        <row r="886">
          <cell r="C886" t="str">
            <v>C49SZX20200188JY</v>
          </cell>
          <cell r="Y886">
            <v>7771400</v>
          </cell>
          <cell r="AG886" t="str">
            <v>DAP SZ</v>
          </cell>
        </row>
        <row r="887">
          <cell r="C887" t="str">
            <v>C49SZX20200108JL</v>
          </cell>
          <cell r="Y887">
            <v>10500000</v>
          </cell>
          <cell r="AG887" t="str">
            <v>DAP SZ</v>
          </cell>
        </row>
        <row r="888">
          <cell r="C888" t="str">
            <v>C49SZX20200109JL</v>
          </cell>
          <cell r="Y888">
            <v>10500000</v>
          </cell>
          <cell r="AG888" t="str">
            <v>DAP SZ</v>
          </cell>
        </row>
        <row r="889">
          <cell r="C889" t="str">
            <v>C49SZX20200093R1SS</v>
          </cell>
          <cell r="Y889">
            <v>6400000</v>
          </cell>
          <cell r="AG889" t="str">
            <v>DAP SZ</v>
          </cell>
        </row>
        <row r="890">
          <cell r="C890" t="str">
            <v>C49SZX20210028DZ</v>
          </cell>
          <cell r="Y890">
            <v>25000000</v>
          </cell>
          <cell r="AG890" t="str">
            <v>CIF HK</v>
          </cell>
        </row>
        <row r="891">
          <cell r="C891" t="str">
            <v>C49SZX20210028DZ</v>
          </cell>
          <cell r="Y891">
            <v>17800000</v>
          </cell>
          <cell r="AG891" t="str">
            <v>CIF HK</v>
          </cell>
        </row>
        <row r="892">
          <cell r="C892" t="str">
            <v>C49SZX20200099SS</v>
          </cell>
          <cell r="Y892">
            <v>12725000</v>
          </cell>
          <cell r="AG892" t="str">
            <v>DAP SZ</v>
          </cell>
        </row>
        <row r="893">
          <cell r="C893" t="str">
            <v>C49SZX20200111JY</v>
          </cell>
          <cell r="Y893">
            <v>6600000</v>
          </cell>
          <cell r="AG893" t="str">
            <v>DAP SZ</v>
          </cell>
        </row>
        <row r="894">
          <cell r="C894" t="str">
            <v>C49SZX20200112SS</v>
          </cell>
          <cell r="Y894">
            <v>11834000</v>
          </cell>
          <cell r="AG894" t="str">
            <v>DAP SZ</v>
          </cell>
        </row>
        <row r="895">
          <cell r="C895" t="str">
            <v>C49SZX20200115SX</v>
          </cell>
          <cell r="Y895">
            <v>7620000</v>
          </cell>
          <cell r="AG895" t="str">
            <v>DAP JX</v>
          </cell>
        </row>
        <row r="896">
          <cell r="C896" t="str">
            <v>C49SZX20200115SX</v>
          </cell>
          <cell r="Y896">
            <v>7620000</v>
          </cell>
          <cell r="AG896" t="str">
            <v>DAP JX</v>
          </cell>
        </row>
        <row r="897">
          <cell r="C897" t="str">
            <v>C49SZX20200117SX</v>
          </cell>
          <cell r="Y897">
            <v>7620000</v>
          </cell>
          <cell r="AG897" t="str">
            <v>DAP JX</v>
          </cell>
        </row>
        <row r="898">
          <cell r="C898" t="str">
            <v>C49SZX20200117SX</v>
          </cell>
          <cell r="Y898">
            <v>7620000</v>
          </cell>
          <cell r="AG898" t="str">
            <v>DAP JX</v>
          </cell>
        </row>
        <row r="899">
          <cell r="C899" t="str">
            <v>C49SZX20200117SX</v>
          </cell>
          <cell r="Y899">
            <v>7620000</v>
          </cell>
          <cell r="AG899" t="str">
            <v>DAP JX</v>
          </cell>
        </row>
        <row r="900">
          <cell r="C900" t="str">
            <v>C49SZX20200120SX</v>
          </cell>
          <cell r="Y900">
            <v>9300000</v>
          </cell>
          <cell r="AG900" t="str">
            <v>DAP SZ</v>
          </cell>
        </row>
        <row r="901">
          <cell r="C901" t="str">
            <v>C49SZX20200118SS</v>
          </cell>
          <cell r="Y901">
            <v>10500000</v>
          </cell>
          <cell r="AG901" t="str">
            <v>DAP SZ</v>
          </cell>
        </row>
        <row r="902">
          <cell r="C902" t="str">
            <v>BS-SZGZ20071306-ZB</v>
          </cell>
          <cell r="Y902">
            <v>1600000</v>
          </cell>
          <cell r="AG902" t="str">
            <v>DDP SZ</v>
          </cell>
        </row>
        <row r="903">
          <cell r="C903" t="str">
            <v>C49SZX20200119SS</v>
          </cell>
          <cell r="Y903">
            <v>840000</v>
          </cell>
          <cell r="AG903" t="str">
            <v>含税到厂</v>
          </cell>
        </row>
        <row r="904">
          <cell r="C904" t="str">
            <v>C28BJS20200053LY</v>
          </cell>
          <cell r="Y904">
            <v>400000</v>
          </cell>
          <cell r="AG904" t="str">
            <v>含税到厂</v>
          </cell>
        </row>
        <row r="905">
          <cell r="C905" t="str">
            <v>C28BJS20200054LY</v>
          </cell>
          <cell r="Y905">
            <v>1400000</v>
          </cell>
          <cell r="AG905" t="str">
            <v>含税到厂</v>
          </cell>
        </row>
        <row r="906">
          <cell r="C906" t="str">
            <v>102955-ESE-LEL</v>
          </cell>
          <cell r="Y906">
            <v>2975</v>
          </cell>
          <cell r="AG906" t="str">
            <v>含税到厂</v>
          </cell>
        </row>
        <row r="907">
          <cell r="C907" t="str">
            <v>C49SZX20200099R1SS</v>
          </cell>
          <cell r="Y907">
            <v>12465000</v>
          </cell>
          <cell r="AG907" t="str">
            <v>DAP SZ</v>
          </cell>
        </row>
        <row r="908">
          <cell r="C908" t="str">
            <v>C49SZX20200122JY</v>
          </cell>
          <cell r="Y908">
            <v>12545000</v>
          </cell>
          <cell r="AG908" t="str">
            <v>DAP SZ</v>
          </cell>
        </row>
        <row r="909">
          <cell r="C909" t="str">
            <v>C49SZX20200130JZ</v>
          </cell>
          <cell r="Y909">
            <v>12099500</v>
          </cell>
          <cell r="AG909" t="str">
            <v>DAP GZ</v>
          </cell>
        </row>
        <row r="910">
          <cell r="C910" t="str">
            <v>C49SZX20200130JZ</v>
          </cell>
          <cell r="Y910">
            <v>12099500</v>
          </cell>
          <cell r="AG910" t="str">
            <v>DAP GZ</v>
          </cell>
        </row>
        <row r="911">
          <cell r="C911" t="str">
            <v>C49SZX20200130JZ</v>
          </cell>
          <cell r="Y911">
            <v>12099500</v>
          </cell>
          <cell r="AG911" t="str">
            <v>DAP GZ</v>
          </cell>
        </row>
        <row r="912">
          <cell r="C912" t="str">
            <v>C49SZX20200130JZ</v>
          </cell>
          <cell r="Y912">
            <v>12099500</v>
          </cell>
          <cell r="AG912" t="str">
            <v>DAP GZ</v>
          </cell>
        </row>
        <row r="913">
          <cell r="C913" t="str">
            <v>C49SZX20200121JL</v>
          </cell>
          <cell r="Y913">
            <v>950000</v>
          </cell>
          <cell r="AG913" t="str">
            <v>含税到厂</v>
          </cell>
        </row>
        <row r="914">
          <cell r="C914" t="str">
            <v>C49SZX20200121JL</v>
          </cell>
          <cell r="Y914">
            <v>650000</v>
          </cell>
          <cell r="AG914" t="str">
            <v>含税到厂</v>
          </cell>
        </row>
        <row r="915">
          <cell r="C915" t="str">
            <v>C49SZX20200131KW</v>
          </cell>
          <cell r="Y915">
            <v>510000</v>
          </cell>
          <cell r="AG915" t="str">
            <v>含税到厂</v>
          </cell>
        </row>
        <row r="916">
          <cell r="C916" t="str">
            <v>C49SZX20200078CY</v>
          </cell>
          <cell r="Y916">
            <v>15655000</v>
          </cell>
          <cell r="AG916" t="str">
            <v>DAP SZ</v>
          </cell>
        </row>
        <row r="917">
          <cell r="C917" t="str">
            <v>C49SZX20200078CY</v>
          </cell>
          <cell r="Y917">
            <v>15655000</v>
          </cell>
          <cell r="AG917" t="str">
            <v>DAP SZ</v>
          </cell>
        </row>
        <row r="918">
          <cell r="C918" t="str">
            <v>C49SZX20200078CY</v>
          </cell>
          <cell r="Y918">
            <v>7827500</v>
          </cell>
          <cell r="AG918" t="str">
            <v>DAP SZ</v>
          </cell>
        </row>
        <row r="919">
          <cell r="C919" t="str">
            <v>C49SZX20200078CY</v>
          </cell>
          <cell r="Y919">
            <v>7827500</v>
          </cell>
          <cell r="AG919" t="str">
            <v>DAP SZ</v>
          </cell>
        </row>
        <row r="920">
          <cell r="C920" t="str">
            <v>C49SZX20200078CY</v>
          </cell>
          <cell r="Y920">
            <v>7827500</v>
          </cell>
          <cell r="AG920" t="str">
            <v>DAP SZ</v>
          </cell>
        </row>
        <row r="921">
          <cell r="C921" t="str">
            <v>C49SZX20200078CY</v>
          </cell>
          <cell r="Y921">
            <v>7827500</v>
          </cell>
          <cell r="AG921" t="str">
            <v>DAP SZ</v>
          </cell>
        </row>
        <row r="922">
          <cell r="C922" t="str">
            <v>C49SZX20200126JY</v>
          </cell>
          <cell r="Y922">
            <v>611500</v>
          </cell>
          <cell r="AG922" t="str">
            <v>含税到厂</v>
          </cell>
        </row>
        <row r="923">
          <cell r="C923" t="str">
            <v>C49SZX20200126JY</v>
          </cell>
          <cell r="Y923">
            <v>611500</v>
          </cell>
          <cell r="AG923" t="str">
            <v>含税到厂</v>
          </cell>
        </row>
        <row r="924">
          <cell r="C924" t="str">
            <v>C49SZX20200123DZ</v>
          </cell>
          <cell r="Y924">
            <v>1250000</v>
          </cell>
          <cell r="AG924" t="str">
            <v>含税到厂</v>
          </cell>
        </row>
        <row r="925">
          <cell r="C925" t="str">
            <v>C49SZX20200123DZ</v>
          </cell>
          <cell r="Y925">
            <v>1250000</v>
          </cell>
          <cell r="AG925" t="str">
            <v>含税到厂</v>
          </cell>
        </row>
        <row r="926">
          <cell r="C926" t="str">
            <v>C49SZX20200123DZ</v>
          </cell>
          <cell r="Y926">
            <v>600000</v>
          </cell>
          <cell r="AG926" t="str">
            <v>含税到厂</v>
          </cell>
        </row>
        <row r="927">
          <cell r="C927" t="str">
            <v>C28SZX20200056KC</v>
          </cell>
          <cell r="Y927">
            <v>503780</v>
          </cell>
          <cell r="AG927" t="str">
            <v>含税到厂</v>
          </cell>
        </row>
        <row r="928">
          <cell r="C928" t="str">
            <v>C28SZX20200055KC</v>
          </cell>
          <cell r="Y928">
            <v>462900</v>
          </cell>
          <cell r="AG928" t="str">
            <v>含税到厂</v>
          </cell>
        </row>
        <row r="929">
          <cell r="C929" t="str">
            <v>C49SZX20200139JZ</v>
          </cell>
          <cell r="Y929">
            <v>6628360</v>
          </cell>
          <cell r="AG929" t="str">
            <v>DAP GZ</v>
          </cell>
        </row>
        <row r="930">
          <cell r="C930" t="str">
            <v>C49SZX20200139JZ</v>
          </cell>
          <cell r="Y930">
            <v>6628360</v>
          </cell>
          <cell r="AG930" t="str">
            <v>DAP GZ</v>
          </cell>
        </row>
        <row r="931">
          <cell r="C931" t="str">
            <v>C49SZX20200139JZ</v>
          </cell>
          <cell r="Y931">
            <v>6628360</v>
          </cell>
          <cell r="AG931" t="str">
            <v>DAP GZ</v>
          </cell>
        </row>
        <row r="932">
          <cell r="C932" t="str">
            <v>C49SZX20200139JZ</v>
          </cell>
          <cell r="Y932">
            <v>6628360</v>
          </cell>
          <cell r="AG932" t="str">
            <v>DAP GZ</v>
          </cell>
        </row>
        <row r="933">
          <cell r="C933" t="str">
            <v>C49SZX20200139JZ</v>
          </cell>
          <cell r="Y933">
            <v>6628360</v>
          </cell>
          <cell r="AG933" t="str">
            <v>DAP GZ</v>
          </cell>
        </row>
        <row r="934">
          <cell r="C934" t="str">
            <v>C49SZX20200138JZ</v>
          </cell>
          <cell r="Y934">
            <v>6628360</v>
          </cell>
          <cell r="AG934" t="str">
            <v>DAP GZ</v>
          </cell>
        </row>
        <row r="935">
          <cell r="C935" t="str">
            <v>C49SZX20200138JZ</v>
          </cell>
          <cell r="Y935">
            <v>6628360</v>
          </cell>
          <cell r="AG935" t="str">
            <v>DAP GZ</v>
          </cell>
        </row>
        <row r="936">
          <cell r="C936" t="str">
            <v>C49SZX20200138JZ</v>
          </cell>
          <cell r="Y936">
            <v>6628360</v>
          </cell>
          <cell r="AG936" t="str">
            <v>DAP GZ</v>
          </cell>
        </row>
        <row r="937">
          <cell r="C937" t="str">
            <v>C49SZX20200138JZ</v>
          </cell>
          <cell r="Y937">
            <v>6628360</v>
          </cell>
          <cell r="AG937" t="str">
            <v>DAP GZ</v>
          </cell>
        </row>
        <row r="938">
          <cell r="C938" t="str">
            <v>C49SZX20200138JZ</v>
          </cell>
          <cell r="Y938">
            <v>6628360</v>
          </cell>
          <cell r="AG938" t="str">
            <v>DAP GZ</v>
          </cell>
        </row>
        <row r="939">
          <cell r="C939" t="str">
            <v>C49SZX20200133JL</v>
          </cell>
          <cell r="Y939">
            <v>500000</v>
          </cell>
          <cell r="AG939" t="str">
            <v>含税到厂</v>
          </cell>
        </row>
        <row r="940">
          <cell r="C940" t="str">
            <v>C49SZX20200132SX</v>
          </cell>
          <cell r="Y940">
            <v>1010000</v>
          </cell>
          <cell r="AG940" t="str">
            <v>含税到厂</v>
          </cell>
        </row>
        <row r="941">
          <cell r="C941" t="str">
            <v>C49SZX20200143MZ</v>
          </cell>
          <cell r="Y941">
            <v>915000</v>
          </cell>
          <cell r="AG941" t="str">
            <v>含税到厂</v>
          </cell>
        </row>
        <row r="942">
          <cell r="C942" t="str">
            <v>C49SZX20200137SS</v>
          </cell>
          <cell r="Y942">
            <v>6850000</v>
          </cell>
          <cell r="AG942" t="str">
            <v>DAP SZ</v>
          </cell>
        </row>
        <row r="943">
          <cell r="C943" t="str">
            <v>C49SZX20200127KW</v>
          </cell>
          <cell r="Y943">
            <v>1450000</v>
          </cell>
          <cell r="AG943" t="str">
            <v>含税到厂</v>
          </cell>
        </row>
        <row r="944">
          <cell r="C944" t="str">
            <v>C49SZX20200146RW</v>
          </cell>
          <cell r="Y944">
            <v>78997</v>
          </cell>
          <cell r="AG944" t="str">
            <v>CIF HK</v>
          </cell>
        </row>
        <row r="945">
          <cell r="C945" t="str">
            <v>C49SZX20200140RSX</v>
          </cell>
          <cell r="Y945">
            <v>770000</v>
          </cell>
          <cell r="AG945" t="str">
            <v>含税到厂</v>
          </cell>
        </row>
        <row r="946">
          <cell r="C946" t="str">
            <v>C49SZX20200140RSX</v>
          </cell>
          <cell r="Y946">
            <v>1000000</v>
          </cell>
          <cell r="AG946" t="str">
            <v>含税到厂</v>
          </cell>
        </row>
        <row r="947">
          <cell r="C947" t="str">
            <v>SOLMT2061001</v>
          </cell>
          <cell r="Y947">
            <v>34000</v>
          </cell>
          <cell r="AG947" t="str">
            <v>含税到厂</v>
          </cell>
        </row>
        <row r="948">
          <cell r="C948" t="str">
            <v>C49SZX20200141SX</v>
          </cell>
          <cell r="Y948">
            <v>815000</v>
          </cell>
          <cell r="AG948" t="str">
            <v>含税到厂</v>
          </cell>
        </row>
        <row r="949">
          <cell r="C949" t="str">
            <v>C49SZX20200141SX</v>
          </cell>
          <cell r="Y949">
            <v>815000</v>
          </cell>
          <cell r="AG949" t="str">
            <v>含税到厂</v>
          </cell>
        </row>
        <row r="950">
          <cell r="C950" t="str">
            <v>C49SZX20200141SX</v>
          </cell>
          <cell r="Y950">
            <v>815000</v>
          </cell>
          <cell r="AG950" t="str">
            <v>含税到厂</v>
          </cell>
        </row>
        <row r="951">
          <cell r="C951" t="str">
            <v>C49SZX20200141SX</v>
          </cell>
          <cell r="Y951">
            <v>815000</v>
          </cell>
          <cell r="AG951" t="str">
            <v>含税到厂</v>
          </cell>
        </row>
        <row r="952">
          <cell r="C952" t="str">
            <v>C49SZX20200135DZ</v>
          </cell>
          <cell r="Y952">
            <v>16270000</v>
          </cell>
          <cell r="AG952" t="str">
            <v>CIF HK</v>
          </cell>
        </row>
        <row r="953">
          <cell r="C953" t="str">
            <v>C49SZX20200150SS</v>
          </cell>
          <cell r="Y953">
            <v>7448000</v>
          </cell>
          <cell r="AG953" t="str">
            <v>DAP FS</v>
          </cell>
        </row>
        <row r="954">
          <cell r="C954" t="str">
            <v>C49SZX20200150SS</v>
          </cell>
          <cell r="Y954">
            <v>7448000</v>
          </cell>
          <cell r="AG954" t="str">
            <v>DAP FS</v>
          </cell>
        </row>
        <row r="955">
          <cell r="C955" t="str">
            <v>C49SZX20200148JYR1</v>
          </cell>
          <cell r="Y955">
            <v>1136000</v>
          </cell>
          <cell r="AG955" t="str">
            <v>含税到厂</v>
          </cell>
        </row>
        <row r="956">
          <cell r="C956" t="str">
            <v>C49SZX20200149JL</v>
          </cell>
          <cell r="Y956">
            <v>500000</v>
          </cell>
          <cell r="AG956" t="str">
            <v>含税到厂</v>
          </cell>
        </row>
        <row r="957">
          <cell r="C957" t="str">
            <v>C49SZX20200153SS</v>
          </cell>
          <cell r="Y957">
            <v>10734000</v>
          </cell>
          <cell r="AG957" t="str">
            <v>DAP SZ</v>
          </cell>
        </row>
        <row r="958">
          <cell r="C958" t="str">
            <v>C49SZX20200153SS</v>
          </cell>
          <cell r="Y958">
            <v>10734000</v>
          </cell>
          <cell r="AG958" t="str">
            <v>DAP SZ</v>
          </cell>
        </row>
        <row r="959">
          <cell r="C959" t="str">
            <v>C49SZX20200153SS</v>
          </cell>
          <cell r="Y959">
            <v>10734000</v>
          </cell>
          <cell r="AG959" t="str">
            <v>DAP SZ</v>
          </cell>
        </row>
        <row r="960">
          <cell r="C960" t="str">
            <v>C49SZX20200157SX</v>
          </cell>
          <cell r="Y960">
            <v>530000</v>
          </cell>
          <cell r="AG960" t="str">
            <v>含税到厂</v>
          </cell>
        </row>
        <row r="961">
          <cell r="C961" t="str">
            <v>C49SZX20200129JL</v>
          </cell>
          <cell r="Y961">
            <v>8688000</v>
          </cell>
          <cell r="AG961" t="str">
            <v>CIF HK</v>
          </cell>
        </row>
        <row r="962">
          <cell r="C962" t="str">
            <v>C49SZX20200129JL</v>
          </cell>
          <cell r="Y962">
            <v>8688000</v>
          </cell>
          <cell r="AG962" t="str">
            <v>CIF HK</v>
          </cell>
        </row>
        <row r="963">
          <cell r="C963" t="str">
            <v>C49SZX20200129JL</v>
          </cell>
          <cell r="Y963">
            <v>8688000</v>
          </cell>
          <cell r="AG963" t="str">
            <v>CIF HK</v>
          </cell>
        </row>
        <row r="964">
          <cell r="C964" t="str">
            <v>C49SZX20200156JL</v>
          </cell>
          <cell r="Y964">
            <v>12800000</v>
          </cell>
          <cell r="AG964" t="str">
            <v>CIF HK</v>
          </cell>
        </row>
        <row r="965">
          <cell r="C965" t="str">
            <v>C49SZX20200156JL</v>
          </cell>
          <cell r="Y965">
            <v>12800000</v>
          </cell>
          <cell r="AG965" t="str">
            <v>CIF HK</v>
          </cell>
        </row>
        <row r="966">
          <cell r="C966" t="str">
            <v>C49SZX20200156JL</v>
          </cell>
          <cell r="Y966">
            <v>7348000</v>
          </cell>
          <cell r="AG966" t="str">
            <v>CIF HK</v>
          </cell>
        </row>
        <row r="967">
          <cell r="C967" t="str">
            <v>C49SZX20200156JL</v>
          </cell>
          <cell r="Y967">
            <v>7348000</v>
          </cell>
          <cell r="AG967" t="str">
            <v>CIF HK</v>
          </cell>
        </row>
        <row r="968">
          <cell r="C968" t="str">
            <v>C49SZX20200089JL-R1</v>
          </cell>
          <cell r="Y968">
            <v>10800000</v>
          </cell>
          <cell r="AG968" t="str">
            <v>CIF HK</v>
          </cell>
        </row>
        <row r="969">
          <cell r="C969" t="str">
            <v>C49SZX20200089JL-R1</v>
          </cell>
          <cell r="Y969">
            <v>10800000</v>
          </cell>
          <cell r="AG969" t="str">
            <v>CIF HK</v>
          </cell>
        </row>
        <row r="970">
          <cell r="C970" t="str">
            <v>C49SZX20200089JL-R1</v>
          </cell>
          <cell r="Y970">
            <v>10800000</v>
          </cell>
          <cell r="AG970" t="str">
            <v>CIF HK</v>
          </cell>
        </row>
        <row r="971">
          <cell r="C971" t="str">
            <v>C49SZX20200089JL-R1</v>
          </cell>
          <cell r="Y971">
            <v>10800000</v>
          </cell>
          <cell r="AG971" t="str">
            <v>CIF HK</v>
          </cell>
        </row>
        <row r="972">
          <cell r="C972" t="str">
            <v>C49SZX20200089JL-R1</v>
          </cell>
          <cell r="Y972">
            <v>6896000</v>
          </cell>
          <cell r="AG972" t="str">
            <v>CIF HK</v>
          </cell>
        </row>
        <row r="973">
          <cell r="C973" t="str">
            <v>C49SZX20200089JL-R1</v>
          </cell>
          <cell r="Y973">
            <v>6896000</v>
          </cell>
          <cell r="AG973" t="str">
            <v>CIF HK</v>
          </cell>
        </row>
        <row r="974">
          <cell r="C974" t="str">
            <v>C49SZX20200089JL-R1</v>
          </cell>
          <cell r="Y974">
            <v>6896000</v>
          </cell>
          <cell r="AG974" t="str">
            <v>CIF HK</v>
          </cell>
        </row>
        <row r="975">
          <cell r="C975" t="str">
            <v>C49SZX20200089JL-R1</v>
          </cell>
          <cell r="Y975">
            <v>6896000</v>
          </cell>
          <cell r="AG975" t="str">
            <v>CIF HK</v>
          </cell>
        </row>
        <row r="976">
          <cell r="C976" t="str">
            <v>C49SZX20200161SS</v>
          </cell>
          <cell r="Y976">
            <v>7932000</v>
          </cell>
          <cell r="AG976" t="str">
            <v>DAP SZ</v>
          </cell>
        </row>
        <row r="977">
          <cell r="C977" t="str">
            <v>C49SZX20200152SX</v>
          </cell>
          <cell r="Y977">
            <v>15300000</v>
          </cell>
          <cell r="AG977" t="str">
            <v>DAP SZ</v>
          </cell>
        </row>
        <row r="978">
          <cell r="C978" t="str">
            <v>C49SZX20200160JL</v>
          </cell>
          <cell r="Y978">
            <v>8460000</v>
          </cell>
          <cell r="AG978" t="str">
            <v>CIF HK</v>
          </cell>
        </row>
        <row r="979">
          <cell r="C979" t="str">
            <v>C49SZX20200160JL</v>
          </cell>
          <cell r="Y979">
            <v>13500000</v>
          </cell>
          <cell r="AG979" t="str">
            <v>CIF HK</v>
          </cell>
        </row>
        <row r="980">
          <cell r="C980" t="str">
            <v>C49SZX20200155JD</v>
          </cell>
          <cell r="Y980">
            <v>900000</v>
          </cell>
          <cell r="AG980" t="str">
            <v>含税到厂</v>
          </cell>
        </row>
        <row r="981">
          <cell r="C981" t="str">
            <v>C49SZX20200155JD</v>
          </cell>
          <cell r="Y981">
            <v>900000</v>
          </cell>
          <cell r="AG981" t="str">
            <v>含税到厂</v>
          </cell>
        </row>
        <row r="982">
          <cell r="C982" t="str">
            <v>C49SZX20200155JD</v>
          </cell>
          <cell r="Y982">
            <v>875000</v>
          </cell>
          <cell r="AG982" t="str">
            <v>含税到厂</v>
          </cell>
        </row>
        <row r="983">
          <cell r="C983" t="str">
            <v>C49SZX20200155JD</v>
          </cell>
          <cell r="Y983">
            <v>875000</v>
          </cell>
          <cell r="AG983" t="str">
            <v>含税到厂</v>
          </cell>
        </row>
        <row r="984">
          <cell r="C984" t="str">
            <v>C28SZX20200069KC</v>
          </cell>
          <cell r="Y984">
            <v>248000</v>
          </cell>
          <cell r="AG984" t="str">
            <v>含税到厂</v>
          </cell>
        </row>
        <row r="985">
          <cell r="C985" t="str">
            <v>C49SZX20200159EC</v>
          </cell>
          <cell r="Y985">
            <v>11000000</v>
          </cell>
          <cell r="AG985" t="str">
            <v>DAP HZ</v>
          </cell>
        </row>
        <row r="986">
          <cell r="C986" t="str">
            <v>C49SZX20200167MX-R1</v>
          </cell>
          <cell r="Y986">
            <v>19700000</v>
          </cell>
          <cell r="AG986" t="str">
            <v>DAP SZ</v>
          </cell>
        </row>
        <row r="987">
          <cell r="C987" t="str">
            <v>C49SZX20200165SX</v>
          </cell>
          <cell r="Y987">
            <v>11687500</v>
          </cell>
          <cell r="AG987" t="str">
            <v>DAP SZ</v>
          </cell>
        </row>
        <row r="988">
          <cell r="C988" t="str">
            <v>C49SZX20200165SX</v>
          </cell>
          <cell r="Y988">
            <v>11687500</v>
          </cell>
          <cell r="AG988" t="str">
            <v>DAP SZ</v>
          </cell>
        </row>
        <row r="989">
          <cell r="C989" t="str">
            <v>C49SZX20200165SX</v>
          </cell>
          <cell r="Y989">
            <v>11687500</v>
          </cell>
          <cell r="AG989" t="str">
            <v>DAP SZ</v>
          </cell>
        </row>
        <row r="990">
          <cell r="C990" t="str">
            <v>C49SZX20200165SX</v>
          </cell>
          <cell r="Y990">
            <v>11687500</v>
          </cell>
          <cell r="AG990" t="str">
            <v>DAP SZ</v>
          </cell>
        </row>
        <row r="991">
          <cell r="C991" t="str">
            <v>C49SZX20200165SX</v>
          </cell>
          <cell r="Y991">
            <v>11687500</v>
          </cell>
          <cell r="AG991" t="str">
            <v>DAP SZ</v>
          </cell>
        </row>
        <row r="992">
          <cell r="C992" t="str">
            <v>C49SZX20200165SX</v>
          </cell>
          <cell r="Y992">
            <v>11687500</v>
          </cell>
          <cell r="AG992" t="str">
            <v>DAP SZ</v>
          </cell>
        </row>
        <row r="993">
          <cell r="C993" t="str">
            <v>C49SZX20200165SX</v>
          </cell>
          <cell r="Y993">
            <v>11687500</v>
          </cell>
          <cell r="AG993" t="str">
            <v>DAP SZ</v>
          </cell>
        </row>
        <row r="994">
          <cell r="C994" t="str">
            <v>C49SZX20200165SX</v>
          </cell>
          <cell r="Y994">
            <v>11687500</v>
          </cell>
          <cell r="AG994" t="str">
            <v>DAP SZ</v>
          </cell>
        </row>
        <row r="995">
          <cell r="C995" t="str">
            <v>C49SZX20200159JY</v>
          </cell>
          <cell r="Y995">
            <v>6600000</v>
          </cell>
          <cell r="AG995" t="str">
            <v>DAP SZ</v>
          </cell>
        </row>
        <row r="996">
          <cell r="C996" t="str">
            <v>C28SZX20200084KC</v>
          </cell>
          <cell r="Y996">
            <v>420000</v>
          </cell>
          <cell r="AG996" t="str">
            <v>含税到厂</v>
          </cell>
        </row>
        <row r="997">
          <cell r="C997" t="str">
            <v>C49SZX20200168SX</v>
          </cell>
          <cell r="Y997">
            <v>518000</v>
          </cell>
          <cell r="AG997" t="str">
            <v>含税到厂</v>
          </cell>
        </row>
        <row r="998">
          <cell r="C998" t="str">
            <v>C49SZX20200172SS</v>
          </cell>
          <cell r="Y998">
            <v>12306000</v>
          </cell>
          <cell r="AG998" t="str">
            <v>DAP SZ</v>
          </cell>
        </row>
        <row r="999">
          <cell r="C999" t="str">
            <v>C49SZX20200167EC</v>
          </cell>
          <cell r="Y999">
            <v>10000000</v>
          </cell>
          <cell r="AG999" t="str">
            <v>CIF HK</v>
          </cell>
        </row>
        <row r="1000">
          <cell r="C1000" t="str">
            <v>C49SZX20200167EC</v>
          </cell>
          <cell r="Y1000">
            <v>10000000</v>
          </cell>
          <cell r="AG1000" t="str">
            <v>CIF HK</v>
          </cell>
        </row>
        <row r="1001">
          <cell r="C1001" t="str">
            <v>C49SZX20200167EC</v>
          </cell>
          <cell r="Y1001">
            <v>14200000</v>
          </cell>
          <cell r="AG1001" t="str">
            <v>CIF HK</v>
          </cell>
        </row>
        <row r="1002">
          <cell r="C1002" t="str">
            <v>C49SZX20200177DY</v>
          </cell>
          <cell r="Y1002">
            <v>982000</v>
          </cell>
          <cell r="AG1002" t="str">
            <v>含税到厂</v>
          </cell>
        </row>
        <row r="1003">
          <cell r="C1003" t="str">
            <v>C49SZX20200176SX</v>
          </cell>
          <cell r="Y1003">
            <v>15000000</v>
          </cell>
          <cell r="AG1003" t="str">
            <v>DAP DG</v>
          </cell>
        </row>
        <row r="1004">
          <cell r="C1004" t="str">
            <v>C49SZX20200176SX</v>
          </cell>
          <cell r="Y1004">
            <v>15000000</v>
          </cell>
          <cell r="AG1004" t="str">
            <v>DAP DG</v>
          </cell>
        </row>
        <row r="1005">
          <cell r="C1005" t="str">
            <v>C49SZX20200176SX</v>
          </cell>
          <cell r="Y1005">
            <v>6800000</v>
          </cell>
          <cell r="AG1005" t="str">
            <v>DAP DG</v>
          </cell>
        </row>
        <row r="1006">
          <cell r="C1006" t="str">
            <v>C49SZX20200151RX</v>
          </cell>
          <cell r="Y1006">
            <v>6850000</v>
          </cell>
          <cell r="AG1006" t="str">
            <v>DAP SZ</v>
          </cell>
        </row>
        <row r="1007">
          <cell r="C1007" t="str">
            <v>C49SZX20200178SS</v>
          </cell>
          <cell r="Y1007">
            <v>8500000</v>
          </cell>
          <cell r="AG1007" t="str">
            <v>DAP DG</v>
          </cell>
        </row>
        <row r="1008">
          <cell r="C1008" t="str">
            <v>C49SZX20200169DZ</v>
          </cell>
          <cell r="Y1008">
            <v>7672500</v>
          </cell>
          <cell r="AG1008" t="str">
            <v>CIF HK</v>
          </cell>
        </row>
        <row r="1009">
          <cell r="C1009" t="str">
            <v>C49SZX20200169DZ</v>
          </cell>
          <cell r="Y1009">
            <v>7672500</v>
          </cell>
          <cell r="AG1009" t="str">
            <v>CIF HK</v>
          </cell>
        </row>
        <row r="1010">
          <cell r="C1010" t="str">
            <v>C49SZX20200169DZ</v>
          </cell>
          <cell r="Y1010">
            <v>7672500</v>
          </cell>
          <cell r="AG1010" t="str">
            <v>CIF HK</v>
          </cell>
        </row>
        <row r="1011">
          <cell r="C1011" t="str">
            <v>C49SZX20200169DZ</v>
          </cell>
          <cell r="Y1011">
            <v>7672500</v>
          </cell>
          <cell r="AG1011" t="str">
            <v>CIF HK</v>
          </cell>
        </row>
        <row r="1012">
          <cell r="C1012" t="str">
            <v>C49SZX20200175JY</v>
          </cell>
          <cell r="Y1012">
            <v>12910000</v>
          </cell>
          <cell r="AG1012" t="str">
            <v>DAP SZ</v>
          </cell>
        </row>
        <row r="1013">
          <cell r="C1013" t="str">
            <v>C49SZX20200179MZ</v>
          </cell>
          <cell r="Y1013">
            <v>9000000</v>
          </cell>
          <cell r="AG1013" t="str">
            <v>CIF HK</v>
          </cell>
        </row>
        <row r="1014">
          <cell r="C1014" t="str">
            <v>C49SZX20200179MZ</v>
          </cell>
          <cell r="Y1014">
            <v>13300000</v>
          </cell>
          <cell r="AG1014" t="str">
            <v>CIF HK</v>
          </cell>
        </row>
        <row r="1015">
          <cell r="C1015" t="str">
            <v>C49SZX20200171DZ</v>
          </cell>
          <cell r="Y1015">
            <v>1400000</v>
          </cell>
          <cell r="AG1015" t="str">
            <v>含税到厂</v>
          </cell>
        </row>
        <row r="1016">
          <cell r="C1016" t="str">
            <v>C49SZX20200171DZ</v>
          </cell>
          <cell r="Y1016">
            <v>1400000</v>
          </cell>
          <cell r="AG1016" t="str">
            <v>含税到厂</v>
          </cell>
        </row>
        <row r="1017">
          <cell r="C1017" t="str">
            <v>C49SZX20200170DZ</v>
          </cell>
          <cell r="Y1017">
            <v>17531000</v>
          </cell>
          <cell r="AG1017" t="str">
            <v>CIF HK</v>
          </cell>
        </row>
        <row r="1018">
          <cell r="C1018" t="str">
            <v>C49SZX20200170DZ</v>
          </cell>
          <cell r="Y1018">
            <v>17531000</v>
          </cell>
          <cell r="AG1018" t="str">
            <v>CIF HK</v>
          </cell>
        </row>
        <row r="1019">
          <cell r="C1019" t="str">
            <v>C28SZX20200086KC</v>
          </cell>
          <cell r="Y1019">
            <v>51000</v>
          </cell>
          <cell r="AG1019" t="str">
            <v>CIF HK</v>
          </cell>
        </row>
        <row r="1020">
          <cell r="C1020" t="str">
            <v>C28SZX20200087KC</v>
          </cell>
          <cell r="Y1020">
            <v>5820000</v>
          </cell>
          <cell r="AG1020" t="str">
            <v>CIF HK</v>
          </cell>
        </row>
        <row r="1021">
          <cell r="C1021" t="str">
            <v>C28SZX20200088KC</v>
          </cell>
          <cell r="Y1021">
            <v>79000</v>
          </cell>
          <cell r="AG1021" t="str">
            <v>CIF HK</v>
          </cell>
        </row>
        <row r="1022">
          <cell r="C1022" t="str">
            <v>C49SZX20200180SX</v>
          </cell>
          <cell r="Y1022">
            <v>12704790</v>
          </cell>
          <cell r="AG1022" t="str">
            <v>DAP SZ</v>
          </cell>
        </row>
        <row r="1023">
          <cell r="C1023" t="str">
            <v>C49SZX20200180SX</v>
          </cell>
          <cell r="Y1023">
            <v>12704790</v>
          </cell>
          <cell r="AG1023" t="str">
            <v>DAP SZ</v>
          </cell>
        </row>
        <row r="1024">
          <cell r="C1024" t="str">
            <v>C49SZX20200181SX</v>
          </cell>
          <cell r="Y1024">
            <v>7485110</v>
          </cell>
          <cell r="AG1024" t="str">
            <v>DAP SZ</v>
          </cell>
        </row>
        <row r="1025">
          <cell r="C1025" t="str">
            <v>C49SZX20200181SX</v>
          </cell>
          <cell r="Y1025">
            <v>7485110</v>
          </cell>
          <cell r="AG1025" t="str">
            <v>DAP SZ</v>
          </cell>
        </row>
        <row r="1026">
          <cell r="C1026" t="str">
            <v>C49SZX20200173MX</v>
          </cell>
          <cell r="Y1026">
            <v>500000</v>
          </cell>
          <cell r="AG1026" t="str">
            <v>含税到厂</v>
          </cell>
        </row>
        <row r="1027">
          <cell r="C1027" t="str">
            <v>C49SZX20200173MX</v>
          </cell>
          <cell r="Y1027">
            <v>500000</v>
          </cell>
          <cell r="AG1027" t="str">
            <v>含税到厂</v>
          </cell>
        </row>
        <row r="1028">
          <cell r="C1028" t="str">
            <v>C49SZX20200182JY</v>
          </cell>
          <cell r="Y1028">
            <v>12600000</v>
          </cell>
          <cell r="AG1028" t="str">
            <v>DAP SZ</v>
          </cell>
        </row>
        <row r="1029">
          <cell r="C1029" t="str">
            <v>C49SZX20200187SX</v>
          </cell>
          <cell r="Y1029">
            <v>555000</v>
          </cell>
          <cell r="AG1029" t="str">
            <v>含税到厂</v>
          </cell>
        </row>
        <row r="1030">
          <cell r="C1030" t="str">
            <v>C49SZX20200187SX</v>
          </cell>
          <cell r="Y1030">
            <v>555000</v>
          </cell>
          <cell r="AG1030" t="str">
            <v>含税到厂</v>
          </cell>
        </row>
        <row r="1031">
          <cell r="C1031" t="str">
            <v>C49SZX20200187SX</v>
          </cell>
          <cell r="Y1031">
            <v>1000000</v>
          </cell>
          <cell r="AG1031" t="str">
            <v>含税到厂</v>
          </cell>
        </row>
        <row r="1032">
          <cell r="C1032" t="str">
            <v>C49SZX20200113SS</v>
          </cell>
          <cell r="Y1032">
            <v>15450000</v>
          </cell>
          <cell r="AG1032" t="str">
            <v>DAP SZ</v>
          </cell>
        </row>
        <row r="1033">
          <cell r="C1033" t="str">
            <v>C49SZX20200113SS</v>
          </cell>
          <cell r="Y1033">
            <v>15450000</v>
          </cell>
          <cell r="AG1033" t="str">
            <v>DAP SZ</v>
          </cell>
        </row>
        <row r="1034">
          <cell r="C1034" t="str">
            <v>C49SZX20210003JY</v>
          </cell>
          <cell r="Y1034">
            <v>7771400</v>
          </cell>
          <cell r="AG1034" t="str">
            <v>DAP SZ</v>
          </cell>
        </row>
        <row r="1035">
          <cell r="C1035" t="str">
            <v>C49SZX20210003JY</v>
          </cell>
          <cell r="Y1035">
            <v>7771400</v>
          </cell>
          <cell r="AG1035" t="str">
            <v>DAP SZ</v>
          </cell>
        </row>
        <row r="1036">
          <cell r="C1036" t="str">
            <v>C49SZX20200158JL</v>
          </cell>
          <cell r="Y1036">
            <v>15000000</v>
          </cell>
          <cell r="AG1036" t="str">
            <v>CIF HK</v>
          </cell>
        </row>
        <row r="1037">
          <cell r="C1037" t="str">
            <v>C49SZX20200190SS</v>
          </cell>
          <cell r="Y1037">
            <v>11930000</v>
          </cell>
          <cell r="AG1037" t="str">
            <v>DAP SZ</v>
          </cell>
        </row>
        <row r="1038">
          <cell r="C1038" t="str">
            <v>C49SZX20200193SX</v>
          </cell>
          <cell r="Y1038">
            <v>140000</v>
          </cell>
          <cell r="AG1038" t="str">
            <v>DAP SZ</v>
          </cell>
        </row>
        <row r="1039">
          <cell r="C1039" t="str">
            <v>C49SZX20200195SS</v>
          </cell>
          <cell r="Y1039">
            <v>12575000</v>
          </cell>
          <cell r="AG1039" t="str">
            <v>DAP SZ</v>
          </cell>
        </row>
        <row r="1040">
          <cell r="C1040" t="str">
            <v>C49SZX20200191SS</v>
          </cell>
          <cell r="Y1040">
            <v>9526667</v>
          </cell>
          <cell r="AG1040" t="str">
            <v>CIF HK</v>
          </cell>
        </row>
        <row r="1041">
          <cell r="C1041" t="str">
            <v>C49SZX20200191SS</v>
          </cell>
          <cell r="Y1041">
            <v>9526667</v>
          </cell>
          <cell r="AG1041" t="str">
            <v>CIF HK</v>
          </cell>
        </row>
        <row r="1042">
          <cell r="C1042" t="str">
            <v>C49SZX20200191SS</v>
          </cell>
          <cell r="Y1042">
            <v>9526667</v>
          </cell>
          <cell r="AG1042" t="str">
            <v>CIF HK</v>
          </cell>
        </row>
        <row r="1043">
          <cell r="C1043" t="str">
            <v>C49SZX20200191SS</v>
          </cell>
          <cell r="Y1043">
            <v>6300000</v>
          </cell>
          <cell r="AG1043" t="str">
            <v>CIF HK</v>
          </cell>
        </row>
        <row r="1044">
          <cell r="C1044" t="str">
            <v>C49SZX20200191SS</v>
          </cell>
          <cell r="Y1044">
            <v>6300000</v>
          </cell>
          <cell r="AG1044" t="str">
            <v>CIF HK</v>
          </cell>
        </row>
        <row r="1045">
          <cell r="C1045" t="str">
            <v>C49SZX20200166DY</v>
          </cell>
          <cell r="Y1045">
            <v>1450000</v>
          </cell>
          <cell r="AG1045" t="str">
            <v>含税到厂</v>
          </cell>
        </row>
        <row r="1046">
          <cell r="C1046" t="str">
            <v>C49SZX20200196EC</v>
          </cell>
          <cell r="Y1046">
            <v>790000</v>
          </cell>
          <cell r="AG1046" t="str">
            <v>含税到厂</v>
          </cell>
        </row>
        <row r="1047">
          <cell r="C1047" t="str">
            <v>C49SZX20200196EC</v>
          </cell>
          <cell r="Y1047">
            <v>790000</v>
          </cell>
          <cell r="AG1047" t="str">
            <v>含税到厂</v>
          </cell>
        </row>
        <row r="1048">
          <cell r="C1048" t="str">
            <v>C49SZX20200197SS</v>
          </cell>
          <cell r="Y1048">
            <v>6500000</v>
          </cell>
          <cell r="AG1048" t="str">
            <v>DAP SZ</v>
          </cell>
        </row>
        <row r="1049">
          <cell r="C1049" t="str">
            <v>C49SZX20200198JZ</v>
          </cell>
          <cell r="Y1049">
            <v>11500000</v>
          </cell>
          <cell r="AG1049" t="str">
            <v>DAP SZ</v>
          </cell>
        </row>
        <row r="1050">
          <cell r="C1050" t="str">
            <v>C49SZX20200198JZ</v>
          </cell>
          <cell r="Y1050">
            <v>11500000</v>
          </cell>
          <cell r="AG1050" t="str">
            <v>DAP SZ</v>
          </cell>
        </row>
        <row r="1051">
          <cell r="C1051" t="str">
            <v>C49SZX20200199MZ</v>
          </cell>
          <cell r="Y1051">
            <v>12000000</v>
          </cell>
          <cell r="AG1051" t="str">
            <v>CIF HK</v>
          </cell>
        </row>
        <row r="1052">
          <cell r="C1052" t="str">
            <v>C49SZX20200199MZ</v>
          </cell>
          <cell r="Y1052">
            <v>12000000</v>
          </cell>
          <cell r="AG1052" t="str">
            <v>CIF HK</v>
          </cell>
        </row>
        <row r="1053">
          <cell r="C1053" t="str">
            <v>C49SZX20200199MZ</v>
          </cell>
          <cell r="Y1053">
            <v>9000000</v>
          </cell>
          <cell r="AG1053" t="str">
            <v>CIF HK</v>
          </cell>
        </row>
        <row r="1054">
          <cell r="C1054" t="str">
            <v>C49SZX20200200SS</v>
          </cell>
          <cell r="Y1054">
            <v>8700000</v>
          </cell>
          <cell r="AG1054" t="str">
            <v>DAP SZ</v>
          </cell>
        </row>
        <row r="1055">
          <cell r="C1055" t="str">
            <v>C49SZX20200205JZ</v>
          </cell>
          <cell r="Y1055">
            <v>12600000</v>
          </cell>
          <cell r="AG1055" t="str">
            <v>DAP HZ</v>
          </cell>
        </row>
        <row r="1056">
          <cell r="C1056" t="str">
            <v>C49SZX20200205JZ</v>
          </cell>
          <cell r="Y1056">
            <v>9000000</v>
          </cell>
          <cell r="AG1056" t="str">
            <v>DAP HZ</v>
          </cell>
        </row>
        <row r="1057">
          <cell r="C1057" t="str">
            <v>C49SZX20200142SX</v>
          </cell>
          <cell r="Y1057">
            <v>15000000</v>
          </cell>
          <cell r="AG1057" t="str">
            <v>DAP SZ</v>
          </cell>
        </row>
        <row r="1058">
          <cell r="C1058" t="str">
            <v>C49SZX20200142SX</v>
          </cell>
          <cell r="Y1058">
            <v>10290000</v>
          </cell>
          <cell r="AG1058" t="str">
            <v>DAP SZ</v>
          </cell>
        </row>
        <row r="1059">
          <cell r="C1059" t="str">
            <v>C49SZX20200207MZ</v>
          </cell>
          <cell r="Y1059">
            <v>14760000</v>
          </cell>
          <cell r="AG1059" t="str">
            <v>CIF HK</v>
          </cell>
        </row>
        <row r="1060">
          <cell r="C1060" t="str">
            <v>C49SZX20200207MZ</v>
          </cell>
          <cell r="Y1060">
            <v>8250000</v>
          </cell>
          <cell r="AG1060" t="str">
            <v>CIF HK</v>
          </cell>
        </row>
        <row r="1061">
          <cell r="C1061" t="str">
            <v>C49SZX20200207MZ</v>
          </cell>
          <cell r="Y1061">
            <v>8250000</v>
          </cell>
          <cell r="AG1061" t="str">
            <v>CIF HK</v>
          </cell>
        </row>
        <row r="1062">
          <cell r="C1062" t="str">
            <v>C49SZX20200206MZ</v>
          </cell>
          <cell r="Y1062">
            <v>14760000</v>
          </cell>
          <cell r="AG1062" t="str">
            <v>CIF HK</v>
          </cell>
        </row>
        <row r="1063">
          <cell r="C1063" t="str">
            <v>C49SZX20200206MZ</v>
          </cell>
          <cell r="Y1063">
            <v>14760000</v>
          </cell>
          <cell r="AG1063" t="str">
            <v>CIF HK</v>
          </cell>
        </row>
        <row r="1064">
          <cell r="C1064" t="str">
            <v>C49SZX20200206MZ</v>
          </cell>
          <cell r="Y1064">
            <v>8250000</v>
          </cell>
          <cell r="AG1064" t="str">
            <v>CIF HK</v>
          </cell>
        </row>
        <row r="1065">
          <cell r="C1065" t="str">
            <v>C49SZX20200206MZ</v>
          </cell>
          <cell r="Y1065">
            <v>8250000</v>
          </cell>
          <cell r="AG1065" t="str">
            <v>CIF HK</v>
          </cell>
        </row>
        <row r="1066">
          <cell r="C1066" t="str">
            <v>C49SZX20200192SS</v>
          </cell>
          <cell r="Y1066">
            <v>9526667</v>
          </cell>
          <cell r="AG1066" t="str">
            <v>CIF HK</v>
          </cell>
        </row>
        <row r="1067">
          <cell r="C1067" t="str">
            <v>C49SZX20200192SS</v>
          </cell>
          <cell r="Y1067">
            <v>9526667</v>
          </cell>
          <cell r="AG1067" t="str">
            <v>CIF HK</v>
          </cell>
        </row>
        <row r="1068">
          <cell r="C1068" t="str">
            <v>C49SZX20200192SS</v>
          </cell>
          <cell r="Y1068">
            <v>9526667</v>
          </cell>
          <cell r="AG1068" t="str">
            <v>CIF HK</v>
          </cell>
        </row>
        <row r="1069">
          <cell r="C1069" t="str">
            <v>C49SZX20200203SS</v>
          </cell>
          <cell r="Y1069">
            <v>11420000</v>
          </cell>
          <cell r="AG1069" t="str">
            <v>DAP DG</v>
          </cell>
        </row>
        <row r="1070">
          <cell r="C1070" t="str">
            <v>C49SZX20200145JL</v>
          </cell>
          <cell r="Y1070">
            <v>15081320</v>
          </cell>
          <cell r="AG1070" t="str">
            <v>DAP GZ</v>
          </cell>
        </row>
        <row r="1071">
          <cell r="C1071" t="str">
            <v>C49SZX20200145JL</v>
          </cell>
          <cell r="Y1071">
            <v>15081320</v>
          </cell>
          <cell r="AG1071" t="str">
            <v>DAP GZ</v>
          </cell>
        </row>
        <row r="1072">
          <cell r="C1072" t="str">
            <v>C49SZX20200209SX</v>
          </cell>
          <cell r="Y1072">
            <v>553500</v>
          </cell>
          <cell r="AG1072" t="str">
            <v>含税到厂</v>
          </cell>
        </row>
        <row r="1073">
          <cell r="C1073" t="str">
            <v>C28SZX20200081KC</v>
          </cell>
          <cell r="Y1073">
            <v>707000</v>
          </cell>
          <cell r="AG1073" t="str">
            <v>含税到厂</v>
          </cell>
        </row>
        <row r="1074">
          <cell r="C1074" t="str">
            <v>C28SZX20200081KC</v>
          </cell>
          <cell r="Y1074">
            <v>707000</v>
          </cell>
          <cell r="AG1074" t="str">
            <v>含税到厂</v>
          </cell>
        </row>
        <row r="1075">
          <cell r="C1075" t="str">
            <v>C28SZX20200081KC</v>
          </cell>
          <cell r="Y1075">
            <v>707000</v>
          </cell>
          <cell r="AG1075" t="str">
            <v>含税到厂</v>
          </cell>
        </row>
        <row r="1076">
          <cell r="C1076" t="str">
            <v>C49SZX20200210RSX</v>
          </cell>
          <cell r="Y1076">
            <v>10425000</v>
          </cell>
          <cell r="AG1076" t="str">
            <v>DAP HZ</v>
          </cell>
        </row>
        <row r="1077">
          <cell r="C1077" t="str">
            <v>C49SZX20200210RSX</v>
          </cell>
          <cell r="Y1077">
            <v>10425000</v>
          </cell>
          <cell r="AG1077" t="str">
            <v>DAP HZ</v>
          </cell>
        </row>
        <row r="1078">
          <cell r="C1078" t="str">
            <v>C49SZX20200210RSX</v>
          </cell>
          <cell r="Y1078">
            <v>13000000</v>
          </cell>
          <cell r="AG1078" t="str">
            <v>DAP HZ</v>
          </cell>
        </row>
        <row r="1079">
          <cell r="C1079" t="str">
            <v>C49SZX20200210RSX</v>
          </cell>
          <cell r="Y1079">
            <v>13000000</v>
          </cell>
          <cell r="AG1079" t="str">
            <v>DAP HZ</v>
          </cell>
        </row>
        <row r="1080">
          <cell r="C1080" t="str">
            <v>C49SZX20200211SX</v>
          </cell>
          <cell r="Y1080">
            <v>13000000</v>
          </cell>
          <cell r="AG1080" t="str">
            <v>DAP SZ</v>
          </cell>
        </row>
        <row r="1081">
          <cell r="C1081" t="str">
            <v>C49SZX20200211SX</v>
          </cell>
          <cell r="Y1081">
            <v>9000000</v>
          </cell>
          <cell r="AG1081" t="str">
            <v>DAP SZ</v>
          </cell>
        </row>
        <row r="1082">
          <cell r="C1082" t="str">
            <v>C49SZX20200216JL</v>
          </cell>
          <cell r="Y1082">
            <v>12310000</v>
          </cell>
          <cell r="AG1082" t="str">
            <v>DAP SZ</v>
          </cell>
        </row>
        <row r="1083">
          <cell r="C1083" t="str">
            <v>C49SZX20200217JL</v>
          </cell>
          <cell r="Y1083">
            <v>11555000</v>
          </cell>
          <cell r="AG1083" t="str">
            <v>DAP SZ</v>
          </cell>
        </row>
        <row r="1084">
          <cell r="C1084" t="str">
            <v>C49SZX20200217JL</v>
          </cell>
          <cell r="Y1084">
            <v>11555000</v>
          </cell>
          <cell r="AG1084" t="str">
            <v>DAP SZ</v>
          </cell>
        </row>
        <row r="1085">
          <cell r="C1085" t="str">
            <v>C49SZX20200215JL</v>
          </cell>
          <cell r="Y1085">
            <v>500000</v>
          </cell>
          <cell r="AG1085" t="str">
            <v>含税到厂</v>
          </cell>
        </row>
        <row r="1086">
          <cell r="C1086" t="str">
            <v>C49SZX20200219SS</v>
          </cell>
          <cell r="Y1086">
            <v>7186000</v>
          </cell>
          <cell r="AG1086" t="str">
            <v>DAP SZ</v>
          </cell>
        </row>
        <row r="1087">
          <cell r="C1087" t="str">
            <v>C49SZX20200212SX</v>
          </cell>
          <cell r="Y1087">
            <v>7000000</v>
          </cell>
          <cell r="AG1087" t="str">
            <v>DAP BJ</v>
          </cell>
        </row>
        <row r="1088">
          <cell r="C1088" t="str">
            <v>C49SZX20200223SS</v>
          </cell>
          <cell r="Y1088">
            <v>6500000</v>
          </cell>
          <cell r="AG1088" t="str">
            <v>DAP SZ</v>
          </cell>
        </row>
        <row r="1089">
          <cell r="C1089" t="str">
            <v>C49SZX20200223SS</v>
          </cell>
          <cell r="Y1089">
            <v>6500000</v>
          </cell>
          <cell r="AG1089" t="str">
            <v>DAP SZ</v>
          </cell>
        </row>
        <row r="1090">
          <cell r="C1090" t="str">
            <v>C49SZX20200222SS</v>
          </cell>
          <cell r="Y1090">
            <v>7940000</v>
          </cell>
          <cell r="AG1090" t="str">
            <v>DAP SZ</v>
          </cell>
        </row>
        <row r="1091">
          <cell r="C1091" t="str">
            <v>C49SZX20200222SS</v>
          </cell>
          <cell r="Y1091">
            <v>7940000</v>
          </cell>
          <cell r="AG1091" t="str">
            <v>DAP SZ</v>
          </cell>
        </row>
        <row r="1092">
          <cell r="C1092" t="str">
            <v>C49SZX20200222SS</v>
          </cell>
          <cell r="Y1092">
            <v>7940000</v>
          </cell>
          <cell r="AG1092" t="str">
            <v>DAP SZ</v>
          </cell>
        </row>
        <row r="1093">
          <cell r="C1093" t="str">
            <v>C49SZX20200221MZ</v>
          </cell>
          <cell r="Y1093">
            <v>945000</v>
          </cell>
          <cell r="AG1093" t="str">
            <v>含税到厂</v>
          </cell>
        </row>
        <row r="1094">
          <cell r="C1094" t="str">
            <v>C49SZX20200221MZ</v>
          </cell>
          <cell r="Y1094">
            <v>945000</v>
          </cell>
          <cell r="AG1094" t="str">
            <v>含税到厂</v>
          </cell>
        </row>
        <row r="1095">
          <cell r="C1095" t="str">
            <v>C49SZX20200213MX</v>
          </cell>
          <cell r="Y1095">
            <v>10550000</v>
          </cell>
          <cell r="AG1095" t="str">
            <v>DAP SZ</v>
          </cell>
        </row>
        <row r="1096">
          <cell r="C1096" t="str">
            <v>C49SZX20200213MX</v>
          </cell>
          <cell r="Y1096">
            <v>10550000</v>
          </cell>
          <cell r="AG1096" t="str">
            <v>DAP SZ</v>
          </cell>
        </row>
        <row r="1097">
          <cell r="C1097" t="str">
            <v>C49SZX20200213MX</v>
          </cell>
          <cell r="Y1097">
            <v>10550000</v>
          </cell>
          <cell r="AG1097" t="str">
            <v>DAP SZ</v>
          </cell>
        </row>
        <row r="1098">
          <cell r="C1098" t="str">
            <v>C49SZX20200213MX</v>
          </cell>
          <cell r="Y1098">
            <v>10550000</v>
          </cell>
          <cell r="AG1098" t="str">
            <v>DAP SZ</v>
          </cell>
        </row>
        <row r="1099">
          <cell r="C1099" t="str">
            <v>C49SZX20200213MX</v>
          </cell>
          <cell r="Y1099">
            <v>10550000</v>
          </cell>
          <cell r="AG1099" t="str">
            <v>DAP SZ</v>
          </cell>
        </row>
        <row r="1100">
          <cell r="C1100" t="str">
            <v>C49SZX20200213MX</v>
          </cell>
          <cell r="Y1100">
            <v>10550000</v>
          </cell>
          <cell r="AG1100" t="str">
            <v>DAP SZ</v>
          </cell>
        </row>
        <row r="1101">
          <cell r="C1101" t="str">
            <v>C49SZX20200213MX</v>
          </cell>
          <cell r="Y1101">
            <v>10550000</v>
          </cell>
          <cell r="AG1101" t="str">
            <v>DAP SZ</v>
          </cell>
        </row>
        <row r="1102">
          <cell r="C1102" t="str">
            <v>C49SZX20200213MX</v>
          </cell>
          <cell r="Y1102">
            <v>10550000</v>
          </cell>
          <cell r="AG1102" t="str">
            <v>DAP SZ</v>
          </cell>
        </row>
        <row r="1103">
          <cell r="C1103" t="str">
            <v>C49SZX20200213MX</v>
          </cell>
          <cell r="Y1103">
            <v>10550000</v>
          </cell>
          <cell r="AG1103" t="str">
            <v>DAP SZ</v>
          </cell>
        </row>
        <row r="1104">
          <cell r="C1104" t="str">
            <v>C49SZX20200213MX</v>
          </cell>
          <cell r="Y1104">
            <v>10550000</v>
          </cell>
          <cell r="AG1104" t="str">
            <v>DAP SZ</v>
          </cell>
        </row>
        <row r="1105">
          <cell r="C1105" t="str">
            <v>C49SZX20200213MX</v>
          </cell>
          <cell r="Y1105">
            <v>6400000</v>
          </cell>
          <cell r="AG1105" t="str">
            <v>DAP SZ</v>
          </cell>
        </row>
        <row r="1106">
          <cell r="C1106" t="str">
            <v>C49SZX20200213MX</v>
          </cell>
          <cell r="Y1106">
            <v>6400000</v>
          </cell>
          <cell r="AG1106" t="str">
            <v>DAP SZ</v>
          </cell>
        </row>
        <row r="1107">
          <cell r="C1107" t="str">
            <v>C49SZX20200213MX</v>
          </cell>
          <cell r="Y1107">
            <v>6400000</v>
          </cell>
          <cell r="AG1107" t="str">
            <v>DAP SZ</v>
          </cell>
        </row>
        <row r="1108">
          <cell r="C1108" t="str">
            <v>C49SZX20200213MX</v>
          </cell>
          <cell r="Y1108">
            <v>6400000</v>
          </cell>
          <cell r="AG1108" t="str">
            <v>DAP SZ</v>
          </cell>
        </row>
        <row r="1109">
          <cell r="C1109" t="str">
            <v>C49SZX20200213MX</v>
          </cell>
          <cell r="Y1109">
            <v>6400000</v>
          </cell>
          <cell r="AG1109" t="str">
            <v>DAP SZ</v>
          </cell>
        </row>
        <row r="1110">
          <cell r="C1110" t="str">
            <v>C49SZX20200202JY</v>
          </cell>
          <cell r="Y1110">
            <v>13450000</v>
          </cell>
          <cell r="AG1110" t="str">
            <v>CIF HK</v>
          </cell>
        </row>
        <row r="1111">
          <cell r="C1111" t="str">
            <v>C49SZX20200202JY</v>
          </cell>
          <cell r="Y1111">
            <v>13450000</v>
          </cell>
          <cell r="AG1111" t="str">
            <v>CIF HK</v>
          </cell>
        </row>
        <row r="1112">
          <cell r="C1112" t="str">
            <v>C49SZX20200202JY</v>
          </cell>
          <cell r="Y1112">
            <v>13450000</v>
          </cell>
          <cell r="AG1112" t="str">
            <v>CIF HK</v>
          </cell>
        </row>
        <row r="1113">
          <cell r="C1113" t="str">
            <v>C49SZX20200202JY</v>
          </cell>
          <cell r="Y1113">
            <v>13450000</v>
          </cell>
          <cell r="AG1113" t="str">
            <v>CIF HK</v>
          </cell>
        </row>
        <row r="1114">
          <cell r="C1114" t="str">
            <v>C49SZX20200202JY</v>
          </cell>
          <cell r="Y1114">
            <v>9000000</v>
          </cell>
          <cell r="AG1114" t="str">
            <v>CIF HK</v>
          </cell>
        </row>
        <row r="1115">
          <cell r="C1115" t="str">
            <v>C49SZX20200202JY</v>
          </cell>
          <cell r="Y1115">
            <v>9000000</v>
          </cell>
          <cell r="AG1115" t="str">
            <v>CIF HK</v>
          </cell>
        </row>
        <row r="1116">
          <cell r="C1116" t="str">
            <v>C49SZX20200202JY</v>
          </cell>
          <cell r="Y1116">
            <v>9000000</v>
          </cell>
          <cell r="AG1116" t="str">
            <v>CIF HK</v>
          </cell>
        </row>
        <row r="1117">
          <cell r="C1117" t="str">
            <v>C49SZX20200202JY</v>
          </cell>
          <cell r="Y1117">
            <v>9000000</v>
          </cell>
          <cell r="AG1117" t="str">
            <v>CIF HK</v>
          </cell>
        </row>
        <row r="1118">
          <cell r="C1118" t="str">
            <v>C49SZX20200201JY</v>
          </cell>
          <cell r="Y1118">
            <v>13450000</v>
          </cell>
          <cell r="AG1118" t="str">
            <v>CIF HK</v>
          </cell>
        </row>
        <row r="1119">
          <cell r="C1119" t="str">
            <v>C49SZX20200201JY</v>
          </cell>
          <cell r="Y1119">
            <v>13450000</v>
          </cell>
          <cell r="AG1119" t="str">
            <v>CIF HK</v>
          </cell>
        </row>
        <row r="1120">
          <cell r="C1120" t="str">
            <v>C49SZX20200201JY</v>
          </cell>
          <cell r="Y1120">
            <v>13450000</v>
          </cell>
          <cell r="AG1120" t="str">
            <v>CIF HK</v>
          </cell>
        </row>
        <row r="1121">
          <cell r="C1121" t="str">
            <v>C49SZX20200201JY</v>
          </cell>
          <cell r="Y1121">
            <v>13450000</v>
          </cell>
          <cell r="AG1121" t="str">
            <v>CIF HK</v>
          </cell>
        </row>
        <row r="1122">
          <cell r="C1122" t="str">
            <v>C49SZX20200201JY</v>
          </cell>
          <cell r="Y1122">
            <v>9000000</v>
          </cell>
          <cell r="AG1122" t="str">
            <v>CIF HK</v>
          </cell>
        </row>
        <row r="1123">
          <cell r="C1123" t="str">
            <v>C49SZX20200201JY</v>
          </cell>
          <cell r="Y1123">
            <v>9000000</v>
          </cell>
          <cell r="AG1123" t="str">
            <v>CIF HK</v>
          </cell>
        </row>
        <row r="1124">
          <cell r="C1124" t="str">
            <v>C49SZX20200201JY</v>
          </cell>
          <cell r="Y1124">
            <v>9000000</v>
          </cell>
          <cell r="AG1124" t="str">
            <v>CIF HK</v>
          </cell>
        </row>
        <row r="1125">
          <cell r="C1125" t="str">
            <v>C49SZX20200201JY</v>
          </cell>
          <cell r="Y1125">
            <v>9000000</v>
          </cell>
          <cell r="AG1125" t="str">
            <v>CIF HK</v>
          </cell>
        </row>
        <row r="1126">
          <cell r="C1126" t="str">
            <v>C49SZX20200226SS</v>
          </cell>
          <cell r="Y1126">
            <v>7340000</v>
          </cell>
          <cell r="AG1126" t="str">
            <v>DAP SZ</v>
          </cell>
        </row>
        <row r="1127">
          <cell r="C1127" t="str">
            <v>C49SZX20200227MZ</v>
          </cell>
          <cell r="Y1127">
            <v>8000000</v>
          </cell>
          <cell r="AG1127" t="str">
            <v>DAP SZ</v>
          </cell>
        </row>
        <row r="1128">
          <cell r="C1128" t="str">
            <v>C49SZX20200229JY</v>
          </cell>
          <cell r="Y1128">
            <v>12000000</v>
          </cell>
          <cell r="AG1128" t="str">
            <v>DAP SZ</v>
          </cell>
        </row>
        <row r="1129">
          <cell r="C1129" t="str">
            <v>C49SZX20200228JZ</v>
          </cell>
          <cell r="Y1129">
            <v>12800000</v>
          </cell>
          <cell r="AG1129" t="str">
            <v>DAP HZ</v>
          </cell>
        </row>
        <row r="1130">
          <cell r="C1130" t="str">
            <v>C49SZX20200228JZ</v>
          </cell>
          <cell r="Y1130">
            <v>12800000</v>
          </cell>
          <cell r="AG1130" t="str">
            <v>DAP HZ</v>
          </cell>
        </row>
        <row r="1131">
          <cell r="C1131" t="str">
            <v>C49SZX20200228JZ</v>
          </cell>
          <cell r="Y1131">
            <v>9000000</v>
          </cell>
          <cell r="AG1131" t="str">
            <v>DAP HZ</v>
          </cell>
        </row>
        <row r="1132">
          <cell r="C1132" t="str">
            <v>C49SZX20200218JZ</v>
          </cell>
          <cell r="Y1132">
            <v>13500000</v>
          </cell>
          <cell r="AG1132" t="str">
            <v>DAP SZ</v>
          </cell>
        </row>
        <row r="1133">
          <cell r="C1133" t="str">
            <v>C49SZX20200230SS</v>
          </cell>
          <cell r="Y1133">
            <v>7590000</v>
          </cell>
          <cell r="AG1133" t="str">
            <v>DAP SZ</v>
          </cell>
        </row>
        <row r="1134">
          <cell r="C1134" t="str">
            <v>C49SZX20200231SX</v>
          </cell>
          <cell r="Y1134">
            <v>7575000</v>
          </cell>
          <cell r="AG1134" t="str">
            <v>DAP SZ</v>
          </cell>
        </row>
        <row r="1135">
          <cell r="C1135" t="str">
            <v>C49SZX20200231SX</v>
          </cell>
          <cell r="Y1135">
            <v>7575000</v>
          </cell>
          <cell r="AG1135" t="str">
            <v>DAP SZ</v>
          </cell>
        </row>
        <row r="1136">
          <cell r="C1136" t="str">
            <v>C49SZX20200232SX</v>
          </cell>
          <cell r="Y1136">
            <v>11338000</v>
          </cell>
          <cell r="AG1136" t="str">
            <v>DAP SZ</v>
          </cell>
        </row>
        <row r="1137">
          <cell r="C1137" t="str">
            <v>C49SZX20200232SX</v>
          </cell>
          <cell r="Y1137">
            <v>13580000</v>
          </cell>
          <cell r="AG1137" t="str">
            <v>DAP SZ</v>
          </cell>
        </row>
        <row r="1138">
          <cell r="C1138" t="str">
            <v>C49SZX20200232SX</v>
          </cell>
          <cell r="Y1138">
            <v>13580000</v>
          </cell>
          <cell r="AG1138" t="str">
            <v>DAP SZ</v>
          </cell>
        </row>
        <row r="1139">
          <cell r="C1139" t="str">
            <v>C49SZX20200162CY</v>
          </cell>
          <cell r="Y1139">
            <v>8225000</v>
          </cell>
          <cell r="AG1139" t="str">
            <v>DAP SZ</v>
          </cell>
        </row>
        <row r="1140">
          <cell r="C1140" t="str">
            <v>C49SZX20200080DY</v>
          </cell>
          <cell r="Y1140">
            <v>900000</v>
          </cell>
          <cell r="AG1140" t="str">
            <v>含税到厂</v>
          </cell>
        </row>
        <row r="1141">
          <cell r="C1141" t="str">
            <v>C49SZX20200080DY</v>
          </cell>
          <cell r="Y1141">
            <v>630000</v>
          </cell>
          <cell r="AG1141" t="str">
            <v>含税到厂</v>
          </cell>
        </row>
        <row r="1142">
          <cell r="C1142" t="str">
            <v>C49SZX20200237SX</v>
          </cell>
          <cell r="Y1142">
            <v>8600000</v>
          </cell>
          <cell r="AG1142" t="str">
            <v>DAP SZ</v>
          </cell>
        </row>
        <row r="1143">
          <cell r="C1143" t="str">
            <v>C49SZX20200237SX</v>
          </cell>
          <cell r="Y1143">
            <v>8600000</v>
          </cell>
          <cell r="AG1143" t="str">
            <v>DAP SZ</v>
          </cell>
        </row>
        <row r="1144">
          <cell r="C1144" t="str">
            <v>C49SZX20200238SX</v>
          </cell>
          <cell r="Y1144">
            <v>8150000</v>
          </cell>
          <cell r="AG1144" t="str">
            <v>DAP SZ</v>
          </cell>
        </row>
        <row r="1145">
          <cell r="C1145" t="str">
            <v>C49SZX20200238SX</v>
          </cell>
          <cell r="Y1145">
            <v>8150000</v>
          </cell>
          <cell r="AG1145" t="str">
            <v>DAP SZ</v>
          </cell>
        </row>
        <row r="1146">
          <cell r="C1146" t="str">
            <v>C49SZX20200238SX</v>
          </cell>
          <cell r="Y1146">
            <v>8150000</v>
          </cell>
          <cell r="AG1146" t="str">
            <v>DAP SZ</v>
          </cell>
        </row>
        <row r="1147">
          <cell r="C1147" t="str">
            <v>C49SZX20200238SX</v>
          </cell>
          <cell r="Y1147">
            <v>8150000</v>
          </cell>
          <cell r="AG1147" t="str">
            <v>DAP SZ</v>
          </cell>
        </row>
        <row r="1148">
          <cell r="C1148" t="str">
            <v>C49SZX20200240JL</v>
          </cell>
          <cell r="Y1148">
            <v>11530000</v>
          </cell>
          <cell r="AG1148" t="str">
            <v>CIF HK</v>
          </cell>
        </row>
        <row r="1149">
          <cell r="C1149" t="str">
            <v>C49SZX20200240JL</v>
          </cell>
          <cell r="Y1149">
            <v>11530000</v>
          </cell>
          <cell r="AG1149" t="str">
            <v>CIF HK</v>
          </cell>
        </row>
        <row r="1150">
          <cell r="C1150" t="str">
            <v>C49SZX20200240JL</v>
          </cell>
          <cell r="Y1150">
            <v>7500000</v>
          </cell>
          <cell r="AG1150" t="str">
            <v>CIF HK</v>
          </cell>
        </row>
        <row r="1151">
          <cell r="C1151" t="str">
            <v>C49SZX20200240JL</v>
          </cell>
          <cell r="Y1151">
            <v>7500000</v>
          </cell>
          <cell r="AG1151" t="str">
            <v>CIF HK</v>
          </cell>
        </row>
        <row r="1152">
          <cell r="C1152" t="str">
            <v>C49SZX20200233JL</v>
          </cell>
          <cell r="Y1152">
            <v>11530000</v>
          </cell>
          <cell r="AG1152" t="str">
            <v>CIF HK</v>
          </cell>
        </row>
        <row r="1153">
          <cell r="C1153" t="str">
            <v>C49SZX20200233JL</v>
          </cell>
          <cell r="Y1153">
            <v>11530000</v>
          </cell>
          <cell r="AG1153" t="str">
            <v>CIF HK</v>
          </cell>
        </row>
        <row r="1154">
          <cell r="C1154" t="str">
            <v>C49SZX20200233JL</v>
          </cell>
          <cell r="Y1154">
            <v>7500000</v>
          </cell>
          <cell r="AG1154" t="str">
            <v>CIF HK</v>
          </cell>
        </row>
        <row r="1155">
          <cell r="C1155" t="str">
            <v>C49SZX20200233JL</v>
          </cell>
          <cell r="Y1155">
            <v>7500000</v>
          </cell>
          <cell r="AG1155" t="str">
            <v>CIF HK</v>
          </cell>
        </row>
        <row r="1156">
          <cell r="C1156" t="str">
            <v>C49SZX20200241JL</v>
          </cell>
          <cell r="Y1156">
            <v>11530000</v>
          </cell>
          <cell r="AG1156" t="str">
            <v>CIF HK</v>
          </cell>
        </row>
        <row r="1157">
          <cell r="C1157" t="str">
            <v>C49SZX20200241JL</v>
          </cell>
          <cell r="Y1157">
            <v>11530000</v>
          </cell>
          <cell r="AG1157" t="str">
            <v>CIF HK</v>
          </cell>
        </row>
        <row r="1158">
          <cell r="C1158" t="str">
            <v>C49SZX20200241JL</v>
          </cell>
          <cell r="Y1158">
            <v>11530000</v>
          </cell>
          <cell r="AG1158" t="str">
            <v>CIF HK</v>
          </cell>
        </row>
        <row r="1159">
          <cell r="C1159" t="str">
            <v>C49SZX20200241JL</v>
          </cell>
          <cell r="Y1159">
            <v>11530000</v>
          </cell>
          <cell r="AG1159" t="str">
            <v>CIF HK</v>
          </cell>
        </row>
        <row r="1160">
          <cell r="C1160" t="str">
            <v>C49SZX20200241JL</v>
          </cell>
          <cell r="Y1160">
            <v>7500000</v>
          </cell>
          <cell r="AG1160" t="str">
            <v>CIF HK</v>
          </cell>
        </row>
        <row r="1161">
          <cell r="C1161" t="str">
            <v>C49SZX20200241JL</v>
          </cell>
          <cell r="Y1161">
            <v>7500000</v>
          </cell>
          <cell r="AG1161" t="str">
            <v>CIF HK</v>
          </cell>
        </row>
        <row r="1162">
          <cell r="C1162" t="str">
            <v>C49SZX20200241JL</v>
          </cell>
          <cell r="Y1162">
            <v>7500000</v>
          </cell>
          <cell r="AG1162" t="str">
            <v>CIF HK</v>
          </cell>
        </row>
        <row r="1163">
          <cell r="C1163" t="str">
            <v>C49SZX20200241JL</v>
          </cell>
          <cell r="Y1163">
            <v>7500000</v>
          </cell>
          <cell r="AG1163" t="str">
            <v>CIF HK</v>
          </cell>
        </row>
        <row r="1164">
          <cell r="C1164" t="str">
            <v>C49SZX20200239JL</v>
          </cell>
          <cell r="Y1164">
            <v>19000000</v>
          </cell>
          <cell r="AG1164" t="str">
            <v>CIF HK</v>
          </cell>
        </row>
        <row r="1165">
          <cell r="C1165" t="str">
            <v>C49SZX20200239JL</v>
          </cell>
          <cell r="Y1165">
            <v>19000000</v>
          </cell>
          <cell r="AG1165" t="str">
            <v>CIF HK</v>
          </cell>
        </row>
        <row r="1166">
          <cell r="C1166" t="str">
            <v>C49SZX20200239JL</v>
          </cell>
          <cell r="Y1166">
            <v>11000000</v>
          </cell>
          <cell r="AG1166" t="str">
            <v>CIF HK</v>
          </cell>
        </row>
        <row r="1167">
          <cell r="C1167" t="str">
            <v>C49SZX20200239JL</v>
          </cell>
          <cell r="Y1167">
            <v>11000000</v>
          </cell>
          <cell r="AG1167" t="str">
            <v>CIF HK</v>
          </cell>
        </row>
        <row r="1168">
          <cell r="C1168" t="str">
            <v>C49SZX20200240MZ</v>
          </cell>
          <cell r="Y1168">
            <v>12800000</v>
          </cell>
          <cell r="AG1168" t="str">
            <v>DAP SZ</v>
          </cell>
        </row>
        <row r="1169">
          <cell r="C1169" t="str">
            <v>ZS202012031533</v>
          </cell>
          <cell r="Y1169">
            <v>78997</v>
          </cell>
          <cell r="AG1169" t="str">
            <v>CIF HK</v>
          </cell>
        </row>
        <row r="1170">
          <cell r="C1170" t="str">
            <v>C49SZX20200245MZ</v>
          </cell>
          <cell r="Y1170">
            <v>13300000</v>
          </cell>
          <cell r="AG1170" t="str">
            <v>DAP FS</v>
          </cell>
        </row>
        <row r="1171">
          <cell r="C1171" t="str">
            <v>PO#102970-ESE-LEL</v>
          </cell>
          <cell r="Y1171">
            <v>3280</v>
          </cell>
          <cell r="AG1171" t="str">
            <v>含税到厂</v>
          </cell>
        </row>
        <row r="1172">
          <cell r="C1172" t="str">
            <v>C49SZX20200230JY</v>
          </cell>
          <cell r="Y1172">
            <v>7587500</v>
          </cell>
          <cell r="AG1172" t="str">
            <v>CIF HK</v>
          </cell>
        </row>
        <row r="1173">
          <cell r="C1173" t="str">
            <v>C49SZX20200230JY</v>
          </cell>
          <cell r="Y1173">
            <v>7587500</v>
          </cell>
          <cell r="AG1173" t="str">
            <v>CIF HK</v>
          </cell>
        </row>
        <row r="1174">
          <cell r="C1174" t="str">
            <v>C49SZX20200230JY</v>
          </cell>
          <cell r="Y1174">
            <v>7587500</v>
          </cell>
          <cell r="AG1174" t="str">
            <v>CIF HK</v>
          </cell>
        </row>
        <row r="1175">
          <cell r="C1175" t="str">
            <v>C49SZX20200230JY</v>
          </cell>
          <cell r="Y1175">
            <v>7587500</v>
          </cell>
          <cell r="AG1175" t="str">
            <v>CIF HK</v>
          </cell>
        </row>
        <row r="1176">
          <cell r="C1176" t="str">
            <v>C49SZX20200242DZ</v>
          </cell>
          <cell r="Y1176">
            <v>7700000</v>
          </cell>
          <cell r="AG1176" t="str">
            <v>CIF HK</v>
          </cell>
        </row>
        <row r="1177">
          <cell r="C1177" t="str">
            <v>C49SZX20200242DZ</v>
          </cell>
          <cell r="Y1177">
            <v>7700000</v>
          </cell>
          <cell r="AG1177" t="str">
            <v>CIF HK</v>
          </cell>
        </row>
        <row r="1178">
          <cell r="C1178" t="str">
            <v>C49SZX20200243DZ</v>
          </cell>
          <cell r="Y1178">
            <v>11900000</v>
          </cell>
          <cell r="AG1178" t="str">
            <v>CIF HK</v>
          </cell>
        </row>
        <row r="1179">
          <cell r="C1179" t="str">
            <v>C49SZX20200243DZ</v>
          </cell>
          <cell r="Y1179">
            <v>11900000</v>
          </cell>
          <cell r="AG1179" t="str">
            <v>CIF HK</v>
          </cell>
        </row>
        <row r="1180">
          <cell r="C1180" t="str">
            <v>C49SZX20200243DZ</v>
          </cell>
          <cell r="Y1180">
            <v>11900000</v>
          </cell>
          <cell r="AG1180" t="str">
            <v>CIF HK</v>
          </cell>
        </row>
        <row r="1181">
          <cell r="C1181" t="str">
            <v>C49SZX20200243DZ</v>
          </cell>
          <cell r="Y1181">
            <v>7500000</v>
          </cell>
          <cell r="AG1181" t="str">
            <v>CIF HK</v>
          </cell>
        </row>
        <row r="1182">
          <cell r="C1182" t="str">
            <v>C49SZX20200243DZ</v>
          </cell>
          <cell r="Y1182">
            <v>7500000</v>
          </cell>
          <cell r="AG1182" t="str">
            <v>CIF HK</v>
          </cell>
        </row>
        <row r="1183">
          <cell r="C1183" t="str">
            <v>C49SZX20200243DZ</v>
          </cell>
          <cell r="Y1183">
            <v>7500000</v>
          </cell>
          <cell r="AG1183" t="str">
            <v>CIF HK</v>
          </cell>
        </row>
        <row r="1184">
          <cell r="C1184" t="str">
            <v>C49SZX20200243DZ</v>
          </cell>
          <cell r="Y1184">
            <v>7500000</v>
          </cell>
          <cell r="AG1184" t="str">
            <v>CIF HK</v>
          </cell>
        </row>
        <row r="1185">
          <cell r="C1185" t="str">
            <v>C49SZX20200243DZ</v>
          </cell>
          <cell r="Y1185">
            <v>7500000</v>
          </cell>
          <cell r="AG1185" t="str">
            <v>CIF HK</v>
          </cell>
        </row>
        <row r="1186">
          <cell r="C1186" t="str">
            <v>C49SZX20200243DZ</v>
          </cell>
          <cell r="Y1186">
            <v>7500000</v>
          </cell>
          <cell r="AG1186" t="str">
            <v>CIF HK</v>
          </cell>
        </row>
        <row r="1187">
          <cell r="C1187" t="str">
            <v>C49SZX20200243DZ</v>
          </cell>
          <cell r="Y1187">
            <v>7500000</v>
          </cell>
          <cell r="AG1187" t="str">
            <v>CIF HK</v>
          </cell>
        </row>
        <row r="1188">
          <cell r="C1188" t="str">
            <v>C49SZX20200220SX</v>
          </cell>
          <cell r="Y1188">
            <v>1513500</v>
          </cell>
          <cell r="AG1188" t="str">
            <v>含税到厂</v>
          </cell>
        </row>
        <row r="1189">
          <cell r="C1189" t="str">
            <v>C49SZX20200220SX</v>
          </cell>
          <cell r="Y1189">
            <v>1513500</v>
          </cell>
          <cell r="AG1189" t="str">
            <v>含税到厂</v>
          </cell>
        </row>
        <row r="1190">
          <cell r="C1190" t="str">
            <v>C49SZX20200248SX</v>
          </cell>
          <cell r="Y1190">
            <v>640000</v>
          </cell>
          <cell r="AG1190" t="str">
            <v>含税到厂</v>
          </cell>
        </row>
        <row r="1191">
          <cell r="C1191" t="str">
            <v>C49SZX20200248SX</v>
          </cell>
          <cell r="Y1191">
            <v>640000</v>
          </cell>
          <cell r="AG1191" t="str">
            <v>含税到厂</v>
          </cell>
        </row>
        <row r="1192">
          <cell r="C1192" t="str">
            <v>C49SZX20200247MZ</v>
          </cell>
          <cell r="Y1192">
            <v>11500000</v>
          </cell>
          <cell r="AG1192" t="str">
            <v>CIF HK</v>
          </cell>
        </row>
        <row r="1193">
          <cell r="C1193" t="str">
            <v>C49SZX20200255JY</v>
          </cell>
          <cell r="Y1193">
            <v>8900000</v>
          </cell>
          <cell r="AG1193" t="str">
            <v>DAP SZ</v>
          </cell>
        </row>
        <row r="1194">
          <cell r="C1194" t="str">
            <v>C49SZX20200249SX</v>
          </cell>
          <cell r="Y1194">
            <v>13000000</v>
          </cell>
          <cell r="AG1194" t="str">
            <v>DAP SZ</v>
          </cell>
        </row>
        <row r="1195">
          <cell r="C1195" t="str">
            <v>C49SZX20200246MX</v>
          </cell>
          <cell r="Y1195">
            <v>11900000</v>
          </cell>
          <cell r="AG1195" t="str">
            <v>DAP DG</v>
          </cell>
        </row>
        <row r="1196">
          <cell r="C1196" t="str">
            <v>C49SZX20200257JY</v>
          </cell>
          <cell r="Y1196">
            <v>12400000</v>
          </cell>
          <cell r="AG1196" t="str">
            <v>DAP SZ</v>
          </cell>
        </row>
        <row r="1197">
          <cell r="C1197" t="str">
            <v>C49SZX20200257JY</v>
          </cell>
          <cell r="Y1197">
            <v>12400000</v>
          </cell>
          <cell r="AG1197" t="str">
            <v>DAP SZ</v>
          </cell>
        </row>
        <row r="1198">
          <cell r="C1198" t="str">
            <v>C49SZX20200257JY</v>
          </cell>
          <cell r="Y1198">
            <v>8660000</v>
          </cell>
          <cell r="AG1198" t="str">
            <v>DAP SZ</v>
          </cell>
        </row>
        <row r="1199">
          <cell r="C1199" t="str">
            <v>C49SZX20200257JY</v>
          </cell>
          <cell r="Y1199">
            <v>8660000</v>
          </cell>
          <cell r="AG1199" t="str">
            <v>DAP SZ</v>
          </cell>
        </row>
        <row r="1200">
          <cell r="C1200" t="str">
            <v>C49SZX20200258JY</v>
          </cell>
          <cell r="Y1200">
            <v>12400000</v>
          </cell>
          <cell r="AG1200" t="str">
            <v>DAP SZ</v>
          </cell>
        </row>
        <row r="1201">
          <cell r="C1201" t="str">
            <v>C49SZX20200258JY</v>
          </cell>
          <cell r="Y1201">
            <v>12400000</v>
          </cell>
          <cell r="AG1201" t="str">
            <v>DAP SZ</v>
          </cell>
        </row>
        <row r="1202">
          <cell r="C1202" t="str">
            <v>C49SZX20200258JY</v>
          </cell>
          <cell r="Y1202">
            <v>12400000</v>
          </cell>
          <cell r="AG1202" t="str">
            <v>DAP SZ</v>
          </cell>
        </row>
        <row r="1203">
          <cell r="C1203" t="str">
            <v>C49SZX20200258JY</v>
          </cell>
          <cell r="Y1203">
            <v>12400000</v>
          </cell>
          <cell r="AG1203" t="str">
            <v>DAP SZ</v>
          </cell>
        </row>
        <row r="1204">
          <cell r="C1204" t="str">
            <v>C49SZX20200258JY</v>
          </cell>
          <cell r="Y1204">
            <v>8518000</v>
          </cell>
          <cell r="AG1204" t="str">
            <v>DAP SZ</v>
          </cell>
        </row>
        <row r="1205">
          <cell r="C1205" t="str">
            <v>C49SZX20200258JY</v>
          </cell>
          <cell r="Y1205">
            <v>8518000</v>
          </cell>
          <cell r="AG1205" t="str">
            <v>DAP SZ</v>
          </cell>
        </row>
        <row r="1206">
          <cell r="C1206" t="str">
            <v>C49SZX20200260LC</v>
          </cell>
          <cell r="Y1206">
            <v>8110000</v>
          </cell>
          <cell r="AG1206" t="str">
            <v>DAP DG</v>
          </cell>
        </row>
        <row r="1207">
          <cell r="C1207" t="str">
            <v>C49SZX20210001SS</v>
          </cell>
          <cell r="Y1207">
            <v>11000000</v>
          </cell>
          <cell r="AG1207" t="str">
            <v>DAP SZ</v>
          </cell>
        </row>
        <row r="1208">
          <cell r="C1208" t="str">
            <v>C49SZX20210002SX</v>
          </cell>
          <cell r="Y1208">
            <v>12605000</v>
          </cell>
          <cell r="AG1208" t="str">
            <v>DAP SZ</v>
          </cell>
        </row>
        <row r="1209">
          <cell r="C1209" t="str">
            <v>C49SZX20210005SX</v>
          </cell>
          <cell r="Y1209">
            <v>8835532</v>
          </cell>
          <cell r="AG1209" t="str">
            <v>DAP SZ</v>
          </cell>
        </row>
        <row r="1210">
          <cell r="C1210" t="str">
            <v>C49SZX20210006SX</v>
          </cell>
          <cell r="Y1210">
            <v>9300000</v>
          </cell>
          <cell r="AG1210" t="str">
            <v>DAP FS</v>
          </cell>
        </row>
        <row r="1211">
          <cell r="C1211" t="str">
            <v>C49SZX20210007DZ</v>
          </cell>
          <cell r="Y1211">
            <v>875000</v>
          </cell>
          <cell r="AG1211" t="str">
            <v>含税到厂</v>
          </cell>
        </row>
        <row r="1212">
          <cell r="C1212" t="str">
            <v>C49SZX20210007DZ</v>
          </cell>
          <cell r="Y1212">
            <v>875000</v>
          </cell>
          <cell r="AG1212" t="str">
            <v>含税到厂</v>
          </cell>
        </row>
        <row r="1213">
          <cell r="C1213" t="str">
            <v>C49SZX20210007DZ</v>
          </cell>
          <cell r="Y1213">
            <v>875000</v>
          </cell>
          <cell r="AG1213" t="str">
            <v>含税到厂</v>
          </cell>
        </row>
        <row r="1214">
          <cell r="C1214" t="str">
            <v>C49SZX20210007DZ</v>
          </cell>
          <cell r="Y1214">
            <v>875000</v>
          </cell>
          <cell r="AG1214" t="str">
            <v>含税到厂</v>
          </cell>
        </row>
        <row r="1215">
          <cell r="C1215" t="str">
            <v>C49SZX20210012SX</v>
          </cell>
          <cell r="Y1215">
            <v>6800000</v>
          </cell>
          <cell r="AG1215" t="str">
            <v>DAP FS</v>
          </cell>
        </row>
        <row r="1216">
          <cell r="C1216">
            <v>4300001309</v>
          </cell>
          <cell r="Y1216">
            <v>354000</v>
          </cell>
          <cell r="AG1216" t="str">
            <v>含税到厂</v>
          </cell>
        </row>
        <row r="1217">
          <cell r="C1217" t="str">
            <v>C49SZX20210013SS</v>
          </cell>
          <cell r="Y1217">
            <v>8900000</v>
          </cell>
          <cell r="AG1217" t="str">
            <v>DAP SZ</v>
          </cell>
        </row>
        <row r="1218">
          <cell r="C1218" t="str">
            <v>C49SZX20210013SS</v>
          </cell>
          <cell r="Y1218">
            <v>12000000</v>
          </cell>
          <cell r="AG1218" t="str">
            <v>DAP SZ</v>
          </cell>
        </row>
        <row r="1219">
          <cell r="C1219" t="str">
            <v>C28SZX20200127RW</v>
          </cell>
          <cell r="Y1219">
            <v>13880000</v>
          </cell>
          <cell r="AG1219" t="str">
            <v>DAP DG</v>
          </cell>
        </row>
        <row r="1220">
          <cell r="C1220" t="str">
            <v>C49SZX20210018SX</v>
          </cell>
          <cell r="Y1220">
            <v>7100000</v>
          </cell>
          <cell r="AG1220" t="str">
            <v>DAP JA</v>
          </cell>
        </row>
        <row r="1221">
          <cell r="C1221" t="str">
            <v>C49SZX20210009MZ</v>
          </cell>
          <cell r="Y1221">
            <v>12000000</v>
          </cell>
          <cell r="AG1221" t="str">
            <v>DAP HZ</v>
          </cell>
        </row>
        <row r="1222">
          <cell r="C1222" t="str">
            <v>C49SZX20210009MZ</v>
          </cell>
          <cell r="Y1222">
            <v>12000000</v>
          </cell>
          <cell r="AG1222" t="str">
            <v>DAP HZ</v>
          </cell>
        </row>
        <row r="1223">
          <cell r="C1223" t="str">
            <v>C49SZX20210009MZ</v>
          </cell>
          <cell r="Y1223">
            <v>12000000</v>
          </cell>
          <cell r="AG1223" t="str">
            <v>DAP HZ</v>
          </cell>
        </row>
        <row r="1224">
          <cell r="C1224" t="str">
            <v>C49SZX20210009MZ</v>
          </cell>
          <cell r="Y1224">
            <v>9300000</v>
          </cell>
          <cell r="AG1224" t="str">
            <v>DAP HZ</v>
          </cell>
        </row>
        <row r="1225">
          <cell r="C1225" t="str">
            <v>C49SZX20210009MZ</v>
          </cell>
          <cell r="Y1225">
            <v>9300000</v>
          </cell>
          <cell r="AG1225" t="str">
            <v>DAP HZ</v>
          </cell>
        </row>
        <row r="1226">
          <cell r="C1226" t="str">
            <v>C49SZX20210009MZ</v>
          </cell>
          <cell r="Y1226">
            <v>9300000</v>
          </cell>
          <cell r="AG1226" t="str">
            <v>DAP HZ</v>
          </cell>
        </row>
        <row r="1227">
          <cell r="C1227" t="str">
            <v>C49SZX20210020SX</v>
          </cell>
          <cell r="Y1227">
            <v>6920000</v>
          </cell>
          <cell r="AG1227" t="str">
            <v>DAP HZ</v>
          </cell>
        </row>
        <row r="1228">
          <cell r="C1228" t="str">
            <v>C49SZX20210025DZ</v>
          </cell>
          <cell r="Y1228">
            <v>12640000</v>
          </cell>
          <cell r="AG1228" t="str">
            <v>DAP SZ</v>
          </cell>
        </row>
        <row r="1229">
          <cell r="C1229" t="str">
            <v>C49SZX20210026DZ</v>
          </cell>
          <cell r="Y1229">
            <v>13700000</v>
          </cell>
          <cell r="AG1229" t="str">
            <v>DAP CS</v>
          </cell>
        </row>
        <row r="1230">
          <cell r="C1230" t="str">
            <v>C49SZX20210026DZ</v>
          </cell>
          <cell r="Y1230">
            <v>13700000</v>
          </cell>
          <cell r="AG1230" t="str">
            <v>DAP CS</v>
          </cell>
        </row>
        <row r="1231">
          <cell r="C1231" t="str">
            <v>C49SZX20210010JY</v>
          </cell>
          <cell r="Y1231">
            <v>14400000</v>
          </cell>
          <cell r="AG1231" t="str">
            <v>CIF HK</v>
          </cell>
        </row>
        <row r="1232">
          <cell r="C1232" t="str">
            <v>C49SZX20210010JY</v>
          </cell>
          <cell r="Y1232">
            <v>14400000</v>
          </cell>
          <cell r="AG1232" t="str">
            <v>CIF HK</v>
          </cell>
        </row>
        <row r="1233">
          <cell r="C1233" t="str">
            <v>C49SZX20210010JY</v>
          </cell>
          <cell r="Y1233">
            <v>14400000</v>
          </cell>
          <cell r="AG1233" t="str">
            <v>CIF HK</v>
          </cell>
        </row>
        <row r="1234">
          <cell r="C1234" t="str">
            <v>C49SZX20210010JY</v>
          </cell>
          <cell r="Y1234">
            <v>9000000</v>
          </cell>
          <cell r="AG1234" t="str">
            <v>CIF HK</v>
          </cell>
        </row>
        <row r="1235">
          <cell r="C1235" t="str">
            <v>C49SZX20210010JY</v>
          </cell>
          <cell r="Y1235">
            <v>9000000</v>
          </cell>
          <cell r="AG1235" t="str">
            <v>CIF HK</v>
          </cell>
        </row>
        <row r="1236">
          <cell r="C1236" t="str">
            <v>C49SZX20210010JY</v>
          </cell>
          <cell r="Y1236">
            <v>9000000</v>
          </cell>
          <cell r="AG1236" t="str">
            <v>CIF HK</v>
          </cell>
        </row>
        <row r="1237">
          <cell r="C1237" t="str">
            <v>C49SZX20210010JY</v>
          </cell>
          <cell r="Y1237">
            <v>9000000</v>
          </cell>
          <cell r="AG1237" t="str">
            <v>CIF HK</v>
          </cell>
        </row>
        <row r="1238">
          <cell r="C1238" t="str">
            <v>C49SZX20210029SS</v>
          </cell>
          <cell r="Y1238">
            <v>6800000</v>
          </cell>
          <cell r="AG1238" t="str">
            <v>DAP FS</v>
          </cell>
        </row>
        <row r="1239">
          <cell r="C1239" t="str">
            <v>C49SZX20210015SS</v>
          </cell>
          <cell r="Y1239">
            <v>628000</v>
          </cell>
          <cell r="AG1239" t="str">
            <v>含税到厂</v>
          </cell>
        </row>
        <row r="1240">
          <cell r="C1240" t="str">
            <v>C49SZX20210031SX</v>
          </cell>
          <cell r="Y1240">
            <v>12650000</v>
          </cell>
          <cell r="AG1240" t="str">
            <v>DAP SZ</v>
          </cell>
        </row>
        <row r="1241">
          <cell r="C1241" t="str">
            <v>C49SZX20210031SX</v>
          </cell>
          <cell r="Y1241">
            <v>12650000</v>
          </cell>
          <cell r="AG1241" t="str">
            <v>DAP SZ</v>
          </cell>
        </row>
        <row r="1242">
          <cell r="C1242" t="str">
            <v>C49SZX20210031SX</v>
          </cell>
          <cell r="Y1242">
            <v>12650000</v>
          </cell>
          <cell r="AG1242" t="str">
            <v>DAP SZ</v>
          </cell>
        </row>
        <row r="1243">
          <cell r="C1243" t="str">
            <v>C49SZX20210031SX</v>
          </cell>
          <cell r="Y1243">
            <v>7419600</v>
          </cell>
          <cell r="AG1243" t="str">
            <v>DAP SZ</v>
          </cell>
        </row>
        <row r="1244">
          <cell r="C1244" t="str">
            <v>C49SZX20210021SS</v>
          </cell>
          <cell r="Y1244">
            <v>1430000</v>
          </cell>
          <cell r="AG1244" t="str">
            <v>含税到厂</v>
          </cell>
        </row>
        <row r="1245">
          <cell r="C1245" t="str">
            <v>C49SZX20210021SS</v>
          </cell>
          <cell r="Y1245">
            <v>1430000</v>
          </cell>
          <cell r="AG1245" t="str">
            <v>含税到厂</v>
          </cell>
        </row>
        <row r="1246">
          <cell r="C1246" t="str">
            <v>C49SZX20210021SS</v>
          </cell>
          <cell r="Y1246">
            <v>1430000</v>
          </cell>
          <cell r="AG1246" t="str">
            <v>含税到厂</v>
          </cell>
        </row>
        <row r="1247">
          <cell r="C1247" t="str">
            <v>C49SZX20210021SS</v>
          </cell>
          <cell r="Y1247">
            <v>1430000</v>
          </cell>
          <cell r="AG1247" t="str">
            <v>含税到厂</v>
          </cell>
        </row>
        <row r="1248">
          <cell r="C1248" t="str">
            <v>C49SZX20210022VG</v>
          </cell>
          <cell r="Y1248">
            <v>12726000</v>
          </cell>
          <cell r="AG1248" t="str">
            <v>DAP SZ</v>
          </cell>
        </row>
        <row r="1249">
          <cell r="C1249" t="str">
            <v>C49SZX20210023VG</v>
          </cell>
          <cell r="Y1249">
            <v>13300000</v>
          </cell>
          <cell r="AG1249" t="str">
            <v>DAP SZ</v>
          </cell>
        </row>
        <row r="1250">
          <cell r="C1250" t="str">
            <v>C49SZX20210019JY</v>
          </cell>
          <cell r="Y1250">
            <v>12000000</v>
          </cell>
          <cell r="AG1250" t="str">
            <v>DAP SZ</v>
          </cell>
        </row>
        <row r="1251">
          <cell r="C1251" t="str">
            <v>C49SZX20210019JY</v>
          </cell>
          <cell r="Y1251">
            <v>12000000</v>
          </cell>
          <cell r="AG1251" t="str">
            <v>DAP SZ</v>
          </cell>
        </row>
        <row r="1252">
          <cell r="C1252" t="str">
            <v>C49SZX20210019JY</v>
          </cell>
          <cell r="Y1252">
            <v>8000000</v>
          </cell>
          <cell r="AG1252" t="str">
            <v>DAP SZ</v>
          </cell>
        </row>
        <row r="1253">
          <cell r="C1253" t="str">
            <v>C49SZX20210019JY</v>
          </cell>
          <cell r="Y1253">
            <v>8000000</v>
          </cell>
          <cell r="AG1253" t="str">
            <v>DAP SZ</v>
          </cell>
        </row>
        <row r="1254">
          <cell r="C1254" t="str">
            <v>C49SZX20210019JY</v>
          </cell>
          <cell r="Y1254">
            <v>8000000</v>
          </cell>
          <cell r="AG1254" t="str">
            <v>DAP SZ</v>
          </cell>
        </row>
        <row r="1255">
          <cell r="C1255" t="str">
            <v>C49SZX20210029DZ</v>
          </cell>
          <cell r="Y1255">
            <v>24630000</v>
          </cell>
          <cell r="AG1255" t="str">
            <v>CIF HK</v>
          </cell>
        </row>
        <row r="1256">
          <cell r="C1256" t="str">
            <v>C49SZX20210038SX</v>
          </cell>
          <cell r="Y1256">
            <v>13000000</v>
          </cell>
          <cell r="AG1256" t="str">
            <v>DAP SZ</v>
          </cell>
        </row>
        <row r="1257">
          <cell r="C1257" t="str">
            <v>C49SZX20210038SX</v>
          </cell>
          <cell r="Y1257">
            <v>7907000</v>
          </cell>
          <cell r="AG1257" t="str">
            <v>DAP SZ</v>
          </cell>
        </row>
        <row r="1258">
          <cell r="C1258" t="str">
            <v>C49SZX20210030SX</v>
          </cell>
          <cell r="Y1258">
            <v>6950000</v>
          </cell>
          <cell r="AG1258" t="str">
            <v>DAP SZ</v>
          </cell>
        </row>
        <row r="1259">
          <cell r="C1259" t="str">
            <v>C49SZX20210037SX</v>
          </cell>
          <cell r="Y1259">
            <v>14000000</v>
          </cell>
          <cell r="AG1259" t="str">
            <v>DAP SZ</v>
          </cell>
        </row>
        <row r="1260">
          <cell r="C1260" t="str">
            <v>C49SZX20210037SX</v>
          </cell>
          <cell r="Y1260">
            <v>10000000</v>
          </cell>
          <cell r="AG1260" t="str">
            <v>DAP SZ</v>
          </cell>
        </row>
        <row r="1261">
          <cell r="C1261" t="str">
            <v>C49SZX20210032JL</v>
          </cell>
          <cell r="Y1261">
            <v>11570000</v>
          </cell>
          <cell r="AG1261" t="str">
            <v>DAP SZ</v>
          </cell>
        </row>
        <row r="1262">
          <cell r="C1262" t="str">
            <v>C49SZX20210032JL</v>
          </cell>
          <cell r="Y1262">
            <v>11570000</v>
          </cell>
          <cell r="AG1262" t="str">
            <v>DAP SZ</v>
          </cell>
        </row>
        <row r="1263">
          <cell r="C1263" t="str">
            <v>C49SZX20210032JL</v>
          </cell>
          <cell r="Y1263">
            <v>11570000</v>
          </cell>
          <cell r="AG1263" t="str">
            <v>DAP SZ</v>
          </cell>
        </row>
        <row r="1264">
          <cell r="C1264" t="str">
            <v>C49SZX20210032JL</v>
          </cell>
          <cell r="Y1264">
            <v>8150000</v>
          </cell>
          <cell r="AG1264" t="str">
            <v>DAP SZ</v>
          </cell>
        </row>
        <row r="1265">
          <cell r="C1265" t="str">
            <v>C49SZX20210033JL</v>
          </cell>
          <cell r="Y1265">
            <v>11570000</v>
          </cell>
          <cell r="AG1265" t="str">
            <v>DAP SZ</v>
          </cell>
        </row>
        <row r="1266">
          <cell r="C1266" t="str">
            <v>C49SZX20210033JL</v>
          </cell>
          <cell r="Y1266">
            <v>11570000</v>
          </cell>
          <cell r="AG1266" t="str">
            <v>DAP SZ</v>
          </cell>
        </row>
        <row r="1267">
          <cell r="C1267" t="str">
            <v>C49SZX20210033JL</v>
          </cell>
          <cell r="Y1267">
            <v>11570000</v>
          </cell>
          <cell r="AG1267" t="str">
            <v>DAP SZ</v>
          </cell>
        </row>
        <row r="1268">
          <cell r="C1268" t="str">
            <v>C49SZX20210033JL</v>
          </cell>
          <cell r="Y1268">
            <v>8150000</v>
          </cell>
          <cell r="AG1268" t="str">
            <v>DAP SZ</v>
          </cell>
        </row>
        <row r="1269">
          <cell r="C1269" t="str">
            <v>C49SZX20210011JY</v>
          </cell>
          <cell r="Y1269">
            <v>13450000</v>
          </cell>
          <cell r="AG1269" t="str">
            <v>CIF HK</v>
          </cell>
        </row>
        <row r="1270">
          <cell r="C1270" t="str">
            <v>C49SZX20210011JY</v>
          </cell>
          <cell r="Y1270">
            <v>13450000</v>
          </cell>
          <cell r="AG1270" t="str">
            <v>CIF HK</v>
          </cell>
        </row>
        <row r="1271">
          <cell r="C1271" t="str">
            <v>C49SZX20210011JY</v>
          </cell>
          <cell r="Y1271">
            <v>13450000</v>
          </cell>
          <cell r="AG1271" t="str">
            <v>CIF HK</v>
          </cell>
        </row>
        <row r="1272">
          <cell r="C1272" t="str">
            <v>C49SZX20210011JY</v>
          </cell>
          <cell r="Y1272">
            <v>13450000</v>
          </cell>
          <cell r="AG1272" t="str">
            <v>CIF HK</v>
          </cell>
        </row>
        <row r="1273">
          <cell r="C1273" t="str">
            <v>C49SZX20210011JY</v>
          </cell>
          <cell r="Y1273">
            <v>9000000</v>
          </cell>
          <cell r="AG1273" t="str">
            <v>CIF HK</v>
          </cell>
        </row>
        <row r="1274">
          <cell r="C1274" t="str">
            <v>C49SZX20210011JY</v>
          </cell>
          <cell r="Y1274">
            <v>9000000</v>
          </cell>
          <cell r="AG1274" t="str">
            <v>CIF HK</v>
          </cell>
        </row>
        <row r="1275">
          <cell r="C1275" t="str">
            <v>C49SZX20210011JY</v>
          </cell>
          <cell r="Y1275">
            <v>9000000</v>
          </cell>
          <cell r="AG1275" t="str">
            <v>CIF HK</v>
          </cell>
        </row>
        <row r="1276">
          <cell r="C1276" t="str">
            <v>C49SZX20210011JY</v>
          </cell>
          <cell r="Y1276">
            <v>9000000</v>
          </cell>
          <cell r="AG1276" t="str">
            <v>CIF HK</v>
          </cell>
        </row>
        <row r="1277">
          <cell r="C1277" t="str">
            <v>C28HKG2021013KC</v>
          </cell>
          <cell r="Y1277">
            <v>12780000</v>
          </cell>
          <cell r="AG1277" t="str">
            <v>CIF HK</v>
          </cell>
        </row>
        <row r="1278">
          <cell r="C1278" t="str">
            <v>C49SZX20210036JZ</v>
          </cell>
          <cell r="Y1278">
            <v>14200000</v>
          </cell>
          <cell r="AG1278" t="str">
            <v>DAP SZ</v>
          </cell>
        </row>
        <row r="1279">
          <cell r="C1279" t="str">
            <v>C49SZX20210043AY</v>
          </cell>
          <cell r="Y1279">
            <v>8900000</v>
          </cell>
          <cell r="AG1279" t="str">
            <v>DAP SZ</v>
          </cell>
        </row>
        <row r="1280">
          <cell r="C1280" t="str">
            <v>C49SZX20210043AY</v>
          </cell>
          <cell r="Y1280">
            <v>11500000</v>
          </cell>
          <cell r="AG1280" t="str">
            <v>DAP SZ</v>
          </cell>
        </row>
        <row r="1281">
          <cell r="C1281" t="str">
            <v>C49SZX20210040DY</v>
          </cell>
          <cell r="Y1281">
            <v>1030000</v>
          </cell>
          <cell r="AG1281" t="str">
            <v>含税到厂</v>
          </cell>
        </row>
        <row r="1282">
          <cell r="C1282" t="str">
            <v>C49SZX20210042VG</v>
          </cell>
          <cell r="Y1282">
            <v>7800000</v>
          </cell>
          <cell r="AG1282" t="str">
            <v>DAP SZ</v>
          </cell>
        </row>
        <row r="1283">
          <cell r="C1283" t="str">
            <v>C49SZX20210042VG</v>
          </cell>
          <cell r="Y1283">
            <v>15000000</v>
          </cell>
          <cell r="AG1283" t="str">
            <v>DAP SZ</v>
          </cell>
        </row>
        <row r="1284">
          <cell r="C1284" t="str">
            <v>C49SZX20210042VG</v>
          </cell>
          <cell r="Y1284">
            <v>15000000</v>
          </cell>
          <cell r="AG1284" t="str">
            <v>DAP SZ</v>
          </cell>
        </row>
        <row r="1285">
          <cell r="C1285" t="str">
            <v>C49SZX20210046SS</v>
          </cell>
          <cell r="Y1285">
            <v>12700000</v>
          </cell>
          <cell r="AG1285" t="str">
            <v>DAP SZ</v>
          </cell>
        </row>
        <row r="1286">
          <cell r="C1286" t="str">
            <v>C49SZX20210045SX</v>
          </cell>
          <cell r="Y1286">
            <v>10500000</v>
          </cell>
          <cell r="AG1286" t="str">
            <v>DAP SZ</v>
          </cell>
        </row>
        <row r="1287">
          <cell r="C1287" t="str">
            <v>C49SZX20210045SX</v>
          </cell>
          <cell r="Y1287">
            <v>10500000</v>
          </cell>
          <cell r="AG1287" t="str">
            <v>DAP SZ</v>
          </cell>
        </row>
        <row r="1288">
          <cell r="C1288" t="str">
            <v>C49SZX20210016JY</v>
          </cell>
          <cell r="Y1288">
            <v>13700000</v>
          </cell>
          <cell r="AG1288" t="str">
            <v>DAP GZ</v>
          </cell>
        </row>
        <row r="1289">
          <cell r="C1289" t="str">
            <v>C49SZX20210126DZ</v>
          </cell>
          <cell r="Y1289">
            <v>20900000</v>
          </cell>
          <cell r="AG1289" t="str">
            <v>CIF HK</v>
          </cell>
        </row>
        <row r="1290">
          <cell r="C1290" t="str">
            <v>C49SZX20210126DZ</v>
          </cell>
          <cell r="Y1290">
            <v>20900000</v>
          </cell>
          <cell r="AG1290" t="str">
            <v>CIF HK</v>
          </cell>
        </row>
        <row r="1291">
          <cell r="C1291" t="str">
            <v>C49SZX20210050SX</v>
          </cell>
          <cell r="Y1291">
            <v>11000000</v>
          </cell>
          <cell r="AG1291" t="str">
            <v>DAP SZ</v>
          </cell>
        </row>
        <row r="1292">
          <cell r="C1292" t="str">
            <v>C49SZX20210050SX</v>
          </cell>
          <cell r="Y1292">
            <v>7350000</v>
          </cell>
          <cell r="AG1292" t="str">
            <v>DAP SZ</v>
          </cell>
        </row>
        <row r="1293">
          <cell r="C1293" t="str">
            <v>C49SZX20210048SS</v>
          </cell>
          <cell r="Y1293">
            <v>825000</v>
          </cell>
          <cell r="AG1293" t="str">
            <v>含税到厂</v>
          </cell>
        </row>
        <row r="1294">
          <cell r="C1294" t="str">
            <v>C49SZX20210048SS</v>
          </cell>
          <cell r="Y1294">
            <v>825000</v>
          </cell>
          <cell r="AG1294" t="str">
            <v>含税到厂</v>
          </cell>
        </row>
        <row r="1295">
          <cell r="C1295" t="str">
            <v>C49SZX20210048SS</v>
          </cell>
          <cell r="Y1295">
            <v>1025000</v>
          </cell>
          <cell r="AG1295" t="str">
            <v>含税到厂</v>
          </cell>
        </row>
        <row r="1296">
          <cell r="C1296" t="str">
            <v>C49SZX20210048SS</v>
          </cell>
          <cell r="Y1296">
            <v>1125000</v>
          </cell>
          <cell r="AG1296" t="str">
            <v>含税到厂</v>
          </cell>
        </row>
        <row r="1297">
          <cell r="C1297" t="str">
            <v>C49SZX20210055SS</v>
          </cell>
          <cell r="Y1297">
            <v>620000</v>
          </cell>
          <cell r="AG1297" t="str">
            <v>含税到厂</v>
          </cell>
        </row>
        <row r="1298">
          <cell r="C1298" t="str">
            <v>C49SZX20210055SS</v>
          </cell>
          <cell r="Y1298">
            <v>620000</v>
          </cell>
          <cell r="AG1298" t="str">
            <v>含税到厂</v>
          </cell>
        </row>
        <row r="1299">
          <cell r="C1299" t="str">
            <v>C49SZX20210055SS</v>
          </cell>
          <cell r="Y1299">
            <v>805000</v>
          </cell>
          <cell r="AG1299" t="str">
            <v>含税到厂</v>
          </cell>
        </row>
        <row r="1300">
          <cell r="C1300" t="str">
            <v>C49SZX20210055SS</v>
          </cell>
          <cell r="Y1300">
            <v>805000</v>
          </cell>
          <cell r="AG1300" t="str">
            <v>含税到厂</v>
          </cell>
        </row>
        <row r="1301">
          <cell r="C1301" t="str">
            <v>C49SZX20210219KW</v>
          </cell>
          <cell r="Y1301">
            <v>15800000</v>
          </cell>
          <cell r="AG1301" t="str">
            <v>CIF HK</v>
          </cell>
        </row>
        <row r="1302">
          <cell r="C1302" t="str">
            <v>C49SZX20210051JY</v>
          </cell>
          <cell r="Y1302">
            <v>13700000</v>
          </cell>
          <cell r="AG1302" t="str">
            <v>CIF HK</v>
          </cell>
        </row>
        <row r="1303">
          <cell r="C1303" t="str">
            <v>C49SZX20210052JY</v>
          </cell>
          <cell r="Y1303">
            <v>15000000</v>
          </cell>
          <cell r="AG1303" t="str">
            <v>CIF HK</v>
          </cell>
        </row>
        <row r="1304">
          <cell r="C1304" t="str">
            <v>C49SZX20210052JY</v>
          </cell>
          <cell r="Y1304">
            <v>15000000</v>
          </cell>
          <cell r="AG1304" t="str">
            <v>CIF HK</v>
          </cell>
        </row>
        <row r="1305">
          <cell r="C1305" t="str">
            <v>C49SZX20210052JY</v>
          </cell>
          <cell r="Y1305">
            <v>15000000</v>
          </cell>
          <cell r="AG1305" t="str">
            <v>CIF HK</v>
          </cell>
        </row>
        <row r="1306">
          <cell r="C1306" t="str">
            <v>C49SZX20210052JY</v>
          </cell>
          <cell r="Y1306">
            <v>15000000</v>
          </cell>
          <cell r="AG1306" t="str">
            <v>CIF HK</v>
          </cell>
        </row>
        <row r="1307">
          <cell r="C1307" t="str">
            <v>C49SZX20210051JY</v>
          </cell>
          <cell r="Y1307">
            <v>7580700</v>
          </cell>
          <cell r="AG1307" t="str">
            <v>CIF HK</v>
          </cell>
        </row>
        <row r="1308">
          <cell r="C1308" t="str">
            <v>C49SZX20210052JY</v>
          </cell>
          <cell r="Y1308">
            <v>8860125</v>
          </cell>
          <cell r="AG1308" t="str">
            <v>CIF HK</v>
          </cell>
        </row>
        <row r="1309">
          <cell r="C1309" t="str">
            <v>C49SZX20210052JY</v>
          </cell>
          <cell r="Y1309">
            <v>8860125</v>
          </cell>
          <cell r="AG1309" t="str">
            <v>CIF HK</v>
          </cell>
        </row>
        <row r="1310">
          <cell r="C1310" t="str">
            <v>C49SZX20210052JY</v>
          </cell>
          <cell r="Y1310">
            <v>8860125</v>
          </cell>
          <cell r="AG1310" t="str">
            <v>CIF HK</v>
          </cell>
        </row>
        <row r="1311">
          <cell r="C1311" t="str">
            <v>C49SZX20210052JY</v>
          </cell>
          <cell r="Y1311">
            <v>8860125</v>
          </cell>
          <cell r="AG1311" t="str">
            <v>CIF HK</v>
          </cell>
        </row>
        <row r="1312">
          <cell r="C1312" t="str">
            <v>C49SZX20210047JL</v>
          </cell>
          <cell r="Y1312">
            <v>500000</v>
          </cell>
          <cell r="AG1312" t="str">
            <v>含税到厂</v>
          </cell>
        </row>
        <row r="1313">
          <cell r="C1313" t="str">
            <v>C49SZX20210059EC</v>
          </cell>
          <cell r="Y1313">
            <v>8350000</v>
          </cell>
          <cell r="AG1313" t="str">
            <v>DAP GZ</v>
          </cell>
        </row>
        <row r="1314">
          <cell r="C1314" t="str">
            <v>C49SZX20210059EC</v>
          </cell>
          <cell r="Y1314">
            <v>8350000</v>
          </cell>
          <cell r="AG1314" t="str">
            <v>DAP GZ</v>
          </cell>
        </row>
        <row r="1315">
          <cell r="C1315" t="str">
            <v>C49SZX20210056JL</v>
          </cell>
          <cell r="Y1315">
            <v>10500000</v>
          </cell>
          <cell r="AG1315" t="str">
            <v>CIF HK</v>
          </cell>
        </row>
        <row r="1316">
          <cell r="C1316" t="str">
            <v>C49SZX20210060SX</v>
          </cell>
          <cell r="Y1316">
            <v>9600000</v>
          </cell>
          <cell r="AG1316" t="str">
            <v>DAP DG</v>
          </cell>
        </row>
        <row r="1317">
          <cell r="C1317" t="str">
            <v>C49SZX20210049MX</v>
          </cell>
          <cell r="Y1317">
            <v>10900000</v>
          </cell>
          <cell r="AG1317" t="str">
            <v>DAP SZ</v>
          </cell>
        </row>
        <row r="1318">
          <cell r="C1318" t="str">
            <v>C49SZX20210049MX</v>
          </cell>
          <cell r="Y1318">
            <v>10900000</v>
          </cell>
          <cell r="AG1318" t="str">
            <v>DAP SZ</v>
          </cell>
        </row>
        <row r="1319">
          <cell r="C1319" t="str">
            <v>C49SZX20210049MX</v>
          </cell>
          <cell r="Y1319">
            <v>10900000</v>
          </cell>
          <cell r="AG1319" t="str">
            <v>DAP SZ</v>
          </cell>
        </row>
        <row r="1320">
          <cell r="C1320" t="str">
            <v>C49SZX20210049MX</v>
          </cell>
          <cell r="Y1320">
            <v>10900000</v>
          </cell>
          <cell r="AG1320" t="str">
            <v>DAP SZ</v>
          </cell>
        </row>
        <row r="1321">
          <cell r="C1321" t="str">
            <v>C49SZX20210049MX</v>
          </cell>
          <cell r="Y1321">
            <v>10900000</v>
          </cell>
          <cell r="AG1321" t="str">
            <v>DAP SZ</v>
          </cell>
        </row>
        <row r="1322">
          <cell r="C1322" t="str">
            <v>C49SZX20210049MX</v>
          </cell>
          <cell r="Y1322">
            <v>10900000</v>
          </cell>
          <cell r="AG1322" t="str">
            <v>DAP SZ</v>
          </cell>
        </row>
        <row r="1323">
          <cell r="C1323" t="str">
            <v>C49SZX20210049MX</v>
          </cell>
          <cell r="Y1323">
            <v>10900000</v>
          </cell>
          <cell r="AG1323" t="str">
            <v>DAP SZ</v>
          </cell>
        </row>
        <row r="1324">
          <cell r="C1324" t="str">
            <v>C49SZX20210049MX</v>
          </cell>
          <cell r="Y1324">
            <v>10900000</v>
          </cell>
          <cell r="AG1324" t="str">
            <v>DAP SZ</v>
          </cell>
        </row>
        <row r="1325">
          <cell r="C1325" t="str">
            <v>C49SZX20210049MX</v>
          </cell>
          <cell r="Y1325">
            <v>10900000</v>
          </cell>
          <cell r="AG1325" t="str">
            <v>DAP SZ</v>
          </cell>
        </row>
        <row r="1326">
          <cell r="C1326" t="str">
            <v>C49SZX20210049MX</v>
          </cell>
          <cell r="Y1326">
            <v>10900000</v>
          </cell>
          <cell r="AG1326" t="str">
            <v>DAP SZ</v>
          </cell>
        </row>
        <row r="1327">
          <cell r="C1327" t="str">
            <v>C49SZX20210057DZ</v>
          </cell>
          <cell r="Y1327">
            <v>14400000</v>
          </cell>
          <cell r="AG1327" t="str">
            <v>CIF HK</v>
          </cell>
        </row>
        <row r="1328">
          <cell r="C1328" t="str">
            <v>C49SZX20210057DZ</v>
          </cell>
          <cell r="Y1328">
            <v>14400000</v>
          </cell>
          <cell r="AG1328" t="str">
            <v>CIF HK</v>
          </cell>
        </row>
        <row r="1329">
          <cell r="C1329" t="str">
            <v>C49SZX20210062JY</v>
          </cell>
          <cell r="Y1329">
            <v>13200000</v>
          </cell>
          <cell r="AG1329" t="str">
            <v>DAP SZ</v>
          </cell>
        </row>
        <row r="1330">
          <cell r="C1330" t="str">
            <v>C49SZX20210065JD</v>
          </cell>
          <cell r="Y1330">
            <v>14800000</v>
          </cell>
          <cell r="AG1330" t="str">
            <v>DAP ZS</v>
          </cell>
        </row>
        <row r="1331">
          <cell r="C1331" t="str">
            <v>C49SZX20210041SX</v>
          </cell>
          <cell r="Y1331">
            <v>6600000</v>
          </cell>
          <cell r="AG1331" t="str">
            <v>DAP DG</v>
          </cell>
        </row>
        <row r="1332">
          <cell r="C1332" t="str">
            <v>C49SZX20210058JL</v>
          </cell>
          <cell r="Y1332">
            <v>13500000</v>
          </cell>
          <cell r="AG1332" t="str">
            <v>DAP DG</v>
          </cell>
        </row>
        <row r="1333">
          <cell r="C1333" t="str">
            <v>C49SZX20210058JL</v>
          </cell>
          <cell r="Y1333">
            <v>13500000</v>
          </cell>
          <cell r="AG1333" t="str">
            <v>DAP DG</v>
          </cell>
        </row>
        <row r="1334">
          <cell r="C1334" t="str">
            <v>C49SZX20210058JL</v>
          </cell>
          <cell r="Y1334">
            <v>10500000</v>
          </cell>
          <cell r="AG1334" t="str">
            <v>DAP DG</v>
          </cell>
        </row>
        <row r="1335">
          <cell r="C1335" t="str">
            <v>C49SZX20210063LC</v>
          </cell>
          <cell r="Y1335">
            <v>13193000</v>
          </cell>
          <cell r="AG1335" t="str">
            <v>DAP SZ</v>
          </cell>
        </row>
        <row r="1336">
          <cell r="C1336" t="str">
            <v>C49SZX20210161DZ</v>
          </cell>
          <cell r="Y1336">
            <v>18810000</v>
          </cell>
          <cell r="AG1336" t="str">
            <v>CIF HK</v>
          </cell>
        </row>
        <row r="1337">
          <cell r="C1337" t="str">
            <v>C49SZX20210161DZ</v>
          </cell>
          <cell r="Y1337">
            <v>18810000</v>
          </cell>
          <cell r="AG1337" t="str">
            <v>CIF HK</v>
          </cell>
        </row>
        <row r="1338">
          <cell r="C1338" t="str">
            <v>C49SZX20210156DZ</v>
          </cell>
          <cell r="Y1338">
            <v>1210000</v>
          </cell>
          <cell r="AG1338" t="str">
            <v>DDP SZ</v>
          </cell>
        </row>
        <row r="1339">
          <cell r="C1339" t="str">
            <v>C49SZX20210156DZ</v>
          </cell>
          <cell r="Y1339">
            <v>1210000</v>
          </cell>
          <cell r="AG1339" t="str">
            <v>DDP SZ</v>
          </cell>
        </row>
        <row r="1340">
          <cell r="C1340" t="str">
            <v>C49SZX20210067JY</v>
          </cell>
          <cell r="Y1340">
            <v>14645000</v>
          </cell>
          <cell r="AG1340" t="str">
            <v>DAP JX</v>
          </cell>
        </row>
        <row r="1341">
          <cell r="C1341" t="str">
            <v>C49SZX20210067JY</v>
          </cell>
          <cell r="Y1341">
            <v>14645000</v>
          </cell>
          <cell r="AG1341" t="str">
            <v>DAP JX</v>
          </cell>
        </row>
        <row r="1342">
          <cell r="C1342" t="str">
            <v>C49SZX20210067JY</v>
          </cell>
          <cell r="Y1342">
            <v>14645000</v>
          </cell>
          <cell r="AG1342" t="str">
            <v>DAP JX</v>
          </cell>
        </row>
        <row r="1343">
          <cell r="C1343" t="str">
            <v>C49SZX20210067JY</v>
          </cell>
          <cell r="Y1343">
            <v>14645000</v>
          </cell>
          <cell r="AG1343" t="str">
            <v>DAP JX</v>
          </cell>
        </row>
        <row r="1344">
          <cell r="C1344" t="str">
            <v>C49SZX20210067JY</v>
          </cell>
          <cell r="Y1344">
            <v>14645000</v>
          </cell>
          <cell r="AG1344" t="str">
            <v>DAP JX</v>
          </cell>
        </row>
        <row r="1345">
          <cell r="C1345" t="str">
            <v>C49SZX20210067JY</v>
          </cell>
          <cell r="Y1345">
            <v>14645000</v>
          </cell>
          <cell r="AG1345" t="str">
            <v>DAP JX</v>
          </cell>
        </row>
        <row r="1346">
          <cell r="C1346" t="str">
            <v>C49SZX20210067JY</v>
          </cell>
          <cell r="Y1346">
            <v>14645000</v>
          </cell>
          <cell r="AG1346" t="str">
            <v>DAP JX</v>
          </cell>
        </row>
        <row r="1347">
          <cell r="C1347" t="str">
            <v>C49SZX20210067JY</v>
          </cell>
          <cell r="Y1347">
            <v>14645000</v>
          </cell>
          <cell r="AG1347" t="str">
            <v>DAP JX</v>
          </cell>
        </row>
        <row r="1348">
          <cell r="C1348" t="str">
            <v>C49SZX20210067JY</v>
          </cell>
          <cell r="Y1348">
            <v>14645000</v>
          </cell>
          <cell r="AG1348" t="str">
            <v>DAP JX</v>
          </cell>
        </row>
        <row r="1349">
          <cell r="C1349" t="str">
            <v>C49SZX20210067JY</v>
          </cell>
          <cell r="Y1349">
            <v>14645000</v>
          </cell>
          <cell r="AG1349" t="str">
            <v>DAP JX</v>
          </cell>
        </row>
        <row r="1350">
          <cell r="C1350" t="str">
            <v>C49SZX20210067JY</v>
          </cell>
          <cell r="Y1350">
            <v>8593800</v>
          </cell>
          <cell r="AG1350" t="str">
            <v>DAP JX</v>
          </cell>
        </row>
        <row r="1351">
          <cell r="C1351" t="str">
            <v>C49SZX20210067JY</v>
          </cell>
          <cell r="Y1351">
            <v>8593800</v>
          </cell>
          <cell r="AG1351" t="str">
            <v>DAP JX</v>
          </cell>
        </row>
        <row r="1352">
          <cell r="C1352" t="str">
            <v>C49SZX20210067JY</v>
          </cell>
          <cell r="Y1352">
            <v>8593800</v>
          </cell>
          <cell r="AG1352" t="str">
            <v>DAP JX</v>
          </cell>
        </row>
        <row r="1353">
          <cell r="C1353" t="str">
            <v>C49SZX20210067JY</v>
          </cell>
          <cell r="Y1353">
            <v>8593800</v>
          </cell>
          <cell r="AG1353" t="str">
            <v>DAP JX</v>
          </cell>
        </row>
        <row r="1354">
          <cell r="C1354" t="str">
            <v>C49SZX20210067JY</v>
          </cell>
          <cell r="Y1354">
            <v>8593800</v>
          </cell>
          <cell r="AG1354" t="str">
            <v>DAP JX</v>
          </cell>
        </row>
        <row r="1355">
          <cell r="C1355" t="str">
            <v>C49SZX20210067JY</v>
          </cell>
          <cell r="Y1355">
            <v>8593800</v>
          </cell>
          <cell r="AG1355" t="str">
            <v>DAP JX</v>
          </cell>
        </row>
        <row r="1356">
          <cell r="C1356" t="str">
            <v>C49SZX20210067JY</v>
          </cell>
          <cell r="Y1356">
            <v>8593800</v>
          </cell>
          <cell r="AG1356" t="str">
            <v>DAP JX</v>
          </cell>
        </row>
        <row r="1357">
          <cell r="C1357" t="str">
            <v>C49SZX20210067JY</v>
          </cell>
          <cell r="Y1357">
            <v>8593800</v>
          </cell>
          <cell r="AG1357" t="str">
            <v>DAP JX</v>
          </cell>
        </row>
        <row r="1358">
          <cell r="C1358" t="str">
            <v>C49SZX20210067JY</v>
          </cell>
          <cell r="Y1358">
            <v>8593800</v>
          </cell>
          <cell r="AG1358" t="str">
            <v>DAP JX</v>
          </cell>
        </row>
        <row r="1359">
          <cell r="C1359" t="str">
            <v>C49SZX20210067JY</v>
          </cell>
          <cell r="Y1359">
            <v>8593800</v>
          </cell>
          <cell r="AG1359" t="str">
            <v>DAP JX</v>
          </cell>
        </row>
        <row r="1360">
          <cell r="C1360" t="str">
            <v>C49SZX20210125DZ</v>
          </cell>
          <cell r="Y1360">
            <v>13200000</v>
          </cell>
          <cell r="AG1360" t="str">
            <v>DAP GZ</v>
          </cell>
        </row>
        <row r="1361">
          <cell r="C1361" t="str">
            <v>C49SZX20210125DZ</v>
          </cell>
          <cell r="Y1361">
            <v>13200000</v>
          </cell>
          <cell r="AG1361" t="str">
            <v>DAP GZ</v>
          </cell>
        </row>
        <row r="1362">
          <cell r="C1362" t="str">
            <v>C49SZX20210125DZ</v>
          </cell>
          <cell r="Y1362">
            <v>13200000</v>
          </cell>
          <cell r="AG1362" t="str">
            <v>DAP GZ</v>
          </cell>
        </row>
        <row r="1363">
          <cell r="C1363" t="str">
            <v>C49SZX20210125DZ</v>
          </cell>
          <cell r="Y1363">
            <v>13200000</v>
          </cell>
          <cell r="AG1363" t="str">
            <v>DAP GZ</v>
          </cell>
        </row>
        <row r="1364">
          <cell r="C1364" t="str">
            <v>C49SZX20210125DZ</v>
          </cell>
          <cell r="Y1364">
            <v>13200000</v>
          </cell>
          <cell r="AG1364" t="str">
            <v>DAP GZ</v>
          </cell>
        </row>
        <row r="1365">
          <cell r="C1365" t="str">
            <v>C49SZX20210125DZ</v>
          </cell>
          <cell r="Y1365">
            <v>13200000</v>
          </cell>
          <cell r="AG1365" t="str">
            <v>DAP GZ</v>
          </cell>
        </row>
        <row r="1366">
          <cell r="C1366" t="str">
            <v>C28HKG2021020KC</v>
          </cell>
          <cell r="Y1366">
            <v>48000</v>
          </cell>
          <cell r="AG1366" t="str">
            <v>CIF 越南</v>
          </cell>
        </row>
        <row r="1367">
          <cell r="C1367" t="str">
            <v>C49SZX20210068JL</v>
          </cell>
          <cell r="Y1367">
            <v>11530000</v>
          </cell>
          <cell r="AG1367" t="str">
            <v>CIF HK</v>
          </cell>
        </row>
        <row r="1368">
          <cell r="C1368" t="str">
            <v>C49SZX20210068JL</v>
          </cell>
          <cell r="Y1368">
            <v>11530000</v>
          </cell>
          <cell r="AG1368" t="str">
            <v>CIF HK</v>
          </cell>
        </row>
        <row r="1369">
          <cell r="C1369" t="str">
            <v>C49SZX20210068JL</v>
          </cell>
          <cell r="Y1369">
            <v>7500000</v>
          </cell>
          <cell r="AG1369" t="str">
            <v>CIF HK</v>
          </cell>
        </row>
        <row r="1370">
          <cell r="C1370" t="str">
            <v>C49SZX20210068JL</v>
          </cell>
          <cell r="Y1370">
            <v>7500000</v>
          </cell>
          <cell r="AG1370" t="str">
            <v>CIF HK</v>
          </cell>
        </row>
        <row r="1371">
          <cell r="C1371" t="str">
            <v>C49SZX20210068JL</v>
          </cell>
          <cell r="Y1371">
            <v>11530000</v>
          </cell>
          <cell r="AG1371" t="str">
            <v>CIF HK</v>
          </cell>
        </row>
        <row r="1372">
          <cell r="C1372" t="str">
            <v>C49SZX20210068JL</v>
          </cell>
          <cell r="Y1372">
            <v>11530000</v>
          </cell>
          <cell r="AG1372" t="str">
            <v>CIF HK</v>
          </cell>
        </row>
        <row r="1373">
          <cell r="C1373" t="str">
            <v>C49SZX20210068JL</v>
          </cell>
          <cell r="Y1373">
            <v>7500000</v>
          </cell>
          <cell r="AG1373" t="str">
            <v>CIF HK</v>
          </cell>
        </row>
        <row r="1374">
          <cell r="C1374" t="str">
            <v>C49SZX20210068JL</v>
          </cell>
          <cell r="Y1374">
            <v>7500000</v>
          </cell>
          <cell r="AG1374" t="str">
            <v>CIF HK</v>
          </cell>
        </row>
        <row r="1375">
          <cell r="C1375" t="str">
            <v>C49SZX20210083SS</v>
          </cell>
          <cell r="Y1375">
            <v>7100000</v>
          </cell>
          <cell r="AG1375" t="str">
            <v>DAP SZ</v>
          </cell>
        </row>
        <row r="1376">
          <cell r="C1376" t="str">
            <v>C49SZX20210083SS</v>
          </cell>
          <cell r="Y1376">
            <v>7100000</v>
          </cell>
          <cell r="AG1376" t="str">
            <v>DAP SZ</v>
          </cell>
        </row>
        <row r="1377">
          <cell r="C1377" t="str">
            <v>C49SZX20210035SX</v>
          </cell>
          <cell r="Y1377">
            <v>11000000</v>
          </cell>
          <cell r="AG1377" t="str">
            <v>CIF HK</v>
          </cell>
        </row>
        <row r="1378">
          <cell r="C1378" t="str">
            <v>C49SZX20210035SX</v>
          </cell>
          <cell r="Y1378">
            <v>11000000</v>
          </cell>
          <cell r="AG1378" t="str">
            <v>CIF HK</v>
          </cell>
        </row>
        <row r="1379">
          <cell r="C1379" t="str">
            <v>C49SZX20210035SX</v>
          </cell>
          <cell r="Y1379">
            <v>11000000</v>
          </cell>
          <cell r="AG1379" t="str">
            <v>CIF HK</v>
          </cell>
        </row>
        <row r="1380">
          <cell r="C1380" t="str">
            <v>C49SZX20210035SX</v>
          </cell>
          <cell r="Y1380">
            <v>11000000</v>
          </cell>
          <cell r="AG1380" t="str">
            <v>CIF HK</v>
          </cell>
        </row>
        <row r="1381">
          <cell r="C1381" t="str">
            <v>C49SZX20210035SX</v>
          </cell>
          <cell r="Y1381">
            <v>11000000</v>
          </cell>
          <cell r="AG1381" t="str">
            <v>CIF HK</v>
          </cell>
        </row>
        <row r="1382">
          <cell r="C1382" t="str">
            <v>C49SZX20210035SX</v>
          </cell>
          <cell r="Y1382">
            <v>11000000</v>
          </cell>
          <cell r="AG1382" t="str">
            <v>CIF HK</v>
          </cell>
        </row>
        <row r="1383">
          <cell r="C1383" t="str">
            <v>C49SZX20210035SX</v>
          </cell>
          <cell r="Y1383">
            <v>11000000</v>
          </cell>
          <cell r="AG1383" t="str">
            <v>CIF HK</v>
          </cell>
        </row>
        <row r="1384">
          <cell r="C1384" t="str">
            <v>C49SZX20210035SX</v>
          </cell>
          <cell r="Y1384">
            <v>11000000</v>
          </cell>
          <cell r="AG1384" t="str">
            <v>CIF HK</v>
          </cell>
        </row>
        <row r="1385">
          <cell r="C1385" t="str">
            <v>C49SZX20210035SX</v>
          </cell>
          <cell r="Y1385">
            <v>11000000</v>
          </cell>
          <cell r="AG1385" t="str">
            <v>CIF HK</v>
          </cell>
        </row>
        <row r="1386">
          <cell r="C1386" t="str">
            <v>C49SZX20210035SX</v>
          </cell>
          <cell r="Y1386">
            <v>11000000</v>
          </cell>
          <cell r="AG1386" t="str">
            <v>CIF HK</v>
          </cell>
        </row>
        <row r="1387">
          <cell r="C1387" t="str">
            <v>C49SZX20210035SX</v>
          </cell>
          <cell r="Y1387">
            <v>11000000</v>
          </cell>
          <cell r="AG1387" t="str">
            <v>CIF HK</v>
          </cell>
        </row>
        <row r="1388">
          <cell r="C1388" t="str">
            <v>C49SZX20210035SX</v>
          </cell>
          <cell r="Y1388">
            <v>11000000</v>
          </cell>
          <cell r="AG1388" t="str">
            <v>CIF HK</v>
          </cell>
        </row>
        <row r="1389">
          <cell r="C1389" t="str">
            <v>C49SZX20210035SX</v>
          </cell>
          <cell r="Y1389">
            <v>11000000</v>
          </cell>
          <cell r="AG1389" t="str">
            <v>CIF HK</v>
          </cell>
        </row>
        <row r="1390">
          <cell r="C1390" t="str">
            <v>C49SZX20210035SX</v>
          </cell>
          <cell r="Y1390">
            <v>11000000</v>
          </cell>
          <cell r="AG1390" t="str">
            <v>CIF HK</v>
          </cell>
        </row>
        <row r="1391">
          <cell r="C1391" t="str">
            <v>C49SZX20210035SX</v>
          </cell>
          <cell r="Y1391">
            <v>11000000</v>
          </cell>
          <cell r="AG1391" t="str">
            <v>CIF HK</v>
          </cell>
        </row>
        <row r="1392">
          <cell r="C1392" t="str">
            <v>C49SZX20210035SX</v>
          </cell>
          <cell r="Y1392">
            <v>11000000</v>
          </cell>
          <cell r="AG1392" t="str">
            <v>CIF HK</v>
          </cell>
        </row>
        <row r="1393">
          <cell r="C1393" t="str">
            <v>C49SZX20210035SX</v>
          </cell>
          <cell r="Y1393">
            <v>6900000</v>
          </cell>
          <cell r="AG1393" t="str">
            <v>CIF HK</v>
          </cell>
        </row>
        <row r="1394">
          <cell r="C1394" t="str">
            <v>C49SZX20210035SX</v>
          </cell>
          <cell r="Y1394">
            <v>6900000</v>
          </cell>
          <cell r="AG1394" t="str">
            <v>CIF HK</v>
          </cell>
        </row>
        <row r="1395">
          <cell r="C1395" t="str">
            <v>C49SZX20210035SX</v>
          </cell>
          <cell r="Y1395">
            <v>6900000</v>
          </cell>
          <cell r="AG1395" t="str">
            <v>CIF HK</v>
          </cell>
        </row>
        <row r="1396">
          <cell r="C1396" t="str">
            <v>C49SZX20210073AY</v>
          </cell>
          <cell r="Y1396">
            <v>10100000</v>
          </cell>
          <cell r="AG1396" t="str">
            <v>DAP SZ</v>
          </cell>
        </row>
        <row r="1397">
          <cell r="C1397" t="str">
            <v>C49SZX20210061SX</v>
          </cell>
          <cell r="Y1397">
            <v>13887500</v>
          </cell>
          <cell r="AG1397" t="str">
            <v>DAP SZ</v>
          </cell>
        </row>
        <row r="1398">
          <cell r="C1398" t="str">
            <v>C49SZX20210072SS</v>
          </cell>
          <cell r="Y1398">
            <v>7300000</v>
          </cell>
          <cell r="AG1398" t="str">
            <v>DAP SZ</v>
          </cell>
        </row>
        <row r="1399">
          <cell r="C1399" t="str">
            <v>C49SZX20210071SS</v>
          </cell>
          <cell r="Y1399">
            <v>14000000</v>
          </cell>
          <cell r="AG1399" t="str">
            <v>DAP SZ</v>
          </cell>
        </row>
        <row r="1400">
          <cell r="C1400" t="str">
            <v>C49SZX20210071SS</v>
          </cell>
          <cell r="Y1400">
            <v>9560000</v>
          </cell>
          <cell r="AG1400" t="str">
            <v>DAP SZ</v>
          </cell>
        </row>
        <row r="1401">
          <cell r="C1401" t="str">
            <v>C49SZX20210080SX</v>
          </cell>
          <cell r="Y1401">
            <v>11500000</v>
          </cell>
          <cell r="AG1401" t="str">
            <v>DAP SZ</v>
          </cell>
        </row>
        <row r="1402">
          <cell r="C1402" t="str">
            <v>C49SZX20210076JZ</v>
          </cell>
          <cell r="Y1402">
            <v>13250000</v>
          </cell>
          <cell r="AG1402" t="str">
            <v>DAP DG</v>
          </cell>
        </row>
        <row r="1403">
          <cell r="C1403" t="str">
            <v>C49SZX20210076JZ</v>
          </cell>
          <cell r="Y1403">
            <v>13250000</v>
          </cell>
          <cell r="AG1403" t="str">
            <v>DAP DG</v>
          </cell>
        </row>
        <row r="1404">
          <cell r="C1404" t="str">
            <v>C49SZX20210090EC</v>
          </cell>
          <cell r="Y1404">
            <v>7000000</v>
          </cell>
          <cell r="AG1404" t="str">
            <v>DAP SZ</v>
          </cell>
        </row>
        <row r="1405">
          <cell r="C1405" t="str">
            <v>C49SZX20210079EC</v>
          </cell>
          <cell r="Y1405">
            <v>8410000</v>
          </cell>
          <cell r="AG1405" t="str">
            <v>DAP DG</v>
          </cell>
        </row>
        <row r="1406">
          <cell r="C1406" t="str">
            <v>C49SZX20210081MZ</v>
          </cell>
          <cell r="Y1406">
            <v>14500000</v>
          </cell>
          <cell r="AG1406" t="str">
            <v>CIF HK</v>
          </cell>
        </row>
        <row r="1407">
          <cell r="C1407" t="str">
            <v>C49SZX20210081MZ</v>
          </cell>
          <cell r="Y1407">
            <v>14500000</v>
          </cell>
          <cell r="AG1407" t="str">
            <v>CIF HK</v>
          </cell>
        </row>
        <row r="1408">
          <cell r="C1408" t="str">
            <v>C49SZX20210081MZ</v>
          </cell>
          <cell r="Y1408">
            <v>7340000</v>
          </cell>
          <cell r="AG1408" t="str">
            <v>CIF HK</v>
          </cell>
        </row>
        <row r="1409">
          <cell r="C1409" t="str">
            <v>C49SZX20210081MZ</v>
          </cell>
          <cell r="Y1409">
            <v>7340000</v>
          </cell>
          <cell r="AG1409" t="str">
            <v>CIF HK</v>
          </cell>
        </row>
        <row r="1410">
          <cell r="C1410" t="str">
            <v>C49SZX20210082MZ</v>
          </cell>
          <cell r="Y1410">
            <v>14500000</v>
          </cell>
          <cell r="AG1410" t="str">
            <v>CIF HK</v>
          </cell>
        </row>
        <row r="1411">
          <cell r="C1411" t="str">
            <v>C49SZX20210082MZ</v>
          </cell>
          <cell r="Y1411">
            <v>14500000</v>
          </cell>
          <cell r="AG1411" t="str">
            <v>CIF HK</v>
          </cell>
        </row>
        <row r="1412">
          <cell r="C1412" t="str">
            <v>C49SZX20210082MZ</v>
          </cell>
          <cell r="Y1412">
            <v>14500000</v>
          </cell>
          <cell r="AG1412" t="str">
            <v>CIF HK</v>
          </cell>
        </row>
        <row r="1413">
          <cell r="C1413" t="str">
            <v>C49SZX20210082MZ</v>
          </cell>
          <cell r="Y1413">
            <v>14500000</v>
          </cell>
          <cell r="AG1413" t="str">
            <v>CIF HK</v>
          </cell>
        </row>
        <row r="1414">
          <cell r="C1414" t="str">
            <v>C49SZX20210087SX</v>
          </cell>
          <cell r="Y1414">
            <v>12400000</v>
          </cell>
          <cell r="AG1414" t="str">
            <v>DAP DG</v>
          </cell>
        </row>
        <row r="1415">
          <cell r="C1415" t="str">
            <v>C49SZX20210088SX</v>
          </cell>
          <cell r="Y1415">
            <v>13000000</v>
          </cell>
          <cell r="AG1415" t="str">
            <v>DAP SZ</v>
          </cell>
        </row>
        <row r="1416">
          <cell r="C1416" t="str">
            <v>C49SZX20210088SX</v>
          </cell>
          <cell r="Y1416">
            <v>9200000</v>
          </cell>
          <cell r="AG1416" t="str">
            <v>DAP SZ</v>
          </cell>
        </row>
        <row r="1417">
          <cell r="C1417" t="str">
            <v>C49SZX20210017R1JY</v>
          </cell>
          <cell r="Y1417">
            <v>11800000</v>
          </cell>
          <cell r="AG1417" t="str">
            <v>DAP GZ</v>
          </cell>
        </row>
        <row r="1418">
          <cell r="C1418" t="str">
            <v>C49SZX20210075JL</v>
          </cell>
          <cell r="Y1418">
            <v>6950000</v>
          </cell>
          <cell r="AG1418" t="str">
            <v>DAP SZ</v>
          </cell>
        </row>
        <row r="1419">
          <cell r="C1419" t="str">
            <v>C49SZX20210075JL</v>
          </cell>
          <cell r="Y1419">
            <v>6950000</v>
          </cell>
          <cell r="AG1419" t="str">
            <v>DAP SZ</v>
          </cell>
        </row>
        <row r="1420">
          <cell r="C1420" t="str">
            <v>C49SZX20210089SX</v>
          </cell>
          <cell r="Y1420">
            <v>11200000</v>
          </cell>
          <cell r="AG1420" t="str">
            <v>DAP DG</v>
          </cell>
        </row>
        <row r="1421">
          <cell r="C1421" t="str">
            <v>C49SZX20210086JL</v>
          </cell>
          <cell r="Y1421">
            <v>7100000</v>
          </cell>
          <cell r="AG1421" t="str">
            <v>DAP SZ</v>
          </cell>
        </row>
        <row r="1422">
          <cell r="C1422" t="str">
            <v>C49SZX20210086JL</v>
          </cell>
          <cell r="Y1422">
            <v>7100000</v>
          </cell>
          <cell r="AG1422" t="str">
            <v>DAP SZ</v>
          </cell>
        </row>
        <row r="1423">
          <cell r="C1423" t="str">
            <v>C49SZX20210086JL</v>
          </cell>
          <cell r="Y1423">
            <v>7100000</v>
          </cell>
          <cell r="AG1423" t="str">
            <v>DAP SZ</v>
          </cell>
        </row>
        <row r="1424">
          <cell r="C1424" t="str">
            <v>C49SZX20210086JL</v>
          </cell>
          <cell r="Y1424">
            <v>7100000</v>
          </cell>
          <cell r="AG1424" t="str">
            <v>DAP SZ</v>
          </cell>
        </row>
        <row r="1425">
          <cell r="C1425" t="str">
            <v>C49SZX20210086JL</v>
          </cell>
          <cell r="Y1425">
            <v>7100000</v>
          </cell>
          <cell r="AG1425" t="str">
            <v>DAP SZ</v>
          </cell>
        </row>
        <row r="1426">
          <cell r="C1426" t="str">
            <v>C49SZX20210086JL</v>
          </cell>
          <cell r="Y1426">
            <v>7100000</v>
          </cell>
          <cell r="AG1426" t="str">
            <v>DAP SZ</v>
          </cell>
        </row>
        <row r="1427">
          <cell r="C1427" t="str">
            <v>C49SZX20210039JZ</v>
          </cell>
          <cell r="Y1427">
            <v>13000000</v>
          </cell>
          <cell r="AG1427" t="str">
            <v>DAP SZ</v>
          </cell>
        </row>
        <row r="1428">
          <cell r="C1428" t="str">
            <v>C49SZX20210085JL</v>
          </cell>
          <cell r="Y1428">
            <v>611000</v>
          </cell>
          <cell r="AG1428" t="str">
            <v>DDP SZ</v>
          </cell>
        </row>
        <row r="1429">
          <cell r="C1429" t="str">
            <v>C49SZX20210077JY</v>
          </cell>
          <cell r="Y1429">
            <v>12034882</v>
          </cell>
          <cell r="AG1429" t="str">
            <v>DAP HZ</v>
          </cell>
        </row>
        <row r="1430">
          <cell r="C1430" t="str">
            <v>C49SZX20210077JY</v>
          </cell>
          <cell r="Y1430">
            <v>8000000</v>
          </cell>
          <cell r="AG1430" t="str">
            <v>DAP HZ</v>
          </cell>
        </row>
        <row r="1431">
          <cell r="C1431" t="str">
            <v>C49SZX20210078JY</v>
          </cell>
          <cell r="Y1431">
            <v>11918157</v>
          </cell>
          <cell r="AG1431" t="str">
            <v>DAP HZ</v>
          </cell>
        </row>
        <row r="1432">
          <cell r="C1432" t="str">
            <v>C49SZX20210078JY</v>
          </cell>
          <cell r="Y1432">
            <v>11918157</v>
          </cell>
          <cell r="AG1432" t="str">
            <v>DAP HZ</v>
          </cell>
        </row>
        <row r="1433">
          <cell r="C1433" t="str">
            <v>C49SZX20210078JY</v>
          </cell>
          <cell r="Y1433">
            <v>11918157</v>
          </cell>
          <cell r="AG1433" t="str">
            <v>DAP HZ</v>
          </cell>
        </row>
        <row r="1434">
          <cell r="C1434" t="str">
            <v>C49SZX20210078JY</v>
          </cell>
          <cell r="Y1434">
            <v>8000000</v>
          </cell>
          <cell r="AG1434" t="str">
            <v>DAP HZ</v>
          </cell>
        </row>
        <row r="1435">
          <cell r="C1435" t="str">
            <v>C49SZX20210078JY</v>
          </cell>
          <cell r="Y1435">
            <v>8000000</v>
          </cell>
          <cell r="AG1435" t="str">
            <v>DAP HZ</v>
          </cell>
        </row>
        <row r="1436">
          <cell r="C1436" t="str">
            <v>C49SZX20210078JY</v>
          </cell>
          <cell r="Y1436">
            <v>8000000</v>
          </cell>
          <cell r="AG1436" t="str">
            <v>DAP HZ</v>
          </cell>
        </row>
        <row r="1437">
          <cell r="C1437" t="str">
            <v>C49SZX20210099VG</v>
          </cell>
          <cell r="Y1437">
            <v>10540000</v>
          </cell>
          <cell r="AG1437" t="str">
            <v>DAP SZ</v>
          </cell>
        </row>
        <row r="1438">
          <cell r="C1438" t="str">
            <v>C49SZX20210092MZ</v>
          </cell>
          <cell r="Y1438">
            <v>13750000</v>
          </cell>
          <cell r="AG1438" t="str">
            <v>DAP SZ</v>
          </cell>
        </row>
        <row r="1439">
          <cell r="C1439" t="str">
            <v>C49SZX20210092MZ</v>
          </cell>
          <cell r="Y1439">
            <v>13750000</v>
          </cell>
          <cell r="AG1439" t="str">
            <v>DAP SZ</v>
          </cell>
        </row>
        <row r="1440">
          <cell r="C1440" t="str">
            <v>C49SZX20210092MZ</v>
          </cell>
          <cell r="Y1440">
            <v>13750000</v>
          </cell>
          <cell r="AG1440" t="str">
            <v>DAP SZ</v>
          </cell>
        </row>
        <row r="1441">
          <cell r="C1441" t="str">
            <v>C49SZX20210092MZ</v>
          </cell>
          <cell r="Y1441">
            <v>13750000</v>
          </cell>
          <cell r="AG1441" t="str">
            <v>DAP SZ</v>
          </cell>
        </row>
        <row r="1442">
          <cell r="C1442" t="str">
            <v>C49SZX20210091SS</v>
          </cell>
          <cell r="Y1442">
            <v>8200000</v>
          </cell>
          <cell r="AG1442" t="str">
            <v>CIF HK</v>
          </cell>
        </row>
        <row r="1443">
          <cell r="C1443" t="str">
            <v>C49SZX20210091SS</v>
          </cell>
          <cell r="Y1443">
            <v>11800000</v>
          </cell>
          <cell r="AG1443" t="str">
            <v>CIF HK</v>
          </cell>
        </row>
        <row r="1444">
          <cell r="C1444" t="str">
            <v>C49SZX20240046SX</v>
          </cell>
          <cell r="Y1444">
            <v>13600000</v>
          </cell>
          <cell r="AG1444" t="str">
            <v>DAP SZ</v>
          </cell>
        </row>
        <row r="1445">
          <cell r="C1445" t="str">
            <v>C49SZX20210102SX</v>
          </cell>
          <cell r="Y1445">
            <v>13200000</v>
          </cell>
          <cell r="AG1445" t="str">
            <v>DAP SZ</v>
          </cell>
        </row>
        <row r="1446">
          <cell r="C1446" t="str">
            <v>C49SZX20210107SX</v>
          </cell>
          <cell r="Y1446">
            <v>12500000</v>
          </cell>
          <cell r="AG1446" t="str">
            <v>DAP DG</v>
          </cell>
        </row>
        <row r="1447">
          <cell r="C1447" t="str">
            <v>C49SZX20210107SX</v>
          </cell>
          <cell r="Y1447">
            <v>8353000</v>
          </cell>
          <cell r="AG1447" t="str">
            <v>DAP DG</v>
          </cell>
        </row>
        <row r="1448">
          <cell r="C1448" t="str">
            <v>C49SZX20210107SX</v>
          </cell>
          <cell r="Y1448">
            <v>8353000</v>
          </cell>
          <cell r="AG1448" t="str">
            <v>DAP DG</v>
          </cell>
        </row>
        <row r="1449">
          <cell r="C1449" t="str">
            <v>C49SZX20210105JY</v>
          </cell>
          <cell r="Y1449">
            <v>832000</v>
          </cell>
          <cell r="AG1449" t="str">
            <v>DDP SZ</v>
          </cell>
        </row>
        <row r="1450">
          <cell r="C1450" t="str">
            <v>C49SZX20210105JY</v>
          </cell>
          <cell r="Y1450">
            <v>590000</v>
          </cell>
          <cell r="AG1450" t="str">
            <v>DDP SZ</v>
          </cell>
        </row>
        <row r="1451">
          <cell r="C1451" t="str">
            <v>C49SZX20210106JY</v>
          </cell>
          <cell r="Y1451">
            <v>12300000</v>
          </cell>
          <cell r="AG1451" t="str">
            <v>DAP SZ</v>
          </cell>
        </row>
        <row r="1452">
          <cell r="C1452" t="str">
            <v>C49SZX20210106JY</v>
          </cell>
          <cell r="Y1452">
            <v>12300000</v>
          </cell>
          <cell r="AG1452" t="str">
            <v>DAP SZ</v>
          </cell>
        </row>
        <row r="1453">
          <cell r="C1453" t="str">
            <v>C49SZX20210096JL</v>
          </cell>
          <cell r="Y1453">
            <v>25000000</v>
          </cell>
          <cell r="AG1453" t="str">
            <v>DAP SZ</v>
          </cell>
        </row>
        <row r="1454">
          <cell r="C1454" t="str">
            <v>C49SZX20210096JL</v>
          </cell>
          <cell r="Y1454">
            <v>25000000</v>
          </cell>
          <cell r="AG1454" t="str">
            <v>DAP SZ</v>
          </cell>
        </row>
        <row r="1455">
          <cell r="C1455" t="str">
            <v>C49SZX20210096JL</v>
          </cell>
          <cell r="Y1455">
            <v>25000000</v>
          </cell>
          <cell r="AG1455" t="str">
            <v>DAP SZ</v>
          </cell>
        </row>
        <row r="1456">
          <cell r="C1456" t="str">
            <v>C49SZX20210096JL</v>
          </cell>
          <cell r="Y1456">
            <v>15710000</v>
          </cell>
          <cell r="AG1456" t="str">
            <v>DAP SZ</v>
          </cell>
        </row>
        <row r="1457">
          <cell r="C1457" t="str">
            <v>C49SZX20210096JL</v>
          </cell>
          <cell r="Y1457">
            <v>20300000</v>
          </cell>
          <cell r="AG1457" t="str">
            <v>DAP SZ</v>
          </cell>
        </row>
        <row r="1458">
          <cell r="C1458" t="str">
            <v>C49SZX20210096JL</v>
          </cell>
          <cell r="Y1458">
            <v>20300000</v>
          </cell>
          <cell r="AG1458" t="str">
            <v>DAP SZ</v>
          </cell>
        </row>
        <row r="1459">
          <cell r="C1459" t="str">
            <v>C49SZX20210096JL</v>
          </cell>
          <cell r="Y1459">
            <v>20300000</v>
          </cell>
          <cell r="AG1459" t="str">
            <v>DAP SZ</v>
          </cell>
        </row>
        <row r="1460">
          <cell r="C1460" t="str">
            <v>C49SZX20210096JL</v>
          </cell>
          <cell r="Y1460">
            <v>20300000</v>
          </cell>
          <cell r="AG1460" t="str">
            <v>DAP SZ</v>
          </cell>
        </row>
        <row r="1461">
          <cell r="C1461" t="str">
            <v>C49SZX20210096JL</v>
          </cell>
          <cell r="Y1461">
            <v>20300000</v>
          </cell>
          <cell r="AG1461" t="str">
            <v>DAP SZ</v>
          </cell>
        </row>
        <row r="1462">
          <cell r="C1462" t="str">
            <v>C49SZX20210096JL</v>
          </cell>
          <cell r="Y1462">
            <v>20300000</v>
          </cell>
          <cell r="AG1462" t="str">
            <v>DAP SZ</v>
          </cell>
        </row>
        <row r="1463">
          <cell r="C1463" t="str">
            <v>C49SZX20210096JL</v>
          </cell>
          <cell r="Y1463">
            <v>20300000</v>
          </cell>
          <cell r="AG1463" t="str">
            <v>DAP SZ</v>
          </cell>
        </row>
        <row r="1464">
          <cell r="C1464" t="str">
            <v>C49SZX20210096JL</v>
          </cell>
          <cell r="Y1464">
            <v>20300000</v>
          </cell>
          <cell r="AG1464" t="str">
            <v>DAP SZ</v>
          </cell>
        </row>
        <row r="1465">
          <cell r="C1465" t="str">
            <v>C49SZX20210096JL</v>
          </cell>
          <cell r="Y1465">
            <v>20300000</v>
          </cell>
          <cell r="AG1465" t="str">
            <v>DAP SZ</v>
          </cell>
        </row>
        <row r="1466">
          <cell r="C1466" t="str">
            <v>C49SZX20210096JL</v>
          </cell>
          <cell r="Y1466">
            <v>20300000</v>
          </cell>
          <cell r="AG1466" t="str">
            <v>DAP SZ</v>
          </cell>
        </row>
        <row r="1467">
          <cell r="C1467" t="str">
            <v>C49SZX20210096JL</v>
          </cell>
          <cell r="Y1467">
            <v>20300000</v>
          </cell>
          <cell r="AG1467" t="str">
            <v>DAP SZ</v>
          </cell>
        </row>
        <row r="1468">
          <cell r="C1468" t="str">
            <v>C49SZX20210096JL</v>
          </cell>
          <cell r="Y1468">
            <v>20300000</v>
          </cell>
          <cell r="AG1468" t="str">
            <v>DAP SZ</v>
          </cell>
        </row>
        <row r="1469">
          <cell r="C1469" t="str">
            <v>C49SZX20210111DZ</v>
          </cell>
          <cell r="Y1469">
            <v>13500000</v>
          </cell>
          <cell r="AG1469" t="str">
            <v>CIF HK</v>
          </cell>
        </row>
        <row r="1470">
          <cell r="C1470" t="str">
            <v>C49SZX20210111DZ</v>
          </cell>
          <cell r="Y1470">
            <v>8900000</v>
          </cell>
          <cell r="AG1470" t="str">
            <v>CIF HK</v>
          </cell>
        </row>
        <row r="1471">
          <cell r="C1471" t="str">
            <v>C49SZX20210109SX</v>
          </cell>
          <cell r="Y1471">
            <v>10300000</v>
          </cell>
          <cell r="AG1471" t="str">
            <v>DAP SZ</v>
          </cell>
        </row>
        <row r="1472">
          <cell r="C1472" t="str">
            <v>C49SZX20210110SS</v>
          </cell>
          <cell r="Y1472">
            <v>906000</v>
          </cell>
          <cell r="AG1472" t="str">
            <v>DDP SZ</v>
          </cell>
        </row>
        <row r="1473">
          <cell r="C1473" t="str">
            <v>C49SZX20210108MZ</v>
          </cell>
          <cell r="Y1473">
            <v>15000000</v>
          </cell>
          <cell r="AG1473" t="str">
            <v>DAP SZ</v>
          </cell>
        </row>
        <row r="1474">
          <cell r="C1474" t="str">
            <v>C49SZX20210066JYR1</v>
          </cell>
          <cell r="Y1474">
            <v>7500000</v>
          </cell>
          <cell r="AG1474" t="str">
            <v>DAP SZ</v>
          </cell>
        </row>
        <row r="1475">
          <cell r="C1475" t="str">
            <v>C49SZX20210114MZ</v>
          </cell>
          <cell r="Y1475">
            <v>575000</v>
          </cell>
          <cell r="AG1475" t="str">
            <v>DDP SZ</v>
          </cell>
        </row>
        <row r="1476">
          <cell r="C1476" t="str">
            <v>C49SZX20210114MZ</v>
          </cell>
          <cell r="Y1476">
            <v>575000</v>
          </cell>
          <cell r="AG1476" t="str">
            <v>DDP SZ</v>
          </cell>
        </row>
        <row r="1477">
          <cell r="C1477" t="str">
            <v>C49SZX20210114MZ</v>
          </cell>
          <cell r="Y1477">
            <v>575000</v>
          </cell>
          <cell r="AG1477" t="str">
            <v>DDP SZ</v>
          </cell>
        </row>
        <row r="1478">
          <cell r="C1478" t="str">
            <v>C49SZX20210114MZ</v>
          </cell>
          <cell r="Y1478">
            <v>575000</v>
          </cell>
          <cell r="AG1478" t="str">
            <v>DDP SZ</v>
          </cell>
        </row>
        <row r="1479">
          <cell r="C1479" t="str">
            <v>C49SZX20210178JY</v>
          </cell>
          <cell r="Y1479">
            <v>11000000</v>
          </cell>
          <cell r="AG1479" t="str">
            <v>DAP SZ</v>
          </cell>
        </row>
        <row r="1480">
          <cell r="C1480" t="str">
            <v>C49SZX20210178JY</v>
          </cell>
          <cell r="Y1480">
            <v>11000000</v>
          </cell>
          <cell r="AG1480" t="str">
            <v>DAP SZ</v>
          </cell>
        </row>
        <row r="1481">
          <cell r="C1481" t="str">
            <v>C49SZX20210113SX</v>
          </cell>
          <cell r="Y1481">
            <v>12600000</v>
          </cell>
          <cell r="AG1481" t="str">
            <v>DAP SZ</v>
          </cell>
        </row>
        <row r="1482">
          <cell r="C1482" t="str">
            <v>C49SZX20210113SX</v>
          </cell>
          <cell r="Y1482">
            <v>12600000</v>
          </cell>
          <cell r="AG1482" t="str">
            <v>DAP SZ</v>
          </cell>
        </row>
        <row r="1483">
          <cell r="C1483" t="str">
            <v>C49SZX20210113SX</v>
          </cell>
          <cell r="Y1483">
            <v>11498600</v>
          </cell>
          <cell r="AG1483" t="str">
            <v>DAP SZ</v>
          </cell>
        </row>
        <row r="1484">
          <cell r="C1484" t="str">
            <v>C49SZX20210113SX</v>
          </cell>
          <cell r="Y1484">
            <v>11498600</v>
          </cell>
          <cell r="AG1484" t="str">
            <v>DAP SZ</v>
          </cell>
        </row>
        <row r="1485">
          <cell r="C1485" t="str">
            <v>C49SZX20210112JD</v>
          </cell>
          <cell r="Y1485">
            <v>9000000</v>
          </cell>
          <cell r="AG1485" t="str">
            <v>DAP ZS</v>
          </cell>
        </row>
        <row r="1486">
          <cell r="C1486" t="str">
            <v>C49SZX20210115DY</v>
          </cell>
          <cell r="Y1486">
            <v>560000</v>
          </cell>
          <cell r="AG1486" t="str">
            <v>DDP SZ</v>
          </cell>
        </row>
        <row r="1487">
          <cell r="C1487" t="str">
            <v>C28SZX20210331</v>
          </cell>
          <cell r="Y1487">
            <v>594300</v>
          </cell>
          <cell r="AG1487" t="str">
            <v>DDP SZ</v>
          </cell>
        </row>
        <row r="1488">
          <cell r="C1488" t="str">
            <v>C49SZX20210119JY</v>
          </cell>
          <cell r="Y1488">
            <v>11100000</v>
          </cell>
          <cell r="AG1488" t="str">
            <v>DAP SZ</v>
          </cell>
        </row>
        <row r="1489">
          <cell r="C1489" t="str">
            <v>C49SZX20210119JY</v>
          </cell>
          <cell r="Y1489">
            <v>11100000</v>
          </cell>
          <cell r="AG1489" t="str">
            <v>DAP SZ</v>
          </cell>
        </row>
        <row r="1490">
          <cell r="C1490" t="str">
            <v>C49SZX20210117JY</v>
          </cell>
          <cell r="Y1490">
            <v>12600000</v>
          </cell>
          <cell r="AG1490" t="str">
            <v>DAP SZ</v>
          </cell>
        </row>
        <row r="1491">
          <cell r="C1491" t="str">
            <v>C49SZX20210117JY</v>
          </cell>
          <cell r="Y1491">
            <v>12600000</v>
          </cell>
          <cell r="AG1491" t="str">
            <v>DAP SZ</v>
          </cell>
        </row>
        <row r="1492">
          <cell r="C1492" t="str">
            <v>C49SZX20210117JY</v>
          </cell>
          <cell r="Y1492">
            <v>9408000</v>
          </cell>
          <cell r="AG1492" t="str">
            <v>DAP SZ</v>
          </cell>
        </row>
        <row r="1493">
          <cell r="C1493" t="str">
            <v>C49SZX20210118R1JY</v>
          </cell>
          <cell r="Y1493">
            <v>15220000</v>
          </cell>
          <cell r="AG1493" t="str">
            <v>DAP SZ</v>
          </cell>
        </row>
        <row r="1494">
          <cell r="C1494" t="str">
            <v>C49SZX20210118JY</v>
          </cell>
          <cell r="Y1494">
            <v>12600000</v>
          </cell>
          <cell r="AG1494" t="str">
            <v>DAP SZ</v>
          </cell>
        </row>
        <row r="1495">
          <cell r="C1495" t="str">
            <v>C49SZX20210118JY</v>
          </cell>
          <cell r="Y1495">
            <v>8958000</v>
          </cell>
          <cell r="AG1495" t="str">
            <v>DAP SZ</v>
          </cell>
        </row>
        <row r="1496">
          <cell r="C1496" t="str">
            <v>C49SZX20210120R1JY</v>
          </cell>
          <cell r="Y1496">
            <v>13612000</v>
          </cell>
          <cell r="AG1496" t="str">
            <v>DAP SZ</v>
          </cell>
        </row>
        <row r="1497">
          <cell r="C1497" t="str">
            <v>C49SZX20210127JL</v>
          </cell>
          <cell r="Y1497">
            <v>760000</v>
          </cell>
          <cell r="AG1497" t="str">
            <v>DDP SZ</v>
          </cell>
        </row>
        <row r="1498">
          <cell r="C1498" t="str">
            <v>C49SZX20210128SS</v>
          </cell>
          <cell r="Y1498">
            <v>8600000</v>
          </cell>
          <cell r="AG1498" t="str">
            <v>DAP SZ</v>
          </cell>
        </row>
        <row r="1499">
          <cell r="C1499" t="str">
            <v>C49SZX20210128SS</v>
          </cell>
          <cell r="Y1499">
            <v>12000000</v>
          </cell>
          <cell r="AG1499" t="str">
            <v>DAP SZ</v>
          </cell>
        </row>
        <row r="1500">
          <cell r="C1500" t="str">
            <v>C49SZX20210124JL</v>
          </cell>
          <cell r="Y1500">
            <v>9090000</v>
          </cell>
          <cell r="AG1500" t="str">
            <v>DAP SZ</v>
          </cell>
        </row>
        <row r="1501">
          <cell r="C1501" t="str">
            <v>C49SZX20210123JY</v>
          </cell>
          <cell r="Y1501">
            <v>7000000</v>
          </cell>
          <cell r="AG1501" t="str">
            <v>DAP SZ</v>
          </cell>
        </row>
        <row r="1502">
          <cell r="C1502" t="str">
            <v>C49SZX20210123JY</v>
          </cell>
          <cell r="Y1502">
            <v>7000000</v>
          </cell>
          <cell r="AG1502" t="str">
            <v>DAP SZ</v>
          </cell>
        </row>
        <row r="1503">
          <cell r="C1503" t="str">
            <v>C49SZX20210132VG</v>
          </cell>
          <cell r="Y1503">
            <v>8300000</v>
          </cell>
          <cell r="AG1503" t="str">
            <v>DAP SZ</v>
          </cell>
        </row>
        <row r="1504">
          <cell r="C1504" t="str">
            <v>C49SZX20210133EC</v>
          </cell>
          <cell r="Y1504">
            <v>18600000</v>
          </cell>
          <cell r="AG1504" t="str">
            <v>CIF HK</v>
          </cell>
        </row>
        <row r="1505">
          <cell r="C1505" t="str">
            <v>C49SZX20210133EC</v>
          </cell>
          <cell r="Y1505">
            <v>18600000</v>
          </cell>
          <cell r="AG1505" t="str">
            <v>CIF HK</v>
          </cell>
        </row>
        <row r="1506">
          <cell r="C1506" t="str">
            <v>C49SZX20210133EC</v>
          </cell>
          <cell r="Y1506">
            <v>18600000</v>
          </cell>
          <cell r="AG1506" t="str">
            <v>CIF HK</v>
          </cell>
        </row>
        <row r="1507">
          <cell r="C1507" t="str">
            <v>C49SZX20210129SS</v>
          </cell>
          <cell r="Y1507">
            <v>7590000</v>
          </cell>
          <cell r="AG1507" t="str">
            <v>DAP SZ</v>
          </cell>
        </row>
        <row r="1508">
          <cell r="C1508" t="str">
            <v>C49SZX20210122DZ</v>
          </cell>
          <cell r="Y1508">
            <v>14500000</v>
          </cell>
          <cell r="AG1508" t="str">
            <v>DAP SZ</v>
          </cell>
        </row>
        <row r="1509">
          <cell r="C1509" t="str">
            <v>C49SZX20210122DZ</v>
          </cell>
          <cell r="Y1509">
            <v>14500000</v>
          </cell>
          <cell r="AG1509" t="str">
            <v>DAP SZ</v>
          </cell>
        </row>
        <row r="1510">
          <cell r="C1510" t="str">
            <v>C49SZX20210131SX</v>
          </cell>
          <cell r="Y1510">
            <v>8590000</v>
          </cell>
          <cell r="AG1510" t="str">
            <v>DAP SZ</v>
          </cell>
        </row>
        <row r="1511">
          <cell r="C1511" t="str">
            <v>C49SZX20210136DZ</v>
          </cell>
          <cell r="Y1511">
            <v>7000000</v>
          </cell>
          <cell r="AG1511" t="str">
            <v>DAP SZ</v>
          </cell>
        </row>
        <row r="1512">
          <cell r="C1512" t="str">
            <v>C49SZX20210136DZ</v>
          </cell>
          <cell r="Y1512">
            <v>7000000</v>
          </cell>
          <cell r="AG1512" t="str">
            <v>DAP SZ</v>
          </cell>
        </row>
        <row r="1513">
          <cell r="C1513" t="str">
            <v>C28SHA2021029KC</v>
          </cell>
          <cell r="Y1513">
            <v>262000</v>
          </cell>
          <cell r="AG1513" t="str">
            <v>含税到厂</v>
          </cell>
        </row>
        <row r="1514">
          <cell r="C1514" t="str">
            <v>C49SZX20210144VG</v>
          </cell>
          <cell r="Y1514">
            <v>12914000</v>
          </cell>
          <cell r="AG1514" t="str">
            <v>DAP ZS</v>
          </cell>
        </row>
        <row r="1515">
          <cell r="C1515" t="str">
            <v>C49SZX20210145SX</v>
          </cell>
          <cell r="Y1515">
            <v>625776</v>
          </cell>
          <cell r="AG1515" t="str">
            <v>DDP SZ</v>
          </cell>
        </row>
        <row r="1516">
          <cell r="C1516" t="str">
            <v>C49SZX20210140DZ</v>
          </cell>
          <cell r="Y1516">
            <v>8000000</v>
          </cell>
          <cell r="AG1516" t="str">
            <v>DAP GZ</v>
          </cell>
        </row>
        <row r="1517">
          <cell r="C1517" t="str">
            <v>C49SZX20210140DZ</v>
          </cell>
          <cell r="Y1517">
            <v>8000000</v>
          </cell>
          <cell r="AG1517" t="str">
            <v>DAP GZ</v>
          </cell>
        </row>
        <row r="1518">
          <cell r="C1518" t="str">
            <v>C49SZX20210146SS</v>
          </cell>
          <cell r="Y1518">
            <v>7200000</v>
          </cell>
          <cell r="AG1518" t="str">
            <v>DAP SZ</v>
          </cell>
        </row>
        <row r="1519">
          <cell r="C1519" t="str">
            <v>C49SZX20210149DY</v>
          </cell>
          <cell r="Y1519">
            <v>13000000</v>
          </cell>
          <cell r="AG1519" t="str">
            <v>CIF HK</v>
          </cell>
        </row>
        <row r="1520">
          <cell r="C1520" t="str">
            <v>C49SZX20210149DY</v>
          </cell>
          <cell r="Y1520">
            <v>8800000</v>
          </cell>
          <cell r="AG1520" t="str">
            <v>CIF HK</v>
          </cell>
        </row>
        <row r="1521">
          <cell r="C1521" t="str">
            <v>C49SZX20210147DY</v>
          </cell>
          <cell r="Y1521">
            <v>13000000</v>
          </cell>
          <cell r="AG1521" t="str">
            <v>DAP HZ</v>
          </cell>
        </row>
        <row r="1522">
          <cell r="C1522" t="str">
            <v>C49SZX20210147DY</v>
          </cell>
          <cell r="Y1522">
            <v>13000000</v>
          </cell>
          <cell r="AG1522" t="str">
            <v>DAP HZ</v>
          </cell>
        </row>
        <row r="1523">
          <cell r="C1523" t="str">
            <v>C49SZX20210147DY</v>
          </cell>
          <cell r="Y1523">
            <v>8360000</v>
          </cell>
          <cell r="AG1523" t="str">
            <v>DAP HZ</v>
          </cell>
        </row>
        <row r="1524">
          <cell r="C1524" t="str">
            <v>C49SZX20210147DY</v>
          </cell>
          <cell r="Y1524">
            <v>8360000</v>
          </cell>
          <cell r="AG1524" t="str">
            <v>DAP HZ</v>
          </cell>
        </row>
        <row r="1525">
          <cell r="C1525" t="str">
            <v>C49SZX20210138JL</v>
          </cell>
          <cell r="Y1525">
            <v>9450000</v>
          </cell>
          <cell r="AG1525" t="str">
            <v>CIF HK</v>
          </cell>
        </row>
        <row r="1526">
          <cell r="C1526" t="str">
            <v>C49SZX20210150SX</v>
          </cell>
          <cell r="Y1526">
            <v>8221500</v>
          </cell>
          <cell r="AG1526" t="str">
            <v>DAP HZ</v>
          </cell>
        </row>
        <row r="1527">
          <cell r="C1527" t="str">
            <v>C49SZX20210151SX</v>
          </cell>
          <cell r="Y1527">
            <v>14135177</v>
          </cell>
          <cell r="AG1527" t="str">
            <v>DAP SZ</v>
          </cell>
        </row>
        <row r="1528">
          <cell r="C1528" t="str">
            <v>C49SZX20210153MZ</v>
          </cell>
          <cell r="Y1528">
            <v>9000000</v>
          </cell>
          <cell r="AG1528" t="str">
            <v>DAP SZ</v>
          </cell>
        </row>
        <row r="1529">
          <cell r="C1529" t="str">
            <v>C49SZX20210154MZ</v>
          </cell>
          <cell r="Y1529">
            <v>12000000</v>
          </cell>
          <cell r="AG1529" t="str">
            <v>DAP SZ</v>
          </cell>
        </row>
        <row r="1530">
          <cell r="C1530" t="str">
            <v>C49SZX20210155MZR1</v>
          </cell>
          <cell r="Y1530">
            <v>12000000</v>
          </cell>
          <cell r="AG1530" t="str">
            <v>DAP SZ</v>
          </cell>
        </row>
        <row r="1531">
          <cell r="C1531" t="str">
            <v>C49SZX20210182MZ</v>
          </cell>
          <cell r="Y1531">
            <v>12000000</v>
          </cell>
          <cell r="AG1531" t="str">
            <v>DAP SZ</v>
          </cell>
        </row>
        <row r="1532">
          <cell r="C1532" t="str">
            <v>C49SZX20210155MZR1</v>
          </cell>
          <cell r="Y1532">
            <v>9000000</v>
          </cell>
          <cell r="AG1532" t="str">
            <v>DAP SZ</v>
          </cell>
        </row>
        <row r="1533">
          <cell r="C1533" t="str">
            <v>C49SZX20210182MZ</v>
          </cell>
          <cell r="Y1533">
            <v>9000000</v>
          </cell>
          <cell r="AG1533" t="str">
            <v>DAP SZ</v>
          </cell>
        </row>
        <row r="1534">
          <cell r="C1534" t="str">
            <v>C49SZX20220057DZ</v>
          </cell>
          <cell r="Y1534">
            <v>6750000</v>
          </cell>
          <cell r="AG1534" t="str">
            <v>CIF HK</v>
          </cell>
        </row>
        <row r="1535">
          <cell r="C1535" t="str">
            <v>C49SZX20220057DZ</v>
          </cell>
          <cell r="Y1535">
            <v>6750000</v>
          </cell>
          <cell r="AG1535" t="str">
            <v>CIF HK</v>
          </cell>
        </row>
        <row r="1536">
          <cell r="C1536" t="str">
            <v>C49SZX20220057DZ</v>
          </cell>
          <cell r="Y1536">
            <v>6750000</v>
          </cell>
          <cell r="AG1536" t="str">
            <v>CIF HK</v>
          </cell>
        </row>
        <row r="1537">
          <cell r="C1537" t="str">
            <v>C49SZX20220057DZ</v>
          </cell>
          <cell r="Y1537">
            <v>6750000</v>
          </cell>
          <cell r="AG1537" t="str">
            <v>CIF HK</v>
          </cell>
        </row>
        <row r="1538">
          <cell r="C1538" t="str">
            <v>C49SZX20220057DZ</v>
          </cell>
          <cell r="Y1538">
            <v>6750000</v>
          </cell>
          <cell r="AG1538" t="str">
            <v>CIF HK</v>
          </cell>
        </row>
        <row r="1539">
          <cell r="C1539" t="str">
            <v>C49SZX20210142DZ</v>
          </cell>
          <cell r="Y1539">
            <v>6750000</v>
          </cell>
          <cell r="AG1539" t="str">
            <v>CIF HK</v>
          </cell>
        </row>
        <row r="1540">
          <cell r="C1540" t="str">
            <v>C49SZX20210142DZ</v>
          </cell>
          <cell r="Y1540">
            <v>6750000</v>
          </cell>
          <cell r="AG1540" t="str">
            <v>CIF HK</v>
          </cell>
        </row>
        <row r="1541">
          <cell r="C1541" t="str">
            <v>C49SZX20210142DZ</v>
          </cell>
          <cell r="Y1541">
            <v>6750000</v>
          </cell>
          <cell r="AG1541" t="str">
            <v>CIF HK</v>
          </cell>
        </row>
        <row r="1542">
          <cell r="C1542" t="str">
            <v>C49SZX20210142DZ</v>
          </cell>
          <cell r="Y1542">
            <v>6750000</v>
          </cell>
          <cell r="AG1542" t="str">
            <v>CIF HK</v>
          </cell>
        </row>
        <row r="1543">
          <cell r="C1543" t="str">
            <v>C49SZX20210142DZ</v>
          </cell>
          <cell r="Y1543">
            <v>6750000</v>
          </cell>
          <cell r="AG1543" t="str">
            <v>CIF HK</v>
          </cell>
        </row>
        <row r="1544">
          <cell r="C1544" t="str">
            <v>C49SZX20210143DZ</v>
          </cell>
          <cell r="Y1544">
            <v>11730000</v>
          </cell>
          <cell r="AG1544" t="str">
            <v>CIF HK</v>
          </cell>
        </row>
        <row r="1545">
          <cell r="C1545" t="str">
            <v>C28SZX2021027KC</v>
          </cell>
          <cell r="Y1545">
            <v>472375</v>
          </cell>
          <cell r="AG1545" t="str">
            <v>含税到厂</v>
          </cell>
        </row>
        <row r="1546">
          <cell r="C1546" t="str">
            <v>C28HKG2021021KC</v>
          </cell>
          <cell r="Y1546">
            <v>298000</v>
          </cell>
          <cell r="AG1546" t="str">
            <v>CIF HK</v>
          </cell>
        </row>
        <row r="1547">
          <cell r="C1547" t="str">
            <v>C49SZX20210158SS</v>
          </cell>
          <cell r="Y1547">
            <v>14800000</v>
          </cell>
          <cell r="AG1547" t="str">
            <v>DAP SZ</v>
          </cell>
        </row>
        <row r="1548">
          <cell r="C1548" t="str">
            <v>C49SZX20210144VG</v>
          </cell>
          <cell r="Y1548">
            <v>17150000</v>
          </cell>
          <cell r="AG1548" t="str">
            <v>DAP SZ</v>
          </cell>
        </row>
        <row r="1549">
          <cell r="C1549" t="str">
            <v>C49SZX20210144VG</v>
          </cell>
          <cell r="Y1549">
            <v>9500000</v>
          </cell>
          <cell r="AG1549" t="str">
            <v>DAP SZ</v>
          </cell>
        </row>
        <row r="1550">
          <cell r="C1550" t="str">
            <v>C49SZX20210144VG</v>
          </cell>
          <cell r="Y1550">
            <v>9500000</v>
          </cell>
          <cell r="AG1550" t="str">
            <v>DAP SZ</v>
          </cell>
        </row>
        <row r="1551">
          <cell r="C1551" t="str">
            <v>C49SZX20210157SS</v>
          </cell>
          <cell r="Y1551">
            <v>12165000</v>
          </cell>
          <cell r="AG1551" t="str">
            <v>DAP SZ</v>
          </cell>
        </row>
        <row r="1552">
          <cell r="C1552" t="str">
            <v>C49SZX20220034AY</v>
          </cell>
          <cell r="Y1552">
            <v>529000</v>
          </cell>
          <cell r="AG1552" t="str">
            <v>DDP SZ</v>
          </cell>
        </row>
        <row r="1553">
          <cell r="C1553" t="str">
            <v>C49SZX20210164SS</v>
          </cell>
          <cell r="Y1553">
            <v>15300000</v>
          </cell>
          <cell r="AG1553" t="str">
            <v>DAP SZ</v>
          </cell>
        </row>
        <row r="1554">
          <cell r="C1554" t="str">
            <v>C49SZX20210164SS</v>
          </cell>
          <cell r="Y1554">
            <v>11000000</v>
          </cell>
          <cell r="AG1554" t="str">
            <v>DAP SZ</v>
          </cell>
        </row>
        <row r="1555">
          <cell r="C1555" t="str">
            <v>C49SZX20210165R1SS</v>
          </cell>
          <cell r="Y1555">
            <v>7400000</v>
          </cell>
          <cell r="AG1555" t="str">
            <v>DAP SZ</v>
          </cell>
        </row>
        <row r="1556">
          <cell r="C1556" t="str">
            <v>C49SZX20210141DZ</v>
          </cell>
          <cell r="Y1556">
            <v>21250000</v>
          </cell>
          <cell r="AG1556" t="str">
            <v>DAP SZ</v>
          </cell>
        </row>
        <row r="1557">
          <cell r="C1557" t="str">
            <v>C49SZX20210141DZ</v>
          </cell>
          <cell r="Y1557">
            <v>21250000</v>
          </cell>
          <cell r="AG1557" t="str">
            <v>DAP SZ</v>
          </cell>
        </row>
        <row r="1558">
          <cell r="C1558" t="str">
            <v>C49SZX20210166SX</v>
          </cell>
          <cell r="Y1558">
            <v>15000000</v>
          </cell>
          <cell r="AG1558" t="str">
            <v>DAP SZ</v>
          </cell>
        </row>
        <row r="1559">
          <cell r="C1559" t="str">
            <v>C49SZX20210166SX</v>
          </cell>
          <cell r="Y1559">
            <v>15000000</v>
          </cell>
          <cell r="AG1559" t="str">
            <v>DAP SZ</v>
          </cell>
        </row>
        <row r="1560">
          <cell r="C1560" t="str">
            <v>C49SZX20210166SX</v>
          </cell>
          <cell r="Y1560">
            <v>7689768</v>
          </cell>
          <cell r="AG1560" t="str">
            <v>DAP SZ</v>
          </cell>
        </row>
        <row r="1561">
          <cell r="C1561" t="str">
            <v>C49SZX20210167MW</v>
          </cell>
          <cell r="Y1561">
            <v>8452000</v>
          </cell>
          <cell r="AG1561" t="str">
            <v>DAP HN</v>
          </cell>
        </row>
        <row r="1562">
          <cell r="C1562" t="str">
            <v>C49SZX20210095JL</v>
          </cell>
          <cell r="Y1562">
            <v>12950000</v>
          </cell>
          <cell r="AG1562" t="str">
            <v>CIF HK</v>
          </cell>
        </row>
        <row r="1563">
          <cell r="C1563" t="str">
            <v>C49SZX20210095JL</v>
          </cell>
          <cell r="Y1563">
            <v>12950000</v>
          </cell>
          <cell r="AG1563" t="str">
            <v>CIF HK</v>
          </cell>
        </row>
        <row r="1564">
          <cell r="C1564" t="str">
            <v>C49SZX20210170DZ</v>
          </cell>
          <cell r="Y1564">
            <v>12700000</v>
          </cell>
          <cell r="AG1564" t="str">
            <v>DAP SZ</v>
          </cell>
        </row>
        <row r="1565">
          <cell r="C1565" t="str">
            <v>C49SZX20210170DZ</v>
          </cell>
          <cell r="Y1565">
            <v>12700000</v>
          </cell>
          <cell r="AG1565" t="str">
            <v>DAP SZ</v>
          </cell>
        </row>
        <row r="1566">
          <cell r="C1566" t="str">
            <v>C49SZX20210170DZ</v>
          </cell>
          <cell r="Y1566">
            <v>9880000</v>
          </cell>
          <cell r="AG1566" t="str">
            <v>DAP SZ</v>
          </cell>
        </row>
        <row r="1567">
          <cell r="C1567" t="str">
            <v>C49SZX20210170DZ</v>
          </cell>
          <cell r="Y1567">
            <v>9880000</v>
          </cell>
          <cell r="AG1567" t="str">
            <v>DAP SZ</v>
          </cell>
        </row>
        <row r="1568">
          <cell r="C1568" t="str">
            <v>C49SZX20210141VG</v>
          </cell>
          <cell r="Y1568">
            <v>8989000</v>
          </cell>
          <cell r="AG1568" t="str">
            <v>DAP SZ</v>
          </cell>
        </row>
        <row r="1569">
          <cell r="C1569" t="str">
            <v>C49SZX20210152SX</v>
          </cell>
          <cell r="Y1569">
            <v>12000000</v>
          </cell>
          <cell r="AG1569" t="str">
            <v>DAP SZ</v>
          </cell>
        </row>
        <row r="1570">
          <cell r="C1570" t="str">
            <v>C49SZX20210152SX</v>
          </cell>
          <cell r="Y1570">
            <v>12000000</v>
          </cell>
          <cell r="AG1570" t="str">
            <v>DAP SZ</v>
          </cell>
        </row>
        <row r="1571">
          <cell r="C1571" t="str">
            <v>C49SZX20210152SX</v>
          </cell>
          <cell r="Y1571">
            <v>12000000</v>
          </cell>
          <cell r="AG1571" t="str">
            <v>DAP SZ</v>
          </cell>
        </row>
        <row r="1572">
          <cell r="C1572" t="str">
            <v>C49SZX20210152SX</v>
          </cell>
          <cell r="Y1572">
            <v>12000000</v>
          </cell>
          <cell r="AG1572" t="str">
            <v>DAP SZ</v>
          </cell>
        </row>
        <row r="1573">
          <cell r="C1573" t="str">
            <v>C49SZX20210152SX</v>
          </cell>
          <cell r="Y1573">
            <v>12000000</v>
          </cell>
          <cell r="AG1573" t="str">
            <v>DAP SZ</v>
          </cell>
        </row>
        <row r="1574">
          <cell r="C1574" t="str">
            <v>C49SZX20210152SX</v>
          </cell>
          <cell r="Y1574">
            <v>12000000</v>
          </cell>
          <cell r="AG1574" t="str">
            <v>DAP SZ</v>
          </cell>
        </row>
        <row r="1575">
          <cell r="C1575" t="str">
            <v>C49SZX20210152SX</v>
          </cell>
          <cell r="Y1575">
            <v>12000000</v>
          </cell>
          <cell r="AG1575" t="str">
            <v>DAP SZ</v>
          </cell>
        </row>
        <row r="1576">
          <cell r="C1576" t="str">
            <v>C49SZX20210152SX</v>
          </cell>
          <cell r="Y1576">
            <v>8980000</v>
          </cell>
          <cell r="AG1576" t="str">
            <v>DAP SZ</v>
          </cell>
        </row>
        <row r="1577">
          <cell r="C1577" t="str">
            <v>C49SZX20210169VG</v>
          </cell>
          <cell r="Y1577">
            <v>14345000</v>
          </cell>
          <cell r="AG1577" t="str">
            <v>DAP SZ</v>
          </cell>
        </row>
        <row r="1578">
          <cell r="C1578" t="str">
            <v>C49SZX20210169VG</v>
          </cell>
          <cell r="Y1578">
            <v>14345000</v>
          </cell>
          <cell r="AG1578" t="str">
            <v>DAP SZ</v>
          </cell>
        </row>
        <row r="1579">
          <cell r="C1579" t="str">
            <v>C49SZX20210169VG</v>
          </cell>
          <cell r="Y1579">
            <v>8989000</v>
          </cell>
          <cell r="AG1579" t="str">
            <v>DAP SZ</v>
          </cell>
        </row>
        <row r="1580">
          <cell r="C1580" t="str">
            <v>C49SZX20210169VG（已发相机）</v>
          </cell>
          <cell r="Y1580">
            <v>8989000</v>
          </cell>
          <cell r="AG1580" t="str">
            <v>DAP SZ</v>
          </cell>
        </row>
        <row r="1581">
          <cell r="C1581" t="str">
            <v>C49SZX20210168MZ</v>
          </cell>
          <cell r="Y1581">
            <v>9225000</v>
          </cell>
          <cell r="AG1581" t="str">
            <v>DAP SZ</v>
          </cell>
        </row>
        <row r="1582">
          <cell r="C1582" t="str">
            <v>C49SZX20210168MZ</v>
          </cell>
          <cell r="Y1582">
            <v>9225000</v>
          </cell>
          <cell r="AG1582" t="str">
            <v>DAP SZ</v>
          </cell>
        </row>
        <row r="1583">
          <cell r="C1583" t="str">
            <v>3011004716</v>
          </cell>
          <cell r="Y1583">
            <v>6350000</v>
          </cell>
          <cell r="AG1583" t="str">
            <v>CIF HK</v>
          </cell>
        </row>
        <row r="1584">
          <cell r="C1584" t="str">
            <v>C49SZX20210172EC</v>
          </cell>
          <cell r="Y1584">
            <v>670000</v>
          </cell>
          <cell r="AG1584" t="str">
            <v>DDP SZ</v>
          </cell>
        </row>
        <row r="1585">
          <cell r="C1585" t="str">
            <v>C49SZX20210173AY</v>
          </cell>
          <cell r="Y1585">
            <v>9200000</v>
          </cell>
          <cell r="AG1585" t="str">
            <v>DAP SZ</v>
          </cell>
        </row>
        <row r="1586">
          <cell r="C1586" t="str">
            <v>C49SZX20210175SX</v>
          </cell>
          <cell r="Y1586">
            <v>1244000</v>
          </cell>
          <cell r="AG1586" t="str">
            <v>DDP SZ</v>
          </cell>
        </row>
        <row r="1587">
          <cell r="C1587" t="str">
            <v>C49SZX20210175SX</v>
          </cell>
          <cell r="Y1587">
            <v>1244000</v>
          </cell>
          <cell r="AG1587" t="str">
            <v>DDP SZ</v>
          </cell>
        </row>
        <row r="1588">
          <cell r="C1588" t="str">
            <v>C49SZX20210175SX</v>
          </cell>
          <cell r="Y1588">
            <v>1244000</v>
          </cell>
          <cell r="AG1588" t="str">
            <v>DDP SZ</v>
          </cell>
        </row>
        <row r="1589">
          <cell r="C1589" t="str">
            <v>C49SZX20210130R1JY</v>
          </cell>
          <cell r="Y1589">
            <v>13488000</v>
          </cell>
          <cell r="AG1589" t="str">
            <v>DAP SZ</v>
          </cell>
        </row>
        <row r="1590">
          <cell r="C1590" t="str">
            <v>C49SZX20210130R1JY</v>
          </cell>
          <cell r="Y1590">
            <v>7900000</v>
          </cell>
          <cell r="AG1590" t="str">
            <v>DAP SZ</v>
          </cell>
        </row>
        <row r="1591">
          <cell r="C1591" t="str">
            <v>C49SZX20210130R1JY</v>
          </cell>
          <cell r="Y1591">
            <v>7900000</v>
          </cell>
          <cell r="AG1591" t="str">
            <v>DAP SZ</v>
          </cell>
        </row>
        <row r="1592">
          <cell r="C1592" t="str">
            <v>C49SZX20210176R1JY</v>
          </cell>
          <cell r="Y1592">
            <v>12270000</v>
          </cell>
          <cell r="AG1592" t="str">
            <v>DAP SZ</v>
          </cell>
        </row>
        <row r="1593">
          <cell r="C1593" t="str">
            <v>C49SZX20210176R1JY</v>
          </cell>
          <cell r="Y1593">
            <v>12270000</v>
          </cell>
          <cell r="AG1593" t="str">
            <v>DAP SZ</v>
          </cell>
        </row>
        <row r="1594">
          <cell r="C1594" t="str">
            <v>C49SZX20210176R1JY</v>
          </cell>
          <cell r="Y1594">
            <v>12270000</v>
          </cell>
          <cell r="AG1594" t="str">
            <v>DAP SZ</v>
          </cell>
        </row>
        <row r="1595">
          <cell r="C1595" t="str">
            <v>C49SZX20210177SS</v>
          </cell>
          <cell r="Y1595">
            <v>12000000</v>
          </cell>
          <cell r="AG1595" t="str">
            <v>DAP SZ</v>
          </cell>
        </row>
        <row r="1596">
          <cell r="C1596" t="str">
            <v>C49SZX20210177SS</v>
          </cell>
          <cell r="Y1596">
            <v>8800000</v>
          </cell>
          <cell r="AG1596" t="str">
            <v>DAP SZ</v>
          </cell>
        </row>
        <row r="1597">
          <cell r="C1597" t="str">
            <v>C28SZX2021024KC</v>
          </cell>
          <cell r="Y1597">
            <v>630000</v>
          </cell>
          <cell r="AG1597" t="str">
            <v>DDP SZ</v>
          </cell>
        </row>
        <row r="1598">
          <cell r="C1598" t="str">
            <v>C28SZX2021024KC</v>
          </cell>
          <cell r="Y1598">
            <v>630000</v>
          </cell>
          <cell r="AG1598" t="str">
            <v>DDP SZ</v>
          </cell>
        </row>
        <row r="1599">
          <cell r="C1599" t="str">
            <v>C49SZX20210179SX</v>
          </cell>
          <cell r="Y1599">
            <v>7600000</v>
          </cell>
          <cell r="AG1599" t="str">
            <v>DAP SZ</v>
          </cell>
        </row>
        <row r="1600">
          <cell r="C1600" t="str">
            <v>C49SZX20210181AY</v>
          </cell>
          <cell r="Y1600">
            <v>13240000</v>
          </cell>
          <cell r="AG1600" t="str">
            <v>DDP SZ</v>
          </cell>
        </row>
        <row r="1601">
          <cell r="C1601" t="str">
            <v>C49SZX20210181AY</v>
          </cell>
          <cell r="Y1601">
            <v>8000000</v>
          </cell>
          <cell r="AG1601" t="str">
            <v>DAP SZ</v>
          </cell>
        </row>
        <row r="1602">
          <cell r="C1602" t="str">
            <v>HKFR-ESE-2021071301</v>
          </cell>
          <cell r="Y1602">
            <v>10325000</v>
          </cell>
          <cell r="AG1602" t="str">
            <v>CIF HK</v>
          </cell>
        </row>
        <row r="1603">
          <cell r="C1603" t="str">
            <v>HKFR-ESE-2021071301</v>
          </cell>
          <cell r="Y1603">
            <v>10325000</v>
          </cell>
          <cell r="AG1603" t="str">
            <v>CIF HK</v>
          </cell>
        </row>
        <row r="1604">
          <cell r="C1604" t="str">
            <v>C49SZX20210160EC</v>
          </cell>
          <cell r="Y1604">
            <v>11560000</v>
          </cell>
          <cell r="AG1604" t="str">
            <v>DAP HZ</v>
          </cell>
        </row>
        <row r="1605">
          <cell r="C1605" t="str">
            <v>C49SZX20210160EC</v>
          </cell>
          <cell r="Y1605">
            <v>11560000</v>
          </cell>
          <cell r="AG1605" t="str">
            <v>DAP HZ</v>
          </cell>
        </row>
        <row r="1606">
          <cell r="C1606" t="str">
            <v>C49SZX20210160EC</v>
          </cell>
          <cell r="Y1606">
            <v>11560000</v>
          </cell>
          <cell r="AG1606" t="str">
            <v>DAP HZ</v>
          </cell>
        </row>
        <row r="1607">
          <cell r="C1607" t="str">
            <v>TL2021061000078</v>
          </cell>
          <cell r="Y1607">
            <v>468000</v>
          </cell>
          <cell r="AG1607" t="str">
            <v>含税到厂</v>
          </cell>
        </row>
        <row r="1608">
          <cell r="C1608" t="str">
            <v>TL2021061000078</v>
          </cell>
          <cell r="Y1608">
            <v>468000</v>
          </cell>
          <cell r="AG1608" t="str">
            <v>含税到厂</v>
          </cell>
        </row>
        <row r="1609">
          <cell r="C1609" t="str">
            <v>C49SZX20210139DZ</v>
          </cell>
          <cell r="Y1609">
            <v>840000</v>
          </cell>
          <cell r="AG1609" t="str">
            <v>DDP QY</v>
          </cell>
        </row>
        <row r="1610">
          <cell r="C1610" t="str">
            <v>C28SZX20210716</v>
          </cell>
          <cell r="Y1610">
            <v>570000</v>
          </cell>
          <cell r="AG1610" t="str">
            <v>DDP SZ</v>
          </cell>
        </row>
        <row r="1611">
          <cell r="C1611" t="str">
            <v>C49SZX20210183SX</v>
          </cell>
          <cell r="Y1611">
            <v>544000</v>
          </cell>
          <cell r="AG1611" t="str">
            <v>DDP DG</v>
          </cell>
        </row>
        <row r="1612">
          <cell r="C1612" t="str">
            <v>C49SZX20210183SX</v>
          </cell>
          <cell r="Y1612">
            <v>544000</v>
          </cell>
          <cell r="AG1612" t="str">
            <v>DDP DG</v>
          </cell>
        </row>
        <row r="1613">
          <cell r="C1613" t="str">
            <v>C49SZX20210183SX</v>
          </cell>
          <cell r="Y1613">
            <v>544000</v>
          </cell>
          <cell r="AG1613" t="str">
            <v>DDP DG</v>
          </cell>
        </row>
        <row r="1614">
          <cell r="C1614" t="str">
            <v>C49SZX20210183SX</v>
          </cell>
          <cell r="Y1614">
            <v>544000</v>
          </cell>
          <cell r="AG1614" t="str">
            <v>DDP DG</v>
          </cell>
        </row>
        <row r="1615">
          <cell r="C1615" t="str">
            <v>C49SZX20210184DZ</v>
          </cell>
          <cell r="Y1615">
            <v>16500000</v>
          </cell>
          <cell r="AG1615" t="str">
            <v>DAP CS</v>
          </cell>
        </row>
        <row r="1616">
          <cell r="C1616" t="str">
            <v>C49SZX20210184DZ</v>
          </cell>
          <cell r="Y1616">
            <v>16500000</v>
          </cell>
          <cell r="AG1616" t="str">
            <v>DAP CS</v>
          </cell>
        </row>
        <row r="1617">
          <cell r="C1617" t="str">
            <v>C49SZX20210186SS</v>
          </cell>
          <cell r="Y1617">
            <v>14000000</v>
          </cell>
          <cell r="AG1617" t="str">
            <v>DAP SZ</v>
          </cell>
        </row>
        <row r="1618">
          <cell r="C1618" t="str">
            <v>C49SZX20210185DZ</v>
          </cell>
          <cell r="Y1618">
            <v>21800000</v>
          </cell>
          <cell r="AG1618" t="str">
            <v>DAP HZ</v>
          </cell>
        </row>
        <row r="1619">
          <cell r="C1619" t="str">
            <v>C49SZX20210185DZ</v>
          </cell>
          <cell r="Y1619">
            <v>21800000</v>
          </cell>
          <cell r="AG1619" t="str">
            <v>DAP HZ</v>
          </cell>
        </row>
        <row r="1620">
          <cell r="C1620" t="str">
            <v>C49SZX20210187SS</v>
          </cell>
          <cell r="Y1620">
            <v>8300000</v>
          </cell>
          <cell r="AG1620" t="str">
            <v>DAP SZ</v>
          </cell>
        </row>
        <row r="1621">
          <cell r="C1621" t="str">
            <v>C49SZX20210187SS</v>
          </cell>
          <cell r="Y1621">
            <v>12700000</v>
          </cell>
          <cell r="AG1621" t="str">
            <v>DAP SZ</v>
          </cell>
        </row>
        <row r="1622">
          <cell r="C1622" t="str">
            <v>C28SZX2021044KC</v>
          </cell>
          <cell r="Y1622">
            <v>29000</v>
          </cell>
          <cell r="AG1622" t="str">
            <v>含税到厂</v>
          </cell>
        </row>
        <row r="1623">
          <cell r="C1623" t="str">
            <v>C49SZX20210188JL</v>
          </cell>
          <cell r="Y1623">
            <v>850000</v>
          </cell>
          <cell r="AG1623" t="str">
            <v>DDP DG</v>
          </cell>
        </row>
        <row r="1624">
          <cell r="C1624" t="str">
            <v>C49SZX20210189DZ</v>
          </cell>
          <cell r="Y1624">
            <v>24300000</v>
          </cell>
          <cell r="AG1624" t="str">
            <v>DAP CS</v>
          </cell>
        </row>
        <row r="1625">
          <cell r="C1625" t="str">
            <v>C49SZX20210191DY</v>
          </cell>
          <cell r="Y1625">
            <v>14300000</v>
          </cell>
          <cell r="AG1625" t="str">
            <v>CIF HK</v>
          </cell>
        </row>
        <row r="1626">
          <cell r="C1626" t="str">
            <v>C28HKG2021050KC</v>
          </cell>
          <cell r="Y1626">
            <v>6000</v>
          </cell>
          <cell r="AG1626" t="str">
            <v>CIF HK</v>
          </cell>
        </row>
        <row r="1627">
          <cell r="C1627" t="str">
            <v>C49SZX20210192SX</v>
          </cell>
          <cell r="Y1627">
            <v>18000000</v>
          </cell>
          <cell r="AG1627" t="str">
            <v>DAP DG</v>
          </cell>
        </row>
        <row r="1628">
          <cell r="C1628" t="str">
            <v>C49SZX20210192SX</v>
          </cell>
          <cell r="Y1628">
            <v>8200000</v>
          </cell>
          <cell r="AG1628" t="str">
            <v>DAP DG</v>
          </cell>
        </row>
        <row r="1629">
          <cell r="C1629" t="str">
            <v>C49SZX20210193SX</v>
          </cell>
          <cell r="Y1629">
            <v>21900000</v>
          </cell>
          <cell r="AG1629" t="str">
            <v>DAP HZ</v>
          </cell>
        </row>
        <row r="1630">
          <cell r="C1630" t="str">
            <v>C49SZX20220082MX</v>
          </cell>
          <cell r="Y1630">
            <v>13460000</v>
          </cell>
          <cell r="AG1630" t="str">
            <v>DAP DG</v>
          </cell>
        </row>
        <row r="1631">
          <cell r="C1631" t="str">
            <v>C49SZX20220082MX</v>
          </cell>
          <cell r="Y1631">
            <v>12000000</v>
          </cell>
          <cell r="AG1631" t="str">
            <v>DAP DG</v>
          </cell>
        </row>
        <row r="1632">
          <cell r="C1632" t="str">
            <v>C49SZX20210196MZ</v>
          </cell>
          <cell r="Y1632">
            <v>1310000</v>
          </cell>
          <cell r="AG1632" t="str">
            <v>DDP ZH</v>
          </cell>
        </row>
        <row r="1633">
          <cell r="C1633" t="str">
            <v>C49SZX20210198DZ</v>
          </cell>
          <cell r="Y1633">
            <v>8600000</v>
          </cell>
          <cell r="AG1633" t="str">
            <v>DAP SZ</v>
          </cell>
        </row>
        <row r="1634">
          <cell r="C1634" t="str">
            <v>C49SZX20210197JY</v>
          </cell>
          <cell r="Y1634">
            <v>670000</v>
          </cell>
          <cell r="AG1634" t="str">
            <v>DDP FS</v>
          </cell>
        </row>
        <row r="1635">
          <cell r="C1635" t="str">
            <v>C49SZX20210195JL</v>
          </cell>
          <cell r="Y1635">
            <v>10000000</v>
          </cell>
          <cell r="AG1635" t="str">
            <v>DAP DG</v>
          </cell>
        </row>
        <row r="1636">
          <cell r="C1636" t="str">
            <v>C49SZX20210180SX</v>
          </cell>
          <cell r="Y1636">
            <v>14300000</v>
          </cell>
          <cell r="AG1636" t="str">
            <v>DAP SZ</v>
          </cell>
        </row>
        <row r="1637">
          <cell r="C1637" t="str">
            <v>C49SZX20210200JY</v>
          </cell>
          <cell r="Y1637">
            <v>16500000</v>
          </cell>
          <cell r="AG1637" t="str">
            <v>CIF HK</v>
          </cell>
        </row>
        <row r="1638">
          <cell r="C1638" t="str">
            <v>C49SZX20210200JY</v>
          </cell>
          <cell r="Y1638">
            <v>16500000</v>
          </cell>
          <cell r="AG1638" t="str">
            <v>CIF HK</v>
          </cell>
        </row>
        <row r="1639">
          <cell r="C1639" t="str">
            <v>C49SZX20210200JY</v>
          </cell>
          <cell r="Y1639">
            <v>9000000</v>
          </cell>
          <cell r="AG1639" t="str">
            <v>CIF HK</v>
          </cell>
        </row>
        <row r="1640">
          <cell r="C1640" t="str">
            <v>C49SZX20210200JY</v>
          </cell>
          <cell r="Y1640">
            <v>9000000</v>
          </cell>
          <cell r="AG1640" t="str">
            <v>CIF HK</v>
          </cell>
        </row>
        <row r="1641">
          <cell r="C1641" t="str">
            <v>C49SZX20210200JY</v>
          </cell>
          <cell r="Y1641">
            <v>9000000</v>
          </cell>
          <cell r="AG1641" t="str">
            <v>CIF HK</v>
          </cell>
        </row>
        <row r="1642">
          <cell r="C1642" t="str">
            <v>C49SZX20210194SQ</v>
          </cell>
          <cell r="Y1642">
            <v>9346000</v>
          </cell>
          <cell r="AG1642" t="str">
            <v>DAPSZ</v>
          </cell>
        </row>
        <row r="1643">
          <cell r="C1643">
            <v>4300001502</v>
          </cell>
          <cell r="Y1643">
            <v>350000</v>
          </cell>
          <cell r="AG1643" t="str">
            <v>含税到厂</v>
          </cell>
        </row>
        <row r="1644">
          <cell r="C1644">
            <v>4300001502</v>
          </cell>
          <cell r="Y1644">
            <v>350000</v>
          </cell>
          <cell r="AG1644" t="str">
            <v>含税到厂</v>
          </cell>
        </row>
        <row r="1645">
          <cell r="C1645" t="str">
            <v>C49SZX20210199R1SX</v>
          </cell>
          <cell r="Y1645">
            <v>868670</v>
          </cell>
          <cell r="AG1645" t="str">
            <v>DDP HB</v>
          </cell>
        </row>
        <row r="1646">
          <cell r="C1646" t="str">
            <v>C49SZX20210199R1SX</v>
          </cell>
          <cell r="Y1646">
            <v>868670</v>
          </cell>
          <cell r="AG1646" t="str">
            <v>DDP HB</v>
          </cell>
        </row>
        <row r="1647">
          <cell r="C1647" t="str">
            <v>C49SZX20210203EC</v>
          </cell>
          <cell r="Y1647">
            <v>14500000</v>
          </cell>
          <cell r="AG1647" t="str">
            <v>DAP SZ</v>
          </cell>
        </row>
        <row r="1648">
          <cell r="C1648" t="str">
            <v>C49SZX20210203EC</v>
          </cell>
          <cell r="Y1648">
            <v>14500000</v>
          </cell>
          <cell r="AG1648" t="str">
            <v>DAP SZ</v>
          </cell>
        </row>
        <row r="1649">
          <cell r="C1649" t="str">
            <v>C49SZX20210203EC</v>
          </cell>
          <cell r="Y1649">
            <v>10000000</v>
          </cell>
          <cell r="AG1649" t="str">
            <v>DAP SZ</v>
          </cell>
        </row>
        <row r="1650">
          <cell r="C1650" t="str">
            <v>C28HKG2021055KC</v>
          </cell>
          <cell r="Y1650">
            <v>282000</v>
          </cell>
          <cell r="AG1650" t="str">
            <v>CIF HK</v>
          </cell>
        </row>
        <row r="1651">
          <cell r="C1651" t="str">
            <v>C49SZX20210204SS</v>
          </cell>
          <cell r="Y1651">
            <v>874688</v>
          </cell>
          <cell r="AG1651" t="str">
            <v>DDP HZ</v>
          </cell>
        </row>
        <row r="1652">
          <cell r="C1652" t="str">
            <v>C49SZX20210205SS</v>
          </cell>
          <cell r="Y1652">
            <v>7020000</v>
          </cell>
          <cell r="AG1652" t="str">
            <v>DAP HZ</v>
          </cell>
        </row>
        <row r="1653">
          <cell r="C1653" t="str">
            <v>C49SZX20220007AY</v>
          </cell>
          <cell r="Y1653">
            <v>13600000</v>
          </cell>
          <cell r="AG1653" t="str">
            <v>DAP SZ</v>
          </cell>
        </row>
        <row r="1654">
          <cell r="C1654" t="str">
            <v>C49SZX20210103MZ</v>
          </cell>
          <cell r="Y1654">
            <v>15000000</v>
          </cell>
          <cell r="AG1654" t="str">
            <v>CIF HK</v>
          </cell>
        </row>
        <row r="1655">
          <cell r="C1655" t="str">
            <v>C49SZX20210103MZ</v>
          </cell>
          <cell r="Y1655">
            <v>15000000</v>
          </cell>
          <cell r="AG1655" t="str">
            <v>CIF HK</v>
          </cell>
        </row>
        <row r="1656">
          <cell r="C1656" t="str">
            <v>C49SZX20210103MZ</v>
          </cell>
          <cell r="Y1656">
            <v>11000000</v>
          </cell>
          <cell r="AG1656" t="str">
            <v>CIF HK</v>
          </cell>
        </row>
        <row r="1657">
          <cell r="C1657" t="str">
            <v>C49SZX20210103MZ</v>
          </cell>
          <cell r="Y1657">
            <v>11000000</v>
          </cell>
          <cell r="AG1657" t="str">
            <v>CIF HK</v>
          </cell>
        </row>
        <row r="1658">
          <cell r="C1658" t="str">
            <v>C49SZX20210207JY</v>
          </cell>
          <cell r="Y1658">
            <v>8100000</v>
          </cell>
          <cell r="AG1658" t="str">
            <v>CIF HK</v>
          </cell>
        </row>
        <row r="1659">
          <cell r="C1659" t="str">
            <v>C49SZX20210207JY</v>
          </cell>
          <cell r="Y1659">
            <v>8100000</v>
          </cell>
          <cell r="AG1659" t="str">
            <v>CIF HK</v>
          </cell>
        </row>
        <row r="1660">
          <cell r="C1660" t="str">
            <v>C49SZX20210213SS</v>
          </cell>
          <cell r="Y1660">
            <v>8500000</v>
          </cell>
          <cell r="AG1660" t="str">
            <v>DAP DG</v>
          </cell>
        </row>
        <row r="1661">
          <cell r="C1661" t="str">
            <v>C49SZX20210214EC</v>
          </cell>
          <cell r="Y1661">
            <v>1250000</v>
          </cell>
          <cell r="AG1661" t="str">
            <v>DDP GZ</v>
          </cell>
        </row>
        <row r="1662">
          <cell r="C1662" t="str">
            <v>C49SZX20210216AY</v>
          </cell>
          <cell r="Y1662">
            <v>548800</v>
          </cell>
          <cell r="AG1662" t="str">
            <v>DDP SZ</v>
          </cell>
        </row>
        <row r="1663">
          <cell r="C1663" t="str">
            <v>C49SZX20210216AY</v>
          </cell>
          <cell r="Y1663">
            <v>850000</v>
          </cell>
          <cell r="AG1663" t="str">
            <v>DDP SZ</v>
          </cell>
        </row>
        <row r="1664">
          <cell r="C1664" t="str">
            <v>C49SZX20210206MZ</v>
          </cell>
          <cell r="Y1664">
            <v>14500000</v>
          </cell>
          <cell r="AG1664" t="str">
            <v>DAP SZ</v>
          </cell>
        </row>
        <row r="1665">
          <cell r="C1665" t="str">
            <v>C49SZX20210206MZ</v>
          </cell>
          <cell r="Y1665">
            <v>14500000</v>
          </cell>
          <cell r="AG1665" t="str">
            <v>DAP SZ</v>
          </cell>
        </row>
        <row r="1666">
          <cell r="C1666" t="str">
            <v>C49SZX20210206MZ</v>
          </cell>
          <cell r="Y1666">
            <v>11000000</v>
          </cell>
          <cell r="AG1666" t="str">
            <v>DAP SZ</v>
          </cell>
        </row>
        <row r="1667">
          <cell r="C1667" t="str">
            <v>C49SZX20210206MZ</v>
          </cell>
          <cell r="Y1667">
            <v>11000000</v>
          </cell>
          <cell r="AG1667" t="str">
            <v>DAP SZ</v>
          </cell>
        </row>
        <row r="1668">
          <cell r="C1668" t="str">
            <v>C49SZX20210215MZ</v>
          </cell>
          <cell r="Y1668">
            <v>14500000</v>
          </cell>
          <cell r="AG1668" t="str">
            <v>DAP SZ</v>
          </cell>
        </row>
        <row r="1669">
          <cell r="C1669" t="str">
            <v>C49SZX20210215MZ</v>
          </cell>
          <cell r="Y1669">
            <v>14500000</v>
          </cell>
          <cell r="AG1669" t="str">
            <v>DAP SZ</v>
          </cell>
        </row>
        <row r="1670">
          <cell r="C1670" t="str">
            <v>C49SZX20210215MZ</v>
          </cell>
          <cell r="Y1670">
            <v>11000000</v>
          </cell>
          <cell r="AG1670" t="str">
            <v>DAP SZ</v>
          </cell>
        </row>
        <row r="1671">
          <cell r="C1671" t="str">
            <v>C49SZX20210215MZ</v>
          </cell>
          <cell r="Y1671">
            <v>11000000</v>
          </cell>
          <cell r="AG1671" t="str">
            <v>DAP SZ</v>
          </cell>
        </row>
        <row r="1672">
          <cell r="C1672" t="str">
            <v>C28SZX20210215SX</v>
          </cell>
          <cell r="Y1672">
            <v>406243</v>
          </cell>
          <cell r="AG1672" t="str">
            <v>DDP SZ</v>
          </cell>
        </row>
        <row r="1673">
          <cell r="C1673" t="str">
            <v>C49SZX20210220SX</v>
          </cell>
          <cell r="Y1673">
            <v>15000000</v>
          </cell>
          <cell r="AG1673" t="str">
            <v>DAP SZ</v>
          </cell>
        </row>
        <row r="1674">
          <cell r="C1674" t="str">
            <v>C49SZX20210220SX</v>
          </cell>
          <cell r="Y1674">
            <v>9500000</v>
          </cell>
          <cell r="AG1674" t="str">
            <v>DAP SZ</v>
          </cell>
        </row>
        <row r="1675">
          <cell r="C1675" t="str">
            <v>C49SZX20220030SS</v>
          </cell>
          <cell r="Y1675">
            <v>13220000</v>
          </cell>
          <cell r="AG1675" t="str">
            <v>DAP SZ</v>
          </cell>
        </row>
        <row r="1676">
          <cell r="C1676" t="str">
            <v>C49SZX20220030SS</v>
          </cell>
          <cell r="Y1676">
            <v>13220000</v>
          </cell>
          <cell r="AG1676" t="str">
            <v>DAP SZ</v>
          </cell>
        </row>
        <row r="1677">
          <cell r="C1677" t="str">
            <v>C49SZX20220030SS</v>
          </cell>
          <cell r="Y1677">
            <v>13220000</v>
          </cell>
          <cell r="AG1677" t="str">
            <v>DAP SZ</v>
          </cell>
        </row>
        <row r="1678">
          <cell r="C1678" t="str">
            <v>C49SZX20220030SS</v>
          </cell>
          <cell r="Y1678">
            <v>13220000</v>
          </cell>
          <cell r="AG1678" t="str">
            <v>DAP SZ</v>
          </cell>
        </row>
        <row r="1679">
          <cell r="C1679" t="str">
            <v>C49SZX20210210DZ</v>
          </cell>
          <cell r="Y1679">
            <v>1300000</v>
          </cell>
          <cell r="AG1679" t="str">
            <v>DDP CS</v>
          </cell>
        </row>
        <row r="1680">
          <cell r="C1680" t="str">
            <v>C49SZX20210210DZ</v>
          </cell>
          <cell r="Y1680">
            <v>1300000</v>
          </cell>
          <cell r="AG1680" t="str">
            <v>DDP CS</v>
          </cell>
        </row>
        <row r="1681">
          <cell r="C1681" t="str">
            <v>C49SZX20210223MZR1</v>
          </cell>
          <cell r="Y1681">
            <v>15100000</v>
          </cell>
          <cell r="AG1681" t="str">
            <v>CIF  HK</v>
          </cell>
        </row>
        <row r="1682">
          <cell r="C1682" t="str">
            <v>C49SZX20230088MZ</v>
          </cell>
          <cell r="Y1682">
            <v>14000000</v>
          </cell>
          <cell r="AG1682" t="str">
            <v>CIF  HK</v>
          </cell>
        </row>
        <row r="1683">
          <cell r="C1683" t="str">
            <v>C49SZX20230088MZ</v>
          </cell>
          <cell r="Y1683">
            <v>14000000</v>
          </cell>
          <cell r="AG1683" t="str">
            <v>CIF  HK</v>
          </cell>
        </row>
        <row r="1684">
          <cell r="C1684" t="str">
            <v>C49SZX20210223MZ</v>
          </cell>
          <cell r="Y1684">
            <v>14250000</v>
          </cell>
          <cell r="AG1684" t="str">
            <v>CIF  HK</v>
          </cell>
        </row>
        <row r="1685">
          <cell r="C1685" t="str">
            <v>C49SZX20210223MZ</v>
          </cell>
          <cell r="Y1685">
            <v>10000000</v>
          </cell>
          <cell r="AG1685" t="str">
            <v>CIF  HK</v>
          </cell>
        </row>
        <row r="1686">
          <cell r="C1686" t="str">
            <v>C49SZX20210223MZ</v>
          </cell>
          <cell r="Y1686">
            <v>10000000</v>
          </cell>
          <cell r="AG1686" t="str">
            <v>CIF  HK</v>
          </cell>
        </row>
        <row r="1687">
          <cell r="C1687" t="str">
            <v>C49SZX20210223MZ</v>
          </cell>
          <cell r="Y1687">
            <v>10000000</v>
          </cell>
          <cell r="AG1687" t="str">
            <v>CIF  HK</v>
          </cell>
        </row>
        <row r="1688">
          <cell r="C1688" t="str">
            <v>C28SZX20210216MZ</v>
          </cell>
          <cell r="Y1688">
            <v>11000000</v>
          </cell>
          <cell r="AG1688" t="str">
            <v>CIF  HK</v>
          </cell>
        </row>
        <row r="1689">
          <cell r="C1689" t="str">
            <v>C28SZX20210217MZ</v>
          </cell>
          <cell r="Y1689">
            <v>11000000</v>
          </cell>
          <cell r="AG1689" t="str">
            <v>CIF  HK</v>
          </cell>
        </row>
        <row r="1690">
          <cell r="C1690" t="str">
            <v>C49SZX20210222JL</v>
          </cell>
          <cell r="Y1690">
            <v>1310000</v>
          </cell>
          <cell r="AG1690" t="str">
            <v>DDP SZ</v>
          </cell>
        </row>
        <row r="1691">
          <cell r="C1691" t="str">
            <v>C49SZX20220001SS</v>
          </cell>
          <cell r="Y1691">
            <v>1298000</v>
          </cell>
          <cell r="AG1691" t="str">
            <v>DDP SZ</v>
          </cell>
        </row>
        <row r="1692">
          <cell r="C1692" t="str">
            <v>C49SZX20220004EC</v>
          </cell>
          <cell r="Y1692">
            <v>11200000</v>
          </cell>
          <cell r="AG1692" t="str">
            <v>DAP SZ</v>
          </cell>
        </row>
        <row r="1693">
          <cell r="C1693" t="str">
            <v>C49SZX20220005SS</v>
          </cell>
          <cell r="Y1693">
            <v>1300000</v>
          </cell>
          <cell r="AG1693" t="str">
            <v>DDP SZ</v>
          </cell>
        </row>
        <row r="1694">
          <cell r="C1694" t="str">
            <v>C49SZX20220005SS</v>
          </cell>
          <cell r="Y1694">
            <v>1300000</v>
          </cell>
          <cell r="AG1694" t="str">
            <v>DDP SZ</v>
          </cell>
        </row>
        <row r="1695">
          <cell r="C1695" t="str">
            <v>C49SZX20220005SS</v>
          </cell>
          <cell r="Y1695">
            <v>1300000</v>
          </cell>
          <cell r="AG1695" t="str">
            <v>DDP SZ</v>
          </cell>
        </row>
        <row r="1696">
          <cell r="C1696" t="str">
            <v>C49SZX20220005SS</v>
          </cell>
          <cell r="Y1696">
            <v>1300000</v>
          </cell>
          <cell r="AG1696" t="str">
            <v>DDP SZ</v>
          </cell>
        </row>
        <row r="1697">
          <cell r="C1697" t="str">
            <v>C49SZX20220005SS</v>
          </cell>
          <cell r="Y1697">
            <v>1300000</v>
          </cell>
          <cell r="AG1697" t="str">
            <v>DDP SZ</v>
          </cell>
        </row>
        <row r="1698">
          <cell r="C1698" t="str">
            <v>C49SZX20220006SX</v>
          </cell>
          <cell r="Y1698">
            <v>16665000</v>
          </cell>
          <cell r="AG1698" t="str">
            <v>DAP ZS</v>
          </cell>
        </row>
        <row r="1699">
          <cell r="C1699" t="str">
            <v>C49SZX20220006SX</v>
          </cell>
          <cell r="Y1699">
            <v>16665000</v>
          </cell>
          <cell r="AG1699" t="str">
            <v>DAP ZS</v>
          </cell>
        </row>
        <row r="1700">
          <cell r="C1700" t="str">
            <v>C49SZX20220006SX</v>
          </cell>
          <cell r="Y1700">
            <v>16665000</v>
          </cell>
          <cell r="AG1700" t="str">
            <v>DAP ZS</v>
          </cell>
        </row>
        <row r="1701">
          <cell r="C1701" t="str">
            <v>C49SZX20220006SX</v>
          </cell>
          <cell r="Y1701">
            <v>16665000</v>
          </cell>
          <cell r="AG1701" t="str">
            <v>DAP ZS</v>
          </cell>
        </row>
        <row r="1702">
          <cell r="C1702" t="str">
            <v>C49SZX20220006SX</v>
          </cell>
          <cell r="Y1702">
            <v>16665000</v>
          </cell>
          <cell r="AG1702" t="str">
            <v>DAP ZS</v>
          </cell>
        </row>
        <row r="1703">
          <cell r="C1703" t="str">
            <v>C49SZX20220006SX</v>
          </cell>
          <cell r="Y1703">
            <v>16665000</v>
          </cell>
          <cell r="AG1703" t="str">
            <v>DAP ZS</v>
          </cell>
        </row>
        <row r="1704">
          <cell r="C1704" t="str">
            <v>C49SZX20220008AY</v>
          </cell>
          <cell r="Y1704">
            <v>1300000</v>
          </cell>
          <cell r="AG1704" t="str">
            <v>DDP SZ</v>
          </cell>
        </row>
        <row r="1705">
          <cell r="C1705" t="str">
            <v>C49SZX20220008AY</v>
          </cell>
          <cell r="Y1705">
            <v>1300000</v>
          </cell>
          <cell r="AG1705" t="str">
            <v>DDP SZ</v>
          </cell>
        </row>
        <row r="1706">
          <cell r="C1706" t="str">
            <v>C49SZX20220002BX</v>
          </cell>
          <cell r="Y1706">
            <v>12800000</v>
          </cell>
          <cell r="AG1706" t="str">
            <v>DAP HZ</v>
          </cell>
        </row>
        <row r="1707">
          <cell r="C1707" t="str">
            <v>C49SZX20220002BX</v>
          </cell>
          <cell r="Y1707">
            <v>7800000</v>
          </cell>
          <cell r="AG1707" t="str">
            <v>DAP HZ</v>
          </cell>
        </row>
        <row r="1708">
          <cell r="C1708" t="str">
            <v>C49SZX20220010SQ</v>
          </cell>
          <cell r="Y1708">
            <v>17000000</v>
          </cell>
          <cell r="AG1708" t="str">
            <v>DAP DG</v>
          </cell>
        </row>
        <row r="1709">
          <cell r="C1709" t="str">
            <v>C49SZX20220010SQ</v>
          </cell>
          <cell r="Y1709">
            <v>11800000</v>
          </cell>
          <cell r="AG1709" t="str">
            <v>DAP DG</v>
          </cell>
        </row>
        <row r="1710">
          <cell r="C1710" t="str">
            <v>C49SZX20220009JL</v>
          </cell>
          <cell r="Y1710">
            <v>12300000</v>
          </cell>
          <cell r="AG1710" t="str">
            <v>DAP DG</v>
          </cell>
        </row>
        <row r="1711">
          <cell r="C1711" t="str">
            <v>C49SZX20220003EC</v>
          </cell>
          <cell r="Y1711">
            <v>18000000</v>
          </cell>
          <cell r="AG1711" t="str">
            <v>CIF HK</v>
          </cell>
        </row>
        <row r="1712">
          <cell r="C1712" t="str">
            <v>C49SZX20220003EC</v>
          </cell>
          <cell r="Y1712">
            <v>18000000</v>
          </cell>
          <cell r="AG1712" t="str">
            <v>CIF HK</v>
          </cell>
        </row>
        <row r="1713">
          <cell r="C1713" t="str">
            <v>C49SZX20220003EC</v>
          </cell>
          <cell r="Y1713">
            <v>11500000</v>
          </cell>
          <cell r="AG1713" t="str">
            <v>CIF HK</v>
          </cell>
        </row>
        <row r="1714">
          <cell r="C1714" t="str">
            <v>C49SZX20220003EC</v>
          </cell>
          <cell r="Y1714">
            <v>11500000</v>
          </cell>
          <cell r="AG1714" t="str">
            <v>CIF HK</v>
          </cell>
        </row>
        <row r="1715">
          <cell r="C1715" t="str">
            <v>C49SZX20220003EC</v>
          </cell>
          <cell r="Y1715">
            <v>11500000</v>
          </cell>
          <cell r="AG1715" t="str">
            <v>CIF HK</v>
          </cell>
        </row>
        <row r="1716">
          <cell r="C1716" t="str">
            <v>C49SZX20220003EC</v>
          </cell>
          <cell r="Y1716">
            <v>11500000</v>
          </cell>
          <cell r="AG1716" t="str">
            <v>CIF HK</v>
          </cell>
        </row>
        <row r="1717">
          <cell r="C1717" t="str">
            <v>C49SZX20220014JL</v>
          </cell>
          <cell r="Y1717">
            <v>14390000</v>
          </cell>
          <cell r="AG1717" t="str">
            <v>DAP SZ</v>
          </cell>
        </row>
        <row r="1718">
          <cell r="C1718" t="str">
            <v>C49SZX20220014JL</v>
          </cell>
          <cell r="Y1718">
            <v>14390000</v>
          </cell>
          <cell r="AG1718" t="str">
            <v>DAP SZ</v>
          </cell>
        </row>
        <row r="1719">
          <cell r="C1719" t="str">
            <v>C49SZX20220012SX</v>
          </cell>
          <cell r="Y1719">
            <v>747200</v>
          </cell>
          <cell r="AG1719" t="str">
            <v>DDP HB</v>
          </cell>
        </row>
        <row r="1720">
          <cell r="C1720" t="str">
            <v>C49SZX20220012SX</v>
          </cell>
          <cell r="Y1720">
            <v>747200</v>
          </cell>
          <cell r="AG1720" t="str">
            <v>DDP HB</v>
          </cell>
        </row>
        <row r="1721">
          <cell r="C1721" t="str">
            <v>C49SZX20220012SX</v>
          </cell>
          <cell r="Y1721">
            <v>747200</v>
          </cell>
          <cell r="AG1721" t="str">
            <v>DDP HB</v>
          </cell>
        </row>
        <row r="1722">
          <cell r="C1722" t="str">
            <v>C49SZX20220012SX</v>
          </cell>
          <cell r="Y1722">
            <v>747200</v>
          </cell>
          <cell r="AG1722" t="str">
            <v>DDP HB</v>
          </cell>
        </row>
        <row r="1723">
          <cell r="C1723" t="str">
            <v>C49SZX20220012SX</v>
          </cell>
          <cell r="Y1723">
            <v>747200</v>
          </cell>
          <cell r="AG1723" t="str">
            <v>DDP HB</v>
          </cell>
        </row>
        <row r="1724">
          <cell r="C1724" t="str">
            <v>C49SZX20220015SX</v>
          </cell>
          <cell r="Y1724">
            <v>18000000</v>
          </cell>
          <cell r="AG1724" t="str">
            <v>DAP GX</v>
          </cell>
        </row>
        <row r="1725">
          <cell r="C1725" t="str">
            <v>C49SZX20220015SX</v>
          </cell>
          <cell r="Y1725">
            <v>18000000</v>
          </cell>
          <cell r="AG1725" t="str">
            <v>DAP GX</v>
          </cell>
        </row>
        <row r="1726">
          <cell r="C1726" t="str">
            <v>C49SZX20220015SX</v>
          </cell>
          <cell r="Y1726">
            <v>13453405</v>
          </cell>
          <cell r="AG1726" t="str">
            <v>DAP GX</v>
          </cell>
        </row>
        <row r="1727">
          <cell r="C1727" t="str">
            <v>C49SZX20220015SX</v>
          </cell>
          <cell r="Y1727">
            <v>13453405</v>
          </cell>
          <cell r="AG1727" t="str">
            <v>DAP GX</v>
          </cell>
        </row>
        <row r="1728">
          <cell r="C1728" t="str">
            <v>C49SZX20220011DZ</v>
          </cell>
          <cell r="Y1728">
            <v>600000</v>
          </cell>
          <cell r="AG1728" t="str">
            <v>DDP JX</v>
          </cell>
        </row>
        <row r="1729">
          <cell r="C1729" t="str">
            <v>C49SZX20220016JL</v>
          </cell>
          <cell r="Y1729">
            <v>13000000</v>
          </cell>
          <cell r="AG1729" t="str">
            <v>DAP SZ</v>
          </cell>
        </row>
        <row r="1730">
          <cell r="C1730" t="str">
            <v>C49SZX20220016JL</v>
          </cell>
          <cell r="Y1730">
            <v>8000000</v>
          </cell>
          <cell r="AG1730" t="str">
            <v>DAP SZ</v>
          </cell>
        </row>
        <row r="1731">
          <cell r="C1731" t="str">
            <v>C49SZX20220018SX</v>
          </cell>
          <cell r="Y1731">
            <v>9000000</v>
          </cell>
          <cell r="AG1731" t="str">
            <v>DAP SZ</v>
          </cell>
        </row>
        <row r="1732">
          <cell r="C1732" t="str">
            <v>C49SZX20220018SX</v>
          </cell>
          <cell r="Y1732">
            <v>9000000</v>
          </cell>
          <cell r="AG1732" t="str">
            <v>DAP SZ</v>
          </cell>
        </row>
        <row r="1733">
          <cell r="C1733" t="str">
            <v>C49SZX20220020R1SS</v>
          </cell>
          <cell r="Y1733">
            <v>9600000</v>
          </cell>
          <cell r="AG1733" t="str">
            <v>DAP SZ</v>
          </cell>
        </row>
        <row r="1734">
          <cell r="C1734" t="str">
            <v>C49SZX20220019MX</v>
          </cell>
          <cell r="Y1734">
            <v>1300000</v>
          </cell>
          <cell r="AG1734" t="str">
            <v>DDP SZ</v>
          </cell>
        </row>
        <row r="1735">
          <cell r="C1735" t="str">
            <v>C49SZX20220013DZ</v>
          </cell>
          <cell r="Y1735">
            <v>18000000</v>
          </cell>
          <cell r="AG1735" t="str">
            <v>CIF HK</v>
          </cell>
        </row>
        <row r="1736">
          <cell r="C1736" t="str">
            <v>C49SZX20220013DZ</v>
          </cell>
          <cell r="Y1736">
            <v>18000000</v>
          </cell>
          <cell r="AG1736" t="str">
            <v>CIF HK</v>
          </cell>
        </row>
        <row r="1737">
          <cell r="C1737" t="str">
            <v>C49SZX20220013DZ</v>
          </cell>
          <cell r="Y1737">
            <v>18000000</v>
          </cell>
          <cell r="AG1737" t="str">
            <v>CIF HK</v>
          </cell>
        </row>
        <row r="1738">
          <cell r="C1738" t="str">
            <v>C49SZX20220013DZ</v>
          </cell>
          <cell r="Y1738">
            <v>16000000</v>
          </cell>
          <cell r="AG1738" t="str">
            <v>CIF HK</v>
          </cell>
        </row>
        <row r="1739">
          <cell r="C1739" t="str">
            <v>C49SZX20220013DZ</v>
          </cell>
          <cell r="Y1739">
            <v>16000000</v>
          </cell>
          <cell r="AG1739" t="str">
            <v>CIF HK</v>
          </cell>
        </row>
        <row r="1740">
          <cell r="C1740" t="str">
            <v>C49SZX20220013DZ</v>
          </cell>
          <cell r="Y1740">
            <v>11000000</v>
          </cell>
          <cell r="AG1740" t="str">
            <v>CIF HK</v>
          </cell>
        </row>
        <row r="1741">
          <cell r="C1741" t="str">
            <v>C49SZX20220013DZ</v>
          </cell>
          <cell r="Y1741">
            <v>11000000</v>
          </cell>
          <cell r="AG1741" t="str">
            <v>CIF HK</v>
          </cell>
        </row>
        <row r="1742">
          <cell r="C1742" t="str">
            <v>C49SZX20220013DZ</v>
          </cell>
          <cell r="Y1742">
            <v>11000000</v>
          </cell>
          <cell r="AG1742" t="str">
            <v>CIF HK</v>
          </cell>
        </row>
        <row r="1743">
          <cell r="C1743" t="str">
            <v>C49SZX20220013DZ</v>
          </cell>
          <cell r="Y1743">
            <v>11000000</v>
          </cell>
          <cell r="AG1743" t="str">
            <v>CIF HK</v>
          </cell>
        </row>
        <row r="1744">
          <cell r="C1744" t="str">
            <v>C49SZX20220013DZ</v>
          </cell>
          <cell r="Y1744">
            <v>16000000</v>
          </cell>
          <cell r="AG1744" t="str">
            <v>CIF HK</v>
          </cell>
        </row>
        <row r="1745">
          <cell r="C1745" t="str">
            <v>C49SZX20220013DZ</v>
          </cell>
          <cell r="Y1745">
            <v>11000000</v>
          </cell>
          <cell r="AG1745" t="str">
            <v>CIF HK</v>
          </cell>
        </row>
        <row r="1746">
          <cell r="C1746" t="str">
            <v>C49SZX20220013DZ</v>
          </cell>
          <cell r="Y1746">
            <v>11000000</v>
          </cell>
          <cell r="AG1746" t="str">
            <v>CIF HK</v>
          </cell>
        </row>
        <row r="1747">
          <cell r="C1747" t="str">
            <v>C49SZX20220021SS</v>
          </cell>
          <cell r="Y1747">
            <v>14190000</v>
          </cell>
          <cell r="AG1747" t="str">
            <v>DAP SZ</v>
          </cell>
        </row>
        <row r="1748">
          <cell r="C1748" t="str">
            <v>C49SZX20220023SX</v>
          </cell>
          <cell r="Y1748">
            <v>967200</v>
          </cell>
          <cell r="AG1748" t="str">
            <v>DDP SZ</v>
          </cell>
        </row>
        <row r="1749">
          <cell r="C1749" t="str">
            <v>C49SZX20220017JL</v>
          </cell>
          <cell r="Y1749">
            <v>13200000</v>
          </cell>
          <cell r="AG1749" t="str">
            <v>DAP SZ</v>
          </cell>
        </row>
        <row r="1750">
          <cell r="C1750" t="str">
            <v>C49SZX20220024VC</v>
          </cell>
          <cell r="Y1750">
            <v>17846000</v>
          </cell>
          <cell r="AG1750" t="str">
            <v>DAP SZ</v>
          </cell>
        </row>
        <row r="1751">
          <cell r="C1751" t="str">
            <v>C49SZX20220026SX</v>
          </cell>
          <cell r="Y1751">
            <v>13500000</v>
          </cell>
          <cell r="AG1751" t="str">
            <v>DAP SZ</v>
          </cell>
        </row>
        <row r="1752">
          <cell r="C1752" t="str">
            <v>C49SZX20220026SX</v>
          </cell>
          <cell r="Y1752">
            <v>10500000</v>
          </cell>
          <cell r="AG1752" t="str">
            <v>DAP SZ</v>
          </cell>
        </row>
        <row r="1753">
          <cell r="C1753" t="str">
            <v>C49SZX20220026SX</v>
          </cell>
          <cell r="Y1753">
            <v>10500000</v>
          </cell>
          <cell r="AG1753" t="str">
            <v>DAP SZ</v>
          </cell>
        </row>
        <row r="1754">
          <cell r="C1754" t="str">
            <v>C49SZX20220028R1SX</v>
          </cell>
          <cell r="Y1754">
            <v>6700000</v>
          </cell>
          <cell r="AG1754" t="str">
            <v>CIF HK</v>
          </cell>
        </row>
        <row r="1755">
          <cell r="C1755" t="str">
            <v>C49SZX20220028R1SX</v>
          </cell>
          <cell r="Y1755">
            <v>25000000</v>
          </cell>
          <cell r="AG1755" t="str">
            <v>CIF HK</v>
          </cell>
        </row>
        <row r="1756">
          <cell r="C1756" t="str">
            <v>C49SZX20220028R1SX</v>
          </cell>
          <cell r="Y1756">
            <v>12800000</v>
          </cell>
          <cell r="AG1756" t="str">
            <v>CIF HK</v>
          </cell>
        </row>
        <row r="1757">
          <cell r="C1757" t="str">
            <v>C28SZX20220029R1SX</v>
          </cell>
          <cell r="Y1757">
            <v>57000</v>
          </cell>
          <cell r="AG1757" t="str">
            <v>CIF HK</v>
          </cell>
        </row>
        <row r="1758">
          <cell r="C1758" t="str">
            <v>C49SZX20220027VG</v>
          </cell>
          <cell r="Y1758">
            <v>660000</v>
          </cell>
          <cell r="AG1758" t="str">
            <v>DDP SZ</v>
          </cell>
        </row>
        <row r="1759">
          <cell r="C1759" t="str">
            <v>C49SZX20220033JL</v>
          </cell>
          <cell r="Y1759">
            <v>13000000</v>
          </cell>
          <cell r="AG1759" t="str">
            <v>CIF HK</v>
          </cell>
        </row>
        <row r="1760">
          <cell r="C1760" t="str">
            <v>C49SZX20220033JL</v>
          </cell>
          <cell r="Y1760">
            <v>13000000</v>
          </cell>
          <cell r="AG1760" t="str">
            <v>CIF HK</v>
          </cell>
        </row>
        <row r="1761">
          <cell r="C1761" t="str">
            <v>C49SZX20220033JL</v>
          </cell>
          <cell r="Y1761">
            <v>13000000</v>
          </cell>
          <cell r="AG1761" t="str">
            <v>CIF HK</v>
          </cell>
        </row>
        <row r="1762">
          <cell r="C1762" t="str">
            <v>C49SZX20220033JL</v>
          </cell>
          <cell r="Y1762">
            <v>13000000</v>
          </cell>
          <cell r="AG1762" t="str">
            <v>CIF HK</v>
          </cell>
        </row>
        <row r="1763">
          <cell r="C1763" t="str">
            <v>C49SZX20220033JL</v>
          </cell>
          <cell r="Y1763">
            <v>13000000</v>
          </cell>
          <cell r="AG1763" t="str">
            <v>CIF HK</v>
          </cell>
        </row>
        <row r="1764">
          <cell r="C1764" t="str">
            <v>C49SZX20220033JL</v>
          </cell>
          <cell r="Y1764">
            <v>8000000</v>
          </cell>
          <cell r="AG1764" t="str">
            <v>CIF HK</v>
          </cell>
        </row>
        <row r="1765">
          <cell r="C1765" t="str">
            <v>C49SZX20220033JL</v>
          </cell>
          <cell r="Y1765">
            <v>8000000</v>
          </cell>
          <cell r="AG1765" t="str">
            <v>CIF HK</v>
          </cell>
        </row>
        <row r="1766">
          <cell r="C1766" t="str">
            <v>C49SZX20220033JL</v>
          </cell>
          <cell r="Y1766">
            <v>8000000</v>
          </cell>
          <cell r="AG1766" t="str">
            <v>CIF HK</v>
          </cell>
        </row>
        <row r="1767">
          <cell r="C1767" t="str">
            <v>C49SZX20220033JL</v>
          </cell>
          <cell r="Y1767">
            <v>8000000</v>
          </cell>
          <cell r="AG1767" t="str">
            <v>CIF HK</v>
          </cell>
        </row>
        <row r="1768">
          <cell r="C1768" t="str">
            <v>C49SZX20220025AY</v>
          </cell>
          <cell r="Y1768">
            <v>516500</v>
          </cell>
          <cell r="AG1768" t="str">
            <v>DDP HZ</v>
          </cell>
        </row>
        <row r="1769">
          <cell r="C1769" t="str">
            <v>C49SZX20220025AY</v>
          </cell>
          <cell r="Y1769">
            <v>554500</v>
          </cell>
          <cell r="AG1769" t="str">
            <v>DDP HZ</v>
          </cell>
        </row>
        <row r="1770">
          <cell r="C1770" t="str">
            <v>C49SZX20220031JL</v>
          </cell>
          <cell r="Y1770">
            <v>1290000</v>
          </cell>
          <cell r="AG1770" t="str">
            <v>DDP SZ</v>
          </cell>
        </row>
        <row r="1771">
          <cell r="C1771" t="str">
            <v>C49SZX20220032JL</v>
          </cell>
          <cell r="Y1771">
            <v>20800000</v>
          </cell>
          <cell r="AG1771" t="str">
            <v>DAP SZ</v>
          </cell>
        </row>
        <row r="1772">
          <cell r="C1772" t="str">
            <v>C49SZX20220032JL</v>
          </cell>
          <cell r="Y1772">
            <v>20800000</v>
          </cell>
          <cell r="AG1772" t="str">
            <v>DAP SZ</v>
          </cell>
        </row>
        <row r="1773">
          <cell r="C1773" t="str">
            <v>C49SZX20220032JL</v>
          </cell>
          <cell r="Y1773">
            <v>20800000</v>
          </cell>
          <cell r="AG1773" t="str">
            <v>DAP SZ</v>
          </cell>
        </row>
        <row r="1774">
          <cell r="C1774" t="str">
            <v>C49SZX20220032JL</v>
          </cell>
          <cell r="Y1774">
            <v>20800000</v>
          </cell>
          <cell r="AG1774" t="str">
            <v>DAP SZ</v>
          </cell>
        </row>
        <row r="1775">
          <cell r="C1775" t="str">
            <v>C49SZX20220035R1SS</v>
          </cell>
          <cell r="Y1775">
            <v>15786000</v>
          </cell>
          <cell r="AG1775" t="str">
            <v>DDP SZ</v>
          </cell>
        </row>
        <row r="1776">
          <cell r="C1776" t="str">
            <v>C49SZX20220035R1SS</v>
          </cell>
          <cell r="Y1776">
            <v>15786000</v>
          </cell>
          <cell r="AG1776" t="str">
            <v>DAP SZ</v>
          </cell>
        </row>
        <row r="1777">
          <cell r="C1777" t="str">
            <v>C49SZX20220035R1SS</v>
          </cell>
          <cell r="Y1777">
            <v>15786000</v>
          </cell>
          <cell r="AG1777" t="str">
            <v>DAP SZ</v>
          </cell>
        </row>
        <row r="1778">
          <cell r="C1778" t="str">
            <v>C49SZX20220035R1SS</v>
          </cell>
          <cell r="Y1778">
            <v>8700000</v>
          </cell>
          <cell r="AG1778" t="str">
            <v>DAP SZ</v>
          </cell>
        </row>
        <row r="1779">
          <cell r="C1779" t="str">
            <v>C49SZX20220035R1SS</v>
          </cell>
          <cell r="Y1779">
            <v>8700000</v>
          </cell>
          <cell r="AG1779" t="str">
            <v>DAP SZ</v>
          </cell>
        </row>
        <row r="1780">
          <cell r="C1780" t="str">
            <v>C49SZX20220036SS</v>
          </cell>
          <cell r="Y1780">
            <v>13990000</v>
          </cell>
          <cell r="AG1780" t="str">
            <v>DAP SZ</v>
          </cell>
        </row>
        <row r="1781">
          <cell r="C1781" t="str">
            <v>C49SZX20220037SS</v>
          </cell>
          <cell r="Y1781">
            <v>490000</v>
          </cell>
          <cell r="AG1781" t="str">
            <v>DDP SZ</v>
          </cell>
        </row>
        <row r="1782">
          <cell r="C1782" t="str">
            <v>C49SZX20220037SS</v>
          </cell>
          <cell r="Y1782">
            <v>803285</v>
          </cell>
          <cell r="AG1782" t="str">
            <v>DDP SZ</v>
          </cell>
        </row>
        <row r="1783">
          <cell r="C1783" t="str">
            <v>C49SZX20220038JY</v>
          </cell>
          <cell r="Y1783">
            <v>850000</v>
          </cell>
          <cell r="AG1783" t="str">
            <v>DDP SZ</v>
          </cell>
        </row>
        <row r="1784">
          <cell r="C1784" t="str">
            <v>C49SZX20220039JY</v>
          </cell>
          <cell r="Y1784">
            <v>900000</v>
          </cell>
          <cell r="AG1784" t="str">
            <v>DDP SZ</v>
          </cell>
        </row>
        <row r="1785">
          <cell r="C1785" t="str">
            <v>C49SZX20220041SQ</v>
          </cell>
          <cell r="Y1785">
            <v>10068000</v>
          </cell>
          <cell r="AG1785" t="str">
            <v>DAP SZ</v>
          </cell>
        </row>
        <row r="1786">
          <cell r="C1786" t="str">
            <v>C49SZX20220043SQ</v>
          </cell>
          <cell r="Y1786">
            <v>986383</v>
          </cell>
          <cell r="AG1786" t="str">
            <v>DDP SZ</v>
          </cell>
        </row>
        <row r="1787">
          <cell r="C1787" t="str">
            <v>C49SZX20220045SX</v>
          </cell>
          <cell r="Y1787">
            <v>9393000</v>
          </cell>
          <cell r="AG1787" t="str">
            <v>DAP SZ</v>
          </cell>
        </row>
        <row r="1788">
          <cell r="C1788" t="str">
            <v>C49SZX20220045SX</v>
          </cell>
          <cell r="Y1788">
            <v>9393000</v>
          </cell>
          <cell r="AG1788" t="str">
            <v>DDP SZ</v>
          </cell>
        </row>
        <row r="1789">
          <cell r="C1789" t="str">
            <v>C49SZX20210097JL</v>
          </cell>
          <cell r="Y1789">
            <v>11920000</v>
          </cell>
          <cell r="AG1789" t="str">
            <v>CIF HK</v>
          </cell>
        </row>
        <row r="1790">
          <cell r="C1790" t="str">
            <v>C49SZX20220124JL</v>
          </cell>
          <cell r="Y1790">
            <v>10500000</v>
          </cell>
          <cell r="AG1790" t="str">
            <v>CIF HK</v>
          </cell>
        </row>
        <row r="1791">
          <cell r="C1791" t="str">
            <v>C49SZX20220124JL</v>
          </cell>
          <cell r="Y1791">
            <v>6400000</v>
          </cell>
          <cell r="AG1791" t="str">
            <v>CIF HK</v>
          </cell>
        </row>
        <row r="1792">
          <cell r="C1792" t="str">
            <v>C49SZX20210097JL</v>
          </cell>
          <cell r="Y1792">
            <v>7920000</v>
          </cell>
          <cell r="AG1792" t="str">
            <v>CIF HK</v>
          </cell>
        </row>
        <row r="1793">
          <cell r="C1793" t="str">
            <v>C49SZX20220046JL</v>
          </cell>
          <cell r="Y1793">
            <v>11300000</v>
          </cell>
          <cell r="AG1793" t="str">
            <v>DAP SZ</v>
          </cell>
        </row>
        <row r="1794">
          <cell r="C1794" t="str">
            <v>C49SZX20220046JL</v>
          </cell>
          <cell r="Y1794">
            <v>11300000</v>
          </cell>
          <cell r="AG1794" t="str">
            <v>DAP SZ</v>
          </cell>
        </row>
        <row r="1795">
          <cell r="C1795" t="str">
            <v>C49SZX20220046JL</v>
          </cell>
          <cell r="Y1795">
            <v>7000000</v>
          </cell>
          <cell r="AG1795" t="str">
            <v>DAP SZ</v>
          </cell>
        </row>
        <row r="1796">
          <cell r="C1796" t="str">
            <v>C49SZX20220046JL</v>
          </cell>
          <cell r="Y1796">
            <v>7000000</v>
          </cell>
          <cell r="AG1796" t="str">
            <v>DAP SZ</v>
          </cell>
        </row>
        <row r="1797">
          <cell r="C1797" t="str">
            <v>C49SZX20220047JL</v>
          </cell>
          <cell r="Y1797">
            <v>13000000</v>
          </cell>
          <cell r="AG1797" t="str">
            <v>DAP SZ</v>
          </cell>
        </row>
        <row r="1798">
          <cell r="C1798" t="str">
            <v>C49SZX20220047JL</v>
          </cell>
          <cell r="Y1798">
            <v>13000000</v>
          </cell>
          <cell r="AG1798" t="str">
            <v>DAP SZ</v>
          </cell>
        </row>
        <row r="1799">
          <cell r="C1799" t="str">
            <v>C49SZX20220047JL</v>
          </cell>
          <cell r="Y1799">
            <v>8300000</v>
          </cell>
          <cell r="AG1799" t="str">
            <v>DAP SZ</v>
          </cell>
        </row>
        <row r="1800">
          <cell r="C1800" t="str">
            <v>C49SZX20220047JL</v>
          </cell>
          <cell r="Y1800">
            <v>8300000</v>
          </cell>
          <cell r="AG1800" t="str">
            <v>DAP SZ</v>
          </cell>
        </row>
        <row r="1801">
          <cell r="C1801" t="str">
            <v>C49SZX20220048SX</v>
          </cell>
          <cell r="Y1801">
            <v>490000</v>
          </cell>
          <cell r="AG1801" t="str">
            <v>DDP SZ</v>
          </cell>
        </row>
        <row r="1802">
          <cell r="C1802" t="str">
            <v>C49SZX20220049JY</v>
          </cell>
          <cell r="Y1802">
            <v>13900000</v>
          </cell>
          <cell r="AG1802" t="str">
            <v>CIF HK</v>
          </cell>
        </row>
        <row r="1803">
          <cell r="C1803" t="str">
            <v>C49SZX20220049JY</v>
          </cell>
          <cell r="Y1803">
            <v>13900000</v>
          </cell>
          <cell r="AG1803" t="str">
            <v>CIF HK</v>
          </cell>
        </row>
        <row r="1804">
          <cell r="C1804" t="str">
            <v>C49SZX20220049JY</v>
          </cell>
          <cell r="Y1804">
            <v>13900000</v>
          </cell>
          <cell r="AG1804" t="str">
            <v>CIF HK</v>
          </cell>
        </row>
        <row r="1805">
          <cell r="C1805" t="str">
            <v>C49SZX20220049JY</v>
          </cell>
          <cell r="Y1805">
            <v>9978000</v>
          </cell>
          <cell r="AG1805" t="str">
            <v>CIF HK</v>
          </cell>
        </row>
        <row r="1806">
          <cell r="C1806" t="str">
            <v>SNFPC-CG-2022-008</v>
          </cell>
          <cell r="Y1806">
            <v>990000</v>
          </cell>
          <cell r="AG1806" t="str">
            <v>DDP SN</v>
          </cell>
        </row>
        <row r="1807">
          <cell r="C1807" t="str">
            <v>SNFPC-CG-2022-008</v>
          </cell>
          <cell r="Y1807">
            <v>990000</v>
          </cell>
          <cell r="AG1807" t="str">
            <v>DDP SN</v>
          </cell>
        </row>
        <row r="1808">
          <cell r="C1808" t="str">
            <v>SNFPC-CG-2022-008</v>
          </cell>
          <cell r="Y1808">
            <v>990000</v>
          </cell>
          <cell r="AG1808" t="str">
            <v>DDP SN</v>
          </cell>
        </row>
        <row r="1809">
          <cell r="C1809" t="str">
            <v>SNFPC-CG-2022-008</v>
          </cell>
          <cell r="Y1809">
            <v>990000</v>
          </cell>
          <cell r="AG1809" t="str">
            <v>DDP SN</v>
          </cell>
        </row>
        <row r="1810">
          <cell r="C1810" t="str">
            <v>SNFPC-CG-2022-008</v>
          </cell>
          <cell r="Y1810">
            <v>990000</v>
          </cell>
          <cell r="AG1810" t="str">
            <v>DDP SN</v>
          </cell>
        </row>
        <row r="1811">
          <cell r="C1811" t="str">
            <v>SNFPC-CG-2022-008</v>
          </cell>
          <cell r="Y1811">
            <v>990000</v>
          </cell>
          <cell r="AG1811" t="str">
            <v>DDP SN</v>
          </cell>
        </row>
        <row r="1812">
          <cell r="C1812" t="str">
            <v>SNFPC-CG-2022-008</v>
          </cell>
          <cell r="Y1812">
            <v>650000</v>
          </cell>
          <cell r="AG1812" t="str">
            <v>DDP SN</v>
          </cell>
        </row>
        <row r="1813">
          <cell r="C1813" t="str">
            <v>SNFPC-CG-2022-008</v>
          </cell>
          <cell r="Y1813">
            <v>650000</v>
          </cell>
          <cell r="AG1813" t="str">
            <v>DDP SN</v>
          </cell>
        </row>
        <row r="1814">
          <cell r="C1814" t="str">
            <v>C49SZX20220051DZ</v>
          </cell>
          <cell r="Y1814">
            <v>12800000</v>
          </cell>
          <cell r="AG1814" t="str">
            <v>CIF HK</v>
          </cell>
        </row>
        <row r="1815">
          <cell r="C1815" t="str">
            <v>C49SZX20220055SX</v>
          </cell>
          <cell r="Y1815">
            <v>14000000</v>
          </cell>
          <cell r="AG1815" t="str">
            <v>DAP SZ</v>
          </cell>
        </row>
        <row r="1816">
          <cell r="C1816" t="str">
            <v>C49SZX20220055SX</v>
          </cell>
          <cell r="Y1816">
            <v>10000000</v>
          </cell>
          <cell r="AG1816" t="str">
            <v>DAP SZ</v>
          </cell>
        </row>
        <row r="1817">
          <cell r="C1817" t="str">
            <v>C49SZX20220056EC</v>
          </cell>
          <cell r="Y1817">
            <v>10500000</v>
          </cell>
          <cell r="AG1817" t="str">
            <v>DAP SZ</v>
          </cell>
        </row>
        <row r="1818">
          <cell r="C1818" t="str">
            <v>SNFPC-CG-2022-013</v>
          </cell>
          <cell r="Y1818">
            <v>700000</v>
          </cell>
          <cell r="AG1818" t="str">
            <v>DDP SN</v>
          </cell>
        </row>
        <row r="1819">
          <cell r="C1819" t="str">
            <v>SNFPC-CG-2022-013</v>
          </cell>
          <cell r="Y1819">
            <v>700000</v>
          </cell>
          <cell r="AG1819" t="str">
            <v>DDP SN</v>
          </cell>
        </row>
        <row r="1820">
          <cell r="C1820" t="str">
            <v>SNFPC-CG-2022-013</v>
          </cell>
          <cell r="Y1820">
            <v>700000</v>
          </cell>
          <cell r="AG1820" t="str">
            <v>DDP SN</v>
          </cell>
        </row>
        <row r="1821">
          <cell r="C1821" t="str">
            <v>SNFPC-CG-2022-013</v>
          </cell>
          <cell r="Y1821">
            <v>700000</v>
          </cell>
          <cell r="AG1821" t="str">
            <v>DDP SN</v>
          </cell>
        </row>
        <row r="1822">
          <cell r="C1822" t="str">
            <v>C49SZX20220060DZ</v>
          </cell>
          <cell r="Y1822">
            <v>15000000</v>
          </cell>
          <cell r="AG1822" t="str">
            <v>CIF HK</v>
          </cell>
        </row>
        <row r="1823">
          <cell r="C1823" t="str">
            <v>C49SZX20220060DZ</v>
          </cell>
          <cell r="Y1823">
            <v>10400000</v>
          </cell>
          <cell r="AG1823" t="str">
            <v>CIF HK</v>
          </cell>
        </row>
        <row r="1824">
          <cell r="C1824" t="str">
            <v>C49SZX20220062SS</v>
          </cell>
          <cell r="Y1824">
            <v>515000</v>
          </cell>
          <cell r="AG1824" t="str">
            <v>DDP SZ</v>
          </cell>
        </row>
        <row r="1825">
          <cell r="C1825" t="str">
            <v>C49SZX20220059DY</v>
          </cell>
          <cell r="Y1825">
            <v>15000000</v>
          </cell>
          <cell r="AG1825" t="str">
            <v>DAP HZ</v>
          </cell>
        </row>
        <row r="1826">
          <cell r="C1826" t="str">
            <v>C49SZX20220059DY</v>
          </cell>
          <cell r="Y1826">
            <v>15000000</v>
          </cell>
          <cell r="AG1826" t="str">
            <v>DAP HZ</v>
          </cell>
        </row>
        <row r="1827">
          <cell r="C1827" t="str">
            <v>C49SZX202200066SS</v>
          </cell>
          <cell r="Y1827">
            <v>460000</v>
          </cell>
          <cell r="AG1827" t="str">
            <v>DDP SZ</v>
          </cell>
        </row>
        <row r="1828">
          <cell r="C1828" t="str">
            <v>C49SZX20220065SX</v>
          </cell>
          <cell r="Y1828">
            <v>660000</v>
          </cell>
          <cell r="AG1828" t="str">
            <v>DDP SZ</v>
          </cell>
        </row>
        <row r="1829">
          <cell r="C1829" t="str">
            <v>C49SZX20220065SX</v>
          </cell>
          <cell r="Y1829">
            <v>900000</v>
          </cell>
          <cell r="AG1829" t="str">
            <v>DDP SZ</v>
          </cell>
        </row>
        <row r="1830">
          <cell r="C1830" t="str">
            <v>C49SZX20220067SQ</v>
          </cell>
          <cell r="Y1830">
            <v>623546</v>
          </cell>
          <cell r="AG1830" t="str">
            <v>DDP FS</v>
          </cell>
        </row>
        <row r="1831">
          <cell r="C1831" t="str">
            <v>C49SZX20220061MX</v>
          </cell>
          <cell r="Y1831">
            <v>10000000</v>
          </cell>
          <cell r="AG1831" t="str">
            <v>DAP SZ</v>
          </cell>
        </row>
        <row r="1832">
          <cell r="C1832" t="str">
            <v>C49SZX20220061MX</v>
          </cell>
          <cell r="Y1832">
            <v>13000000</v>
          </cell>
          <cell r="AG1832" t="str">
            <v>DAP SZ</v>
          </cell>
        </row>
        <row r="1833">
          <cell r="C1833" t="str">
            <v>C49SZX20220063JY</v>
          </cell>
          <cell r="Y1833">
            <v>450000</v>
          </cell>
          <cell r="AG1833" t="str">
            <v>DDP GZ</v>
          </cell>
        </row>
        <row r="1834">
          <cell r="C1834" t="str">
            <v>C49SZX20220063JY</v>
          </cell>
          <cell r="Y1834">
            <v>450000</v>
          </cell>
          <cell r="AG1834" t="str">
            <v>DDP GZ</v>
          </cell>
        </row>
        <row r="1835">
          <cell r="C1835" t="str">
            <v>C49SZX20220068MZ</v>
          </cell>
          <cell r="Y1835">
            <v>18100000</v>
          </cell>
          <cell r="AG1835" t="str">
            <v>DAP HZ</v>
          </cell>
        </row>
        <row r="1836">
          <cell r="C1836" t="str">
            <v>C49SZX20220068MZ</v>
          </cell>
          <cell r="Y1836">
            <v>18100000</v>
          </cell>
          <cell r="AG1836" t="str">
            <v>DAP HZ</v>
          </cell>
        </row>
        <row r="1837">
          <cell r="C1837" t="str">
            <v>C49SZX20220072DZ</v>
          </cell>
          <cell r="Y1837">
            <v>762233</v>
          </cell>
          <cell r="AG1837" t="str">
            <v>DDP SZ</v>
          </cell>
        </row>
        <row r="1838">
          <cell r="C1838" t="str">
            <v>C49SZX20220072DZ</v>
          </cell>
          <cell r="Y1838">
            <v>762233</v>
          </cell>
          <cell r="AG1838" t="str">
            <v>DDP SZ</v>
          </cell>
        </row>
        <row r="1839">
          <cell r="C1839" t="str">
            <v>C49SZX20220072DZ</v>
          </cell>
          <cell r="Y1839">
            <v>575779</v>
          </cell>
          <cell r="AG1839" t="str">
            <v>DDP SZ</v>
          </cell>
        </row>
        <row r="1840">
          <cell r="C1840" t="str">
            <v>C49SZX20220042JY</v>
          </cell>
          <cell r="Y1840">
            <v>13980000</v>
          </cell>
          <cell r="AG1840" t="str">
            <v>DAP SZ</v>
          </cell>
        </row>
        <row r="1841">
          <cell r="C1841" t="str">
            <v>C49SZX20220075SX</v>
          </cell>
          <cell r="Y1841">
            <v>570000</v>
          </cell>
          <cell r="AG1841" t="str">
            <v>DDP DG</v>
          </cell>
        </row>
        <row r="1842">
          <cell r="C1842" t="str">
            <v>C49SZX20220070JY</v>
          </cell>
          <cell r="Y1842">
            <v>8300000</v>
          </cell>
          <cell r="AG1842" t="str">
            <v>CIF HK</v>
          </cell>
        </row>
        <row r="1843">
          <cell r="C1843" t="str">
            <v>C49SZX20220070JY</v>
          </cell>
          <cell r="Y1843">
            <v>8300000</v>
          </cell>
          <cell r="AG1843" t="str">
            <v>CIF HK</v>
          </cell>
        </row>
        <row r="1844">
          <cell r="C1844" t="str">
            <v>C28SZX20220076R1TS</v>
          </cell>
          <cell r="Y1844">
            <v>53744</v>
          </cell>
          <cell r="AG1844" t="str">
            <v>DDP SH</v>
          </cell>
        </row>
        <row r="1845">
          <cell r="C1845" t="str">
            <v>C49SZX20220077SS</v>
          </cell>
          <cell r="Y1845">
            <v>750000</v>
          </cell>
          <cell r="AG1845" t="str">
            <v>DDP SZ</v>
          </cell>
        </row>
        <row r="1846">
          <cell r="C1846" t="str">
            <v>C49SZX20220053SS</v>
          </cell>
          <cell r="Y1846">
            <v>740000</v>
          </cell>
          <cell r="AG1846" t="str">
            <v>DDP DG</v>
          </cell>
        </row>
        <row r="1847">
          <cell r="C1847" t="str">
            <v>C49SZX20220053SS</v>
          </cell>
          <cell r="Y1847">
            <v>435000</v>
          </cell>
          <cell r="AG1847" t="str">
            <v>DDP DG</v>
          </cell>
        </row>
        <row r="1848">
          <cell r="C1848" t="str">
            <v>C49SZX20220071VC</v>
          </cell>
          <cell r="Y1848">
            <v>522400</v>
          </cell>
          <cell r="AG1848" t="str">
            <v>DDP SZ</v>
          </cell>
        </row>
        <row r="1849">
          <cell r="C1849" t="str">
            <v>C49SZX20220079JL</v>
          </cell>
          <cell r="Y1849">
            <v>475000</v>
          </cell>
          <cell r="AG1849" t="str">
            <v>DDP  DG</v>
          </cell>
        </row>
        <row r="1850">
          <cell r="C1850" t="str">
            <v>C49SZX20220079JL</v>
          </cell>
          <cell r="Y1850">
            <v>475000</v>
          </cell>
          <cell r="AG1850" t="str">
            <v>DDP  DG</v>
          </cell>
        </row>
        <row r="1851">
          <cell r="C1851" t="str">
            <v>C49SZX20220073DZ</v>
          </cell>
          <cell r="Y1851">
            <v>17000000</v>
          </cell>
          <cell r="AG1851" t="str">
            <v>CIF HK</v>
          </cell>
        </row>
        <row r="1852">
          <cell r="C1852" t="str">
            <v>C49SZX20220073DZ</v>
          </cell>
          <cell r="Y1852">
            <v>17000000</v>
          </cell>
          <cell r="AG1852" t="str">
            <v>CIF HK</v>
          </cell>
        </row>
        <row r="1853">
          <cell r="C1853" t="str">
            <v>C49SZX20220073DZ</v>
          </cell>
          <cell r="Y1853">
            <v>17000000</v>
          </cell>
          <cell r="AG1853" t="str">
            <v>CIF HK</v>
          </cell>
        </row>
        <row r="1854">
          <cell r="C1854" t="str">
            <v>C49SZX20220073DZ</v>
          </cell>
          <cell r="Y1854">
            <v>12014500</v>
          </cell>
          <cell r="AG1854" t="str">
            <v>CIF HK</v>
          </cell>
        </row>
        <row r="1855">
          <cell r="C1855" t="str">
            <v>C49SZX20220073DZ</v>
          </cell>
          <cell r="Y1855">
            <v>12014500</v>
          </cell>
          <cell r="AG1855" t="str">
            <v>CIF HK</v>
          </cell>
        </row>
        <row r="1856">
          <cell r="C1856" t="str">
            <v>C49SZX20220073DZ</v>
          </cell>
          <cell r="Y1856">
            <v>12014500</v>
          </cell>
          <cell r="AG1856" t="str">
            <v>CIF HK</v>
          </cell>
        </row>
        <row r="1857">
          <cell r="C1857" t="str">
            <v>C49SZX20220083DZ</v>
          </cell>
          <cell r="Y1857">
            <v>1440000</v>
          </cell>
          <cell r="AG1857" t="str">
            <v>DDP HZ</v>
          </cell>
        </row>
        <row r="1858">
          <cell r="C1858" t="str">
            <v>C49SZX20220083DZ</v>
          </cell>
          <cell r="Y1858">
            <v>1440000</v>
          </cell>
          <cell r="AG1858" t="str">
            <v>DDP HZ</v>
          </cell>
        </row>
        <row r="1859">
          <cell r="C1859" t="str">
            <v>C49SZX20220080JY</v>
          </cell>
          <cell r="Y1859">
            <v>860640</v>
          </cell>
          <cell r="AG1859" t="str">
            <v>DDP SZ</v>
          </cell>
        </row>
        <row r="1860">
          <cell r="C1860" t="str">
            <v>C49SZX20220084DZ</v>
          </cell>
          <cell r="Y1860">
            <v>17000000</v>
          </cell>
          <cell r="AG1860" t="str">
            <v>CIF HK</v>
          </cell>
        </row>
        <row r="1861">
          <cell r="C1861" t="str">
            <v>C49SZX20220084DZ</v>
          </cell>
          <cell r="Y1861">
            <v>12294000</v>
          </cell>
          <cell r="AG1861" t="str">
            <v>CIF HK</v>
          </cell>
        </row>
        <row r="1862">
          <cell r="C1862" t="str">
            <v>C28SZX20220085DZ</v>
          </cell>
          <cell r="Y1862">
            <v>11500000</v>
          </cell>
          <cell r="AG1862" t="str">
            <v>CIF HK</v>
          </cell>
        </row>
        <row r="1863">
          <cell r="C1863" t="str">
            <v>C49SZX20220086VG/ESE220803STOCK-OS</v>
          </cell>
          <cell r="Y1863">
            <v>20507500</v>
          </cell>
          <cell r="AG1863" t="str">
            <v>CIF HK</v>
          </cell>
        </row>
        <row r="1864">
          <cell r="C1864" t="str">
            <v>C49SZX20220086VG/ESE220803STOCK-OS</v>
          </cell>
          <cell r="Y1864">
            <v>20507500</v>
          </cell>
          <cell r="AG1864" t="str">
            <v>CIF HK</v>
          </cell>
        </row>
        <row r="1865">
          <cell r="C1865" t="str">
            <v>C49SZX20220088SX</v>
          </cell>
          <cell r="Y1865">
            <v>480000</v>
          </cell>
          <cell r="AG1865" t="str">
            <v>DDP SZ</v>
          </cell>
        </row>
        <row r="1866">
          <cell r="C1866" t="str">
            <v>C49SZX20220088SX</v>
          </cell>
          <cell r="Y1866">
            <v>520000</v>
          </cell>
          <cell r="AG1866" t="str">
            <v>DDP SZ</v>
          </cell>
        </row>
        <row r="1867">
          <cell r="C1867" t="str">
            <v>C49SZX20220090SQ</v>
          </cell>
          <cell r="Y1867">
            <v>570000</v>
          </cell>
          <cell r="AG1867" t="str">
            <v>DDP SZ</v>
          </cell>
        </row>
        <row r="1868">
          <cell r="C1868" t="str">
            <v>C49SZX20220090SQ</v>
          </cell>
          <cell r="Y1868">
            <v>800000</v>
          </cell>
          <cell r="AG1868" t="str">
            <v>DDP SZ</v>
          </cell>
        </row>
        <row r="1869">
          <cell r="C1869" t="str">
            <v>C49SZX20220091MZ</v>
          </cell>
          <cell r="Y1869">
            <v>550000</v>
          </cell>
          <cell r="AG1869" t="str">
            <v>DDP LJ</v>
          </cell>
        </row>
        <row r="1870">
          <cell r="C1870" t="str">
            <v>C49SZX20220096JL</v>
          </cell>
          <cell r="Y1870">
            <v>12600000</v>
          </cell>
          <cell r="AG1870" t="str">
            <v>DAP SZ</v>
          </cell>
        </row>
        <row r="1871">
          <cell r="C1871" t="str">
            <v>C49SZX20220096JL</v>
          </cell>
          <cell r="Y1871">
            <v>7600000</v>
          </cell>
          <cell r="AG1871" t="str">
            <v>DAP SZ</v>
          </cell>
        </row>
        <row r="1872">
          <cell r="C1872" t="str">
            <v>C49SZX20220096JL</v>
          </cell>
          <cell r="Y1872">
            <v>7600000</v>
          </cell>
          <cell r="AG1872" t="str">
            <v>DAP SZ</v>
          </cell>
        </row>
        <row r="1873">
          <cell r="C1873" t="str">
            <v>C49SZX20220096JL</v>
          </cell>
          <cell r="Y1873">
            <v>7600000</v>
          </cell>
          <cell r="AG1873" t="str">
            <v>DAP SZ</v>
          </cell>
        </row>
        <row r="1874">
          <cell r="C1874" t="str">
            <v>159851(R2)-ELE</v>
          </cell>
          <cell r="Y1874">
            <v>11425308.710000001</v>
          </cell>
          <cell r="AG1874" t="str">
            <v>CIF HK</v>
          </cell>
        </row>
        <row r="1875">
          <cell r="C1875" t="str">
            <v>159851(R2)-ELE</v>
          </cell>
          <cell r="Y1875">
            <v>11425308.710000001</v>
          </cell>
          <cell r="AG1875" t="str">
            <v>CIF HK</v>
          </cell>
        </row>
        <row r="1876">
          <cell r="C1876" t="str">
            <v>159851(R2)-ELE</v>
          </cell>
          <cell r="Y1876">
            <v>7202455.29</v>
          </cell>
          <cell r="AG1876" t="str">
            <v>CIF HK</v>
          </cell>
        </row>
        <row r="1877">
          <cell r="C1877" t="str">
            <v>159851(R2)-ELE</v>
          </cell>
          <cell r="Y1877">
            <v>7202455.29</v>
          </cell>
          <cell r="AG1877" t="str">
            <v>CIF HK</v>
          </cell>
        </row>
        <row r="1878">
          <cell r="C1878" t="str">
            <v>C49SZX20220100SS</v>
          </cell>
          <cell r="Y1878">
            <v>440000</v>
          </cell>
          <cell r="AG1878" t="str">
            <v>DDP SZ</v>
          </cell>
        </row>
        <row r="1879">
          <cell r="C1879" t="str">
            <v>C49SZX20220099JY</v>
          </cell>
          <cell r="Y1879">
            <v>12669000</v>
          </cell>
          <cell r="AG1879" t="str">
            <v>DAP HZ</v>
          </cell>
        </row>
        <row r="1880">
          <cell r="C1880" t="str">
            <v>C49SZX20220099JY</v>
          </cell>
          <cell r="Y1880">
            <v>7416000</v>
          </cell>
          <cell r="AG1880" t="str">
            <v>DAP HZ</v>
          </cell>
        </row>
        <row r="1881">
          <cell r="C1881" t="str">
            <v>C49SZX20220098MZ</v>
          </cell>
          <cell r="Y1881">
            <v>775000</v>
          </cell>
          <cell r="AG1881" t="str">
            <v>DDP HN</v>
          </cell>
        </row>
        <row r="1882">
          <cell r="C1882" t="str">
            <v>C49SZX20220098MZ</v>
          </cell>
          <cell r="Y1882">
            <v>775000</v>
          </cell>
          <cell r="AG1882" t="str">
            <v>DDP HN</v>
          </cell>
        </row>
        <row r="1883">
          <cell r="C1883" t="str">
            <v>C49SZX20220102DZ</v>
          </cell>
          <cell r="Y1883">
            <v>910000</v>
          </cell>
          <cell r="AG1883" t="str">
            <v>DDP JX</v>
          </cell>
        </row>
        <row r="1884">
          <cell r="C1884" t="str">
            <v>C49SZX20220102DZ</v>
          </cell>
          <cell r="Y1884">
            <v>700000</v>
          </cell>
          <cell r="AG1884" t="str">
            <v>DDP JX</v>
          </cell>
        </row>
        <row r="1885">
          <cell r="C1885" t="str">
            <v>C49SZX20220105SX</v>
          </cell>
          <cell r="Y1885">
            <v>425000</v>
          </cell>
          <cell r="AG1885" t="str">
            <v>DDP SZ</v>
          </cell>
        </row>
        <row r="1886">
          <cell r="C1886" t="str">
            <v>C49SZX20220105SX</v>
          </cell>
          <cell r="Y1886">
            <v>425000</v>
          </cell>
          <cell r="AG1886" t="str">
            <v>DDP SZ</v>
          </cell>
        </row>
        <row r="1887">
          <cell r="C1887" t="str">
            <v>C49SZX20220105SX</v>
          </cell>
          <cell r="Y1887">
            <v>710000</v>
          </cell>
          <cell r="AG1887" t="str">
            <v>DDP SZ</v>
          </cell>
        </row>
        <row r="1888">
          <cell r="C1888" t="str">
            <v>C49SZX20220105SX</v>
          </cell>
          <cell r="Y1888">
            <v>710000</v>
          </cell>
          <cell r="AG1888" t="str">
            <v>DDP SZ</v>
          </cell>
        </row>
        <row r="1889">
          <cell r="C1889" t="str">
            <v>C49SZX20220106SX</v>
          </cell>
          <cell r="Y1889">
            <v>826000</v>
          </cell>
          <cell r="AG1889" t="str">
            <v>DDP HZ</v>
          </cell>
        </row>
        <row r="1890">
          <cell r="C1890" t="str">
            <v>C49SZX20220107DZ</v>
          </cell>
          <cell r="Y1890">
            <v>925000</v>
          </cell>
          <cell r="AG1890" t="str">
            <v>DDP SZ</v>
          </cell>
        </row>
        <row r="1891">
          <cell r="C1891" t="str">
            <v>C49SZX20220107DZ</v>
          </cell>
          <cell r="Y1891">
            <v>925000</v>
          </cell>
          <cell r="AG1891" t="str">
            <v>DDP SZ</v>
          </cell>
        </row>
        <row r="1892">
          <cell r="C1892" t="str">
            <v>C49SZX20220107DZ</v>
          </cell>
          <cell r="Y1892">
            <v>925000</v>
          </cell>
          <cell r="AG1892" t="str">
            <v>DDP SZ</v>
          </cell>
        </row>
        <row r="1893">
          <cell r="C1893" t="str">
            <v>C49SZX20220107DZ</v>
          </cell>
          <cell r="Y1893">
            <v>925000</v>
          </cell>
          <cell r="AG1893" t="str">
            <v>DDP SZ</v>
          </cell>
        </row>
        <row r="1894">
          <cell r="C1894" t="str">
            <v>C49SZX20220107DZ</v>
          </cell>
          <cell r="Y1894">
            <v>710800</v>
          </cell>
          <cell r="AG1894" t="str">
            <v>DDP SZ</v>
          </cell>
        </row>
        <row r="1895">
          <cell r="C1895" t="str">
            <v>C49SZX20220107DZ</v>
          </cell>
          <cell r="Y1895">
            <v>710800</v>
          </cell>
          <cell r="AG1895" t="str">
            <v>DDP SZ</v>
          </cell>
        </row>
        <row r="1896">
          <cell r="C1896" t="str">
            <v>C49SZX20220108SX</v>
          </cell>
          <cell r="Y1896">
            <v>430000</v>
          </cell>
          <cell r="AG1896" t="str">
            <v>DDP FS</v>
          </cell>
        </row>
        <row r="1897">
          <cell r="C1897" t="str">
            <v>C49SZX20220103SS</v>
          </cell>
          <cell r="Y1897">
            <v>18000000</v>
          </cell>
          <cell r="AG1897" t="str">
            <v>DAP CS</v>
          </cell>
        </row>
        <row r="1898">
          <cell r="C1898" t="str">
            <v>C49SZX20220103SS</v>
          </cell>
          <cell r="Y1898">
            <v>11500000</v>
          </cell>
          <cell r="AG1898" t="str">
            <v>DAP CS</v>
          </cell>
        </row>
        <row r="1899">
          <cell r="C1899" t="str">
            <v>C49SZX20220111MZ</v>
          </cell>
          <cell r="Y1899">
            <v>490000</v>
          </cell>
          <cell r="AG1899" t="str">
            <v>DDP SZ</v>
          </cell>
        </row>
        <row r="1900">
          <cell r="C1900" t="str">
            <v>C49SZX20220093EC</v>
          </cell>
          <cell r="Y1900">
            <v>840000</v>
          </cell>
          <cell r="AG1900" t="str">
            <v>DDP SZ</v>
          </cell>
        </row>
        <row r="1901">
          <cell r="C1901" t="str">
            <v>C49SZX20220113DZ</v>
          </cell>
          <cell r="Y1901">
            <v>1375000</v>
          </cell>
          <cell r="AG1901" t="str">
            <v>DDP SZ</v>
          </cell>
        </row>
        <row r="1902">
          <cell r="C1902" t="str">
            <v>C49SZX20220113DZ</v>
          </cell>
          <cell r="Y1902">
            <v>1375000</v>
          </cell>
          <cell r="AG1902" t="str">
            <v>DDP SZ</v>
          </cell>
        </row>
        <row r="1903">
          <cell r="C1903" t="str">
            <v>C49SZX20220112SX</v>
          </cell>
          <cell r="Y1903">
            <v>720000</v>
          </cell>
          <cell r="AG1903" t="str">
            <v>DDP DG</v>
          </cell>
        </row>
        <row r="1904">
          <cell r="C1904" t="str">
            <v>C49SZX20220119DZ</v>
          </cell>
          <cell r="Y1904">
            <v>1000000</v>
          </cell>
          <cell r="AG1904" t="str">
            <v>DDP SZ</v>
          </cell>
        </row>
        <row r="1905">
          <cell r="C1905" t="str">
            <v>C49SZX20220117DZ</v>
          </cell>
          <cell r="Y1905">
            <v>990000</v>
          </cell>
          <cell r="AG1905" t="str">
            <v>DDP SZ</v>
          </cell>
        </row>
        <row r="1906">
          <cell r="C1906" t="str">
            <v>C49SZX20220117DZ</v>
          </cell>
          <cell r="Y1906">
            <v>990000</v>
          </cell>
          <cell r="AG1906" t="str">
            <v>DDP SZ</v>
          </cell>
        </row>
        <row r="1907">
          <cell r="C1907" t="str">
            <v>C49SZX20220117DZ</v>
          </cell>
          <cell r="Y1907">
            <v>990000</v>
          </cell>
          <cell r="AG1907" t="str">
            <v>DDP SZ</v>
          </cell>
        </row>
        <row r="1908">
          <cell r="C1908" t="str">
            <v>C49SZX20220117DZ</v>
          </cell>
          <cell r="Y1908">
            <v>990000</v>
          </cell>
          <cell r="AG1908" t="str">
            <v>DDP SZ</v>
          </cell>
        </row>
        <row r="1909">
          <cell r="C1909" t="str">
            <v>C49SZX20220117DZ</v>
          </cell>
          <cell r="Y1909">
            <v>851000</v>
          </cell>
          <cell r="AG1909" t="str">
            <v>DDP SZ</v>
          </cell>
        </row>
        <row r="1910">
          <cell r="C1910" t="str">
            <v>C49SZX20220117DZ</v>
          </cell>
          <cell r="Y1910">
            <v>851000</v>
          </cell>
          <cell r="AG1910" t="str">
            <v>DDP SZ</v>
          </cell>
        </row>
        <row r="1911">
          <cell r="C1911" t="str">
            <v>C49SZX20220117DZ</v>
          </cell>
          <cell r="Y1911">
            <v>851000</v>
          </cell>
          <cell r="AG1911" t="str">
            <v>DDP SZ</v>
          </cell>
        </row>
        <row r="1912">
          <cell r="C1912" t="str">
            <v>C49SZX20220117DZ</v>
          </cell>
          <cell r="Y1912">
            <v>851000</v>
          </cell>
          <cell r="AG1912" t="str">
            <v>DDP SZ</v>
          </cell>
        </row>
        <row r="1913">
          <cell r="C1913" t="str">
            <v>C49SZX20220122SX</v>
          </cell>
          <cell r="Y1913">
            <v>600000</v>
          </cell>
          <cell r="AG1913" t="str">
            <v>DDP HZ</v>
          </cell>
        </row>
        <row r="1914">
          <cell r="C1914" t="str">
            <v>C49SZX20220125RZ</v>
          </cell>
          <cell r="Y1914">
            <v>513000</v>
          </cell>
          <cell r="AG1914" t="str">
            <v>DDP SZ</v>
          </cell>
        </row>
        <row r="1915">
          <cell r="C1915" t="str">
            <v>C49SZX20220126JL</v>
          </cell>
          <cell r="Y1915">
            <v>415000</v>
          </cell>
          <cell r="AG1915" t="str">
            <v>DDP SZ</v>
          </cell>
        </row>
        <row r="1916">
          <cell r="C1916" t="str">
            <v>C49SZX20220126JL</v>
          </cell>
          <cell r="Y1916">
            <v>415000</v>
          </cell>
          <cell r="AG1916" t="str">
            <v>DDP SZ</v>
          </cell>
        </row>
        <row r="1917">
          <cell r="C1917" t="str">
            <v>C49SZX20220110SS</v>
          </cell>
          <cell r="Y1917">
            <v>1140000</v>
          </cell>
          <cell r="AG1917" t="str">
            <v>DDP SZ</v>
          </cell>
        </row>
        <row r="1918">
          <cell r="C1918" t="str">
            <v>C49SZX20220110SS</v>
          </cell>
          <cell r="Y1918">
            <v>1140000</v>
          </cell>
          <cell r="AG1918" t="str">
            <v>DDP SZ</v>
          </cell>
        </row>
        <row r="1919">
          <cell r="C1919" t="str">
            <v>C49SZX20220110SS</v>
          </cell>
          <cell r="Y1919">
            <v>1140000</v>
          </cell>
          <cell r="AG1919" t="str">
            <v>DDP SZ</v>
          </cell>
        </row>
        <row r="1920">
          <cell r="C1920" t="str">
            <v>C49SZX20220130SX</v>
          </cell>
          <cell r="Y1920">
            <v>450000</v>
          </cell>
          <cell r="AG1920" t="str">
            <v>DDP SZ</v>
          </cell>
        </row>
        <row r="1921">
          <cell r="C1921" t="str">
            <v>C49SZX20220130SX</v>
          </cell>
          <cell r="Y1921">
            <v>450000</v>
          </cell>
          <cell r="AG1921" t="str">
            <v>DDP SZ</v>
          </cell>
        </row>
        <row r="1922">
          <cell r="C1922" t="str">
            <v>C49SZX20220130SX</v>
          </cell>
          <cell r="Y1922">
            <v>450000</v>
          </cell>
          <cell r="AG1922" t="str">
            <v>DDP SZ</v>
          </cell>
        </row>
        <row r="1923">
          <cell r="C1923" t="str">
            <v>C49SZX20220130SX</v>
          </cell>
          <cell r="Y1923">
            <v>450000</v>
          </cell>
          <cell r="AG1923" t="str">
            <v>DDP SZ</v>
          </cell>
        </row>
        <row r="1924">
          <cell r="C1924" t="str">
            <v>C49SZX20220130SX</v>
          </cell>
          <cell r="Y1924">
            <v>450000</v>
          </cell>
          <cell r="AG1924" t="str">
            <v>DDP SZ</v>
          </cell>
        </row>
        <row r="1925">
          <cell r="C1925" t="str">
            <v>C49SZX20220130SX</v>
          </cell>
          <cell r="Y1925">
            <v>726000</v>
          </cell>
          <cell r="AG1925" t="str">
            <v>DDP SZ</v>
          </cell>
        </row>
        <row r="1926">
          <cell r="C1926" t="str">
            <v>C28SZX20220129SS</v>
          </cell>
          <cell r="Y1926">
            <v>290000</v>
          </cell>
          <cell r="AG1926" t="str">
            <v>DDP SZ</v>
          </cell>
        </row>
        <row r="1927">
          <cell r="C1927" t="str">
            <v>C49SZX20220132R1ZX(H207006-BET-221214 ESE)</v>
          </cell>
          <cell r="Y1927">
            <v>495000</v>
          </cell>
          <cell r="AG1927" t="str">
            <v>DDP SZ</v>
          </cell>
        </row>
        <row r="1928">
          <cell r="C1928" t="str">
            <v>C49SZX20220132R1ZX(H207006-BET-221214 ESE)</v>
          </cell>
          <cell r="Y1928">
            <v>495000</v>
          </cell>
          <cell r="AG1928" t="str">
            <v>DDP SZ</v>
          </cell>
        </row>
        <row r="1929">
          <cell r="C1929" t="str">
            <v>C49SZX20220132R1ZX(H207006-BET-221214 ESE)</v>
          </cell>
          <cell r="Y1929">
            <v>495000</v>
          </cell>
          <cell r="AG1929" t="str">
            <v>DDP SZ</v>
          </cell>
        </row>
        <row r="1930">
          <cell r="C1930" t="str">
            <v>C49SZX20220132R1ZX(H207006-BET-221214 ESE)</v>
          </cell>
          <cell r="Y1930">
            <v>495000</v>
          </cell>
          <cell r="AG1930" t="str">
            <v>DDP SZ</v>
          </cell>
        </row>
        <row r="1931">
          <cell r="C1931" t="str">
            <v>C49SZX20220132R1ZX(H207006-BET-221214 ESE)</v>
          </cell>
          <cell r="Y1931">
            <v>495000</v>
          </cell>
          <cell r="AG1931" t="str">
            <v>DDP SZ</v>
          </cell>
        </row>
        <row r="1932">
          <cell r="C1932" t="str">
            <v>C49SZX20220132R1ZX(H207006-BET-221214 ESE)</v>
          </cell>
          <cell r="Y1932">
            <v>495000</v>
          </cell>
          <cell r="AG1932" t="str">
            <v>DDP SZ</v>
          </cell>
        </row>
        <row r="1933">
          <cell r="C1933" t="str">
            <v>C49SZX20220127EC</v>
          </cell>
          <cell r="Y1933">
            <v>990000</v>
          </cell>
          <cell r="AG1933" t="str">
            <v>DDP SZ</v>
          </cell>
        </row>
        <row r="1934">
          <cell r="C1934" t="str">
            <v>C49SZX20220127EC</v>
          </cell>
          <cell r="Y1934">
            <v>990000</v>
          </cell>
          <cell r="AG1934" t="str">
            <v>DDP SZ</v>
          </cell>
        </row>
        <row r="1935">
          <cell r="C1935" t="str">
            <v>C49SZX20220127EC</v>
          </cell>
          <cell r="Y1935">
            <v>756000</v>
          </cell>
          <cell r="AG1935" t="str">
            <v>DDP SZ</v>
          </cell>
        </row>
        <row r="1936">
          <cell r="C1936" t="str">
            <v>C49SZX20220127EC</v>
          </cell>
          <cell r="Y1936">
            <v>756000</v>
          </cell>
          <cell r="AG1936" t="str">
            <v>DDP SZ</v>
          </cell>
        </row>
        <row r="1937">
          <cell r="C1937" t="str">
            <v>C49SZX20220128EC</v>
          </cell>
          <cell r="Y1937">
            <v>21000000</v>
          </cell>
          <cell r="AG1937" t="str">
            <v>CIF HK</v>
          </cell>
        </row>
        <row r="1938">
          <cell r="C1938" t="str">
            <v>C49SZX20220128EC</v>
          </cell>
          <cell r="Y1938">
            <v>21000000</v>
          </cell>
          <cell r="AG1938" t="str">
            <v>CIF HK</v>
          </cell>
        </row>
        <row r="1939">
          <cell r="C1939" t="str">
            <v>C49SZX20220128EC</v>
          </cell>
          <cell r="Y1939">
            <v>21000000</v>
          </cell>
          <cell r="AG1939" t="str">
            <v>CIF HK</v>
          </cell>
        </row>
        <row r="1940">
          <cell r="C1940" t="str">
            <v>C49SZX20220135EC</v>
          </cell>
          <cell r="Y1940">
            <v>840000</v>
          </cell>
          <cell r="AG1940" t="str">
            <v>DDP DG</v>
          </cell>
        </row>
        <row r="1941">
          <cell r="C1941" t="str">
            <v>C49SZX20220141SS</v>
          </cell>
          <cell r="Y1941">
            <v>550000</v>
          </cell>
          <cell r="AG1941" t="str">
            <v>DDP SZ</v>
          </cell>
        </row>
        <row r="1942">
          <cell r="C1942" t="str">
            <v>C49SZX20220141SS</v>
          </cell>
          <cell r="Y1942">
            <v>800000</v>
          </cell>
          <cell r="AG1942" t="str">
            <v>DDP SZ</v>
          </cell>
        </row>
        <row r="1943">
          <cell r="C1943" t="str">
            <v>C49SZX20230008SS</v>
          </cell>
          <cell r="Y1943">
            <v>776666</v>
          </cell>
          <cell r="AG1943" t="str">
            <v>DDP SZ</v>
          </cell>
        </row>
        <row r="1944">
          <cell r="C1944" t="str">
            <v>C49SZX20230008SS</v>
          </cell>
          <cell r="Y1944">
            <v>776666</v>
          </cell>
          <cell r="AG1944" t="str">
            <v>DDP SZ</v>
          </cell>
        </row>
        <row r="1945">
          <cell r="C1945" t="str">
            <v>C49SZX20230008SS</v>
          </cell>
          <cell r="Y1945">
            <v>776666</v>
          </cell>
          <cell r="AG1945" t="str">
            <v>DDP SZ</v>
          </cell>
        </row>
        <row r="1946">
          <cell r="C1946" t="str">
            <v>C49SZX20220143SS</v>
          </cell>
          <cell r="Y1946">
            <v>462500</v>
          </cell>
          <cell r="AG1946" t="str">
            <v>DDP SZ</v>
          </cell>
        </row>
        <row r="1947">
          <cell r="C1947" t="str">
            <v>C49SZX20220143SS</v>
          </cell>
          <cell r="Y1947">
            <v>462500</v>
          </cell>
          <cell r="AG1947" t="str">
            <v>DDP SZ</v>
          </cell>
        </row>
        <row r="1948">
          <cell r="C1948" t="str">
            <v>C49SZX20220143SS</v>
          </cell>
          <cell r="Y1948">
            <v>462500</v>
          </cell>
          <cell r="AG1948" t="str">
            <v>DDP SZ</v>
          </cell>
        </row>
        <row r="1949">
          <cell r="C1949" t="str">
            <v>C49SZX20230003SQ</v>
          </cell>
          <cell r="Y1949">
            <v>1150000</v>
          </cell>
          <cell r="AG1949" t="str">
            <v>DDP ZS</v>
          </cell>
        </row>
        <row r="1950">
          <cell r="C1950" t="str">
            <v>C49SZX20230003SQ</v>
          </cell>
          <cell r="Y1950">
            <v>1150000</v>
          </cell>
          <cell r="AG1950" t="str">
            <v>DDP ZS</v>
          </cell>
        </row>
        <row r="1951">
          <cell r="C1951" t="str">
            <v>C49SZX20230003SQ</v>
          </cell>
          <cell r="Y1951">
            <v>1150000</v>
          </cell>
          <cell r="AG1951" t="str">
            <v>DDP ZS</v>
          </cell>
        </row>
        <row r="1952">
          <cell r="C1952" t="str">
            <v>C49SZX20230003SQ</v>
          </cell>
          <cell r="Y1952">
            <v>1150000</v>
          </cell>
          <cell r="AG1952" t="str">
            <v>DDP ZS</v>
          </cell>
        </row>
        <row r="1953">
          <cell r="C1953" t="str">
            <v>C49SZX20230003SQ</v>
          </cell>
          <cell r="Y1953">
            <v>1150000</v>
          </cell>
          <cell r="AG1953" t="str">
            <v>DDP ZS</v>
          </cell>
        </row>
        <row r="1954">
          <cell r="C1954" t="str">
            <v>C49SZX20230003SQ</v>
          </cell>
          <cell r="Y1954">
            <v>1050000</v>
          </cell>
          <cell r="AG1954" t="str">
            <v>DDP ZS</v>
          </cell>
        </row>
        <row r="1955">
          <cell r="C1955" t="str">
            <v>C49SZX20230003SQ</v>
          </cell>
          <cell r="Y1955">
            <v>1050000</v>
          </cell>
          <cell r="AG1955" t="str">
            <v>DDP ZS</v>
          </cell>
        </row>
        <row r="1956">
          <cell r="C1956" t="str">
            <v>C49SZX20230003SQ</v>
          </cell>
          <cell r="Y1956">
            <v>1050000</v>
          </cell>
          <cell r="AG1956" t="str">
            <v>DDP ZS</v>
          </cell>
        </row>
        <row r="1957">
          <cell r="C1957" t="str">
            <v>C49SZX20230003SQ</v>
          </cell>
          <cell r="Y1957">
            <v>900000</v>
          </cell>
          <cell r="AG1957" t="str">
            <v>DDP ZS</v>
          </cell>
        </row>
        <row r="1958">
          <cell r="C1958" t="str">
            <v>C49SZX20230003SQ</v>
          </cell>
          <cell r="Y1958">
            <v>900000</v>
          </cell>
          <cell r="AG1958" t="str">
            <v>DDP ZS</v>
          </cell>
        </row>
        <row r="1959">
          <cell r="C1959" t="str">
            <v>C49SZX20230003SQ</v>
          </cell>
          <cell r="Y1959">
            <v>600000</v>
          </cell>
          <cell r="AG1959" t="str">
            <v>DDP ZS</v>
          </cell>
        </row>
        <row r="1960">
          <cell r="C1960" t="str">
            <v>C49SZX20230003SQ</v>
          </cell>
          <cell r="Y1960">
            <v>600000</v>
          </cell>
          <cell r="AG1960" t="str">
            <v>DDP ZS</v>
          </cell>
        </row>
        <row r="1961">
          <cell r="C1961" t="str">
            <v>C49SZX20230001SX</v>
          </cell>
          <cell r="Y1961">
            <v>550000</v>
          </cell>
          <cell r="AG1961" t="str">
            <v>DDP SZ</v>
          </cell>
        </row>
        <row r="1962">
          <cell r="C1962" t="str">
            <v>C49SZX20230001SX</v>
          </cell>
          <cell r="Y1962">
            <v>1000000</v>
          </cell>
          <cell r="AG1962" t="str">
            <v>DDP SZ</v>
          </cell>
        </row>
        <row r="1963">
          <cell r="C1963" t="str">
            <v>C49SZX20230009SX</v>
          </cell>
          <cell r="Y1963">
            <v>458000</v>
          </cell>
          <cell r="AG1963" t="str">
            <v>DDP SZ</v>
          </cell>
        </row>
        <row r="1964">
          <cell r="C1964" t="str">
            <v>C49SZX20230010SX</v>
          </cell>
          <cell r="Y1964">
            <v>600000</v>
          </cell>
          <cell r="AG1964" t="str">
            <v>DDP SZ</v>
          </cell>
        </row>
        <row r="1965">
          <cell r="C1965" t="str">
            <v>C49SZX20230010SX</v>
          </cell>
          <cell r="Y1965">
            <v>800000</v>
          </cell>
          <cell r="AG1965" t="str">
            <v>DDP SZ</v>
          </cell>
        </row>
        <row r="1966">
          <cell r="C1966" t="str">
            <v>C49SZX20230005SQ</v>
          </cell>
          <cell r="Y1966">
            <v>900000</v>
          </cell>
          <cell r="AG1966" t="str">
            <v>DDP ZH</v>
          </cell>
        </row>
        <row r="1967">
          <cell r="C1967" t="str">
            <v>C49SZX20230007SX</v>
          </cell>
          <cell r="Y1967">
            <v>1225000</v>
          </cell>
          <cell r="AG1967" t="str">
            <v>DDP ZH</v>
          </cell>
        </row>
        <row r="1968">
          <cell r="C1968" t="str">
            <v>C49SZX20230007SX</v>
          </cell>
          <cell r="Y1968">
            <v>1225000</v>
          </cell>
          <cell r="AG1968" t="str">
            <v>DDP ZH</v>
          </cell>
        </row>
        <row r="1969">
          <cell r="C1969" t="str">
            <v>C49SZX20230007SX</v>
          </cell>
          <cell r="Y1969">
            <v>1225000</v>
          </cell>
          <cell r="AG1969" t="str">
            <v>DDP ZH</v>
          </cell>
        </row>
        <row r="1970">
          <cell r="C1970" t="str">
            <v>C49SZX20230007SX</v>
          </cell>
          <cell r="Y1970">
            <v>1225000</v>
          </cell>
          <cell r="AG1970" t="str">
            <v>DDP ZH</v>
          </cell>
        </row>
        <row r="1971">
          <cell r="C1971" t="str">
            <v>C49SZX202300011SX</v>
          </cell>
          <cell r="Y1971">
            <v>500000</v>
          </cell>
          <cell r="AG1971" t="str">
            <v>DDP SZ</v>
          </cell>
        </row>
        <row r="1972">
          <cell r="C1972" t="str">
            <v>C49SZX202300011SX</v>
          </cell>
          <cell r="Y1972">
            <v>500000</v>
          </cell>
          <cell r="AG1972" t="str">
            <v>DDP SZ</v>
          </cell>
        </row>
        <row r="1973">
          <cell r="C1973" t="str">
            <v>C49SZX202300011SX</v>
          </cell>
          <cell r="Y1973">
            <v>746812.5</v>
          </cell>
          <cell r="AG1973" t="str">
            <v>DDP SZ</v>
          </cell>
        </row>
        <row r="1974">
          <cell r="C1974" t="str">
            <v>C49SZX202300011SX</v>
          </cell>
          <cell r="Y1974">
            <v>746812.5</v>
          </cell>
          <cell r="AG1974" t="str">
            <v>DDP SZ</v>
          </cell>
        </row>
        <row r="1975">
          <cell r="C1975" t="str">
            <v>C49SZX202300011SX</v>
          </cell>
          <cell r="Y1975">
            <v>746812.5</v>
          </cell>
          <cell r="AG1975" t="str">
            <v>DDP SZ</v>
          </cell>
        </row>
        <row r="1976">
          <cell r="C1976" t="str">
            <v>C49SZX202300011SX</v>
          </cell>
          <cell r="Y1976">
            <v>746812.5</v>
          </cell>
          <cell r="AG1976" t="str">
            <v>DDP SZ</v>
          </cell>
        </row>
        <row r="1977">
          <cell r="C1977" t="str">
            <v>C49SZX202300011SX</v>
          </cell>
          <cell r="Y1977">
            <v>746812.5</v>
          </cell>
          <cell r="AG1977" t="str">
            <v>DDP SZ</v>
          </cell>
        </row>
        <row r="1978">
          <cell r="C1978" t="str">
            <v>C49SZX202300011SX</v>
          </cell>
          <cell r="Y1978">
            <v>746812.5</v>
          </cell>
          <cell r="AG1978" t="str">
            <v>DDP SZ</v>
          </cell>
        </row>
        <row r="1979">
          <cell r="C1979" t="str">
            <v>C49SZX202300011SX</v>
          </cell>
          <cell r="Y1979">
            <v>746812.5</v>
          </cell>
          <cell r="AG1979" t="str">
            <v>DDP SZ</v>
          </cell>
        </row>
        <row r="1980">
          <cell r="C1980" t="str">
            <v>C49SZX202300011SX</v>
          </cell>
          <cell r="Y1980">
            <v>746812.5</v>
          </cell>
          <cell r="AG1980" t="str">
            <v>DDP SZ</v>
          </cell>
        </row>
        <row r="1981">
          <cell r="C1981" t="str">
            <v>C28SZX20230004TS</v>
          </cell>
          <cell r="Y1981">
            <v>50000</v>
          </cell>
          <cell r="AG1981" t="str">
            <v>CIF 越南</v>
          </cell>
        </row>
        <row r="1982">
          <cell r="C1982" t="str">
            <v>C28SZX20230004TS</v>
          </cell>
          <cell r="Y1982">
            <v>50000</v>
          </cell>
          <cell r="AG1982" t="str">
            <v>CIF 越南</v>
          </cell>
        </row>
        <row r="1983">
          <cell r="C1983" t="str">
            <v>C28SZX20230004TS</v>
          </cell>
          <cell r="Y1983">
            <v>50000</v>
          </cell>
          <cell r="AG1983" t="str">
            <v>CIF 越南</v>
          </cell>
        </row>
        <row r="1984">
          <cell r="C1984" t="str">
            <v>C49SZX20230012EC</v>
          </cell>
          <cell r="Y1984">
            <v>850000</v>
          </cell>
          <cell r="AG1984" t="str">
            <v>DDP SZ</v>
          </cell>
        </row>
        <row r="1985">
          <cell r="C1985" t="str">
            <v>C49SZX20230013JY</v>
          </cell>
          <cell r="Y1985">
            <v>771500</v>
          </cell>
          <cell r="AG1985" t="str">
            <v>DDP SZ</v>
          </cell>
        </row>
        <row r="1986">
          <cell r="C1986" t="str">
            <v>C28SZX20230085MZ</v>
          </cell>
          <cell r="Y1986">
            <v>10600000</v>
          </cell>
          <cell r="AG1986" t="str">
            <v>CIF HK</v>
          </cell>
        </row>
        <row r="1987">
          <cell r="C1987" t="str">
            <v>C49SZX20230022SX</v>
          </cell>
          <cell r="Y1987">
            <v>415000</v>
          </cell>
          <cell r="AG1987" t="str">
            <v>DDP HZ</v>
          </cell>
        </row>
        <row r="1988">
          <cell r="C1988" t="str">
            <v>C49SZX20230022SX</v>
          </cell>
          <cell r="Y1988">
            <v>415000</v>
          </cell>
          <cell r="AG1988" t="str">
            <v>DDP HZ</v>
          </cell>
        </row>
        <row r="1989">
          <cell r="C1989" t="str">
            <v>C49SZX20230022SX</v>
          </cell>
          <cell r="Y1989">
            <v>415000</v>
          </cell>
          <cell r="AG1989" t="str">
            <v>DDP HZ</v>
          </cell>
        </row>
        <row r="1990">
          <cell r="C1990" t="str">
            <v>SUESE#001/23</v>
          </cell>
          <cell r="Y1990">
            <v>91263</v>
          </cell>
          <cell r="AG1990" t="str">
            <v>CIF Vietnam</v>
          </cell>
        </row>
        <row r="1991">
          <cell r="C1991" t="str">
            <v>SUESE#001/23</v>
          </cell>
          <cell r="Y1991">
            <v>91263</v>
          </cell>
          <cell r="AG1991" t="str">
            <v>CIF Vietnam</v>
          </cell>
        </row>
        <row r="1992">
          <cell r="C1992" t="str">
            <v>C49SZX20230015DZ</v>
          </cell>
          <cell r="Y1992">
            <v>1475000</v>
          </cell>
          <cell r="AG1992" t="str">
            <v>DDP SZ</v>
          </cell>
        </row>
        <row r="1993">
          <cell r="C1993" t="str">
            <v>C49SZX20230016DZ</v>
          </cell>
          <cell r="Y1993">
            <v>1475000</v>
          </cell>
          <cell r="AG1993" t="str">
            <v>DDP HZ</v>
          </cell>
        </row>
        <row r="1994">
          <cell r="C1994" t="str">
            <v>C49SZX20230016DZ</v>
          </cell>
          <cell r="Y1994">
            <v>1475000</v>
          </cell>
          <cell r="AG1994" t="str">
            <v>DDP HZ</v>
          </cell>
        </row>
        <row r="1995">
          <cell r="C1995" t="str">
            <v>C49SZX20230016DZ</v>
          </cell>
          <cell r="Y1995">
            <v>1475000</v>
          </cell>
          <cell r="AG1995" t="str">
            <v>DDP HZ</v>
          </cell>
        </row>
        <row r="1996">
          <cell r="C1996" t="str">
            <v>C49SZX20230023R1SX</v>
          </cell>
          <cell r="Y1996">
            <v>415000</v>
          </cell>
          <cell r="AG1996" t="str">
            <v>DDP HZ</v>
          </cell>
        </row>
        <row r="1997">
          <cell r="C1997" t="str">
            <v>C49SZX20230024MZ</v>
          </cell>
          <cell r="Y1997">
            <v>400000</v>
          </cell>
          <cell r="AG1997" t="str">
            <v>DDP SZ</v>
          </cell>
        </row>
        <row r="1998">
          <cell r="C1998" t="str">
            <v>C49SZX20230024MZ</v>
          </cell>
          <cell r="Y1998">
            <v>700000</v>
          </cell>
          <cell r="AG1998" t="str">
            <v>DDP SZ</v>
          </cell>
        </row>
        <row r="1999">
          <cell r="C1999" t="str">
            <v>C49SZX20230028JY</v>
          </cell>
          <cell r="Y1999">
            <v>739000</v>
          </cell>
          <cell r="AG1999" t="str">
            <v>DDP SZ</v>
          </cell>
        </row>
        <row r="2000">
          <cell r="C2000" t="str">
            <v>C49SZX20230025DZ</v>
          </cell>
          <cell r="Y2000">
            <v>720000</v>
          </cell>
          <cell r="AG2000" t="str">
            <v>DDP SZ</v>
          </cell>
        </row>
        <row r="2001">
          <cell r="C2001" t="str">
            <v>C49SZX20230025DZ</v>
          </cell>
          <cell r="Y2001">
            <v>430000</v>
          </cell>
          <cell r="AG2001" t="str">
            <v>DDP SZ</v>
          </cell>
        </row>
        <row r="2002">
          <cell r="C2002" t="str">
            <v>C49SZX20230026EC</v>
          </cell>
          <cell r="Y2002">
            <v>850000</v>
          </cell>
          <cell r="AG2002" t="str">
            <v>DDP HZ</v>
          </cell>
        </row>
        <row r="2003">
          <cell r="C2003" t="str">
            <v>C49SZX20230026EC</v>
          </cell>
          <cell r="Y2003">
            <v>500000</v>
          </cell>
          <cell r="AG2003" t="str">
            <v>DDP HZ</v>
          </cell>
        </row>
        <row r="2004">
          <cell r="C2004" t="str">
            <v>C49SZX20230030JY</v>
          </cell>
          <cell r="Y2004">
            <v>520000</v>
          </cell>
          <cell r="AG2004" t="str">
            <v>DDP SZ</v>
          </cell>
        </row>
        <row r="2005">
          <cell r="C2005" t="str">
            <v>C49SZX20230020SX</v>
          </cell>
          <cell r="Y2005">
            <v>710000</v>
          </cell>
          <cell r="AG2005" t="str">
            <v>DDP DG</v>
          </cell>
        </row>
        <row r="2006">
          <cell r="C2006" t="str">
            <v>C49SZX20230029SS</v>
          </cell>
          <cell r="Y2006">
            <v>1210000</v>
          </cell>
          <cell r="AG2006" t="str">
            <v>DDP SZ</v>
          </cell>
        </row>
        <row r="2007">
          <cell r="C2007" t="str">
            <v>C49SZX20230029SS</v>
          </cell>
          <cell r="Y2007">
            <v>1210000</v>
          </cell>
          <cell r="AG2007" t="str">
            <v>DDP SZ</v>
          </cell>
        </row>
        <row r="2008">
          <cell r="C2008" t="str">
            <v>C49SZX20230029SS</v>
          </cell>
          <cell r="Y2008">
            <v>1210000</v>
          </cell>
          <cell r="AG2008" t="str">
            <v>DDP SZ</v>
          </cell>
        </row>
        <row r="2009">
          <cell r="C2009" t="str">
            <v>C49SZX20230029SS</v>
          </cell>
          <cell r="Y2009">
            <v>1210000</v>
          </cell>
          <cell r="AG2009" t="str">
            <v>DDP SZ</v>
          </cell>
        </row>
        <row r="2010">
          <cell r="C2010" t="str">
            <v>C49SZX20230032R1SS</v>
          </cell>
          <cell r="Y2010">
            <v>700000</v>
          </cell>
          <cell r="AG2010" t="str">
            <v>DDP DG</v>
          </cell>
        </row>
        <row r="2011">
          <cell r="C2011" t="str">
            <v>C49SZX20230031MZ</v>
          </cell>
          <cell r="Y2011">
            <v>430000</v>
          </cell>
          <cell r="AG2011" t="str">
            <v>DDP  HZ</v>
          </cell>
        </row>
        <row r="2012">
          <cell r="C2012" t="str">
            <v>C49SZX20230031MZ</v>
          </cell>
          <cell r="Y2012">
            <v>430000</v>
          </cell>
          <cell r="AG2012" t="str">
            <v>DDP  HZ</v>
          </cell>
        </row>
        <row r="2013">
          <cell r="C2013" t="str">
            <v>C49SZX20230035SX</v>
          </cell>
          <cell r="Y2013">
            <v>900000</v>
          </cell>
          <cell r="AG2013" t="str">
            <v>DDP SZ</v>
          </cell>
        </row>
        <row r="2014">
          <cell r="C2014" t="str">
            <v>C49SZX20230035SX</v>
          </cell>
          <cell r="Y2014">
            <v>900000</v>
          </cell>
          <cell r="AG2014" t="str">
            <v>DDP SZ</v>
          </cell>
        </row>
        <row r="2015">
          <cell r="C2015" t="str">
            <v>C49SZX20230035SX</v>
          </cell>
          <cell r="Y2015">
            <v>690000</v>
          </cell>
          <cell r="AG2015" t="str">
            <v>DDP SZ</v>
          </cell>
        </row>
        <row r="2016">
          <cell r="C2016" t="str">
            <v>C49SZX20230035SX</v>
          </cell>
          <cell r="Y2016">
            <v>690000</v>
          </cell>
          <cell r="AG2016" t="str">
            <v>DDP SZ</v>
          </cell>
        </row>
        <row r="2017">
          <cell r="C2017" t="str">
            <v>C49SZX20230036SS</v>
          </cell>
          <cell r="Y2017">
            <v>1170000</v>
          </cell>
          <cell r="AG2017" t="str">
            <v>DDP SZ</v>
          </cell>
        </row>
        <row r="2018">
          <cell r="C2018" t="str">
            <v>C49SZX20230036SS</v>
          </cell>
          <cell r="Y2018">
            <v>1170000</v>
          </cell>
          <cell r="AG2018" t="str">
            <v>DDP SZ</v>
          </cell>
        </row>
        <row r="2019">
          <cell r="C2019" t="str">
            <v>C49SZX20230037SS</v>
          </cell>
          <cell r="Y2019">
            <v>510000</v>
          </cell>
          <cell r="AG2019" t="str">
            <v>DDP SZ</v>
          </cell>
        </row>
        <row r="2020">
          <cell r="C2020" t="str">
            <v>C49SZX20230038SS</v>
          </cell>
          <cell r="Y2020">
            <v>460000</v>
          </cell>
          <cell r="AG2020" t="str">
            <v>DDP SZ</v>
          </cell>
        </row>
        <row r="2021">
          <cell r="C2021" t="str">
            <v>C49SZX20230040JY</v>
          </cell>
          <cell r="Y2021">
            <v>846000</v>
          </cell>
          <cell r="AG2021" t="str">
            <v>DDP SZ</v>
          </cell>
        </row>
        <row r="2022">
          <cell r="C2022" t="str">
            <v>C49SZX20230040JY</v>
          </cell>
          <cell r="Y2022">
            <v>846000</v>
          </cell>
          <cell r="AG2022" t="str">
            <v>DDP SZ</v>
          </cell>
        </row>
        <row r="2023">
          <cell r="C2023" t="str">
            <v>C49SZX20230018MX</v>
          </cell>
          <cell r="Y2023">
            <v>810000</v>
          </cell>
          <cell r="AG2023" t="str">
            <v>DDP DG</v>
          </cell>
        </row>
        <row r="2024">
          <cell r="C2024" t="str">
            <v>C49SZX20230018MX</v>
          </cell>
          <cell r="Y2024">
            <v>490000</v>
          </cell>
          <cell r="AG2024" t="str">
            <v>DDP DG</v>
          </cell>
        </row>
        <row r="2025">
          <cell r="C2025" t="str">
            <v>C28SZX20230021MX</v>
          </cell>
          <cell r="Y2025">
            <v>129000</v>
          </cell>
          <cell r="AG2025" t="str">
            <v>DDP DG</v>
          </cell>
        </row>
        <row r="2026">
          <cell r="C2026" t="str">
            <v>C28SZX20230021MX</v>
          </cell>
          <cell r="Y2026">
            <v>171000</v>
          </cell>
          <cell r="AG2026" t="str">
            <v>DDP DG</v>
          </cell>
        </row>
        <row r="2027">
          <cell r="C2027" t="str">
            <v>C28SZX20230021MX</v>
          </cell>
          <cell r="Y2027">
            <v>171000</v>
          </cell>
          <cell r="AG2027" t="str">
            <v>DDP DG</v>
          </cell>
        </row>
        <row r="2028">
          <cell r="C2028" t="str">
            <v>C28SZX20230021MX</v>
          </cell>
          <cell r="Y2028">
            <v>195000</v>
          </cell>
          <cell r="AG2028" t="str">
            <v>DDP DG</v>
          </cell>
        </row>
        <row r="2029">
          <cell r="C2029" t="str">
            <v>C28SZX20230021MX</v>
          </cell>
          <cell r="Y2029">
            <v>127000</v>
          </cell>
          <cell r="AG2029" t="str">
            <v>DDP DG</v>
          </cell>
        </row>
        <row r="2030">
          <cell r="C2030" t="str">
            <v>C28SZX20230039MX</v>
          </cell>
          <cell r="Y2030">
            <v>12600</v>
          </cell>
          <cell r="AG2030" t="str">
            <v>DDP DG</v>
          </cell>
        </row>
        <row r="2031">
          <cell r="C2031" t="str">
            <v>C28SZX20230039MX</v>
          </cell>
          <cell r="Y2031">
            <v>2700</v>
          </cell>
          <cell r="AG2031" t="str">
            <v>DDP DG</v>
          </cell>
        </row>
        <row r="2032">
          <cell r="C2032" t="str">
            <v>C28SZX20230039MX</v>
          </cell>
          <cell r="Y2032">
            <v>32000</v>
          </cell>
          <cell r="AG2032" t="str">
            <v>DDP DG</v>
          </cell>
        </row>
        <row r="2033">
          <cell r="C2033" t="str">
            <v>C28SZX20230039MX</v>
          </cell>
          <cell r="Y2033">
            <v>4000</v>
          </cell>
          <cell r="AG2033" t="str">
            <v>DDP DG</v>
          </cell>
        </row>
        <row r="2034">
          <cell r="C2034" t="str">
            <v>C28SZX20230039MX</v>
          </cell>
          <cell r="Y2034">
            <v>6200</v>
          </cell>
          <cell r="AG2034" t="str">
            <v>DDP DG</v>
          </cell>
        </row>
        <row r="2035">
          <cell r="C2035" t="str">
            <v>C28SZX20230039MX</v>
          </cell>
          <cell r="Y2035">
            <v>30000</v>
          </cell>
          <cell r="AG2035" t="str">
            <v>DDP DG</v>
          </cell>
        </row>
        <row r="2036">
          <cell r="C2036" t="str">
            <v>C28SZX20230039MX</v>
          </cell>
          <cell r="Y2036">
            <v>4166.6670000000004</v>
          </cell>
          <cell r="AG2036" t="str">
            <v>DDP DG</v>
          </cell>
        </row>
        <row r="2037">
          <cell r="C2037" t="str">
            <v>C28SZX20230039MX</v>
          </cell>
          <cell r="Y2037">
            <v>4166.6670000000004</v>
          </cell>
          <cell r="AG2037" t="str">
            <v>DDP DG</v>
          </cell>
        </row>
        <row r="2038">
          <cell r="C2038" t="str">
            <v>C28SZX20230039MX</v>
          </cell>
          <cell r="Y2038">
            <v>4166.6670000000004</v>
          </cell>
          <cell r="AG2038" t="str">
            <v>DDP DG</v>
          </cell>
        </row>
        <row r="2039">
          <cell r="C2039" t="str">
            <v>C28SZX20230039MX</v>
          </cell>
          <cell r="Y2039">
            <v>11500</v>
          </cell>
          <cell r="AG2039" t="str">
            <v>DDP DG</v>
          </cell>
        </row>
        <row r="2040">
          <cell r="C2040" t="str">
            <v>C49SZX20230033JL</v>
          </cell>
          <cell r="Y2040">
            <v>541500</v>
          </cell>
          <cell r="AG2040" t="str">
            <v>DDP SZ</v>
          </cell>
        </row>
        <row r="2041">
          <cell r="C2041" t="str">
            <v>C49SZX20230033JL</v>
          </cell>
          <cell r="Y2041">
            <v>541500</v>
          </cell>
          <cell r="AG2041" t="str">
            <v>DDP SZ</v>
          </cell>
        </row>
        <row r="2042">
          <cell r="C2042" t="str">
            <v>C49SZX20230045RSX</v>
          </cell>
          <cell r="Y2042">
            <v>1000000</v>
          </cell>
          <cell r="AG2042" t="str">
            <v>DDP DG</v>
          </cell>
        </row>
        <row r="2043">
          <cell r="C2043" t="str">
            <v>C49SZX20230046DM</v>
          </cell>
          <cell r="Y2043">
            <v>1160000</v>
          </cell>
          <cell r="AG2043" t="str">
            <v>DDP HZ</v>
          </cell>
        </row>
        <row r="2044">
          <cell r="C2044" t="str">
            <v>C49SZX20230046DM</v>
          </cell>
          <cell r="Y2044">
            <v>600000</v>
          </cell>
          <cell r="AG2044" t="str">
            <v>DDP HZ</v>
          </cell>
        </row>
        <row r="2045">
          <cell r="C2045" t="str">
            <v>C49SZX20230047R1SS</v>
          </cell>
          <cell r="Y2045">
            <v>720000</v>
          </cell>
          <cell r="AG2045" t="str">
            <v>DDP DG</v>
          </cell>
        </row>
        <row r="2046">
          <cell r="C2046" t="str">
            <v>YJY-2023040701</v>
          </cell>
          <cell r="Y2046">
            <v>822900</v>
          </cell>
          <cell r="AG2046" t="str">
            <v>DDP ZS</v>
          </cell>
        </row>
        <row r="2047">
          <cell r="C2047" t="str">
            <v>YJY-2023040701</v>
          </cell>
          <cell r="Y2047">
            <v>822900</v>
          </cell>
          <cell r="AG2047" t="str">
            <v>DDP ZS</v>
          </cell>
        </row>
        <row r="2048">
          <cell r="C2048" t="str">
            <v>YJY-2023040701</v>
          </cell>
          <cell r="Y2048">
            <v>601000</v>
          </cell>
          <cell r="AG2048" t="str">
            <v>DDP ZS</v>
          </cell>
        </row>
        <row r="2049">
          <cell r="C2049" t="str">
            <v>YJY-2023040701</v>
          </cell>
          <cell r="Y2049">
            <v>601000</v>
          </cell>
          <cell r="AG2049" t="str">
            <v>DDP ZS</v>
          </cell>
        </row>
        <row r="2050">
          <cell r="C2050" t="str">
            <v>C49SZX20230048SQ</v>
          </cell>
          <cell r="Y2050">
            <v>790000</v>
          </cell>
          <cell r="AG2050" t="str">
            <v>DDP SZ</v>
          </cell>
        </row>
        <row r="2051">
          <cell r="C2051" t="str">
            <v>C49SZX20230050SQ</v>
          </cell>
          <cell r="Y2051">
            <v>790000</v>
          </cell>
          <cell r="AG2051" t="str">
            <v>DDP SZ</v>
          </cell>
        </row>
        <row r="2052">
          <cell r="C2052" t="str">
            <v>C49SZX20230049JY</v>
          </cell>
          <cell r="Y2052">
            <v>714000</v>
          </cell>
          <cell r="AG2052" t="str">
            <v>DDP SZ</v>
          </cell>
        </row>
        <row r="2053">
          <cell r="C2053" t="str">
            <v>C49SZX20230049JY</v>
          </cell>
          <cell r="Y2053">
            <v>714000</v>
          </cell>
          <cell r="AG2053" t="str">
            <v>DDP SZ</v>
          </cell>
        </row>
        <row r="2054">
          <cell r="C2054" t="str">
            <v>C49SZX20230050SQ</v>
          </cell>
          <cell r="Y2054">
            <v>790000</v>
          </cell>
          <cell r="AG2054" t="str">
            <v>DDP SZ</v>
          </cell>
        </row>
        <row r="2055">
          <cell r="C2055" t="str">
            <v>C49SZX20230054SQ</v>
          </cell>
          <cell r="Y2055">
            <v>10000000</v>
          </cell>
          <cell r="AG2055" t="str">
            <v>DAP SZ</v>
          </cell>
        </row>
        <row r="2056">
          <cell r="C2056" t="str">
            <v>C49SZX20230054SQ</v>
          </cell>
          <cell r="Y2056">
            <v>13800000</v>
          </cell>
          <cell r="AG2056" t="str">
            <v>DAP SZ</v>
          </cell>
        </row>
        <row r="2057">
          <cell r="C2057" t="str">
            <v>C28SZX20230051SX/VN20230406</v>
          </cell>
          <cell r="Y2057">
            <v>76000</v>
          </cell>
          <cell r="AG2057" t="str">
            <v>CIF Vietnam</v>
          </cell>
        </row>
        <row r="2058">
          <cell r="C2058" t="str">
            <v>C49SZX20230055SX</v>
          </cell>
          <cell r="Y2058">
            <v>11880000</v>
          </cell>
          <cell r="AG2058" t="str">
            <v>DAP SZ</v>
          </cell>
        </row>
        <row r="2059">
          <cell r="C2059" t="str">
            <v>C49SZX20230052MZ</v>
          </cell>
          <cell r="Y2059">
            <v>800000</v>
          </cell>
          <cell r="AG2059" t="str">
            <v>DDP HZ</v>
          </cell>
        </row>
        <row r="2060">
          <cell r="C2060" t="str">
            <v>C49SZX20230053MZ</v>
          </cell>
          <cell r="Y2060">
            <v>1120000</v>
          </cell>
          <cell r="AG2060" t="str">
            <v>DDP HZ</v>
          </cell>
        </row>
        <row r="2061">
          <cell r="C2061" t="str">
            <v>C49SZX20230058EC</v>
          </cell>
          <cell r="Y2061">
            <v>770000</v>
          </cell>
          <cell r="AG2061" t="str">
            <v>DDP DG</v>
          </cell>
        </row>
        <row r="2062">
          <cell r="C2062" t="str">
            <v>C49SZX20230056SX</v>
          </cell>
          <cell r="Y2062">
            <v>500000</v>
          </cell>
          <cell r="AG2062" t="str">
            <v>DDP TS</v>
          </cell>
        </row>
        <row r="2063">
          <cell r="C2063" t="str">
            <v>C49SZX20230056SX</v>
          </cell>
          <cell r="Y2063">
            <v>500000</v>
          </cell>
          <cell r="AG2063" t="str">
            <v>DDP TS</v>
          </cell>
        </row>
        <row r="2064">
          <cell r="C2064" t="str">
            <v>C49SZX20230060RZ</v>
          </cell>
          <cell r="Y2064">
            <v>812550</v>
          </cell>
          <cell r="AG2064" t="str">
            <v>DDP SZ</v>
          </cell>
        </row>
        <row r="2065">
          <cell r="C2065" t="str">
            <v>C49SZX20230060RZ</v>
          </cell>
          <cell r="Y2065">
            <v>812550</v>
          </cell>
          <cell r="AG2065" t="str">
            <v>DDP SZ</v>
          </cell>
        </row>
        <row r="2066">
          <cell r="C2066" t="str">
            <v>C49SZX20230063TS</v>
          </cell>
          <cell r="Y2066">
            <v>1003000</v>
          </cell>
          <cell r="AG2066" t="str">
            <v>CIF HK</v>
          </cell>
        </row>
        <row r="2067">
          <cell r="C2067" t="str">
            <v>C28SZX20230063TS</v>
          </cell>
          <cell r="Y2067">
            <v>284000</v>
          </cell>
          <cell r="AG2067" t="str">
            <v>CIF HK</v>
          </cell>
        </row>
        <row r="2068">
          <cell r="C2068" t="str">
            <v>C49SZX20230065EC</v>
          </cell>
          <cell r="Y2068">
            <v>460000</v>
          </cell>
          <cell r="AG2068" t="str">
            <v>DDP DG</v>
          </cell>
        </row>
        <row r="2069">
          <cell r="C2069" t="str">
            <v>C49SZX20230066JL/HJD23050525</v>
          </cell>
          <cell r="Y2069">
            <v>515000</v>
          </cell>
          <cell r="AG2069" t="str">
            <v>DDP HY</v>
          </cell>
        </row>
        <row r="2070">
          <cell r="C2070" t="str">
            <v>C28SZX20230069R1SX</v>
          </cell>
          <cell r="Y2070">
            <v>650000</v>
          </cell>
          <cell r="AG2070" t="str">
            <v>DDP FS</v>
          </cell>
        </row>
        <row r="2071">
          <cell r="C2071" t="str">
            <v>HX20230601A</v>
          </cell>
          <cell r="Y2071">
            <v>778000</v>
          </cell>
          <cell r="AG2071" t="str">
            <v>DDP ZS</v>
          </cell>
        </row>
        <row r="2072">
          <cell r="C2072" t="str">
            <v>C49SZX20230068JY</v>
          </cell>
          <cell r="Y2072">
            <v>7960000</v>
          </cell>
          <cell r="AG2072" t="str">
            <v>DAP LS</v>
          </cell>
        </row>
        <row r="2073">
          <cell r="C2073" t="str">
            <v>C49SZX20230068JY</v>
          </cell>
          <cell r="Y2073">
            <v>7960000</v>
          </cell>
          <cell r="AG2073" t="str">
            <v>DAP LS</v>
          </cell>
        </row>
        <row r="2074">
          <cell r="C2074" t="str">
            <v>C49SZX20230068JY</v>
          </cell>
          <cell r="Y2074">
            <v>7960000</v>
          </cell>
          <cell r="AG2074" t="str">
            <v>DAP LS</v>
          </cell>
        </row>
        <row r="2075">
          <cell r="C2075" t="str">
            <v>C49SZX20230068JY</v>
          </cell>
          <cell r="Y2075">
            <v>7960000</v>
          </cell>
          <cell r="AG2075" t="str">
            <v>DAP LS</v>
          </cell>
        </row>
        <row r="2076">
          <cell r="C2076" t="str">
            <v>C49SZX20230068JY</v>
          </cell>
          <cell r="Y2076">
            <v>7960000</v>
          </cell>
          <cell r="AG2076" t="str">
            <v>DAP LS</v>
          </cell>
        </row>
        <row r="2077">
          <cell r="C2077" t="str">
            <v>C49SZX20230068JY</v>
          </cell>
          <cell r="Y2077">
            <v>7960000</v>
          </cell>
          <cell r="AG2077" t="str">
            <v>DAP LS</v>
          </cell>
        </row>
        <row r="2078">
          <cell r="C2078" t="str">
            <v>C49SZX20230073MZ</v>
          </cell>
          <cell r="Y2078">
            <v>15000000</v>
          </cell>
          <cell r="AG2078" t="str">
            <v>CIF HK</v>
          </cell>
        </row>
        <row r="2079">
          <cell r="C2079" t="str">
            <v>C49SZX20230073MZ</v>
          </cell>
          <cell r="Y2079">
            <v>15000000</v>
          </cell>
          <cell r="AG2079" t="str">
            <v>CIF HK</v>
          </cell>
        </row>
        <row r="2080">
          <cell r="C2080" t="str">
            <v>C49SZX20230073MZ</v>
          </cell>
          <cell r="Y2080">
            <v>10000000</v>
          </cell>
          <cell r="AG2080" t="str">
            <v>CIF HK</v>
          </cell>
        </row>
        <row r="2081">
          <cell r="C2081" t="str">
            <v>C49SZX20230079JL</v>
          </cell>
          <cell r="Y2081">
            <v>7100000</v>
          </cell>
          <cell r="AG2081" t="str">
            <v>DAP SZ</v>
          </cell>
        </row>
        <row r="2082">
          <cell r="C2082" t="str">
            <v>C49SZX20230076JL/4600002395</v>
          </cell>
          <cell r="Y2082">
            <v>58000</v>
          </cell>
          <cell r="AG2082" t="str">
            <v>CIF HK</v>
          </cell>
        </row>
        <row r="2083">
          <cell r="C2083" t="str">
            <v>C49SZX20230083LC</v>
          </cell>
          <cell r="Y2083">
            <v>830000</v>
          </cell>
          <cell r="AG2083" t="str">
            <v>DDP GZ</v>
          </cell>
        </row>
        <row r="2084">
          <cell r="C2084" t="str">
            <v>C49SZX20230086SS</v>
          </cell>
          <cell r="Y2084">
            <v>420000</v>
          </cell>
          <cell r="AG2084" t="str">
            <v>DDP SZ</v>
          </cell>
        </row>
        <row r="2085">
          <cell r="C2085" t="str">
            <v>C49SZX20230078SX</v>
          </cell>
          <cell r="Y2085">
            <v>7100000</v>
          </cell>
          <cell r="AG2085" t="str">
            <v>DAP EP</v>
          </cell>
        </row>
        <row r="2086">
          <cell r="C2086" t="str">
            <v>C49SZX20230078SX</v>
          </cell>
          <cell r="Y2086">
            <v>7100000</v>
          </cell>
          <cell r="AG2086" t="str">
            <v>DAP EP</v>
          </cell>
        </row>
        <row r="2087">
          <cell r="C2087" t="str">
            <v>C49SZX20230090SS</v>
          </cell>
          <cell r="Y2087">
            <v>410000</v>
          </cell>
          <cell r="AG2087" t="str">
            <v>DDP SZ</v>
          </cell>
        </row>
        <row r="2088">
          <cell r="C2088" t="str">
            <v>C49SZX20230091SX</v>
          </cell>
          <cell r="Y2088">
            <v>800000</v>
          </cell>
          <cell r="AG2088" t="str">
            <v>DDP SZ</v>
          </cell>
        </row>
        <row r="2089">
          <cell r="C2089" t="str">
            <v>C49SZX20230091SX</v>
          </cell>
          <cell r="Y2089">
            <v>480000</v>
          </cell>
          <cell r="AG2089" t="str">
            <v>DDP SZ</v>
          </cell>
        </row>
        <row r="2090">
          <cell r="C2090" t="str">
            <v>C49SZX20230089EC</v>
          </cell>
          <cell r="Y2090">
            <v>15000000</v>
          </cell>
          <cell r="AG2090" t="str">
            <v>DAP SZ</v>
          </cell>
        </row>
        <row r="2091">
          <cell r="C2091" t="str">
            <v>C49SZX20230089EC</v>
          </cell>
          <cell r="Y2091">
            <v>15000000</v>
          </cell>
          <cell r="AG2091" t="str">
            <v>DAP SZ</v>
          </cell>
        </row>
        <row r="2092">
          <cell r="C2092" t="str">
            <v>C49SZX20230092EC</v>
          </cell>
          <cell r="Y2092">
            <v>15000000</v>
          </cell>
          <cell r="AG2092" t="str">
            <v>DAP SZ</v>
          </cell>
        </row>
        <row r="2093">
          <cell r="C2093" t="str">
            <v>C49SZX20230092EC</v>
          </cell>
          <cell r="Y2093">
            <v>15000000</v>
          </cell>
          <cell r="AG2093" t="str">
            <v>DAP SZ</v>
          </cell>
        </row>
        <row r="2094">
          <cell r="C2094" t="str">
            <v>C49SZX20230092EC</v>
          </cell>
          <cell r="Y2094">
            <v>15000000</v>
          </cell>
          <cell r="AG2094" t="str">
            <v>DAP SZ</v>
          </cell>
        </row>
        <row r="2095">
          <cell r="C2095" t="str">
            <v>C49SZX20230092EC</v>
          </cell>
          <cell r="Y2095">
            <v>15000000</v>
          </cell>
          <cell r="AG2095" t="str">
            <v>DAP SZ</v>
          </cell>
        </row>
        <row r="2096">
          <cell r="C2096" t="str">
            <v>C49SZX20230093SX</v>
          </cell>
          <cell r="Y2096">
            <v>460000</v>
          </cell>
          <cell r="AG2096" t="str">
            <v>DDP SZ</v>
          </cell>
        </row>
        <row r="2097">
          <cell r="C2097" t="str">
            <v>C49SZX20230093SX</v>
          </cell>
          <cell r="Y2097">
            <v>460000</v>
          </cell>
          <cell r="AG2097" t="str">
            <v>DDP SZ</v>
          </cell>
        </row>
        <row r="2098">
          <cell r="C2098" t="str">
            <v>C49SZX20230093SX</v>
          </cell>
          <cell r="Y2098">
            <v>771800</v>
          </cell>
          <cell r="AG2098" t="str">
            <v>DDP SZ</v>
          </cell>
        </row>
        <row r="2099">
          <cell r="C2099" t="str">
            <v>C49SZX20230093SX</v>
          </cell>
          <cell r="Y2099">
            <v>771800</v>
          </cell>
          <cell r="AG2099" t="str">
            <v>DDP SZ</v>
          </cell>
        </row>
        <row r="2100">
          <cell r="C2100" t="str">
            <v>C49SZX20230093SX</v>
          </cell>
          <cell r="Y2100">
            <v>771800</v>
          </cell>
          <cell r="AG2100" t="str">
            <v>DDP SZ</v>
          </cell>
        </row>
        <row r="2101">
          <cell r="C2101" t="str">
            <v>C49SZX20230093SX</v>
          </cell>
          <cell r="Y2101">
            <v>771800</v>
          </cell>
          <cell r="AG2101" t="str">
            <v>DDP SZ</v>
          </cell>
        </row>
        <row r="2102">
          <cell r="C2102" t="str">
            <v>C49SZX20230093SX</v>
          </cell>
          <cell r="Y2102">
            <v>771800</v>
          </cell>
          <cell r="AG2102" t="str">
            <v>DDP SZ</v>
          </cell>
        </row>
        <row r="2103">
          <cell r="C2103" t="str">
            <v>C49SZX20230093SX</v>
          </cell>
          <cell r="Y2103">
            <v>771800</v>
          </cell>
          <cell r="AG2103" t="str">
            <v>DDP SZ</v>
          </cell>
        </row>
        <row r="2104">
          <cell r="C2104" t="str">
            <v>LDY-2023071801</v>
          </cell>
          <cell r="Y2104">
            <v>860000</v>
          </cell>
          <cell r="AG2104" t="str">
            <v>DDP GZ</v>
          </cell>
        </row>
        <row r="2105">
          <cell r="C2105" t="str">
            <v>GD-20230250</v>
          </cell>
          <cell r="Y2105">
            <v>523000</v>
          </cell>
          <cell r="AG2105" t="str">
            <v>DDP ZH</v>
          </cell>
        </row>
        <row r="2106">
          <cell r="C2106" t="str">
            <v>GD-20230250</v>
          </cell>
          <cell r="Y2106">
            <v>523000</v>
          </cell>
          <cell r="AG2106" t="str">
            <v>DDP ZH</v>
          </cell>
        </row>
        <row r="2107">
          <cell r="C2107" t="str">
            <v>C49SZX20230072MZ</v>
          </cell>
          <cell r="Y2107">
            <v>15000000</v>
          </cell>
          <cell r="AG2107" t="str">
            <v>CIF HK</v>
          </cell>
        </row>
        <row r="2108">
          <cell r="C2108" t="str">
            <v>C49SZX20230072MZ</v>
          </cell>
          <cell r="Y2108">
            <v>15000000</v>
          </cell>
          <cell r="AG2108" t="str">
            <v>CIF HK</v>
          </cell>
        </row>
        <row r="2109">
          <cell r="C2109" t="str">
            <v>C49SZX20230072MZ</v>
          </cell>
          <cell r="Y2109">
            <v>15000000</v>
          </cell>
          <cell r="AG2109" t="str">
            <v>CIF HK</v>
          </cell>
        </row>
        <row r="2110">
          <cell r="C2110" t="str">
            <v>C49SZX20230072MZ</v>
          </cell>
          <cell r="Y2110">
            <v>15000000</v>
          </cell>
          <cell r="AG2110" t="str">
            <v>CIF HK</v>
          </cell>
        </row>
        <row r="2111">
          <cell r="C2111" t="str">
            <v>C49SZX20230072MZ</v>
          </cell>
          <cell r="Y2111">
            <v>15000000</v>
          </cell>
          <cell r="AG2111" t="str">
            <v>CIF HK</v>
          </cell>
        </row>
        <row r="2112">
          <cell r="C2112" t="str">
            <v>C49SZX20230072MZ</v>
          </cell>
          <cell r="Y2112">
            <v>15000000</v>
          </cell>
          <cell r="AG2112" t="str">
            <v>CIF HK</v>
          </cell>
        </row>
        <row r="2113">
          <cell r="C2113" t="str">
            <v>C49SZX20230072MZ</v>
          </cell>
          <cell r="Y2113">
            <v>11250000</v>
          </cell>
          <cell r="AG2113" t="str">
            <v>CIF HK</v>
          </cell>
        </row>
        <row r="2114">
          <cell r="C2114" t="str">
            <v>C49SZX20230072MZ</v>
          </cell>
          <cell r="Y2114">
            <v>11250000</v>
          </cell>
          <cell r="AG2114" t="str">
            <v>CIF HK</v>
          </cell>
        </row>
        <row r="2115">
          <cell r="C2115" t="str">
            <v>C49SZX20230072MZ</v>
          </cell>
          <cell r="Y2115">
            <v>11250000</v>
          </cell>
          <cell r="AG2115" t="str">
            <v>CIF HK</v>
          </cell>
        </row>
        <row r="2116">
          <cell r="C2116" t="str">
            <v>C49SZX20230072MZ</v>
          </cell>
          <cell r="Y2116">
            <v>11250000</v>
          </cell>
          <cell r="AG2116" t="str">
            <v>CIF HK</v>
          </cell>
        </row>
        <row r="2117">
          <cell r="C2117" t="str">
            <v>C49SZX20230096JL/4600003030</v>
          </cell>
          <cell r="Y2117">
            <v>60000</v>
          </cell>
          <cell r="AG2117" t="str">
            <v>CIF HK</v>
          </cell>
        </row>
        <row r="2118">
          <cell r="C2118" t="str">
            <v>C49SZX20230096JL/4600003030</v>
          </cell>
          <cell r="Y2118">
            <v>60000</v>
          </cell>
          <cell r="AG2118" t="str">
            <v>CIF HK</v>
          </cell>
        </row>
        <row r="2119">
          <cell r="C2119" t="str">
            <v>SNFPC-CG-2023-006</v>
          </cell>
          <cell r="Y2119">
            <v>740000</v>
          </cell>
          <cell r="AG2119" t="str">
            <v>DDP SN</v>
          </cell>
        </row>
        <row r="2120">
          <cell r="C2120" t="str">
            <v>C49SZX20230098SX</v>
          </cell>
          <cell r="Y2120">
            <v>460000</v>
          </cell>
          <cell r="AG2120" t="str">
            <v>DDP HZ</v>
          </cell>
        </row>
        <row r="2121">
          <cell r="C2121" t="str">
            <v>C49SZX20230099EC</v>
          </cell>
          <cell r="Y2121">
            <v>730000</v>
          </cell>
          <cell r="AG2121" t="str">
            <v>DDP HZ</v>
          </cell>
        </row>
        <row r="2122">
          <cell r="C2122" t="str">
            <v>PO#101295-KDY-LEL</v>
          </cell>
          <cell r="Y2122">
            <v>30222</v>
          </cell>
          <cell r="AG2122" t="str">
            <v>DDP SZ</v>
          </cell>
        </row>
        <row r="2123">
          <cell r="C2123" t="str">
            <v>C49SZX202300095SX</v>
          </cell>
          <cell r="Y2123">
            <v>670000</v>
          </cell>
          <cell r="AG2123" t="str">
            <v>DDP SZ</v>
          </cell>
        </row>
        <row r="2124">
          <cell r="C2124" t="str">
            <v>C49SZX20230100JL</v>
          </cell>
          <cell r="Y2124">
            <v>11860000</v>
          </cell>
          <cell r="AG2124" t="str">
            <v>DAP DG</v>
          </cell>
        </row>
        <row r="2125">
          <cell r="C2125" t="str">
            <v xml:space="preserve">FP3098563 </v>
          </cell>
          <cell r="Y2125">
            <v>59605</v>
          </cell>
          <cell r="AG2125" t="str">
            <v>DDP SH</v>
          </cell>
        </row>
        <row r="2126">
          <cell r="C2126" t="str">
            <v>C49SZX20230102SX</v>
          </cell>
          <cell r="Y2126">
            <v>20000000</v>
          </cell>
          <cell r="AG2126" t="str">
            <v>DAP YC</v>
          </cell>
        </row>
        <row r="2127">
          <cell r="C2127" t="str">
            <v>C49SZX20230102SX</v>
          </cell>
          <cell r="Y2127">
            <v>20000000</v>
          </cell>
          <cell r="AG2127" t="str">
            <v>DAP YC</v>
          </cell>
        </row>
        <row r="2128">
          <cell r="C2128" t="str">
            <v>C49SZX20230102SX</v>
          </cell>
          <cell r="Y2128">
            <v>8800000</v>
          </cell>
          <cell r="AG2128" t="str">
            <v>DAP YC</v>
          </cell>
        </row>
        <row r="2129">
          <cell r="C2129" t="str">
            <v>C49SZX20230102SX</v>
          </cell>
          <cell r="Y2129">
            <v>8800000</v>
          </cell>
          <cell r="AG2129" t="str">
            <v>DAP YC</v>
          </cell>
        </row>
        <row r="2130">
          <cell r="C2130" t="str">
            <v>C49SZX20230101DM</v>
          </cell>
          <cell r="Y2130">
            <v>12450000</v>
          </cell>
          <cell r="AG2130" t="str">
            <v>DAP HZ</v>
          </cell>
        </row>
        <row r="2131">
          <cell r="C2131" t="str">
            <v>C49SZX20230101R1DM</v>
          </cell>
          <cell r="Y2131">
            <v>12500000</v>
          </cell>
          <cell r="AG2131" t="str">
            <v>DAP HZ</v>
          </cell>
        </row>
        <row r="2132">
          <cell r="C2132" t="str">
            <v>C49SZX20230101R1DM</v>
          </cell>
          <cell r="Y2132">
            <v>8170000</v>
          </cell>
          <cell r="AG2132" t="str">
            <v>DAP HZ</v>
          </cell>
        </row>
        <row r="2133">
          <cell r="C2133" t="str">
            <v>C49SZX20230101DM</v>
          </cell>
          <cell r="Y2133">
            <v>7800000</v>
          </cell>
          <cell r="AG2133" t="str">
            <v>DAP HZ</v>
          </cell>
        </row>
        <row r="2134">
          <cell r="C2134" t="str">
            <v>C49SZX20230109JY</v>
          </cell>
          <cell r="Y2134">
            <v>13000000</v>
          </cell>
          <cell r="AG2134" t="str">
            <v>DAP SZ</v>
          </cell>
        </row>
        <row r="2135">
          <cell r="C2135" t="str">
            <v>C49SZX20230106SX</v>
          </cell>
          <cell r="Y2135">
            <v>17000000</v>
          </cell>
          <cell r="AG2135" t="str">
            <v>DAP HZ</v>
          </cell>
        </row>
        <row r="2136">
          <cell r="C2136" t="str">
            <v>C49SZX20230106SX</v>
          </cell>
          <cell r="Y2136">
            <v>8993000</v>
          </cell>
          <cell r="AG2136" t="str">
            <v>DAP HZ</v>
          </cell>
        </row>
        <row r="2137">
          <cell r="C2137" t="str">
            <v>C49SZX20230105HC</v>
          </cell>
          <cell r="Y2137">
            <v>760000</v>
          </cell>
          <cell r="AG2137" t="str">
            <v>DDP AQ</v>
          </cell>
        </row>
        <row r="2138">
          <cell r="C2138" t="str">
            <v>C49SZX20230105HC</v>
          </cell>
          <cell r="Y2138">
            <v>760000</v>
          </cell>
          <cell r="AG2138" t="str">
            <v>DDP AQ</v>
          </cell>
        </row>
        <row r="2139">
          <cell r="C2139" t="str">
            <v>C49SZX20230105HC</v>
          </cell>
          <cell r="Y2139">
            <v>430000</v>
          </cell>
          <cell r="AG2139" t="str">
            <v>DDP AQ</v>
          </cell>
        </row>
        <row r="2140">
          <cell r="C2140" t="str">
            <v>C49SZX20230105HC</v>
          </cell>
          <cell r="Y2140">
            <v>430000</v>
          </cell>
          <cell r="AG2140" t="str">
            <v>DDP AQ</v>
          </cell>
        </row>
        <row r="2141">
          <cell r="C2141">
            <v>4600079330</v>
          </cell>
          <cell r="Y2141">
            <v>7650</v>
          </cell>
          <cell r="AG2141" t="str">
            <v>CIF HK</v>
          </cell>
        </row>
        <row r="2142">
          <cell r="C2142" t="str">
            <v>C49SZX20230110SS</v>
          </cell>
          <cell r="Y2142">
            <v>8400000</v>
          </cell>
          <cell r="AG2142" t="str">
            <v>DAP SZ</v>
          </cell>
        </row>
        <row r="2143">
          <cell r="C2143" t="str">
            <v>C49SZX20230110SS</v>
          </cell>
          <cell r="Y2143">
            <v>14000000</v>
          </cell>
          <cell r="AG2143" t="str">
            <v>DAP SZ</v>
          </cell>
        </row>
        <row r="2144">
          <cell r="C2144" t="str">
            <v>HJD-ESE20231016</v>
          </cell>
          <cell r="Y2144">
            <v>63000</v>
          </cell>
          <cell r="AG2144" t="str">
            <v>CIF Vietnam</v>
          </cell>
        </row>
        <row r="2145">
          <cell r="C2145" t="str">
            <v>PO#101321-KDY-LEL</v>
          </cell>
          <cell r="Y2145">
            <v>30000</v>
          </cell>
          <cell r="AG2145" t="str">
            <v>DDP SH</v>
          </cell>
        </row>
        <row r="2146">
          <cell r="C2146" t="str">
            <v>C49SZX20230112JL</v>
          </cell>
          <cell r="Y2146">
            <v>11800000</v>
          </cell>
          <cell r="AG2146" t="str">
            <v>DAP SZ</v>
          </cell>
        </row>
        <row r="2147">
          <cell r="C2147" t="str">
            <v>C49SZX20230112JL</v>
          </cell>
          <cell r="Y2147">
            <v>11800000</v>
          </cell>
          <cell r="AG2147" t="str">
            <v>DAP SZ</v>
          </cell>
        </row>
        <row r="2148">
          <cell r="C2148" t="str">
            <v>C49SZX20230113EC</v>
          </cell>
          <cell r="Y2148">
            <v>15000000</v>
          </cell>
          <cell r="AG2148" t="str">
            <v>DAP GZ</v>
          </cell>
        </row>
        <row r="2149">
          <cell r="C2149" t="str">
            <v>C49SZX20230118SS</v>
          </cell>
          <cell r="Y2149">
            <v>430000</v>
          </cell>
          <cell r="AG2149" t="str">
            <v>DDP SZ</v>
          </cell>
        </row>
        <row r="2150">
          <cell r="C2150" t="str">
            <v>C49SZX20230119JL/4600003615</v>
          </cell>
          <cell r="Y2150">
            <v>58000</v>
          </cell>
          <cell r="AG2150" t="str">
            <v>CIF HK</v>
          </cell>
        </row>
        <row r="2151">
          <cell r="C2151" t="str">
            <v>C49SZX20230119JL/4600003615</v>
          </cell>
          <cell r="Y2151">
            <v>58000</v>
          </cell>
          <cell r="AG2151" t="str">
            <v>CIF HK</v>
          </cell>
        </row>
        <row r="2152">
          <cell r="C2152" t="str">
            <v>C49SZX20230120SX</v>
          </cell>
          <cell r="Y2152">
            <v>12200000</v>
          </cell>
          <cell r="AG2152" t="str">
            <v>DAP HZ</v>
          </cell>
        </row>
        <row r="2153">
          <cell r="C2153" t="str">
            <v>C49SZX20230120SX</v>
          </cell>
          <cell r="Y2153">
            <v>7200000</v>
          </cell>
          <cell r="AG2153" t="str">
            <v>DAP HZ</v>
          </cell>
        </row>
        <row r="2154">
          <cell r="C2154" t="str">
            <v>C28SZX20230122SX</v>
          </cell>
          <cell r="Y2154">
            <v>8160000</v>
          </cell>
          <cell r="AG2154" t="str">
            <v>DAP HZ</v>
          </cell>
        </row>
        <row r="2155">
          <cell r="C2155" t="str">
            <v>C49SZX20230115JY</v>
          </cell>
          <cell r="Y2155">
            <v>11900000</v>
          </cell>
          <cell r="AG2155" t="str">
            <v>DAP DG</v>
          </cell>
        </row>
        <row r="2156">
          <cell r="C2156" t="str">
            <v>C49SZX20230111SX</v>
          </cell>
          <cell r="Y2156">
            <v>13000000</v>
          </cell>
          <cell r="AG2156" t="str">
            <v>DAP DG</v>
          </cell>
        </row>
        <row r="2157">
          <cell r="C2157" t="str">
            <v>C49SZX20230111SX</v>
          </cell>
          <cell r="Y2157">
            <v>13000000</v>
          </cell>
          <cell r="AG2157" t="str">
            <v>DAP DG</v>
          </cell>
        </row>
        <row r="2158">
          <cell r="C2158" t="str">
            <v>C49SZX20230111SX</v>
          </cell>
          <cell r="Y2158">
            <v>13000000</v>
          </cell>
          <cell r="AG2158" t="str">
            <v>DAP DG</v>
          </cell>
        </row>
        <row r="2159">
          <cell r="C2159" t="str">
            <v>C49SZX20230111SX</v>
          </cell>
          <cell r="Y2159">
            <v>13000000</v>
          </cell>
          <cell r="AG2159" t="str">
            <v>DAP DG</v>
          </cell>
        </row>
        <row r="2160">
          <cell r="C2160" t="str">
            <v>C49SZX20230111SX</v>
          </cell>
          <cell r="Y2160">
            <v>8500000</v>
          </cell>
          <cell r="AG2160" t="str">
            <v>DAP DG</v>
          </cell>
        </row>
        <row r="2161">
          <cell r="C2161" t="str">
            <v>C49SZX20230111SX</v>
          </cell>
          <cell r="Y2161">
            <v>8500000</v>
          </cell>
          <cell r="AG2161" t="str">
            <v>DAP DG</v>
          </cell>
        </row>
        <row r="2162">
          <cell r="C2162" t="str">
            <v>C49SZX20230111SX</v>
          </cell>
          <cell r="Y2162">
            <v>8500000</v>
          </cell>
          <cell r="AG2162" t="str">
            <v>DAP DG</v>
          </cell>
        </row>
        <row r="2163">
          <cell r="C2163" t="str">
            <v>C49SZX20230111SX</v>
          </cell>
          <cell r="Y2163">
            <v>8500000</v>
          </cell>
          <cell r="AG2163" t="str">
            <v>DAP DG</v>
          </cell>
        </row>
        <row r="2164">
          <cell r="C2164" t="str">
            <v>C49SZX20230111SX</v>
          </cell>
          <cell r="Y2164">
            <v>8500000</v>
          </cell>
          <cell r="AG2164" t="str">
            <v>DAP DG</v>
          </cell>
        </row>
        <row r="2165">
          <cell r="C2165" t="str">
            <v>C49SZX20230111SX</v>
          </cell>
          <cell r="Y2165">
            <v>8500000</v>
          </cell>
          <cell r="AG2165" t="str">
            <v>DAP DG</v>
          </cell>
        </row>
        <row r="2166">
          <cell r="C2166" t="str">
            <v>C49SZX20230111SX</v>
          </cell>
          <cell r="Y2166">
            <v>8500000</v>
          </cell>
          <cell r="AG2166" t="str">
            <v>DAP DG</v>
          </cell>
        </row>
        <row r="2167">
          <cell r="C2167" t="str">
            <v>C49SZX20230111SX</v>
          </cell>
          <cell r="Y2167">
            <v>8500000</v>
          </cell>
          <cell r="AG2167" t="str">
            <v>DAP DG</v>
          </cell>
        </row>
        <row r="2168">
          <cell r="C2168" t="str">
            <v>C49SZX20230123SX</v>
          </cell>
          <cell r="Y2168">
            <v>12200000</v>
          </cell>
          <cell r="AG2168" t="str">
            <v>DAP SZ</v>
          </cell>
        </row>
        <row r="2169">
          <cell r="C2169" t="str">
            <v>C49SZX20230123SX</v>
          </cell>
          <cell r="Y2169">
            <v>7950000</v>
          </cell>
          <cell r="AG2169" t="str">
            <v>DAP SZ</v>
          </cell>
        </row>
        <row r="2170">
          <cell r="C2170" t="str">
            <v>C49SZX20230125JY</v>
          </cell>
          <cell r="Y2170">
            <v>7100000</v>
          </cell>
          <cell r="AG2170" t="str">
            <v>DAP SZ</v>
          </cell>
        </row>
        <row r="2171">
          <cell r="C2171" t="str">
            <v>C49SZX20230125JY</v>
          </cell>
          <cell r="Y2171">
            <v>7100000</v>
          </cell>
          <cell r="AG2171" t="str">
            <v>DAP SZ</v>
          </cell>
        </row>
        <row r="2172">
          <cell r="C2172" t="str">
            <v>C49SZX20230129JL/HJD23110851</v>
          </cell>
          <cell r="Y2172">
            <v>506000</v>
          </cell>
          <cell r="AG2172" t="str">
            <v>DDP HY</v>
          </cell>
        </row>
        <row r="2173">
          <cell r="C2173" t="str">
            <v>C49SZX20230128SX</v>
          </cell>
          <cell r="Y2173">
            <v>9252610</v>
          </cell>
          <cell r="AG2173" t="str">
            <v>DAP JX</v>
          </cell>
        </row>
        <row r="2174">
          <cell r="C2174" t="str">
            <v>C49SZX20230128SX</v>
          </cell>
          <cell r="Y2174">
            <v>9252610</v>
          </cell>
          <cell r="AG2174" t="str">
            <v>DAP JX</v>
          </cell>
        </row>
        <row r="2175">
          <cell r="C2175" t="str">
            <v>C49SZX20230128SX</v>
          </cell>
          <cell r="Y2175">
            <v>9252610</v>
          </cell>
          <cell r="AG2175" t="str">
            <v>DAP JX</v>
          </cell>
        </row>
        <row r="2176">
          <cell r="C2176" t="str">
            <v>C49SZX20230128SX</v>
          </cell>
          <cell r="Y2176">
            <v>9252610</v>
          </cell>
          <cell r="AG2176" t="str">
            <v>DAP JX</v>
          </cell>
        </row>
        <row r="2177">
          <cell r="C2177" t="str">
            <v>C49SZX20230130JY</v>
          </cell>
          <cell r="Y2177">
            <v>13225000</v>
          </cell>
          <cell r="AG2177" t="str">
            <v>DAP SZ</v>
          </cell>
        </row>
        <row r="2178">
          <cell r="C2178" t="str">
            <v>C49SZX20230130JY</v>
          </cell>
          <cell r="Y2178">
            <v>13225000</v>
          </cell>
          <cell r="AG2178" t="str">
            <v>DAP SZ</v>
          </cell>
        </row>
        <row r="2179">
          <cell r="C2179" t="str">
            <v>C49SZX20230132LC</v>
          </cell>
          <cell r="Y2179">
            <v>12600000</v>
          </cell>
          <cell r="AG2179" t="str">
            <v>DAP DG</v>
          </cell>
        </row>
        <row r="2180">
          <cell r="C2180" t="str">
            <v>C49SZX20230132LC</v>
          </cell>
          <cell r="Y2180">
            <v>9510000</v>
          </cell>
          <cell r="AG2180" t="str">
            <v>DAP DG</v>
          </cell>
        </row>
        <row r="2181">
          <cell r="C2181" t="str">
            <v>C49SZX20230131EC</v>
          </cell>
          <cell r="Y2181">
            <v>8500000</v>
          </cell>
          <cell r="AG2181" t="str">
            <v>DAP DG</v>
          </cell>
        </row>
        <row r="2182">
          <cell r="C2182" t="str">
            <v>C49SZX20230133JL/4600003765</v>
          </cell>
          <cell r="Y2182">
            <v>58000</v>
          </cell>
          <cell r="AG2182" t="str">
            <v>CIF HK</v>
          </cell>
        </row>
        <row r="2183">
          <cell r="C2183" t="str">
            <v>C49SZX20230133JL/4600003765</v>
          </cell>
          <cell r="Y2183">
            <v>58000</v>
          </cell>
          <cell r="AG2183" t="str">
            <v>CIF HK</v>
          </cell>
        </row>
        <row r="2184">
          <cell r="C2184" t="str">
            <v>CG20231204009</v>
          </cell>
          <cell r="Y2184">
            <v>800000</v>
          </cell>
          <cell r="AG2184" t="str">
            <v>DDP DG</v>
          </cell>
        </row>
        <row r="2185">
          <cell r="C2185" t="str">
            <v>CG20231204009</v>
          </cell>
          <cell r="Y2185">
            <v>800000</v>
          </cell>
          <cell r="AG2185" t="str">
            <v>DDP DG</v>
          </cell>
        </row>
        <row r="2186">
          <cell r="C2186" t="str">
            <v>CG20231204009</v>
          </cell>
          <cell r="Y2186">
            <v>554800</v>
          </cell>
          <cell r="AG2186" t="str">
            <v>DDP DG</v>
          </cell>
        </row>
        <row r="2187">
          <cell r="C2187" t="str">
            <v>CG20231204009</v>
          </cell>
          <cell r="Y2187">
            <v>900000</v>
          </cell>
          <cell r="AG2187" t="str">
            <v>DDP DG</v>
          </cell>
        </row>
        <row r="2188">
          <cell r="C2188" t="str">
            <v>CG20231204009</v>
          </cell>
          <cell r="Y2188">
            <v>900000</v>
          </cell>
          <cell r="AG2188" t="str">
            <v>DDP DG</v>
          </cell>
        </row>
        <row r="2189">
          <cell r="C2189" t="str">
            <v>C49SZX20230138LC</v>
          </cell>
          <cell r="Y2189">
            <v>12000000</v>
          </cell>
          <cell r="AG2189" t="str">
            <v>DAP SZ</v>
          </cell>
        </row>
        <row r="2190">
          <cell r="C2190" t="str">
            <v>C49SZX20230136JAL</v>
          </cell>
          <cell r="Y2190">
            <v>134000</v>
          </cell>
          <cell r="AG2190" t="str">
            <v>CIF HK</v>
          </cell>
        </row>
        <row r="2191">
          <cell r="C2191" t="str">
            <v>C28SZX20230135JAL</v>
          </cell>
          <cell r="Y2191">
            <v>64000</v>
          </cell>
          <cell r="AG2191" t="str">
            <v>CIF HK</v>
          </cell>
        </row>
        <row r="2192">
          <cell r="C2192" t="str">
            <v>C28SZX20230135JAL</v>
          </cell>
          <cell r="Y2192">
            <v>45000</v>
          </cell>
          <cell r="AG2192" t="str">
            <v>CIF HK</v>
          </cell>
        </row>
        <row r="2193">
          <cell r="C2193" t="str">
            <v>C49SZX20230140SX</v>
          </cell>
          <cell r="Y2193">
            <v>660000</v>
          </cell>
          <cell r="AG2193" t="str">
            <v>DDP HZ</v>
          </cell>
        </row>
        <row r="2194">
          <cell r="C2194" t="str">
            <v>C49SZX202300141SS</v>
          </cell>
          <cell r="Y2194">
            <v>15200000</v>
          </cell>
          <cell r="AG2194" t="str">
            <v>DAP SZ</v>
          </cell>
        </row>
        <row r="2195">
          <cell r="C2195" t="str">
            <v>C49SZX20230142MZ</v>
          </cell>
          <cell r="Y2195">
            <v>13000000</v>
          </cell>
          <cell r="AG2195" t="str">
            <v>DAP SZ</v>
          </cell>
        </row>
        <row r="2196">
          <cell r="C2196" t="str">
            <v>C49SZX20230142MZ</v>
          </cell>
          <cell r="Y2196">
            <v>7500000</v>
          </cell>
          <cell r="AG2196" t="str">
            <v>DAP SZ</v>
          </cell>
        </row>
        <row r="2197">
          <cell r="C2197" t="str">
            <v>C49SZX20230139DX</v>
          </cell>
          <cell r="Y2197">
            <v>14600000</v>
          </cell>
          <cell r="AG2197" t="str">
            <v>DAP SZ</v>
          </cell>
        </row>
        <row r="2198">
          <cell r="C2198" t="str">
            <v>PO#101338-KDY-LEL</v>
          </cell>
          <cell r="Y2198">
            <v>30000</v>
          </cell>
          <cell r="AG2198" t="str">
            <v>DDP SH</v>
          </cell>
        </row>
        <row r="2199">
          <cell r="C2199" t="str">
            <v>C49SZX20230142SS</v>
          </cell>
          <cell r="Y2199">
            <v>6600000</v>
          </cell>
          <cell r="AG2199" t="str">
            <v>DAP SZ</v>
          </cell>
        </row>
        <row r="2200">
          <cell r="C2200" t="str">
            <v>C49SZX20230142SS</v>
          </cell>
          <cell r="Y2200">
            <v>6600000</v>
          </cell>
          <cell r="AG2200" t="str">
            <v>DAP SZ</v>
          </cell>
        </row>
        <row r="2201">
          <cell r="C2201" t="str">
            <v>C49SZX20230142SS</v>
          </cell>
          <cell r="Y2201">
            <v>6600000</v>
          </cell>
          <cell r="AG2201" t="str">
            <v>DAP SZ</v>
          </cell>
        </row>
        <row r="2202">
          <cell r="C2202" t="str">
            <v>C49SZX20230142SS</v>
          </cell>
          <cell r="Y2202">
            <v>6600000</v>
          </cell>
          <cell r="AG2202" t="str">
            <v>DAP SZ</v>
          </cell>
        </row>
        <row r="2203">
          <cell r="C2203" t="str">
            <v>C49SZX20230142SS</v>
          </cell>
          <cell r="Y2203">
            <v>12044000</v>
          </cell>
          <cell r="AG2203" t="str">
            <v>DAP SZ</v>
          </cell>
        </row>
        <row r="2204">
          <cell r="C2204" t="str">
            <v>C49SZX20230142SS</v>
          </cell>
          <cell r="Y2204">
            <v>12044000</v>
          </cell>
          <cell r="AG2204" t="str">
            <v>DAP SZ</v>
          </cell>
        </row>
        <row r="2205">
          <cell r="C2205" t="str">
            <v>C49SZX20230145BH</v>
          </cell>
          <cell r="Y2205">
            <v>11150000</v>
          </cell>
          <cell r="AG2205" t="str">
            <v>DAP DG</v>
          </cell>
        </row>
        <row r="2206">
          <cell r="C2206" t="str">
            <v>C49SZX20230145BH</v>
          </cell>
          <cell r="Y2206">
            <v>11150000</v>
          </cell>
          <cell r="AG2206" t="str">
            <v>DAP DG</v>
          </cell>
        </row>
        <row r="2207">
          <cell r="C2207" t="str">
            <v>C49SZX20230145BH</v>
          </cell>
          <cell r="Y2207">
            <v>6720000</v>
          </cell>
          <cell r="AG2207" t="str">
            <v>DAP DG</v>
          </cell>
        </row>
        <row r="2208">
          <cell r="C2208" t="str">
            <v>C49SZX20230143SX</v>
          </cell>
          <cell r="Y2208">
            <v>8730000</v>
          </cell>
          <cell r="AG2208" t="str">
            <v>DAP DG</v>
          </cell>
        </row>
        <row r="2209">
          <cell r="C2209" t="str">
            <v>C49SZX20240002SX</v>
          </cell>
          <cell r="Y2209">
            <v>6900000</v>
          </cell>
          <cell r="AG2209" t="str">
            <v>DAP SZ</v>
          </cell>
        </row>
        <row r="2210">
          <cell r="C2210" t="str">
            <v>C49SZX20240002SX</v>
          </cell>
          <cell r="Y2210">
            <v>6900000</v>
          </cell>
          <cell r="AG2210" t="str">
            <v>DAP SZ</v>
          </cell>
        </row>
        <row r="2211">
          <cell r="C2211" t="str">
            <v>C49SZX20240001JY</v>
          </cell>
          <cell r="Y2211">
            <v>12660000</v>
          </cell>
          <cell r="AG2211" t="str">
            <v>DAP SZ</v>
          </cell>
        </row>
        <row r="2212">
          <cell r="C2212" t="str">
            <v>C49SZX20240006R1SQ</v>
          </cell>
          <cell r="Y2212">
            <v>650000</v>
          </cell>
          <cell r="AG2212" t="str">
            <v>DDP GZ</v>
          </cell>
        </row>
        <row r="2213">
          <cell r="C2213" t="str">
            <v>C49SZX20240005EC</v>
          </cell>
          <cell r="Y2213">
            <v>12000000</v>
          </cell>
          <cell r="AG2213" t="str">
            <v>CIF HK</v>
          </cell>
        </row>
        <row r="2214">
          <cell r="C2214" t="str">
            <v>C49SZX20240007MZ</v>
          </cell>
          <cell r="Y2214">
            <v>770000</v>
          </cell>
          <cell r="AG2214" t="str">
            <v>DDP DG</v>
          </cell>
        </row>
        <row r="2215">
          <cell r="C2215" t="str">
            <v>C49SZX20240007MZ</v>
          </cell>
          <cell r="Y2215">
            <v>600000</v>
          </cell>
          <cell r="AG2215" t="str">
            <v>DDP DG</v>
          </cell>
        </row>
        <row r="2216">
          <cell r="C2216" t="str">
            <v>C49SZX20240008JL/4600004037</v>
          </cell>
          <cell r="Y2216">
            <v>60000</v>
          </cell>
          <cell r="AG2216" t="str">
            <v>CIF HK</v>
          </cell>
        </row>
        <row r="2217">
          <cell r="C2217" t="str">
            <v>C49SZX20240008JL/4600004037</v>
          </cell>
          <cell r="Y2217">
            <v>60000</v>
          </cell>
          <cell r="AG2217" t="str">
            <v>CIF HK</v>
          </cell>
        </row>
        <row r="2218">
          <cell r="C2218" t="str">
            <v>C49SZX20240009MZ</v>
          </cell>
          <cell r="Y2218">
            <v>12750000</v>
          </cell>
          <cell r="AG2218" t="str">
            <v>CIF HK</v>
          </cell>
        </row>
        <row r="2219">
          <cell r="C2219" t="str">
            <v>C49SZX20240009MZ</v>
          </cell>
          <cell r="Y2219">
            <v>12750000</v>
          </cell>
          <cell r="AG2219" t="str">
            <v>CIF HK</v>
          </cell>
        </row>
        <row r="2220">
          <cell r="C2220" t="str">
            <v>C49SZX20240009MZ</v>
          </cell>
          <cell r="Y2220">
            <v>8000000</v>
          </cell>
          <cell r="AG2220" t="str">
            <v>CIF HK</v>
          </cell>
        </row>
        <row r="2221">
          <cell r="C2221" t="str">
            <v>C49SZX20240009MZ</v>
          </cell>
          <cell r="Y2221">
            <v>8000000</v>
          </cell>
          <cell r="AG2221" t="str">
            <v>CIF HK</v>
          </cell>
        </row>
        <row r="2222">
          <cell r="C2222" t="str">
            <v>C49SZX20240009MZ</v>
          </cell>
          <cell r="Y2222">
            <v>8000000</v>
          </cell>
          <cell r="AG2222" t="str">
            <v>CIF HK</v>
          </cell>
        </row>
        <row r="2223">
          <cell r="C2223" t="str">
            <v>C49SZX20240010MZ</v>
          </cell>
          <cell r="Y2223">
            <v>12700000</v>
          </cell>
          <cell r="AG2223" t="str">
            <v>CIF HK</v>
          </cell>
        </row>
        <row r="2224">
          <cell r="C2224" t="str">
            <v>C49SZX20240010MZ</v>
          </cell>
          <cell r="Y2224">
            <v>12700000</v>
          </cell>
          <cell r="AG2224" t="str">
            <v>CIF HK</v>
          </cell>
        </row>
        <row r="2225">
          <cell r="C2225" t="str">
            <v>C49SZX20240010MZ</v>
          </cell>
          <cell r="Y2225">
            <v>8000000</v>
          </cell>
          <cell r="AG2225" t="str">
            <v>CIF HK</v>
          </cell>
        </row>
        <row r="2226">
          <cell r="C2226" t="str">
            <v>C49SZX20240010MZ</v>
          </cell>
          <cell r="Y2226">
            <v>8000000</v>
          </cell>
          <cell r="AG2226" t="str">
            <v>CIF HK</v>
          </cell>
        </row>
        <row r="2227">
          <cell r="C2227" t="str">
            <v>C28SZX20240011MZ</v>
          </cell>
          <cell r="Y2227">
            <v>8500000</v>
          </cell>
          <cell r="AG2227" t="str">
            <v>CIF HK</v>
          </cell>
        </row>
        <row r="2228">
          <cell r="C2228" t="str">
            <v>C28SZX20240012MZ</v>
          </cell>
          <cell r="Y2228">
            <v>8500000</v>
          </cell>
          <cell r="AG2228" t="str">
            <v>CIF HK</v>
          </cell>
        </row>
        <row r="2229">
          <cell r="C2229" t="str">
            <v>C49SZX20240015DX</v>
          </cell>
          <cell r="Y2229">
            <v>970000</v>
          </cell>
          <cell r="AG2229" t="str">
            <v>DDP SZ</v>
          </cell>
        </row>
        <row r="2230">
          <cell r="C2230" t="str">
            <v>C49SZX20240015DX</v>
          </cell>
          <cell r="Y2230">
            <v>970000</v>
          </cell>
          <cell r="AG2230" t="str">
            <v>DDP SZ</v>
          </cell>
        </row>
        <row r="2231">
          <cell r="C2231" t="str">
            <v>C49SZX20240018DZ</v>
          </cell>
          <cell r="Y2231">
            <v>12397500</v>
          </cell>
          <cell r="AG2231" t="str">
            <v>DAP GZ</v>
          </cell>
        </row>
        <row r="2232">
          <cell r="C2232" t="str">
            <v>C49SZX20240018DZ</v>
          </cell>
          <cell r="Y2232">
            <v>12397500</v>
          </cell>
          <cell r="AG2232" t="str">
            <v>DAP GZ</v>
          </cell>
        </row>
        <row r="2233">
          <cell r="C2233" t="str">
            <v>C49SZX20240018DZ</v>
          </cell>
          <cell r="Y2233">
            <v>12397500</v>
          </cell>
          <cell r="AG2233" t="str">
            <v>DAP GZ</v>
          </cell>
        </row>
        <row r="2234">
          <cell r="C2234" t="str">
            <v>C49SZX20240018DZ</v>
          </cell>
          <cell r="Y2234">
            <v>12397500</v>
          </cell>
          <cell r="AG2234" t="str">
            <v>DAP GZ</v>
          </cell>
        </row>
        <row r="2235">
          <cell r="C2235" t="str">
            <v>C49SZX20240013SX</v>
          </cell>
          <cell r="Y2235">
            <v>12000000</v>
          </cell>
          <cell r="AG2235" t="str">
            <v>DAP JX</v>
          </cell>
        </row>
        <row r="2236">
          <cell r="C2236" t="str">
            <v>C49SZX20240013SX</v>
          </cell>
          <cell r="Y2236">
            <v>7686000</v>
          </cell>
          <cell r="AG2236" t="str">
            <v>DAP JX</v>
          </cell>
        </row>
        <row r="2237">
          <cell r="C2237" t="str">
            <v>C49SZX20240030SX</v>
          </cell>
          <cell r="Y2237">
            <v>100000</v>
          </cell>
          <cell r="AG2237" t="str">
            <v>CIF Vietnam</v>
          </cell>
        </row>
        <row r="2238">
          <cell r="C2238" t="str">
            <v>C49SZX20240030SX</v>
          </cell>
          <cell r="Y2238">
            <v>88000</v>
          </cell>
          <cell r="AG2238" t="str">
            <v>CIF Vietnam</v>
          </cell>
        </row>
        <row r="2239">
          <cell r="C2239" t="str">
            <v>C49SZX20240022SS/ZC20240119106</v>
          </cell>
          <cell r="Y2239">
            <v>440000</v>
          </cell>
          <cell r="AG2239" t="str">
            <v>DDP HZ</v>
          </cell>
        </row>
        <row r="2240">
          <cell r="C2240" t="str">
            <v>C49SZX20240021EC</v>
          </cell>
          <cell r="Y2240">
            <v>12500000</v>
          </cell>
          <cell r="AG2240" t="str">
            <v>DAP SZ</v>
          </cell>
        </row>
        <row r="2241">
          <cell r="C2241" t="str">
            <v>C49SZX20240023SQ</v>
          </cell>
          <cell r="Y2241">
            <v>530000</v>
          </cell>
          <cell r="AG2241" t="str">
            <v>DDP DG</v>
          </cell>
        </row>
        <row r="2242">
          <cell r="C2242" t="str">
            <v>C49SZX20240023SQ</v>
          </cell>
          <cell r="Y2242">
            <v>850000</v>
          </cell>
          <cell r="AG2242" t="str">
            <v>DDP DG</v>
          </cell>
        </row>
        <row r="2243">
          <cell r="C2243" t="str">
            <v>C49SZX20240025JL</v>
          </cell>
          <cell r="Y2243">
            <v>635000</v>
          </cell>
          <cell r="AG2243" t="str">
            <v>DDP SZ</v>
          </cell>
        </row>
        <row r="2244">
          <cell r="C2244" t="str">
            <v>C49SZX20240026JL/4600004198</v>
          </cell>
          <cell r="Y2244">
            <v>68800</v>
          </cell>
          <cell r="AG2244" t="str">
            <v>CIF HK</v>
          </cell>
        </row>
        <row r="2245">
          <cell r="C2245" t="str">
            <v>C49SZX20240026JL/4600004198</v>
          </cell>
          <cell r="Y2245">
            <v>68800</v>
          </cell>
          <cell r="AG2245" t="str">
            <v>CIF HK</v>
          </cell>
        </row>
        <row r="2246">
          <cell r="C2246" t="str">
            <v>C49SZX20240027JL/4600004199</v>
          </cell>
          <cell r="Y2246">
            <v>68800</v>
          </cell>
          <cell r="AG2246" t="str">
            <v>CIF HK</v>
          </cell>
        </row>
        <row r="2247">
          <cell r="C2247" t="str">
            <v>C49SZX20240028JL/HJD24020240</v>
          </cell>
          <cell r="Y2247">
            <v>500000</v>
          </cell>
          <cell r="AG2247" t="str">
            <v>DDP HY</v>
          </cell>
        </row>
        <row r="2248">
          <cell r="C2248" t="str">
            <v>C49SZX20240029JY</v>
          </cell>
          <cell r="Y2248">
            <v>8120000</v>
          </cell>
          <cell r="AG2248" t="str">
            <v>DAP SZ</v>
          </cell>
        </row>
        <row r="2249">
          <cell r="C2249" t="str">
            <v>VNHJD20230226</v>
          </cell>
          <cell r="Y2249">
            <v>94600</v>
          </cell>
          <cell r="AG2249" t="str">
            <v>CIP Vietnam</v>
          </cell>
        </row>
        <row r="2250">
          <cell r="C2250" t="str">
            <v>C49SZX20240033SQ</v>
          </cell>
          <cell r="Y2250">
            <v>15000000</v>
          </cell>
          <cell r="AG2250" t="str">
            <v>DAP DG</v>
          </cell>
        </row>
        <row r="2251">
          <cell r="C2251" t="str">
            <v>C49SZX20240033SQ</v>
          </cell>
          <cell r="Y2251">
            <v>12780000</v>
          </cell>
          <cell r="AG2251" t="str">
            <v>DAP DG</v>
          </cell>
        </row>
        <row r="2252">
          <cell r="C2252" t="str">
            <v>C49SZX20240034SS</v>
          </cell>
          <cell r="Y2252">
            <v>6900000</v>
          </cell>
          <cell r="AG2252" t="str">
            <v>DAP DG</v>
          </cell>
        </row>
        <row r="2253">
          <cell r="C2253" t="str">
            <v>C49SZX20240031MZ</v>
          </cell>
          <cell r="Y2253">
            <v>12300000</v>
          </cell>
          <cell r="AG2253" t="str">
            <v>DAP AH</v>
          </cell>
        </row>
        <row r="2254">
          <cell r="C2254" t="str">
            <v>C49SZX20240031MZ</v>
          </cell>
          <cell r="Y2254">
            <v>12300000</v>
          </cell>
          <cell r="AG2254" t="str">
            <v>DAP AH</v>
          </cell>
        </row>
        <row r="2255">
          <cell r="C2255" t="str">
            <v>C49SZX20240038LC</v>
          </cell>
          <cell r="Y2255">
            <v>8374200</v>
          </cell>
          <cell r="AG2255" t="str">
            <v>DAP JX</v>
          </cell>
        </row>
        <row r="2256">
          <cell r="C2256" t="str">
            <v>C49SZX20240036SX</v>
          </cell>
          <cell r="Y2256">
            <v>8863800</v>
          </cell>
          <cell r="AG2256" t="str">
            <v>DAP HY</v>
          </cell>
        </row>
        <row r="2257">
          <cell r="C2257" t="str">
            <v>C49SZX20240040SX</v>
          </cell>
          <cell r="Y2257">
            <v>669000</v>
          </cell>
          <cell r="AG2257" t="str">
            <v>DDP HZ</v>
          </cell>
        </row>
        <row r="2258">
          <cell r="C2258" t="str">
            <v>C49SZX20240040SX</v>
          </cell>
          <cell r="Y2258">
            <v>669000</v>
          </cell>
          <cell r="AG2258" t="str">
            <v>DDP HZ</v>
          </cell>
        </row>
        <row r="2259">
          <cell r="C2259" t="str">
            <v>C49SZX20240039BH</v>
          </cell>
          <cell r="Y2259">
            <v>750800</v>
          </cell>
          <cell r="AG2259" t="str">
            <v>DDP SZ</v>
          </cell>
        </row>
        <row r="2260">
          <cell r="C2260" t="str">
            <v>C49SZX20240039BH</v>
          </cell>
          <cell r="Y2260">
            <v>750800</v>
          </cell>
          <cell r="AG2260" t="str">
            <v>DDP SZ</v>
          </cell>
        </row>
        <row r="2261">
          <cell r="C2261" t="str">
            <v>C49SZX20240039BH</v>
          </cell>
          <cell r="Y2261">
            <v>750800</v>
          </cell>
          <cell r="AG2261" t="str">
            <v>DDP SZ</v>
          </cell>
        </row>
        <row r="2262">
          <cell r="C2262" t="str">
            <v>C49SZX20240045JY</v>
          </cell>
          <cell r="Y2262">
            <v>11800000</v>
          </cell>
          <cell r="AG2262" t="str">
            <v>DAP SZ</v>
          </cell>
        </row>
        <row r="2263">
          <cell r="C2263" t="str">
            <v>C49SZX20240048JY</v>
          </cell>
          <cell r="Y2263">
            <v>7420000</v>
          </cell>
          <cell r="AG2263" t="str">
            <v>DAP SZ</v>
          </cell>
        </row>
        <row r="2264">
          <cell r="C2264" t="str">
            <v>C49SZX20240049DX</v>
          </cell>
          <cell r="Y2264">
            <v>439000</v>
          </cell>
          <cell r="AG2264" t="str">
            <v>DDP SZ</v>
          </cell>
        </row>
        <row r="2265">
          <cell r="C2265" t="str">
            <v>C49SZX20240052SX</v>
          </cell>
          <cell r="Y2265">
            <v>750000</v>
          </cell>
          <cell r="AG2265" t="str">
            <v>DDP SZ</v>
          </cell>
        </row>
        <row r="2266">
          <cell r="C2266" t="str">
            <v>C28SZX20240041JY</v>
          </cell>
          <cell r="Y2266">
            <v>7800000</v>
          </cell>
          <cell r="AG2266" t="str">
            <v>DAP JS</v>
          </cell>
        </row>
        <row r="2267">
          <cell r="C2267" t="str">
            <v>C28SZX20240041JY</v>
          </cell>
          <cell r="Y2267">
            <v>7800000</v>
          </cell>
          <cell r="AG2267" t="str">
            <v>DAP JS</v>
          </cell>
        </row>
        <row r="2268">
          <cell r="C2268" t="str">
            <v>C49SZX20240050MZ</v>
          </cell>
          <cell r="Y2268">
            <v>13700000</v>
          </cell>
          <cell r="AG2268" t="str">
            <v>DAP CS</v>
          </cell>
        </row>
        <row r="2269">
          <cell r="C2269" t="str">
            <v>C49SZX20240050MZ</v>
          </cell>
          <cell r="Y2269">
            <v>10000000</v>
          </cell>
          <cell r="AG2269" t="str">
            <v>DAP CS</v>
          </cell>
        </row>
        <row r="2270">
          <cell r="C2270" t="str">
            <v>C49SZX20240051MZ</v>
          </cell>
          <cell r="Y2270">
            <v>11600000</v>
          </cell>
          <cell r="AG2270" t="str">
            <v>DAP CS</v>
          </cell>
        </row>
        <row r="2271">
          <cell r="C2271" t="str">
            <v>C49SZX20240051MZ</v>
          </cell>
          <cell r="Y2271">
            <v>7100000</v>
          </cell>
          <cell r="AG2271" t="str">
            <v>DAP CS</v>
          </cell>
        </row>
        <row r="2272">
          <cell r="C2272" t="str">
            <v>C28SZX20240043JY</v>
          </cell>
          <cell r="Y2272">
            <v>7800000</v>
          </cell>
          <cell r="AG2272" t="str">
            <v>DAP JS</v>
          </cell>
        </row>
        <row r="2273">
          <cell r="C2273" t="str">
            <v>C28SZX20240043JY</v>
          </cell>
          <cell r="Y2273">
            <v>7800000</v>
          </cell>
          <cell r="AG2273" t="str">
            <v>DAP JS</v>
          </cell>
        </row>
        <row r="2274">
          <cell r="C2274" t="str">
            <v>C49SZX20240053SS</v>
          </cell>
          <cell r="Y2274">
            <v>13000000</v>
          </cell>
          <cell r="AG2274" t="str">
            <v>DAP SZ</v>
          </cell>
        </row>
        <row r="2275">
          <cell r="C2275" t="str">
            <v>C49SZX20240053SS</v>
          </cell>
          <cell r="Y2275">
            <v>8600000</v>
          </cell>
          <cell r="AG2275" t="str">
            <v>DAP SZ</v>
          </cell>
        </row>
        <row r="2276">
          <cell r="C2276" t="str">
            <v>C49SZX20240035SX</v>
          </cell>
          <cell r="Y2276">
            <v>11000000</v>
          </cell>
          <cell r="AG2276" t="str">
            <v>DAP SZ</v>
          </cell>
        </row>
        <row r="2277">
          <cell r="C2277" t="str">
            <v>C49SZX20240035SX</v>
          </cell>
          <cell r="Y2277">
            <v>11000000</v>
          </cell>
          <cell r="AG2277" t="str">
            <v>DAP SZ</v>
          </cell>
        </row>
        <row r="2278">
          <cell r="C2278" t="str">
            <v>C49SZX20240035SX</v>
          </cell>
          <cell r="Y2278">
            <v>11000000</v>
          </cell>
          <cell r="AG2278" t="str">
            <v>DAP SZ</v>
          </cell>
        </row>
        <row r="2279">
          <cell r="C2279" t="str">
            <v>C49SZX20240035SX</v>
          </cell>
          <cell r="Y2279">
            <v>11000000</v>
          </cell>
          <cell r="AG2279" t="str">
            <v>DAP SZ</v>
          </cell>
        </row>
        <row r="2280">
          <cell r="C2280" t="str">
            <v>C49SZX20240035SX</v>
          </cell>
          <cell r="Y2280">
            <v>11000000</v>
          </cell>
          <cell r="AG2280" t="str">
            <v>DAP SZ</v>
          </cell>
        </row>
        <row r="2281">
          <cell r="C2281" t="str">
            <v>C49SZX20240035SX</v>
          </cell>
          <cell r="Y2281">
            <v>11000000</v>
          </cell>
          <cell r="AG2281" t="str">
            <v>DAP SZ</v>
          </cell>
        </row>
        <row r="2282">
          <cell r="C2282" t="str">
            <v>C49SZX20240035SX</v>
          </cell>
          <cell r="Y2282">
            <v>11000000</v>
          </cell>
          <cell r="AG2282" t="str">
            <v>DAP SZ</v>
          </cell>
        </row>
        <row r="2283">
          <cell r="C2283" t="str">
            <v>C49SZX20240035SX</v>
          </cell>
          <cell r="Y2283">
            <v>11000000</v>
          </cell>
          <cell r="AG2283" t="str">
            <v>DAP SZ</v>
          </cell>
        </row>
        <row r="2284">
          <cell r="C2284" t="str">
            <v>C49SZX20240035SX</v>
          </cell>
          <cell r="Y2284">
            <v>11000000</v>
          </cell>
          <cell r="AG2284" t="str">
            <v>DAP SZ</v>
          </cell>
        </row>
        <row r="2285">
          <cell r="C2285" t="str">
            <v>C49SZX20240035SX</v>
          </cell>
          <cell r="Y2285">
            <v>11000000</v>
          </cell>
          <cell r="AG2285" t="str">
            <v>DAP SZ</v>
          </cell>
        </row>
        <row r="2286">
          <cell r="C2286" t="str">
            <v>C49SZX20240035SX</v>
          </cell>
          <cell r="Y2286">
            <v>11000000</v>
          </cell>
          <cell r="AG2286" t="str">
            <v>DAP SZ</v>
          </cell>
        </row>
        <row r="2287">
          <cell r="C2287" t="str">
            <v>C49SZX20240035SX</v>
          </cell>
          <cell r="Y2287">
            <v>11000000</v>
          </cell>
          <cell r="AG2287" t="str">
            <v>DAP SZ</v>
          </cell>
        </row>
        <row r="2288">
          <cell r="C2288" t="str">
            <v>C49SZX20240035SX</v>
          </cell>
          <cell r="Y2288">
            <v>9652900</v>
          </cell>
          <cell r="AG2288" t="str">
            <v>DAP SZ</v>
          </cell>
        </row>
        <row r="2289">
          <cell r="C2289" t="str">
            <v>C49SZX20240035SX</v>
          </cell>
          <cell r="Y2289">
            <v>9652900</v>
          </cell>
          <cell r="AG2289" t="str">
            <v>DAP SZ</v>
          </cell>
        </row>
        <row r="2290">
          <cell r="C2290" t="str">
            <v>C49SZX20240035SX</v>
          </cell>
          <cell r="Y2290">
            <v>9652900</v>
          </cell>
          <cell r="AG2290" t="str">
            <v>DAP SZ</v>
          </cell>
        </row>
        <row r="2291">
          <cell r="C2291" t="str">
            <v>C49SZX20240035SX</v>
          </cell>
          <cell r="Y2291">
            <v>9652900</v>
          </cell>
          <cell r="AG2291" t="str">
            <v>DAP SZ</v>
          </cell>
        </row>
        <row r="2292">
          <cell r="C2292" t="str">
            <v>C49SZX20240069SX</v>
          </cell>
          <cell r="Y2292">
            <v>11000000</v>
          </cell>
          <cell r="AG2292" t="str">
            <v>DAP SZ</v>
          </cell>
        </row>
        <row r="2293">
          <cell r="C2293" t="str">
            <v>C49SZX20240069SX</v>
          </cell>
          <cell r="Y2293">
            <v>11000000</v>
          </cell>
          <cell r="AG2293" t="str">
            <v>DAP SZ</v>
          </cell>
        </row>
        <row r="2294">
          <cell r="C2294" t="str">
            <v>C49SZX20240069SX</v>
          </cell>
          <cell r="Y2294">
            <v>11000000</v>
          </cell>
          <cell r="AG2294" t="str">
            <v>DAP SZ</v>
          </cell>
        </row>
        <row r="2295">
          <cell r="C2295" t="str">
            <v>C49SZX20240069SX</v>
          </cell>
          <cell r="Y2295">
            <v>11000000</v>
          </cell>
          <cell r="AG2295" t="str">
            <v>DAP SZ</v>
          </cell>
        </row>
        <row r="2296">
          <cell r="C2296" t="str">
            <v>C49SZX20240069SX</v>
          </cell>
          <cell r="Y2296">
            <v>11000000</v>
          </cell>
          <cell r="AG2296" t="str">
            <v>DAP SZ</v>
          </cell>
        </row>
        <row r="2297">
          <cell r="C2297" t="str">
            <v>C49SZX20240069SX</v>
          </cell>
          <cell r="Y2297">
            <v>11000000</v>
          </cell>
          <cell r="AG2297" t="str">
            <v>DAP SZ</v>
          </cell>
        </row>
        <row r="2298">
          <cell r="C2298" t="str">
            <v>C49SZX20240069SX</v>
          </cell>
          <cell r="Y2298">
            <v>9652900</v>
          </cell>
          <cell r="AG2298" t="str">
            <v>DAP SZ</v>
          </cell>
        </row>
        <row r="2299">
          <cell r="C2299" t="str">
            <v>C49SZX20240069SX</v>
          </cell>
          <cell r="Y2299">
            <v>9652900</v>
          </cell>
          <cell r="AG2299" t="str">
            <v>DAP SZ</v>
          </cell>
        </row>
        <row r="2300">
          <cell r="C2300" t="str">
            <v>C49SZX20240069SX</v>
          </cell>
          <cell r="Y2300">
            <v>9652900</v>
          </cell>
          <cell r="AG2300" t="str">
            <v>DAP SZ</v>
          </cell>
        </row>
        <row r="2301">
          <cell r="C2301" t="str">
            <v>C49SZX20240069SX</v>
          </cell>
          <cell r="Y2301">
            <v>9652900</v>
          </cell>
          <cell r="AG2301" t="str">
            <v>DAP SZ</v>
          </cell>
        </row>
        <row r="2302">
          <cell r="C2302" t="str">
            <v>C49SZX20240062DZ</v>
          </cell>
          <cell r="Y2302">
            <v>11180000</v>
          </cell>
          <cell r="AG2302" t="str">
            <v>CIF HK</v>
          </cell>
        </row>
        <row r="2303">
          <cell r="C2303" t="str">
            <v>C49SZX20240062DZ</v>
          </cell>
          <cell r="Y2303">
            <v>11180000</v>
          </cell>
          <cell r="AG2303" t="str">
            <v>CIF HK</v>
          </cell>
        </row>
        <row r="2304">
          <cell r="C2304" t="str">
            <v>C49SZX20240062DZ</v>
          </cell>
          <cell r="Y2304">
            <v>11180000</v>
          </cell>
          <cell r="AG2304" t="str">
            <v>CIF HK</v>
          </cell>
        </row>
        <row r="2305">
          <cell r="C2305" t="str">
            <v>C28SZX20240055JAL</v>
          </cell>
          <cell r="Y2305">
            <v>11600000</v>
          </cell>
          <cell r="AG2305" t="str">
            <v>CIF HK</v>
          </cell>
        </row>
        <row r="2306">
          <cell r="C2306" t="str">
            <v>C28SZX20240056JAL</v>
          </cell>
          <cell r="Y2306">
            <v>51000</v>
          </cell>
          <cell r="AG2306" t="str">
            <v>CIF HK</v>
          </cell>
        </row>
        <row r="2307">
          <cell r="C2307" t="str">
            <v>C28SZX20240057JAL</v>
          </cell>
          <cell r="Y2307">
            <v>78000</v>
          </cell>
          <cell r="AG2307" t="str">
            <v>CIF HK</v>
          </cell>
        </row>
        <row r="2308">
          <cell r="C2308" t="str">
            <v>C28SZX20240058JAL</v>
          </cell>
          <cell r="Y2308">
            <v>290000</v>
          </cell>
          <cell r="AG2308" t="str">
            <v>CIF HK</v>
          </cell>
        </row>
        <row r="2309">
          <cell r="C2309" t="str">
            <v>C28SZX20240059JAL</v>
          </cell>
          <cell r="Y2309">
            <v>240000</v>
          </cell>
          <cell r="AG2309" t="str">
            <v>CIF HK</v>
          </cell>
        </row>
        <row r="2310">
          <cell r="C2310" t="str">
            <v>C28SZX20240063JAL</v>
          </cell>
          <cell r="Y2310">
            <v>502000</v>
          </cell>
          <cell r="AG2310" t="str">
            <v>DDP SZ</v>
          </cell>
        </row>
        <row r="2311">
          <cell r="C2311" t="str">
            <v>C49SZX20240061DZ</v>
          </cell>
          <cell r="Y2311">
            <v>854000</v>
          </cell>
          <cell r="AG2311" t="str">
            <v>DDP SZ</v>
          </cell>
        </row>
        <row r="2312">
          <cell r="C2312" t="str">
            <v>C49SZX20240061DZ</v>
          </cell>
          <cell r="Y2312">
            <v>854000</v>
          </cell>
          <cell r="AG2312" t="str">
            <v>DDP SZ</v>
          </cell>
        </row>
        <row r="2313">
          <cell r="C2313" t="str">
            <v>C49SZX20240061DZ</v>
          </cell>
          <cell r="Y2313">
            <v>854000</v>
          </cell>
          <cell r="AG2313" t="str">
            <v>DDP SZ</v>
          </cell>
        </row>
        <row r="2314">
          <cell r="C2314" t="str">
            <v>C28SZX20240065JAL</v>
          </cell>
          <cell r="Y2314">
            <v>230000</v>
          </cell>
          <cell r="AG2314" t="str">
            <v>DDP SZ</v>
          </cell>
        </row>
        <row r="2315">
          <cell r="C2315" t="str">
            <v>C49SZX20240066DZ</v>
          </cell>
          <cell r="Y2315">
            <v>15550000</v>
          </cell>
          <cell r="AG2315" t="str">
            <v>DAP SZ</v>
          </cell>
        </row>
        <row r="2316">
          <cell r="C2316" t="str">
            <v>C49SZX20240070JY</v>
          </cell>
          <cell r="Y2316">
            <v>13950000</v>
          </cell>
          <cell r="AG2316" t="str">
            <v>DAP SZ</v>
          </cell>
        </row>
        <row r="2317">
          <cell r="C2317" t="str">
            <v>C49SZX20240068SX</v>
          </cell>
          <cell r="Y2317">
            <v>788888</v>
          </cell>
          <cell r="AG2317" t="str">
            <v>DDP SZ</v>
          </cell>
        </row>
        <row r="2318">
          <cell r="C2318" t="str">
            <v>C49SZX20240068SX</v>
          </cell>
          <cell r="Y2318">
            <v>595556</v>
          </cell>
          <cell r="AG2318" t="str">
            <v>DDP SZ</v>
          </cell>
        </row>
        <row r="2319">
          <cell r="C2319" t="str">
            <v>C49SZX20240068SX</v>
          </cell>
          <cell r="Y2319">
            <v>788888</v>
          </cell>
          <cell r="AG2319" t="str">
            <v>DDP SZ</v>
          </cell>
        </row>
        <row r="2320">
          <cell r="C2320" t="str">
            <v>C49SZX20240068SX</v>
          </cell>
          <cell r="Y2320">
            <v>595556</v>
          </cell>
          <cell r="AG2320" t="str">
            <v>DDP SZ</v>
          </cell>
        </row>
        <row r="2321">
          <cell r="C2321" t="str">
            <v>C49SZX20240071SX</v>
          </cell>
          <cell r="Y2321">
            <v>13500000</v>
          </cell>
          <cell r="AG2321" t="str">
            <v>DAP DG</v>
          </cell>
        </row>
        <row r="2322">
          <cell r="C2322" t="str">
            <v>C49SZX20240071SX</v>
          </cell>
          <cell r="Y2322">
            <v>13500000</v>
          </cell>
          <cell r="AG2322" t="str">
            <v>DAP DG</v>
          </cell>
        </row>
        <row r="2323">
          <cell r="C2323" t="str">
            <v>C49SZX20240071SX</v>
          </cell>
          <cell r="Y2323">
            <v>9060000</v>
          </cell>
          <cell r="AG2323" t="str">
            <v>DAP DG</v>
          </cell>
        </row>
        <row r="2324">
          <cell r="C2324" t="str">
            <v>C49SZX20240071SX</v>
          </cell>
          <cell r="Y2324">
            <v>9060000</v>
          </cell>
          <cell r="AG2324" t="str">
            <v>DAP DG</v>
          </cell>
        </row>
        <row r="2325">
          <cell r="C2325" t="str">
            <v>C49SZX20240073SX</v>
          </cell>
          <cell r="Y2325">
            <v>8430000</v>
          </cell>
          <cell r="AG2325" t="str">
            <v>DAP SZ</v>
          </cell>
        </row>
        <row r="2326">
          <cell r="C2326" t="str">
            <v>C49SZX20240073SX</v>
          </cell>
          <cell r="Y2326">
            <v>8430000</v>
          </cell>
          <cell r="AG2326" t="str">
            <v>DAP SZ</v>
          </cell>
        </row>
        <row r="2327">
          <cell r="C2327" t="str">
            <v>C49SZX20240073SX</v>
          </cell>
          <cell r="Y2327">
            <v>8976000</v>
          </cell>
          <cell r="AG2327" t="str">
            <v>DAP SZ</v>
          </cell>
        </row>
        <row r="2328">
          <cell r="C2328" t="str">
            <v>C49SZX20240072JY</v>
          </cell>
          <cell r="Y2328">
            <v>6750000</v>
          </cell>
          <cell r="AG2328" t="str">
            <v>DAP YJ</v>
          </cell>
        </row>
        <row r="2329">
          <cell r="C2329" t="str">
            <v>C49SZX20240076SS</v>
          </cell>
          <cell r="Y2329">
            <v>11500000</v>
          </cell>
          <cell r="AG2329" t="str">
            <v>DAP SZ</v>
          </cell>
        </row>
        <row r="2330">
          <cell r="C2330" t="str">
            <v>C49SZX20240076SS</v>
          </cell>
          <cell r="Y2330">
            <v>7000000</v>
          </cell>
          <cell r="AG2330" t="str">
            <v>DAP SZ</v>
          </cell>
        </row>
        <row r="2331">
          <cell r="C2331" t="str">
            <v>C49SZX20240078SQ</v>
          </cell>
          <cell r="Y2331">
            <v>15000000</v>
          </cell>
          <cell r="AG2331" t="str">
            <v>DAP DG</v>
          </cell>
        </row>
        <row r="2332">
          <cell r="C2332" t="str">
            <v>C49SZX20240078SQ</v>
          </cell>
          <cell r="Y2332">
            <v>12031000</v>
          </cell>
          <cell r="AG2332" t="str">
            <v>DAP DG</v>
          </cell>
        </row>
        <row r="2333">
          <cell r="C2333" t="str">
            <v>C49SZX20240079SX</v>
          </cell>
          <cell r="Y2333">
            <v>1075000</v>
          </cell>
          <cell r="AG2333" t="str">
            <v>DDP ZH</v>
          </cell>
        </row>
        <row r="2334">
          <cell r="C2334" t="str">
            <v>C49SZX20240079SX</v>
          </cell>
          <cell r="Y2334">
            <v>1075000</v>
          </cell>
          <cell r="AG2334" t="str">
            <v>DDP ZH</v>
          </cell>
        </row>
        <row r="2335">
          <cell r="C2335" t="str">
            <v>C49SZX20240079SX</v>
          </cell>
          <cell r="Y2335">
            <v>1075000</v>
          </cell>
          <cell r="AG2335" t="str">
            <v>DDP ZH</v>
          </cell>
        </row>
        <row r="2336">
          <cell r="C2336" t="str">
            <v>C49SZX20240079SX</v>
          </cell>
          <cell r="Y2336">
            <v>1075000</v>
          </cell>
          <cell r="AG2336" t="str">
            <v>DDP ZH</v>
          </cell>
        </row>
        <row r="2337">
          <cell r="C2337" t="str">
            <v>C49SZX20240083SS</v>
          </cell>
          <cell r="Y2337">
            <v>12000000</v>
          </cell>
          <cell r="AG2337" t="str">
            <v>DAP SZ</v>
          </cell>
        </row>
        <row r="2338">
          <cell r="C2338" t="str">
            <v>C49SZX20240083SS</v>
          </cell>
          <cell r="Y2338">
            <v>12000000</v>
          </cell>
          <cell r="AG2338" t="str">
            <v>DAP SZ</v>
          </cell>
        </row>
        <row r="2339">
          <cell r="C2339" t="str">
            <v>C49SZX20240083SS</v>
          </cell>
          <cell r="Y2339">
            <v>12000000</v>
          </cell>
          <cell r="AG2339" t="str">
            <v>DAP SZ</v>
          </cell>
        </row>
        <row r="2340">
          <cell r="C2340" t="str">
            <v>C49SZX20240083SS</v>
          </cell>
          <cell r="Y2340">
            <v>9300000</v>
          </cell>
          <cell r="AG2340" t="str">
            <v>DAP SZ</v>
          </cell>
        </row>
        <row r="2341">
          <cell r="C2341" t="str">
            <v>C49SZX20240083SS</v>
          </cell>
          <cell r="Y2341">
            <v>9403500</v>
          </cell>
          <cell r="AG2341" t="str">
            <v>DAP SZ</v>
          </cell>
        </row>
        <row r="2342">
          <cell r="C2342" t="str">
            <v>C49SZX20240083SS</v>
          </cell>
          <cell r="Y2342">
            <v>9403500</v>
          </cell>
          <cell r="AG2342" t="str">
            <v>DAP SZ</v>
          </cell>
        </row>
        <row r="2343">
          <cell r="C2343" t="str">
            <v>C49SZX20240081MZ</v>
          </cell>
          <cell r="Y2343">
            <v>8495000</v>
          </cell>
          <cell r="AG2343" t="str">
            <v>DAP DG</v>
          </cell>
        </row>
        <row r="2344">
          <cell r="C2344" t="str">
            <v>C49SZX20240082DZ</v>
          </cell>
          <cell r="Y2344">
            <v>12000000</v>
          </cell>
          <cell r="AG2344" t="str">
            <v>DAP GZ</v>
          </cell>
        </row>
        <row r="2345">
          <cell r="C2345" t="str">
            <v>C49SZX20240082DZ</v>
          </cell>
          <cell r="Y2345">
            <v>12000000</v>
          </cell>
          <cell r="AG2345" t="str">
            <v>DAP GZ</v>
          </cell>
        </row>
        <row r="2346">
          <cell r="C2346" t="str">
            <v>C49SZX20240082DZ</v>
          </cell>
          <cell r="Y2346">
            <v>12000000</v>
          </cell>
          <cell r="AG2346" t="str">
            <v>DAP GZ</v>
          </cell>
        </row>
        <row r="2347">
          <cell r="C2347" t="str">
            <v>C49SZX20240082DZ</v>
          </cell>
          <cell r="Y2347">
            <v>12000000</v>
          </cell>
          <cell r="AG2347" t="str">
            <v>DAP GZ</v>
          </cell>
        </row>
        <row r="2348">
          <cell r="C2348" t="str">
            <v>C49SZX20240082DZ</v>
          </cell>
          <cell r="Y2348">
            <v>7668000</v>
          </cell>
          <cell r="AG2348" t="str">
            <v>DAP GZ</v>
          </cell>
        </row>
        <row r="2349">
          <cell r="C2349" t="str">
            <v>C49SZX20240082DZ</v>
          </cell>
          <cell r="Y2349">
            <v>7668000</v>
          </cell>
          <cell r="AG2349" t="str">
            <v>DAP GZ</v>
          </cell>
        </row>
        <row r="2350">
          <cell r="C2350" t="str">
            <v>C49SZX20240082DZ</v>
          </cell>
          <cell r="Y2350">
            <v>7668000</v>
          </cell>
          <cell r="AG2350" t="str">
            <v>DAP GZ</v>
          </cell>
        </row>
        <row r="2351">
          <cell r="C2351" t="str">
            <v>C49SZX20240082DZ</v>
          </cell>
          <cell r="Y2351">
            <v>7668000</v>
          </cell>
          <cell r="AG2351" t="str">
            <v>DAP GZ</v>
          </cell>
        </row>
        <row r="2352">
          <cell r="C2352" t="str">
            <v>C49SZX20240082DZ</v>
          </cell>
          <cell r="Y2352">
            <v>7668000</v>
          </cell>
          <cell r="AG2352" t="str">
            <v>DAP GZ</v>
          </cell>
        </row>
        <row r="2353">
          <cell r="C2353" t="str">
            <v>C49SZX20240082DZ</v>
          </cell>
          <cell r="Y2353">
            <v>7668000</v>
          </cell>
          <cell r="AG2353" t="str">
            <v>DAP GZ</v>
          </cell>
        </row>
        <row r="2354">
          <cell r="C2354" t="str">
            <v>C49SZX20240086HC</v>
          </cell>
          <cell r="Y2354">
            <v>13530000</v>
          </cell>
          <cell r="AG2354" t="str">
            <v>DAP SZ</v>
          </cell>
        </row>
        <row r="2355">
          <cell r="C2355" t="str">
            <v>C49SZX20240087SS</v>
          </cell>
          <cell r="Y2355">
            <v>21300000</v>
          </cell>
          <cell r="AG2355" t="str">
            <v>DAP SZ</v>
          </cell>
        </row>
        <row r="2356">
          <cell r="C2356" t="str">
            <v>C49SZX20240087SS</v>
          </cell>
          <cell r="Y2356">
            <v>8000000</v>
          </cell>
          <cell r="AG2356" t="str">
            <v>DAP SZ</v>
          </cell>
        </row>
        <row r="2357">
          <cell r="C2357" t="str">
            <v>C49SZX20240085EC</v>
          </cell>
          <cell r="Y2357">
            <v>770000</v>
          </cell>
          <cell r="AG2357" t="str">
            <v>DDP NN</v>
          </cell>
        </row>
        <row r="2358">
          <cell r="C2358" t="str">
            <v>C49SZX20240089SX</v>
          </cell>
          <cell r="Y2358">
            <v>837083.3</v>
          </cell>
          <cell r="AG2358" t="str">
            <v>DDP SZ</v>
          </cell>
        </row>
        <row r="2359">
          <cell r="C2359" t="str">
            <v>C49SZX20240089SX</v>
          </cell>
          <cell r="Y2359">
            <v>837083.3</v>
          </cell>
          <cell r="AG2359" t="str">
            <v>DDP SZ</v>
          </cell>
        </row>
        <row r="2360">
          <cell r="C2360" t="str">
            <v>C49SZX20240089SX</v>
          </cell>
          <cell r="Y2360">
            <v>837083.3</v>
          </cell>
          <cell r="AG2360" t="str">
            <v>DDP SZ</v>
          </cell>
        </row>
        <row r="2361">
          <cell r="C2361" t="str">
            <v>C49SZX20240089SX</v>
          </cell>
          <cell r="Y2361">
            <v>358750</v>
          </cell>
          <cell r="AG2361" t="str">
            <v>DDP SZ</v>
          </cell>
        </row>
        <row r="2362">
          <cell r="C2362" t="str">
            <v>C49SZX20240092SX</v>
          </cell>
          <cell r="Y2362">
            <v>12500000</v>
          </cell>
          <cell r="AG2362" t="str">
            <v>DAP DG</v>
          </cell>
        </row>
        <row r="2363">
          <cell r="C2363" t="str">
            <v>C49SZX20240092SX</v>
          </cell>
          <cell r="Y2363">
            <v>12500000</v>
          </cell>
          <cell r="AG2363" t="str">
            <v>DAP DG</v>
          </cell>
        </row>
        <row r="2364">
          <cell r="C2364" t="str">
            <v>C49SZX20240088MZ</v>
          </cell>
          <cell r="Y2364">
            <v>15000000</v>
          </cell>
          <cell r="AG2364" t="str">
            <v>CIF HK</v>
          </cell>
        </row>
        <row r="2365">
          <cell r="C2365" t="str">
            <v>C49SZX20240088MZ</v>
          </cell>
          <cell r="Y2365">
            <v>11200000</v>
          </cell>
          <cell r="AG2365" t="str">
            <v>CIF HK</v>
          </cell>
        </row>
        <row r="2366">
          <cell r="C2366" t="str">
            <v>C28SZX20240093MZ</v>
          </cell>
          <cell r="Y2366">
            <v>7200000</v>
          </cell>
          <cell r="AG2366" t="str">
            <v>CIF HK</v>
          </cell>
        </row>
        <row r="2367">
          <cell r="C2367" t="str">
            <v>C49SZX20240097JL</v>
          </cell>
          <cell r="Y2367">
            <v>15400000</v>
          </cell>
          <cell r="AG2367" t="str">
            <v>DAP GZ</v>
          </cell>
        </row>
        <row r="2368">
          <cell r="C2368" t="str">
            <v>C49SZX20240097JL</v>
          </cell>
          <cell r="Y2368">
            <v>15400000</v>
          </cell>
          <cell r="AG2368" t="str">
            <v>DAP GZ</v>
          </cell>
        </row>
        <row r="2369">
          <cell r="C2369" t="str">
            <v>C49SZX20240090JL</v>
          </cell>
          <cell r="Y2369">
            <v>11900000</v>
          </cell>
          <cell r="AG2369" t="str">
            <v>DAP SZ</v>
          </cell>
        </row>
        <row r="2370">
          <cell r="C2370" t="str">
            <v>C49SZX20240090JL</v>
          </cell>
          <cell r="Y2370">
            <v>7000000</v>
          </cell>
          <cell r="AG2370" t="str">
            <v>DAP SZ</v>
          </cell>
        </row>
        <row r="2371">
          <cell r="C2371" t="str">
            <v>C49SZX20240098JY</v>
          </cell>
          <cell r="Y2371">
            <v>12800000</v>
          </cell>
          <cell r="AG2371" t="str">
            <v>DAP SZ</v>
          </cell>
        </row>
        <row r="2372">
          <cell r="C2372" t="str">
            <v>C49SZX20240099MZ</v>
          </cell>
          <cell r="Y2372">
            <v>12900000</v>
          </cell>
          <cell r="AG2372" t="str">
            <v>DAP HZ</v>
          </cell>
        </row>
        <row r="2373">
          <cell r="C2373" t="str">
            <v>C49SZX20240099MZ</v>
          </cell>
          <cell r="Y2373">
            <v>10000000</v>
          </cell>
          <cell r="AG2373" t="str">
            <v>DAP HZ</v>
          </cell>
        </row>
        <row r="2374">
          <cell r="C2374" t="str">
            <v>C49SZX20240094JL</v>
          </cell>
          <cell r="Y2374">
            <v>9398800</v>
          </cell>
          <cell r="AG2374" t="str">
            <v>DAP SZ</v>
          </cell>
        </row>
        <row r="2375">
          <cell r="C2375" t="str">
            <v>C49SZX20240101SS</v>
          </cell>
          <cell r="Y2375">
            <v>11000000</v>
          </cell>
          <cell r="AG2375" t="str">
            <v>DAP DG</v>
          </cell>
        </row>
        <row r="2376">
          <cell r="C2376" t="str">
            <v>C49SZX20240108SX</v>
          </cell>
          <cell r="Y2376">
            <v>13000000</v>
          </cell>
          <cell r="AG2376" t="str">
            <v>DAP SZ</v>
          </cell>
        </row>
        <row r="2377">
          <cell r="C2377" t="str">
            <v>C49SZX20240108SX</v>
          </cell>
          <cell r="Y2377">
            <v>13000000</v>
          </cell>
          <cell r="AG2377" t="str">
            <v>DAP SZ</v>
          </cell>
        </row>
        <row r="2378">
          <cell r="C2378" t="str">
            <v>C49SZX20240108SX</v>
          </cell>
          <cell r="Y2378">
            <v>10120000</v>
          </cell>
          <cell r="AG2378" t="str">
            <v>DAP SZ</v>
          </cell>
        </row>
        <row r="2379">
          <cell r="C2379" t="str">
            <v>C49SZX20240100SS</v>
          </cell>
          <cell r="Y2379">
            <v>8250000</v>
          </cell>
          <cell r="AG2379" t="str">
            <v>DAP SZ</v>
          </cell>
        </row>
        <row r="2380">
          <cell r="C2380" t="str">
            <v>C28SZX20240107SS</v>
          </cell>
          <cell r="Y2380">
            <v>7400000</v>
          </cell>
          <cell r="AG2380" t="str">
            <v>DAP SZ</v>
          </cell>
        </row>
        <row r="2381">
          <cell r="C2381" t="str">
            <v>C28SZX20240107SS</v>
          </cell>
          <cell r="Y2381">
            <v>7400000</v>
          </cell>
          <cell r="AG2381" t="str">
            <v>DAP SZ</v>
          </cell>
        </row>
        <row r="2382">
          <cell r="C2382" t="str">
            <v>C28SZX20240107SS</v>
          </cell>
          <cell r="Y2382">
            <v>7400000</v>
          </cell>
          <cell r="AG2382" t="str">
            <v>DAP SZ</v>
          </cell>
        </row>
        <row r="2383">
          <cell r="C2383" t="str">
            <v>C49SZX20240110DX</v>
          </cell>
          <cell r="Y2383">
            <v>9900000</v>
          </cell>
          <cell r="AG2383" t="str">
            <v>DAP SZ</v>
          </cell>
        </row>
        <row r="2384">
          <cell r="C2384" t="str">
            <v>C49SZX20240105JY</v>
          </cell>
          <cell r="Y2384">
            <v>12066000</v>
          </cell>
          <cell r="AG2384" t="str">
            <v>CIF HK</v>
          </cell>
        </row>
        <row r="2385">
          <cell r="C2385" t="str">
            <v>C49SZX20240105JY</v>
          </cell>
          <cell r="Y2385">
            <v>7250000</v>
          </cell>
          <cell r="AG2385" t="str">
            <v>CIF HK</v>
          </cell>
        </row>
        <row r="2386">
          <cell r="C2386" t="str">
            <v>C49SZX20240105JY</v>
          </cell>
          <cell r="Y2386">
            <v>7250000</v>
          </cell>
          <cell r="AG2386" t="str">
            <v>CIF HK</v>
          </cell>
        </row>
        <row r="2387">
          <cell r="C2387" t="str">
            <v>C49SZX20240105JY</v>
          </cell>
          <cell r="Y2387">
            <v>7250000</v>
          </cell>
          <cell r="AG2387" t="str">
            <v>CIF HK</v>
          </cell>
        </row>
        <row r="2388">
          <cell r="C2388" t="str">
            <v>C49SZX20240105JY</v>
          </cell>
          <cell r="Y2388">
            <v>7250000</v>
          </cell>
          <cell r="AG2388" t="str">
            <v>CIF HK</v>
          </cell>
        </row>
        <row r="2389">
          <cell r="C2389" t="str">
            <v>C49SZX20240106JY</v>
          </cell>
          <cell r="Y2389">
            <v>13235000</v>
          </cell>
          <cell r="AG2389" t="str">
            <v>CIF HK</v>
          </cell>
        </row>
        <row r="2390">
          <cell r="C2390" t="str">
            <v>C49SZX20240106JY</v>
          </cell>
          <cell r="Y2390">
            <v>8500000</v>
          </cell>
          <cell r="AG2390" t="str">
            <v>CIF HK</v>
          </cell>
        </row>
        <row r="2391">
          <cell r="C2391" t="str">
            <v>C49SZX20240106JY</v>
          </cell>
          <cell r="Y2391">
            <v>8500000</v>
          </cell>
          <cell r="AG2391" t="str">
            <v>CIF HK</v>
          </cell>
        </row>
        <row r="2392">
          <cell r="C2392" t="str">
            <v>C49SZX20240131JL</v>
          </cell>
          <cell r="Y2392">
            <v>11800000</v>
          </cell>
          <cell r="AG2392" t="str">
            <v>DAP SZ</v>
          </cell>
        </row>
        <row r="2393">
          <cell r="C2393" t="str">
            <v>C49SZX20240115DZ</v>
          </cell>
          <cell r="Y2393">
            <v>16835000</v>
          </cell>
          <cell r="AG2393" t="str">
            <v>CIF HK</v>
          </cell>
        </row>
        <row r="2394">
          <cell r="C2394" t="str">
            <v>C49SZX20240115DZ</v>
          </cell>
          <cell r="Y2394">
            <v>16835000</v>
          </cell>
          <cell r="AG2394" t="str">
            <v>CIF HK</v>
          </cell>
        </row>
        <row r="2395">
          <cell r="C2395" t="str">
            <v>C49SZX20240115DZ</v>
          </cell>
          <cell r="Y2395">
            <v>14300000</v>
          </cell>
          <cell r="AG2395" t="str">
            <v>CIF HK</v>
          </cell>
        </row>
        <row r="2396">
          <cell r="C2396" t="str">
            <v>C49SZX20240115DZ</v>
          </cell>
          <cell r="Y2396">
            <v>14300000</v>
          </cell>
          <cell r="AG2396" t="str">
            <v>CIF HK</v>
          </cell>
        </row>
        <row r="2397">
          <cell r="C2397" t="str">
            <v>C28SZX20240111JAL</v>
          </cell>
          <cell r="Y2397">
            <v>211988</v>
          </cell>
          <cell r="AG2397" t="str">
            <v>DDP SZ</v>
          </cell>
        </row>
        <row r="2398">
          <cell r="C2398" t="str">
            <v>C49SZX20240109DZ</v>
          </cell>
          <cell r="Y2398">
            <v>897999.7</v>
          </cell>
          <cell r="AG2398" t="str">
            <v>DDP SZ</v>
          </cell>
        </row>
        <row r="2399">
          <cell r="C2399" t="str">
            <v>C49SZX20240109DZ</v>
          </cell>
          <cell r="Y2399">
            <v>897999.7</v>
          </cell>
          <cell r="AG2399" t="str">
            <v>DDP SZ</v>
          </cell>
        </row>
        <row r="2400">
          <cell r="C2400" t="str">
            <v>C49SZX20240118HC</v>
          </cell>
          <cell r="Y2400">
            <v>390000</v>
          </cell>
          <cell r="AG2400" t="str">
            <v>DDP SZ</v>
          </cell>
        </row>
        <row r="2401">
          <cell r="C2401" t="str">
            <v>C49SZX20240091SQ</v>
          </cell>
          <cell r="Y2401">
            <v>13750000</v>
          </cell>
          <cell r="AG2401" t="str">
            <v>DAP GZ</v>
          </cell>
        </row>
        <row r="2402">
          <cell r="C2402" t="str">
            <v>C49SZX20240091SQ</v>
          </cell>
          <cell r="Y2402">
            <v>13750000</v>
          </cell>
          <cell r="AG2402" t="str">
            <v>DAP GZ</v>
          </cell>
        </row>
        <row r="2403">
          <cell r="C2403" t="str">
            <v>C49SZX20240119EC</v>
          </cell>
          <cell r="Y2403">
            <v>11500000</v>
          </cell>
          <cell r="AG2403" t="str">
            <v>DAP GZ</v>
          </cell>
        </row>
        <row r="2404">
          <cell r="C2404" t="str">
            <v>C49SZX20240122SX</v>
          </cell>
          <cell r="Y2404">
            <v>11900000</v>
          </cell>
          <cell r="AG2404" t="str">
            <v>DAP SZ</v>
          </cell>
        </row>
        <row r="2405">
          <cell r="C2405" t="str">
            <v>C49SZX20240122SX</v>
          </cell>
          <cell r="Y2405">
            <v>11900000</v>
          </cell>
          <cell r="AG2405" t="str">
            <v>DAP SZ</v>
          </cell>
        </row>
        <row r="2406">
          <cell r="C2406" t="str">
            <v>C28SZX20240120MZ</v>
          </cell>
          <cell r="Y2406">
            <v>7800000</v>
          </cell>
          <cell r="AG2406" t="str">
            <v xml:space="preserve">CIF HK </v>
          </cell>
        </row>
        <row r="2407">
          <cell r="C2407" t="str">
            <v>C28SZX20240120MZ</v>
          </cell>
          <cell r="Y2407">
            <v>7800000</v>
          </cell>
          <cell r="AG2407" t="str">
            <v xml:space="preserve">CIF HK </v>
          </cell>
        </row>
        <row r="2408">
          <cell r="C2408" t="str">
            <v>C49SZX20240116SX</v>
          </cell>
          <cell r="Y2408">
            <v>15000000</v>
          </cell>
          <cell r="AG2408" t="str">
            <v>DAP SZ</v>
          </cell>
        </row>
        <row r="2409">
          <cell r="C2409" t="str">
            <v>C49SZX20240116SX</v>
          </cell>
          <cell r="Y2409">
            <v>15000000</v>
          </cell>
          <cell r="AG2409" t="str">
            <v>DAP SZ</v>
          </cell>
        </row>
        <row r="2410">
          <cell r="C2410" t="str">
            <v>C49SZX20240116SX</v>
          </cell>
          <cell r="Y2410">
            <v>10225000</v>
          </cell>
          <cell r="AG2410" t="str">
            <v>DAP SZ</v>
          </cell>
        </row>
        <row r="2411">
          <cell r="C2411" t="str">
            <v>C49SZX20240123SS</v>
          </cell>
          <cell r="Y2411">
            <v>8100000</v>
          </cell>
          <cell r="AG2411" t="str">
            <v>DAP JM</v>
          </cell>
        </row>
        <row r="2412">
          <cell r="C2412" t="str">
            <v>C49SZX20240102JY</v>
          </cell>
          <cell r="Y2412">
            <v>7415000</v>
          </cell>
          <cell r="AG2412" t="str">
            <v>CIF HK</v>
          </cell>
        </row>
        <row r="2413">
          <cell r="C2413" t="str">
            <v>C49SZX20240102JY</v>
          </cell>
          <cell r="Y2413">
            <v>7415000</v>
          </cell>
          <cell r="AG2413" t="str">
            <v>CIF HK</v>
          </cell>
        </row>
        <row r="2414">
          <cell r="C2414" t="str">
            <v>C49SZX20240102JY</v>
          </cell>
          <cell r="Y2414">
            <v>7415000</v>
          </cell>
          <cell r="AG2414" t="str">
            <v>CIF HK</v>
          </cell>
        </row>
        <row r="2415">
          <cell r="C2415" t="str">
            <v>C49SZX20240102JY</v>
          </cell>
          <cell r="Y2415">
            <v>12100000</v>
          </cell>
          <cell r="AG2415" t="str">
            <v>CIF HK</v>
          </cell>
        </row>
        <row r="2416">
          <cell r="C2416" t="str">
            <v>C49SZX20240102JY</v>
          </cell>
          <cell r="Y2416">
            <v>12100000</v>
          </cell>
          <cell r="AG2416" t="str">
            <v>CIF HK</v>
          </cell>
        </row>
        <row r="2417">
          <cell r="C2417" t="str">
            <v>C49SZX20240102JY</v>
          </cell>
          <cell r="Y2417">
            <v>12100000</v>
          </cell>
          <cell r="AG2417" t="str">
            <v>CIF HK</v>
          </cell>
        </row>
        <row r="2418">
          <cell r="C2418" t="str">
            <v>C49SZX20240102JY</v>
          </cell>
          <cell r="Y2418">
            <v>12100000</v>
          </cell>
          <cell r="AG2418" t="str">
            <v>CIF HK</v>
          </cell>
        </row>
        <row r="2419">
          <cell r="C2419" t="str">
            <v>C49SZX20240102JY</v>
          </cell>
          <cell r="Y2419">
            <v>12100000</v>
          </cell>
          <cell r="AG2419" t="str">
            <v>CIF HK</v>
          </cell>
        </row>
        <row r="2420">
          <cell r="C2420" t="str">
            <v>C49SZX20240102JY</v>
          </cell>
          <cell r="Y2420">
            <v>12100000</v>
          </cell>
          <cell r="AG2420" t="str">
            <v>CIF HK</v>
          </cell>
        </row>
        <row r="2421">
          <cell r="C2421" t="str">
            <v>C49SZX20240102JY</v>
          </cell>
          <cell r="Y2421">
            <v>12100000</v>
          </cell>
          <cell r="AG2421" t="str">
            <v>CIF HK</v>
          </cell>
        </row>
        <row r="2422">
          <cell r="C2422" t="str">
            <v>C49SZX20240121DZ</v>
          </cell>
          <cell r="Y2422">
            <v>16164500</v>
          </cell>
          <cell r="AG2422" t="str">
            <v>CIF HK</v>
          </cell>
        </row>
        <row r="2423">
          <cell r="C2423" t="str">
            <v>C49SZX20240121DZ</v>
          </cell>
          <cell r="Y2423">
            <v>16164500</v>
          </cell>
          <cell r="AG2423" t="str">
            <v>CIF HK</v>
          </cell>
        </row>
        <row r="2424">
          <cell r="C2424" t="str">
            <v>C49SZX20240121DZ</v>
          </cell>
          <cell r="Y2424">
            <v>16164500</v>
          </cell>
          <cell r="AG2424" t="str">
            <v>CIF HK</v>
          </cell>
        </row>
        <row r="2425">
          <cell r="C2425" t="str">
            <v>C49SZX20240121DZ</v>
          </cell>
          <cell r="Y2425">
            <v>16164500</v>
          </cell>
          <cell r="AG2425" t="str">
            <v>CIF HK</v>
          </cell>
        </row>
        <row r="2426">
          <cell r="C2426" t="str">
            <v>C49SZX20240121DZ</v>
          </cell>
          <cell r="Y2426">
            <v>16164500</v>
          </cell>
          <cell r="AG2426" t="str">
            <v>CIF HK</v>
          </cell>
        </row>
        <row r="2427">
          <cell r="C2427" t="str">
            <v>C49SZX20240121DZ</v>
          </cell>
          <cell r="Y2427">
            <v>16164500</v>
          </cell>
          <cell r="AG2427" t="str">
            <v>CIF HK</v>
          </cell>
        </row>
        <row r="2428">
          <cell r="C2428" t="str">
            <v>C49SZX20240130SX</v>
          </cell>
          <cell r="Y2428">
            <v>7500000</v>
          </cell>
          <cell r="AG2428" t="str">
            <v>DAP SZ</v>
          </cell>
        </row>
        <row r="2429">
          <cell r="C2429" t="str">
            <v>C28SZX20240129JL</v>
          </cell>
          <cell r="Y2429">
            <v>8080000</v>
          </cell>
          <cell r="AG2429" t="str">
            <v>DAP SZ</v>
          </cell>
        </row>
        <row r="2430">
          <cell r="C2430" t="str">
            <v>C49SZX20240091R1SQ</v>
          </cell>
          <cell r="Y2430">
            <v>12280000</v>
          </cell>
          <cell r="AG2430" t="str">
            <v>DAP DG</v>
          </cell>
        </row>
        <row r="2431">
          <cell r="C2431" t="str">
            <v>C49SZX20240133BH</v>
          </cell>
          <cell r="Y2431">
            <v>7250000</v>
          </cell>
          <cell r="AG2431" t="str">
            <v>DAP DG</v>
          </cell>
        </row>
        <row r="2432">
          <cell r="C2432" t="str">
            <v>C49SZX20240132MZ</v>
          </cell>
          <cell r="Y2432">
            <v>12650000</v>
          </cell>
          <cell r="AG2432" t="str">
            <v>DAP SZ</v>
          </cell>
        </row>
        <row r="2433">
          <cell r="C2433" t="str">
            <v>C49SZX20240132MZ</v>
          </cell>
          <cell r="Y2433">
            <v>12650000</v>
          </cell>
          <cell r="AG2433" t="str">
            <v>DAP SZ</v>
          </cell>
        </row>
        <row r="2434">
          <cell r="C2434" t="str">
            <v>C49SZX20240136DZ</v>
          </cell>
          <cell r="Y2434">
            <v>410000</v>
          </cell>
          <cell r="AG2434" t="str">
            <v>DDP CS</v>
          </cell>
        </row>
        <row r="2435">
          <cell r="C2435" t="str">
            <v>C49SZX20240136DZ</v>
          </cell>
          <cell r="Y2435">
            <v>410000</v>
          </cell>
          <cell r="AG2435" t="str">
            <v>DDP CS</v>
          </cell>
        </row>
        <row r="2436">
          <cell r="C2436" t="str">
            <v>C49SZX20240138SX</v>
          </cell>
          <cell r="Y2436">
            <v>7950000</v>
          </cell>
          <cell r="AG2436" t="str">
            <v>DAP SZ</v>
          </cell>
        </row>
        <row r="2437">
          <cell r="C2437" t="str">
            <v>C49SZX20240031R1MZ</v>
          </cell>
          <cell r="Y2437">
            <v>12300000</v>
          </cell>
          <cell r="AG2437" t="str">
            <v>DAP HZ</v>
          </cell>
        </row>
        <row r="2438">
          <cell r="C2438" t="str">
            <v>C49SZX20240031R1MZ</v>
          </cell>
          <cell r="Y2438">
            <v>12300000</v>
          </cell>
          <cell r="AG2438" t="str">
            <v>DAP HZ</v>
          </cell>
        </row>
        <row r="2439">
          <cell r="C2439" t="str">
            <v>C49SZX20240031R1MZ</v>
          </cell>
          <cell r="Y2439">
            <v>12300000</v>
          </cell>
          <cell r="AG2439" t="str">
            <v>DAP HZ</v>
          </cell>
        </row>
        <row r="2440">
          <cell r="C2440" t="str">
            <v>C49SZX20240031R1MZ</v>
          </cell>
          <cell r="Y2440">
            <v>12300000</v>
          </cell>
          <cell r="AG2440" t="str">
            <v>DAP HZ</v>
          </cell>
        </row>
        <row r="2441">
          <cell r="C2441" t="str">
            <v>C49SZX20240142DX</v>
          </cell>
          <cell r="Y2441">
            <v>13210000</v>
          </cell>
          <cell r="AG2441" t="str">
            <v>DAP SZ</v>
          </cell>
        </row>
        <row r="2442">
          <cell r="C2442" t="str">
            <v>C49SZX20240139SS</v>
          </cell>
          <cell r="Y2442">
            <v>675000</v>
          </cell>
          <cell r="AG2442" t="str">
            <v>DDP DG</v>
          </cell>
        </row>
        <row r="2443">
          <cell r="C2443" t="str">
            <v>C49SZX20240143EC</v>
          </cell>
          <cell r="Y2443">
            <v>11800000</v>
          </cell>
          <cell r="AG2443" t="str">
            <v>DAP HZ</v>
          </cell>
        </row>
        <row r="2444">
          <cell r="C2444" t="str">
            <v>C49SZX20240143EC</v>
          </cell>
          <cell r="Y2444">
            <v>11800000</v>
          </cell>
          <cell r="AG2444" t="str">
            <v>DAP HZ</v>
          </cell>
        </row>
        <row r="2445">
          <cell r="C2445" t="str">
            <v>C49SZX20240146SS</v>
          </cell>
          <cell r="Y2445">
            <v>630000</v>
          </cell>
          <cell r="AG2445" t="str">
            <v>DDP SZ</v>
          </cell>
        </row>
        <row r="2446">
          <cell r="C2446" t="str">
            <v>C49SZX20240146SS</v>
          </cell>
          <cell r="Y2446">
            <v>630000</v>
          </cell>
          <cell r="AG2446" t="str">
            <v>DDP SZ</v>
          </cell>
        </row>
        <row r="2447">
          <cell r="C2447" t="str">
            <v>C49SZX20240140JL/HJD24071162</v>
          </cell>
          <cell r="Y2447">
            <v>446700</v>
          </cell>
          <cell r="AG2447" t="str">
            <v>DDP HY</v>
          </cell>
        </row>
        <row r="2448">
          <cell r="C2448" t="str">
            <v>C49SZX20240140JL/HJD24071162</v>
          </cell>
          <cell r="Y2448">
            <v>446700</v>
          </cell>
          <cell r="AG2448" t="str">
            <v>DDP HY</v>
          </cell>
        </row>
        <row r="2449">
          <cell r="C2449" t="str">
            <v>C49SZX20240145JL/HJD24071163</v>
          </cell>
          <cell r="Y2449">
            <v>404600</v>
          </cell>
          <cell r="AG2449" t="str">
            <v>DDP HY</v>
          </cell>
        </row>
        <row r="2450">
          <cell r="C2450" t="str">
            <v>HT20240717016</v>
          </cell>
          <cell r="Y2450">
            <v>1587500.2749999999</v>
          </cell>
          <cell r="AG2450" t="str">
            <v>DDP HZ</v>
          </cell>
        </row>
        <row r="2451">
          <cell r="C2451" t="str">
            <v>HT20240717016</v>
          </cell>
          <cell r="Y2451">
            <v>1587500.2749999999</v>
          </cell>
          <cell r="AG2451" t="str">
            <v>DDP HZ</v>
          </cell>
        </row>
        <row r="2452">
          <cell r="C2452" t="str">
            <v>HT20240717016</v>
          </cell>
          <cell r="Y2452">
            <v>1587500.2749999999</v>
          </cell>
          <cell r="AG2452" t="str">
            <v>DDP HZ</v>
          </cell>
        </row>
        <row r="2453">
          <cell r="C2453" t="str">
            <v>HT20240717016</v>
          </cell>
          <cell r="Y2453">
            <v>1587500.2749999999</v>
          </cell>
          <cell r="AG2453" t="str">
            <v>DDP HZ</v>
          </cell>
        </row>
        <row r="2454">
          <cell r="C2454" t="str">
            <v>C49SZX20240178DZ&amp;JAL</v>
          </cell>
          <cell r="Y2454">
            <v>112200</v>
          </cell>
          <cell r="AG2454" t="str">
            <v>DPU Viet Nam</v>
          </cell>
        </row>
        <row r="2455">
          <cell r="C2455" t="str">
            <v>C49SZX20240178DZ&amp;JAL</v>
          </cell>
          <cell r="Y2455">
            <v>112200</v>
          </cell>
          <cell r="AG2455" t="str">
            <v>DPU Viet Nam</v>
          </cell>
        </row>
        <row r="2456">
          <cell r="C2456" t="str">
            <v>C49SZX20240178DZ&amp;JAL</v>
          </cell>
          <cell r="Y2456">
            <v>77520</v>
          </cell>
          <cell r="AG2456" t="str">
            <v>DPU Viet Nam</v>
          </cell>
        </row>
        <row r="2457">
          <cell r="C2457" t="str">
            <v>C49SZX20240178DZ&amp;JAL</v>
          </cell>
          <cell r="Y2457">
            <v>35700</v>
          </cell>
          <cell r="AG2457" t="str">
            <v>DPU Viet Nam</v>
          </cell>
        </row>
        <row r="2458">
          <cell r="C2458" t="str">
            <v>C49SZX20240178DZ&amp;JAL</v>
          </cell>
          <cell r="Y2458">
            <v>80580</v>
          </cell>
          <cell r="AG2458" t="str">
            <v>DPU Viet Nam</v>
          </cell>
        </row>
        <row r="2459">
          <cell r="C2459" t="str">
            <v>C49SZX20240178DZ&amp;JAL</v>
          </cell>
          <cell r="Y2459">
            <v>88230</v>
          </cell>
          <cell r="AG2459" t="str">
            <v>DPU Viet Nam</v>
          </cell>
        </row>
        <row r="2460">
          <cell r="C2460" t="str">
            <v>C49SZX20240178DZ&amp;JAL</v>
          </cell>
          <cell r="Y2460">
            <v>6120</v>
          </cell>
          <cell r="AG2460" t="str">
            <v>DPU Viet Nam</v>
          </cell>
        </row>
        <row r="2461">
          <cell r="C2461" t="str">
            <v>C49SZX20240149JY</v>
          </cell>
          <cell r="Y2461">
            <v>13000000</v>
          </cell>
          <cell r="AG2461" t="str">
            <v>CIF HK</v>
          </cell>
        </row>
        <row r="2462">
          <cell r="C2462" t="str">
            <v>C49SZX20240147DZ</v>
          </cell>
          <cell r="Y2462">
            <v>16000000</v>
          </cell>
          <cell r="AG2462" t="str">
            <v>DAP CS</v>
          </cell>
        </row>
        <row r="2463">
          <cell r="C2463" t="str">
            <v>C49SZX20240147DZ</v>
          </cell>
          <cell r="Y2463">
            <v>16000000</v>
          </cell>
          <cell r="AG2463" t="str">
            <v>DAP CS</v>
          </cell>
        </row>
        <row r="2464">
          <cell r="C2464" t="str">
            <v>C49SZX20240147DZ</v>
          </cell>
          <cell r="Y2464">
            <v>16000000</v>
          </cell>
          <cell r="AG2464" t="str">
            <v>DAP CS</v>
          </cell>
        </row>
        <row r="2465">
          <cell r="C2465" t="str">
            <v>C49SZX20240147DZ</v>
          </cell>
          <cell r="Y2465">
            <v>10750000</v>
          </cell>
          <cell r="AG2465" t="str">
            <v>DAP CS</v>
          </cell>
        </row>
        <row r="2466">
          <cell r="C2466" t="str">
            <v>C49SZX20240147DZ</v>
          </cell>
          <cell r="Y2466">
            <v>10750000</v>
          </cell>
          <cell r="AG2466" t="str">
            <v>DAP CS</v>
          </cell>
        </row>
        <row r="2467">
          <cell r="C2467" t="str">
            <v>C49SZX20240147DZ</v>
          </cell>
          <cell r="Y2467">
            <v>10750000</v>
          </cell>
          <cell r="AG2467" t="str">
            <v>DAP CS</v>
          </cell>
        </row>
        <row r="2468">
          <cell r="C2468" t="str">
            <v>C49SZX20240147DZ</v>
          </cell>
          <cell r="Y2468">
            <v>10750000</v>
          </cell>
          <cell r="AG2468" t="str">
            <v>DAP CS</v>
          </cell>
        </row>
        <row r="2469">
          <cell r="C2469" t="str">
            <v>C49SZX20240141MZ</v>
          </cell>
          <cell r="Y2469">
            <v>13500000</v>
          </cell>
          <cell r="AG2469" t="str">
            <v xml:space="preserve">DAP HN </v>
          </cell>
        </row>
        <row r="2470">
          <cell r="C2470" t="str">
            <v>C49SZX20240151JL</v>
          </cell>
          <cell r="Y2470">
            <v>780000</v>
          </cell>
          <cell r="AG2470" t="str">
            <v>DDP HZ</v>
          </cell>
        </row>
        <row r="2471">
          <cell r="C2471" t="str">
            <v>C49SZX20240151JL</v>
          </cell>
          <cell r="Y2471">
            <v>571000</v>
          </cell>
          <cell r="AG2471" t="str">
            <v>DDP HZ</v>
          </cell>
        </row>
        <row r="2472">
          <cell r="C2472" t="str">
            <v>C49SZX20240152JL(已发相机）</v>
          </cell>
          <cell r="Y2472">
            <v>13430000</v>
          </cell>
          <cell r="AG2472" t="str">
            <v>DAP HZ</v>
          </cell>
        </row>
        <row r="2473">
          <cell r="C2473" t="str">
            <v>C49SZX20240153JY</v>
          </cell>
          <cell r="Y2473">
            <v>655000</v>
          </cell>
          <cell r="AG2473" t="str">
            <v>DDP GZ</v>
          </cell>
        </row>
        <row r="2474">
          <cell r="C2474" t="str">
            <v>C49SZX20240148SX</v>
          </cell>
          <cell r="Y2474">
            <v>810000</v>
          </cell>
          <cell r="AG2474" t="str">
            <v>DDP HZ</v>
          </cell>
        </row>
        <row r="2475">
          <cell r="C2475" t="str">
            <v>C49SZX20240156MZ</v>
          </cell>
          <cell r="Y2475">
            <v>12200000</v>
          </cell>
          <cell r="AG2475" t="str">
            <v>DAP HZ</v>
          </cell>
        </row>
        <row r="2476">
          <cell r="C2476" t="str">
            <v>C49SZX20240156MZ</v>
          </cell>
          <cell r="Y2476">
            <v>12200000</v>
          </cell>
          <cell r="AG2476" t="str">
            <v>DAP HZ</v>
          </cell>
        </row>
        <row r="2477">
          <cell r="C2477" t="str">
            <v>C49SZX20240156MZ</v>
          </cell>
          <cell r="Y2477">
            <v>12200000</v>
          </cell>
          <cell r="AG2477" t="str">
            <v>DAP HZ</v>
          </cell>
        </row>
        <row r="2478">
          <cell r="C2478" t="str">
            <v>C49SZX20240156MZ</v>
          </cell>
          <cell r="Y2478">
            <v>7200000</v>
          </cell>
          <cell r="AG2478" t="str">
            <v>DAP HZ</v>
          </cell>
        </row>
        <row r="2479">
          <cell r="C2479" t="str">
            <v>C49SZX20240156MZ</v>
          </cell>
          <cell r="Y2479">
            <v>7200000</v>
          </cell>
          <cell r="AG2479" t="str">
            <v>DAP HZ</v>
          </cell>
        </row>
        <row r="2480">
          <cell r="C2480" t="str">
            <v>C49SZX20240144BH</v>
          </cell>
          <cell r="Y2480">
            <v>15530000</v>
          </cell>
          <cell r="AG2480" t="str">
            <v>DAP DG</v>
          </cell>
        </row>
        <row r="2481">
          <cell r="C2481" t="str">
            <v>C49SZX20240144BH</v>
          </cell>
          <cell r="Y2481">
            <v>8170000</v>
          </cell>
          <cell r="AG2481" t="str">
            <v>DAP DG</v>
          </cell>
        </row>
        <row r="2482">
          <cell r="C2482" t="str">
            <v>C49SZX20240158EC</v>
          </cell>
          <cell r="Y2482">
            <v>16400000</v>
          </cell>
          <cell r="AG2482" t="str">
            <v>DAP SZ</v>
          </cell>
        </row>
        <row r="2483">
          <cell r="C2483" t="str">
            <v>C49SZX20240159EC</v>
          </cell>
          <cell r="Y2483">
            <v>930000</v>
          </cell>
          <cell r="AG2483" t="str">
            <v>DDP SZ</v>
          </cell>
        </row>
        <row r="2484">
          <cell r="C2484" t="str">
            <v>C49SZX20240160SX</v>
          </cell>
          <cell r="Y2484">
            <v>779936</v>
          </cell>
          <cell r="AG2484" t="str">
            <v>DDP HZ</v>
          </cell>
        </row>
        <row r="2485">
          <cell r="C2485" t="str">
            <v>C49SZX20240161EC</v>
          </cell>
          <cell r="Y2485">
            <v>420000</v>
          </cell>
          <cell r="AG2485" t="str">
            <v>DDP ZH</v>
          </cell>
        </row>
        <row r="2486">
          <cell r="C2486" t="str">
            <v>C49SZX20240161EC</v>
          </cell>
          <cell r="Y2486">
            <v>420000</v>
          </cell>
          <cell r="AG2486" t="str">
            <v>DDP ZH</v>
          </cell>
        </row>
        <row r="2487">
          <cell r="C2487" t="str">
            <v>C49SZX20240162JL/4600005512</v>
          </cell>
          <cell r="Y2487">
            <v>71000</v>
          </cell>
          <cell r="AG2487" t="str">
            <v>CIF HK</v>
          </cell>
        </row>
        <row r="2488">
          <cell r="C2488" t="str">
            <v>C49SZX20240163JL/4600005527</v>
          </cell>
          <cell r="Y2488">
            <v>71000</v>
          </cell>
          <cell r="AG2488" t="str">
            <v>CIF HK</v>
          </cell>
        </row>
        <row r="2489">
          <cell r="C2489" t="str">
            <v>C49SZX20240166SX</v>
          </cell>
          <cell r="Y2489">
            <v>645000</v>
          </cell>
          <cell r="AG2489" t="str">
            <v>DDP SZ</v>
          </cell>
        </row>
        <row r="2490">
          <cell r="C2490" t="str">
            <v>C49SZX20240166SX</v>
          </cell>
          <cell r="Y2490">
            <v>645000</v>
          </cell>
          <cell r="AG2490" t="str">
            <v>DDP SZ</v>
          </cell>
        </row>
        <row r="2491">
          <cell r="C2491" t="str">
            <v>NSD-ESE20241010A01</v>
          </cell>
          <cell r="Y2491">
            <v>355000</v>
          </cell>
          <cell r="AG2491" t="str">
            <v>DDP SZ</v>
          </cell>
        </row>
        <row r="2492">
          <cell r="C2492" t="str">
            <v>C49SZX20240175SX</v>
          </cell>
          <cell r="Y2492">
            <v>855000</v>
          </cell>
          <cell r="AG2492" t="str">
            <v>DDP GZ</v>
          </cell>
        </row>
        <row r="2493">
          <cell r="C2493" t="str">
            <v>C49SZX20240171SX</v>
          </cell>
          <cell r="Y2493">
            <v>677000</v>
          </cell>
          <cell r="AG2493" t="str">
            <v>DDP SZ</v>
          </cell>
        </row>
        <row r="2494">
          <cell r="C2494" t="str">
            <v>C49SZX20240170DX</v>
          </cell>
          <cell r="Y2494">
            <v>11974790</v>
          </cell>
          <cell r="AG2494" t="str">
            <v>CIF HK</v>
          </cell>
        </row>
        <row r="2495">
          <cell r="C2495" t="str">
            <v>C49SZX20240170DX</v>
          </cell>
          <cell r="Y2495">
            <v>10000000</v>
          </cell>
          <cell r="AG2495" t="str">
            <v>CIF HK</v>
          </cell>
        </row>
        <row r="2496">
          <cell r="C2496" t="str">
            <v>C49SZX20240176SS</v>
          </cell>
          <cell r="Y2496">
            <v>390000</v>
          </cell>
          <cell r="AG2496" t="str">
            <v>DDP SZ</v>
          </cell>
        </row>
        <row r="2497">
          <cell r="C2497" t="str">
            <v>C28SZX20240179HC</v>
          </cell>
          <cell r="Y2497">
            <v>452000</v>
          </cell>
          <cell r="AG2497" t="str">
            <v>DDP SZ</v>
          </cell>
        </row>
        <row r="2498">
          <cell r="C2498" t="str">
            <v>C49SZX20240177SX</v>
          </cell>
          <cell r="Y2498">
            <v>14350000</v>
          </cell>
          <cell r="AG2498" t="str">
            <v>DAP HY</v>
          </cell>
        </row>
        <row r="2499">
          <cell r="C2499" t="str">
            <v>C49SZX20240168JY</v>
          </cell>
          <cell r="Y2499">
            <v>14000000</v>
          </cell>
          <cell r="AG2499" t="str">
            <v>DAP JS</v>
          </cell>
        </row>
        <row r="2500">
          <cell r="C2500" t="str">
            <v>C49SZX20240168JY</v>
          </cell>
          <cell r="Y2500">
            <v>14000000</v>
          </cell>
          <cell r="AG2500" t="str">
            <v>DAP JS</v>
          </cell>
        </row>
        <row r="2501">
          <cell r="C2501" t="str">
            <v>C49SZX20240168JY</v>
          </cell>
          <cell r="Y2501">
            <v>14000000</v>
          </cell>
          <cell r="AG2501" t="str">
            <v>DAP JS</v>
          </cell>
        </row>
        <row r="2502">
          <cell r="C2502" t="str">
            <v>C49SZX20240168JY</v>
          </cell>
          <cell r="Y2502">
            <v>14000000</v>
          </cell>
          <cell r="AG2502" t="str">
            <v>DAP JS</v>
          </cell>
        </row>
        <row r="2503">
          <cell r="C2503" t="str">
            <v>C49SZX20240180DZ&amp;JAL</v>
          </cell>
          <cell r="Y2503">
            <v>105570</v>
          </cell>
          <cell r="AG2503" t="str">
            <v>DPU Viet Nam</v>
          </cell>
        </row>
        <row r="2504">
          <cell r="C2504" t="str">
            <v>C49SZX20240180DZ&amp;JAL</v>
          </cell>
          <cell r="Y2504">
            <v>105570</v>
          </cell>
          <cell r="AG2504" t="str">
            <v>DPU Viet Nam</v>
          </cell>
        </row>
        <row r="2505">
          <cell r="C2505" t="str">
            <v>C49SZX20240180DZ&amp;JAL</v>
          </cell>
          <cell r="Y2505">
            <v>73440</v>
          </cell>
          <cell r="AG2505" t="str">
            <v>DPU Viet Nam</v>
          </cell>
        </row>
        <row r="2506">
          <cell r="C2506" t="str">
            <v>C49SZX20240180DZ&amp;JAL</v>
          </cell>
          <cell r="Y2506">
            <v>35700</v>
          </cell>
          <cell r="AG2506" t="str">
            <v>DPU Viet Nam</v>
          </cell>
        </row>
        <row r="2507">
          <cell r="C2507" t="str">
            <v>C49SZX20240180DZ&amp;JAL</v>
          </cell>
          <cell r="Y2507">
            <v>84150</v>
          </cell>
          <cell r="AG2507" t="str">
            <v>DPU Viet Nam</v>
          </cell>
        </row>
        <row r="2508">
          <cell r="C2508" t="str">
            <v>C49SZX20240183MZ</v>
          </cell>
          <cell r="Y2508">
            <v>13800000</v>
          </cell>
          <cell r="AG2508" t="str">
            <v>DAP SZ</v>
          </cell>
        </row>
        <row r="2509">
          <cell r="C2509" t="str">
            <v>C49SZX20240183MZ</v>
          </cell>
          <cell r="Y2509">
            <v>13800000</v>
          </cell>
          <cell r="AG2509" t="str">
            <v>DAP SZ</v>
          </cell>
        </row>
        <row r="2510">
          <cell r="C2510" t="str">
            <v>C49SZX20240183MZ</v>
          </cell>
          <cell r="Y2510">
            <v>13800000</v>
          </cell>
          <cell r="AG2510" t="str">
            <v>DAP SZ</v>
          </cell>
        </row>
        <row r="2511">
          <cell r="C2511" t="str">
            <v>C49SZX20240183MZ</v>
          </cell>
          <cell r="Y2511">
            <v>13800000</v>
          </cell>
          <cell r="AG2511" t="str">
            <v>DAP SZ</v>
          </cell>
        </row>
        <row r="2512">
          <cell r="C2512" t="str">
            <v>C49SZX20240183MZ</v>
          </cell>
          <cell r="Y2512">
            <v>13800000</v>
          </cell>
          <cell r="AG2512" t="str">
            <v>DAP SZ</v>
          </cell>
        </row>
        <row r="2513">
          <cell r="C2513" t="str">
            <v>C49SZX20240183MZ</v>
          </cell>
          <cell r="Y2513">
            <v>13800000</v>
          </cell>
          <cell r="AG2513" t="str">
            <v>DAP SZ</v>
          </cell>
        </row>
        <row r="2514">
          <cell r="C2514" t="str">
            <v>C49SZX20240183MZ</v>
          </cell>
          <cell r="Y2514">
            <v>9920000</v>
          </cell>
          <cell r="AG2514" t="str">
            <v>DAP SZ</v>
          </cell>
        </row>
        <row r="2515">
          <cell r="C2515" t="str">
            <v>C49SZX20240183MZ</v>
          </cell>
          <cell r="Y2515">
            <v>9920000</v>
          </cell>
          <cell r="AG2515" t="str">
            <v>DAP SZ</v>
          </cell>
        </row>
        <row r="2516">
          <cell r="C2516" t="str">
            <v>C49SZX20240183MZ</v>
          </cell>
          <cell r="Y2516">
            <v>9920000</v>
          </cell>
          <cell r="AG2516" t="str">
            <v>DAP SZ</v>
          </cell>
        </row>
        <row r="2517">
          <cell r="C2517" t="str">
            <v>C49SZX20240183MZ</v>
          </cell>
          <cell r="Y2517">
            <v>9920000</v>
          </cell>
          <cell r="AG2517" t="str">
            <v>DAP SZ</v>
          </cell>
        </row>
        <row r="2518">
          <cell r="C2518" t="str">
            <v>C49SZX20240183MZ</v>
          </cell>
          <cell r="Y2518">
            <v>9920000</v>
          </cell>
          <cell r="AG2518" t="str">
            <v>DAP SZ</v>
          </cell>
        </row>
        <row r="2519">
          <cell r="C2519" t="str">
            <v>C28SZX20240184MZ</v>
          </cell>
          <cell r="Y2519">
            <v>7800000</v>
          </cell>
          <cell r="AG2519" t="str">
            <v>DAP SZ</v>
          </cell>
        </row>
        <row r="2520">
          <cell r="C2520" t="str">
            <v>C49SZX20240186JL</v>
          </cell>
          <cell r="Y2520">
            <v>13500000</v>
          </cell>
          <cell r="AG2520" t="str">
            <v>DAP SZ</v>
          </cell>
        </row>
        <row r="2521">
          <cell r="C2521" t="str">
            <v>C49SZX20240186JL</v>
          </cell>
          <cell r="Y2521">
            <v>13500000</v>
          </cell>
          <cell r="AG2521" t="str">
            <v>DAP SZ</v>
          </cell>
        </row>
        <row r="2522">
          <cell r="C2522" t="str">
            <v>C49SZX20240186JL</v>
          </cell>
          <cell r="Y2522">
            <v>9500000</v>
          </cell>
          <cell r="AG2522" t="str">
            <v>DAP SZ</v>
          </cell>
        </row>
        <row r="2523">
          <cell r="C2523" t="str">
            <v>C49SZX20240187JL</v>
          </cell>
          <cell r="Y2523">
            <v>12000000</v>
          </cell>
          <cell r="AG2523" t="str">
            <v>DAP SZ</v>
          </cell>
        </row>
        <row r="2524">
          <cell r="C2524" t="str">
            <v>C49SZX20240188JY</v>
          </cell>
          <cell r="Y2524">
            <v>13250000</v>
          </cell>
          <cell r="AG2524" t="str">
            <v>DAP JX</v>
          </cell>
        </row>
        <row r="2525">
          <cell r="C2525" t="str">
            <v>C49SZX20240188JY</v>
          </cell>
          <cell r="Y2525">
            <v>13250000</v>
          </cell>
          <cell r="AG2525" t="str">
            <v>DAP JX</v>
          </cell>
        </row>
        <row r="2526">
          <cell r="C2526" t="str">
            <v>C49SZX20240188JY</v>
          </cell>
          <cell r="Y2526">
            <v>13250000</v>
          </cell>
          <cell r="AG2526" t="str">
            <v>DAP JX</v>
          </cell>
        </row>
        <row r="2527">
          <cell r="C2527" t="str">
            <v>C49SZX20240188JY</v>
          </cell>
          <cell r="Y2527">
            <v>13250000</v>
          </cell>
          <cell r="AG2527" t="str">
            <v>DAP JX</v>
          </cell>
        </row>
        <row r="2528">
          <cell r="C2528" t="str">
            <v>C49SZX20240190BH</v>
          </cell>
          <cell r="Y2528">
            <v>12250000</v>
          </cell>
          <cell r="AG2528" t="str">
            <v>DAP SZ</v>
          </cell>
        </row>
        <row r="2529">
          <cell r="C2529" t="str">
            <v>C49SZX20240191BY</v>
          </cell>
          <cell r="Y2529">
            <v>16200000</v>
          </cell>
          <cell r="AG2529" t="str">
            <v>DAP SZ</v>
          </cell>
        </row>
        <row r="2530">
          <cell r="C2530" t="str">
            <v>C49SZX20240191BY</v>
          </cell>
          <cell r="Y2530">
            <v>8000000</v>
          </cell>
          <cell r="AG2530" t="str">
            <v>DAP SZ</v>
          </cell>
        </row>
        <row r="2531">
          <cell r="C2531" t="str">
            <v>C49SZX20240195SX</v>
          </cell>
          <cell r="Y2531">
            <v>16580000</v>
          </cell>
          <cell r="AG2531" t="str">
            <v>DAP DG</v>
          </cell>
        </row>
        <row r="2532">
          <cell r="C2532" t="str">
            <v>C49SZX20240196SX</v>
          </cell>
          <cell r="Y2532">
            <v>12450000</v>
          </cell>
          <cell r="AG2532" t="str">
            <v>DAP SZ</v>
          </cell>
        </row>
        <row r="2533">
          <cell r="C2533" t="str">
            <v>C49SZX20240196SX</v>
          </cell>
          <cell r="Y2533">
            <v>12450000</v>
          </cell>
          <cell r="AG2533" t="str">
            <v>DAP SZ</v>
          </cell>
        </row>
        <row r="2534">
          <cell r="C2534" t="str">
            <v>C49SZX20240196SX</v>
          </cell>
          <cell r="Y2534">
            <v>12450000</v>
          </cell>
          <cell r="AG2534" t="str">
            <v>DAP SZ</v>
          </cell>
        </row>
        <row r="2535">
          <cell r="C2535" t="str">
            <v>C49SZX20240197SX</v>
          </cell>
          <cell r="Y2535">
            <v>6745000</v>
          </cell>
          <cell r="AG2535" t="str">
            <v>DAP SZ</v>
          </cell>
        </row>
        <row r="2536">
          <cell r="C2536" t="str">
            <v>C49SZX20240197SX</v>
          </cell>
          <cell r="Y2536">
            <v>6745000</v>
          </cell>
          <cell r="AG2536" t="str">
            <v>DAP SZ</v>
          </cell>
        </row>
        <row r="2537">
          <cell r="C2537" t="str">
            <v>C49SZX20240197SX</v>
          </cell>
          <cell r="Y2537">
            <v>6745000</v>
          </cell>
          <cell r="AG2537" t="str">
            <v>DAP SZ</v>
          </cell>
        </row>
        <row r="2538">
          <cell r="C2538" t="str">
            <v>C49SZX20240199SS</v>
          </cell>
          <cell r="Y2538">
            <v>12500000</v>
          </cell>
          <cell r="AG2538" t="str">
            <v>DAP SZ</v>
          </cell>
        </row>
        <row r="2539">
          <cell r="C2539" t="str">
            <v>C49SZX20240200SS</v>
          </cell>
          <cell r="Y2539">
            <v>13355000</v>
          </cell>
          <cell r="AG2539" t="str">
            <v>DAP SZ</v>
          </cell>
        </row>
        <row r="2540">
          <cell r="C2540" t="str">
            <v>C49SZX20240200SS</v>
          </cell>
          <cell r="Y2540">
            <v>13355000</v>
          </cell>
          <cell r="AG2540" t="str">
            <v>DAP SZ</v>
          </cell>
        </row>
        <row r="2541">
          <cell r="C2541" t="str">
            <v>C49SZX20240189JY</v>
          </cell>
          <cell r="Y2541">
            <v>14000000</v>
          </cell>
          <cell r="AG2541" t="str">
            <v>DAP JS</v>
          </cell>
        </row>
        <row r="2542">
          <cell r="C2542" t="str">
            <v>C49SZX20240189JY</v>
          </cell>
          <cell r="Y2542">
            <v>14000000</v>
          </cell>
          <cell r="AG2542" t="str">
            <v>DAP JS</v>
          </cell>
        </row>
        <row r="2543">
          <cell r="C2543" t="str">
            <v>C49SZX20240189JY</v>
          </cell>
          <cell r="Y2543">
            <v>14000000</v>
          </cell>
          <cell r="AG2543" t="str">
            <v>DAP JS</v>
          </cell>
        </row>
        <row r="2544">
          <cell r="C2544" t="str">
            <v>C49SZX20240189JY</v>
          </cell>
          <cell r="Y2544">
            <v>14000000</v>
          </cell>
          <cell r="AG2544" t="str">
            <v>DAP JS</v>
          </cell>
        </row>
        <row r="2545">
          <cell r="C2545" t="str">
            <v>C49SZX20240201JL/HJD24110519</v>
          </cell>
          <cell r="Y2545">
            <v>446700</v>
          </cell>
          <cell r="AG2545" t="str">
            <v>DDP HY</v>
          </cell>
        </row>
        <row r="2546">
          <cell r="C2546" t="str">
            <v>C49SZX20240203DZ</v>
          </cell>
          <cell r="Y2546">
            <v>16835000</v>
          </cell>
          <cell r="AG2546" t="str">
            <v>CIF HK</v>
          </cell>
        </row>
        <row r="2547">
          <cell r="C2547" t="str">
            <v>C49SZX20240203DZ</v>
          </cell>
          <cell r="Y2547">
            <v>16835000</v>
          </cell>
          <cell r="AG2547" t="str">
            <v>CIF HK</v>
          </cell>
        </row>
        <row r="2548">
          <cell r="C2548" t="str">
            <v>C49SZX20240203DZ</v>
          </cell>
          <cell r="Y2548">
            <v>14300000</v>
          </cell>
          <cell r="AG2548" t="str">
            <v>CIF HK</v>
          </cell>
        </row>
        <row r="2549">
          <cell r="C2549" t="str">
            <v>C49SZX20240203DZ</v>
          </cell>
          <cell r="Y2549">
            <v>14300000</v>
          </cell>
          <cell r="AG2549" t="str">
            <v>CIF HK</v>
          </cell>
        </row>
        <row r="2550">
          <cell r="C2550" t="str">
            <v>C49SZX20240205SX</v>
          </cell>
          <cell r="Y2550">
            <v>7200000</v>
          </cell>
          <cell r="AG2550" t="str">
            <v>DAP HZ</v>
          </cell>
        </row>
        <row r="2551">
          <cell r="C2551" t="str">
            <v>C49SZX20240205SX</v>
          </cell>
          <cell r="Y2551">
            <v>7200000</v>
          </cell>
          <cell r="AG2551" t="str">
            <v>DAP HZ</v>
          </cell>
        </row>
        <row r="2552">
          <cell r="C2552" t="str">
            <v>C49SZX20240192DZ</v>
          </cell>
          <cell r="Y2552">
            <v>13500000</v>
          </cell>
          <cell r="AG2552" t="str">
            <v>DAP SZ</v>
          </cell>
        </row>
        <row r="2553">
          <cell r="C2553" t="str">
            <v>C49SZX20240192DZ</v>
          </cell>
          <cell r="Y2553">
            <v>13500000</v>
          </cell>
          <cell r="AG2553" t="str">
            <v>DAP SZ</v>
          </cell>
        </row>
        <row r="2554">
          <cell r="C2554" t="str">
            <v>C49SZX20240192DZ</v>
          </cell>
          <cell r="Y2554">
            <v>10000000</v>
          </cell>
          <cell r="AG2554" t="str">
            <v>DAP SZ</v>
          </cell>
        </row>
        <row r="2555">
          <cell r="C2555" t="str">
            <v>C28SZX20240207MZ</v>
          </cell>
          <cell r="Y2555">
            <v>8000000</v>
          </cell>
          <cell r="AG2555" t="str">
            <v>CIF HK</v>
          </cell>
        </row>
        <row r="2556">
          <cell r="C2556" t="str">
            <v>C49SZX20240185MZ</v>
          </cell>
          <cell r="Y2556">
            <v>10750000</v>
          </cell>
          <cell r="AG2556" t="str">
            <v>CIF HK</v>
          </cell>
        </row>
        <row r="2557">
          <cell r="C2557" t="str">
            <v>C49SZX20240185MZ</v>
          </cell>
          <cell r="Y2557">
            <v>10750000</v>
          </cell>
          <cell r="AG2557" t="str">
            <v>CIF HK</v>
          </cell>
        </row>
        <row r="2558">
          <cell r="C2558" t="str">
            <v>C49SZX20240193JY</v>
          </cell>
          <cell r="Y2558">
            <v>7500000</v>
          </cell>
          <cell r="AG2558" t="str">
            <v>DAP SZ</v>
          </cell>
        </row>
        <row r="2559">
          <cell r="C2559" t="str">
            <v>C49SZX20240208MZ</v>
          </cell>
          <cell r="Y2559">
            <v>8000000</v>
          </cell>
          <cell r="AG2559" t="str">
            <v>DAP HZ</v>
          </cell>
        </row>
        <row r="2560">
          <cell r="C2560" t="str">
            <v>C49SZX20250002EC</v>
          </cell>
          <cell r="Y2560">
            <v>1100000</v>
          </cell>
          <cell r="AG2560" t="str">
            <v>DDP SZ</v>
          </cell>
        </row>
        <row r="2561">
          <cell r="C2561" t="str">
            <v>C49SZX20250002EC</v>
          </cell>
          <cell r="Y2561">
            <v>639000</v>
          </cell>
          <cell r="AG2561" t="str">
            <v>DDP SZ</v>
          </cell>
        </row>
        <row r="2562">
          <cell r="C2562" t="str">
            <v>C49SZX20240209JL/4600006197</v>
          </cell>
          <cell r="Y2562">
            <v>60000</v>
          </cell>
          <cell r="AG2562" t="str">
            <v>CIF HK</v>
          </cell>
        </row>
        <row r="2563">
          <cell r="C2563" t="str">
            <v>C49SZX20240209JL/4600006197</v>
          </cell>
          <cell r="Y2563">
            <v>60000</v>
          </cell>
          <cell r="AG2563" t="str">
            <v>CIF HK</v>
          </cell>
        </row>
        <row r="2564">
          <cell r="C2564" t="str">
            <v>C49SZX20240201JY</v>
          </cell>
          <cell r="Y2564">
            <v>8700000</v>
          </cell>
          <cell r="AG2564" t="str">
            <v>DAP YJ</v>
          </cell>
        </row>
        <row r="2565">
          <cell r="C2565" t="str">
            <v>C49SZX20250001MZ</v>
          </cell>
          <cell r="Y2565">
            <v>8000000</v>
          </cell>
          <cell r="AG2565" t="str">
            <v>DAP SZ</v>
          </cell>
        </row>
        <row r="2566">
          <cell r="C2566" t="str">
            <v>C49SZX20250001MZ</v>
          </cell>
          <cell r="Y2566">
            <v>13000000</v>
          </cell>
          <cell r="AG2566" t="str">
            <v>DAP SZ</v>
          </cell>
        </row>
        <row r="2567">
          <cell r="C2567" t="str">
            <v>C49SZX20240219SX</v>
          </cell>
          <cell r="Y2567">
            <v>14560000</v>
          </cell>
          <cell r="AG2567" t="str">
            <v>DAP JX</v>
          </cell>
        </row>
        <row r="2568">
          <cell r="C2568" t="str">
            <v>C49SZX20250003BY</v>
          </cell>
          <cell r="Y2568">
            <v>12660000</v>
          </cell>
          <cell r="AG2568" t="str">
            <v>DAP SZ</v>
          </cell>
        </row>
        <row r="2569">
          <cell r="C2569" t="str">
            <v>C49SZX20250003BY</v>
          </cell>
          <cell r="Y2569">
            <v>9000000</v>
          </cell>
          <cell r="AG2569" t="str">
            <v>DAP SZ</v>
          </cell>
        </row>
        <row r="2570">
          <cell r="C2570" t="str">
            <v>C49SZX20240216SQ</v>
          </cell>
          <cell r="Y2570">
            <v>13200000</v>
          </cell>
          <cell r="AG2570" t="str">
            <v>DAP HZ</v>
          </cell>
        </row>
        <row r="2571">
          <cell r="C2571" t="str">
            <v>C49SZX20240216SQ</v>
          </cell>
          <cell r="Y2571">
            <v>13200000</v>
          </cell>
          <cell r="AG2571" t="str">
            <v>DAP HZ</v>
          </cell>
        </row>
        <row r="2572">
          <cell r="C2572" t="str">
            <v>C49SZX20240216SQ</v>
          </cell>
          <cell r="Y2572">
            <v>11800000</v>
          </cell>
          <cell r="AG2572" t="str">
            <v>DAP HZ</v>
          </cell>
        </row>
        <row r="2573">
          <cell r="C2573" t="str">
            <v>C49SZX20240216SQ</v>
          </cell>
          <cell r="Y2573">
            <v>11800000</v>
          </cell>
          <cell r="AG2573" t="str">
            <v>DAP HZ</v>
          </cell>
        </row>
        <row r="2574">
          <cell r="C2574" t="str">
            <v>C28SZX20240212DX</v>
          </cell>
          <cell r="Y2574">
            <v>7275000</v>
          </cell>
          <cell r="AG2574" t="str">
            <v>CIF HK</v>
          </cell>
        </row>
        <row r="2575">
          <cell r="C2575" t="str">
            <v>C28SZX20240213DX</v>
          </cell>
          <cell r="Y2575">
            <v>184500</v>
          </cell>
          <cell r="AG2575" t="str">
            <v>DDP SZ</v>
          </cell>
        </row>
        <row r="2576">
          <cell r="C2576" t="str">
            <v>C49SZX20240211DX</v>
          </cell>
          <cell r="Y2576">
            <v>9894000</v>
          </cell>
          <cell r="AG2576" t="str">
            <v>CIF HK</v>
          </cell>
        </row>
        <row r="2577">
          <cell r="C2577" t="str">
            <v>C49SZX20250005SX</v>
          </cell>
          <cell r="Y2577">
            <v>14900000</v>
          </cell>
          <cell r="AG2577" t="str">
            <v>DAP SZ</v>
          </cell>
        </row>
        <row r="2578">
          <cell r="C2578" t="str">
            <v>C49SZX20250005SX</v>
          </cell>
          <cell r="Y2578">
            <v>14900000</v>
          </cell>
          <cell r="AG2578" t="str">
            <v>DAP SZ</v>
          </cell>
        </row>
        <row r="2579">
          <cell r="C2579" t="str">
            <v>C49SZX20250007JL</v>
          </cell>
          <cell r="Y2579">
            <v>12840000</v>
          </cell>
          <cell r="AG2579" t="str">
            <v>DAP SZ</v>
          </cell>
        </row>
        <row r="2580">
          <cell r="C2580" t="str">
            <v>C49SZX20250007JL</v>
          </cell>
          <cell r="Y2580">
            <v>12840000</v>
          </cell>
          <cell r="AG2580" t="str">
            <v>DAP SZ</v>
          </cell>
        </row>
        <row r="2581">
          <cell r="C2581" t="str">
            <v>C49SZX20250007JL</v>
          </cell>
          <cell r="Y2581">
            <v>7500000</v>
          </cell>
          <cell r="AG2581" t="str">
            <v>DAP SZ</v>
          </cell>
        </row>
        <row r="2582">
          <cell r="C2582" t="str">
            <v>C49SZX20250009SX</v>
          </cell>
          <cell r="Y2582">
            <v>840000</v>
          </cell>
          <cell r="AG2582" t="str">
            <v>DDP DG</v>
          </cell>
        </row>
        <row r="2583">
          <cell r="C2583" t="str">
            <v>C49SZX20250009SX</v>
          </cell>
          <cell r="Y2583">
            <v>403000</v>
          </cell>
          <cell r="AG2583" t="str">
            <v>DDP DG</v>
          </cell>
        </row>
        <row r="2584">
          <cell r="C2584" t="str">
            <v>C49SZX20240220SX</v>
          </cell>
          <cell r="Y2584">
            <v>17200000</v>
          </cell>
          <cell r="AG2584" t="str">
            <v>CIF HK</v>
          </cell>
        </row>
        <row r="2585">
          <cell r="C2585" t="str">
            <v>C49SZX20250011SQ</v>
          </cell>
          <cell r="Y2585">
            <v>16000000</v>
          </cell>
          <cell r="AG2585" t="str">
            <v>DAP SZ</v>
          </cell>
        </row>
        <row r="2586">
          <cell r="C2586" t="str">
            <v>C28SZX20240214LH</v>
          </cell>
          <cell r="Y2586">
            <v>625200</v>
          </cell>
          <cell r="AG2586" t="str">
            <v>DDP ZS</v>
          </cell>
        </row>
        <row r="2587">
          <cell r="C2587" t="str">
            <v>C49SZX20250013MZ</v>
          </cell>
          <cell r="Y2587">
            <v>12800000</v>
          </cell>
          <cell r="AG2587" t="str">
            <v>DAP SZ</v>
          </cell>
        </row>
        <row r="2588">
          <cell r="C2588" t="str">
            <v>C49SZX20250013MZ</v>
          </cell>
          <cell r="Y2588">
            <v>12800000</v>
          </cell>
          <cell r="AG2588" t="str">
            <v>DAP SZ</v>
          </cell>
        </row>
        <row r="2589">
          <cell r="C2589" t="str">
            <v>C49SZX20250012BH</v>
          </cell>
          <cell r="Y2589">
            <v>12500000</v>
          </cell>
          <cell r="AG2589" t="str">
            <v>DAP DG</v>
          </cell>
        </row>
        <row r="2590">
          <cell r="C2590" t="str">
            <v>C49SZX20250012BH</v>
          </cell>
          <cell r="Y2590">
            <v>7670000</v>
          </cell>
          <cell r="AG2590" t="str">
            <v>DAP DG</v>
          </cell>
        </row>
        <row r="2591">
          <cell r="C2591" t="str">
            <v>C49SZX20250015DZ&amp;JAL</v>
          </cell>
          <cell r="Y2591">
            <v>35700</v>
          </cell>
          <cell r="AG2591" t="str">
            <v>DDU VIETNAM</v>
          </cell>
        </row>
        <row r="2592">
          <cell r="C2592" t="str">
            <v>C49SZX20250015DZ&amp;JAL</v>
          </cell>
          <cell r="Y2592">
            <v>35700</v>
          </cell>
          <cell r="AG2592" t="str">
            <v>DDU VIETNAM</v>
          </cell>
        </row>
        <row r="2593">
          <cell r="C2593" t="str">
            <v>C49SZX20250015DZ&amp;JAL</v>
          </cell>
          <cell r="Y2593">
            <v>80580</v>
          </cell>
          <cell r="AG2593" t="str">
            <v>DDU VIETNAM</v>
          </cell>
        </row>
        <row r="2594">
          <cell r="C2594" t="str">
            <v>C49SZX20250015DZ&amp;JAL</v>
          </cell>
          <cell r="Y2594">
            <v>86650</v>
          </cell>
          <cell r="AG2594" t="str">
            <v>DDU VIETNAM</v>
          </cell>
        </row>
        <row r="2595">
          <cell r="C2595" t="str">
            <v>C49SZX20250015DZ&amp;JAL</v>
          </cell>
          <cell r="Y2595">
            <v>86650</v>
          </cell>
          <cell r="AG2595" t="str">
            <v>DDU VIETNAM</v>
          </cell>
        </row>
        <row r="2596">
          <cell r="C2596" t="str">
            <v>C49SZX20250015DZ&amp;JAL</v>
          </cell>
          <cell r="Y2596">
            <v>103500</v>
          </cell>
          <cell r="AG2596" t="str">
            <v>DDU VIETNAM</v>
          </cell>
        </row>
        <row r="2597">
          <cell r="C2597" t="str">
            <v>C49SZX20250015DZ&amp;JAL</v>
          </cell>
          <cell r="Y2597">
            <v>103500</v>
          </cell>
          <cell r="AG2597" t="str">
            <v>DDU VIETNAM</v>
          </cell>
        </row>
        <row r="2598">
          <cell r="C2598" t="str">
            <v>C49SZX20250015DZ&amp;JAL</v>
          </cell>
          <cell r="Y2598">
            <v>103500</v>
          </cell>
          <cell r="AG2598" t="str">
            <v>DDU VIETNAM</v>
          </cell>
        </row>
        <row r="2599">
          <cell r="C2599" t="str">
            <v>C49SZX20250015DZ&amp;JAL</v>
          </cell>
          <cell r="Y2599">
            <v>103500</v>
          </cell>
          <cell r="AG2599" t="str">
            <v>DDU VIETNAM</v>
          </cell>
        </row>
        <row r="2600">
          <cell r="C2600" t="str">
            <v>C49SZX20250015DZ&amp;JAL</v>
          </cell>
          <cell r="Y2600">
            <v>72050</v>
          </cell>
          <cell r="AG2600" t="str">
            <v>DDU VIETNAM</v>
          </cell>
        </row>
        <row r="2601">
          <cell r="C2601" t="str">
            <v>C49SZX20250015DZ&amp;JAL</v>
          </cell>
          <cell r="Y2601">
            <v>72050</v>
          </cell>
          <cell r="AG2601" t="str">
            <v>DDU VIETNAM</v>
          </cell>
        </row>
        <row r="2602">
          <cell r="C2602" t="str">
            <v>C49SZX20250004MZ</v>
          </cell>
          <cell r="Y2602">
            <v>670000</v>
          </cell>
          <cell r="AG2602" t="str">
            <v>DDP DG</v>
          </cell>
        </row>
        <row r="2603">
          <cell r="C2603" t="str">
            <v>C49SZX20250008JY</v>
          </cell>
          <cell r="Y2603">
            <v>29837877</v>
          </cell>
          <cell r="AG2603" t="str">
            <v>DAP SZ</v>
          </cell>
        </row>
        <row r="2604">
          <cell r="C2604" t="str">
            <v>C49SZX20250008JY</v>
          </cell>
          <cell r="Y2604">
            <v>29837877</v>
          </cell>
          <cell r="AG2604" t="str">
            <v>DAP SZ</v>
          </cell>
        </row>
        <row r="2605">
          <cell r="C2605" t="str">
            <v>C49SZX20250008JY</v>
          </cell>
          <cell r="Y2605">
            <v>29837877</v>
          </cell>
          <cell r="AG2605" t="str">
            <v>DAP SZ</v>
          </cell>
        </row>
        <row r="2606">
          <cell r="C2606" t="str">
            <v>C49SZX20250008JY</v>
          </cell>
          <cell r="Y2606">
            <v>29837877</v>
          </cell>
          <cell r="AG2606" t="str">
            <v>DAP SZ</v>
          </cell>
        </row>
        <row r="2607">
          <cell r="C2607" t="str">
            <v>C49SZX20250008JY</v>
          </cell>
          <cell r="Y2607">
            <v>29837877</v>
          </cell>
          <cell r="AG2607" t="str">
            <v>DAP SZ</v>
          </cell>
        </row>
        <row r="2608">
          <cell r="C2608" t="str">
            <v>C49SZX20250008JY</v>
          </cell>
          <cell r="Y2608">
            <v>29837877</v>
          </cell>
          <cell r="AG2608" t="str">
            <v>DAP SZ</v>
          </cell>
        </row>
        <row r="2609">
          <cell r="C2609" t="str">
            <v>C49SZX20250020SX</v>
          </cell>
          <cell r="Y2609">
            <v>15000000</v>
          </cell>
          <cell r="AG2609" t="str">
            <v>DAP SZ</v>
          </cell>
        </row>
        <row r="2610">
          <cell r="C2610" t="str">
            <v>C49SZX20250020SX</v>
          </cell>
          <cell r="Y2610">
            <v>15000000</v>
          </cell>
          <cell r="AG2610" t="str">
            <v>DAP SZ</v>
          </cell>
        </row>
        <row r="2611">
          <cell r="C2611" t="str">
            <v>C49SZX20250020SX</v>
          </cell>
          <cell r="Y2611">
            <v>8336500</v>
          </cell>
          <cell r="AG2611" t="str">
            <v>DAP SZ</v>
          </cell>
        </row>
        <row r="2612">
          <cell r="C2612" t="str">
            <v>C49SZX20250020SX</v>
          </cell>
          <cell r="Y2612">
            <v>8336500</v>
          </cell>
          <cell r="AG2612" t="str">
            <v>DAP SZ</v>
          </cell>
        </row>
        <row r="2613">
          <cell r="C2613" t="str">
            <v>C49SZX20250025SS</v>
          </cell>
          <cell r="Y2613">
            <v>11400000</v>
          </cell>
          <cell r="AG2613" t="str">
            <v>DAP DG</v>
          </cell>
        </row>
        <row r="2614">
          <cell r="C2614" t="str">
            <v>C49SZX20250021EC</v>
          </cell>
          <cell r="Y2614">
            <v>9800000</v>
          </cell>
          <cell r="AG2614" t="str">
            <v>DAP SZ</v>
          </cell>
        </row>
        <row r="2615">
          <cell r="C2615" t="str">
            <v>C49SZX20250022DX</v>
          </cell>
          <cell r="Y2615">
            <v>900000</v>
          </cell>
          <cell r="AG2615" t="str">
            <v>DDP SZ</v>
          </cell>
        </row>
        <row r="2616">
          <cell r="C2616" t="str">
            <v>C49SZX20250022DX</v>
          </cell>
          <cell r="Y2616">
            <v>900000</v>
          </cell>
          <cell r="AG2616" t="str">
            <v>DDP SZ</v>
          </cell>
        </row>
        <row r="2617">
          <cell r="C2617" t="str">
            <v>C49SZX20250023JY</v>
          </cell>
          <cell r="Y2617">
            <v>391100</v>
          </cell>
          <cell r="AG2617" t="str">
            <v>DDP SZ</v>
          </cell>
        </row>
        <row r="2618">
          <cell r="C2618" t="str">
            <v>C49SZX20250023JY</v>
          </cell>
          <cell r="Y2618">
            <v>391100</v>
          </cell>
          <cell r="AG2618" t="str">
            <v>DDP SZ</v>
          </cell>
        </row>
        <row r="2619">
          <cell r="C2619" t="str">
            <v>C49SZX20250045EC</v>
          </cell>
          <cell r="Y2619">
            <v>370000</v>
          </cell>
          <cell r="AG2619" t="str">
            <v>DDP DG</v>
          </cell>
        </row>
        <row r="2620">
          <cell r="C2620" t="str">
            <v>C49SZX20250045EC</v>
          </cell>
          <cell r="Y2620">
            <v>370000</v>
          </cell>
          <cell r="AG2620" t="str">
            <v>DDP DG</v>
          </cell>
        </row>
        <row r="2621">
          <cell r="C2621" t="str">
            <v>C49SZX20250027BH</v>
          </cell>
          <cell r="Y2621">
            <v>8180000</v>
          </cell>
          <cell r="AG2621" t="str">
            <v>DAP SZ</v>
          </cell>
        </row>
        <row r="2622">
          <cell r="C2622" t="str">
            <v>C49SZX20250030SX</v>
          </cell>
          <cell r="Y2622">
            <v>453250</v>
          </cell>
          <cell r="AG2622" t="str">
            <v>DDP HZ</v>
          </cell>
        </row>
        <row r="2623">
          <cell r="C2623" t="str">
            <v>C49SZX20250030SX</v>
          </cell>
          <cell r="Y2623">
            <v>453250</v>
          </cell>
          <cell r="AG2623" t="str">
            <v>DDP HZ</v>
          </cell>
        </row>
        <row r="2624">
          <cell r="C2624" t="str">
            <v>C49SZX20250029JY</v>
          </cell>
          <cell r="Y2624">
            <v>402500</v>
          </cell>
          <cell r="AG2624" t="str">
            <v>DDP SZ</v>
          </cell>
        </row>
        <row r="2625">
          <cell r="C2625" t="str">
            <v>C49SZX20250029JY</v>
          </cell>
          <cell r="Y2625">
            <v>402500</v>
          </cell>
          <cell r="AG2625" t="str">
            <v>DDP SZ</v>
          </cell>
        </row>
        <row r="2626">
          <cell r="C2626" t="str">
            <v>C49SZX20250026JL</v>
          </cell>
          <cell r="Y2626">
            <v>375000</v>
          </cell>
          <cell r="AG2626" t="str">
            <v>DDP SZ</v>
          </cell>
        </row>
        <row r="2627">
          <cell r="C2627" t="str">
            <v>C49SZX20250032SX</v>
          </cell>
          <cell r="Y2627">
            <v>480000</v>
          </cell>
          <cell r="AG2627" t="str">
            <v>DDP SZ</v>
          </cell>
        </row>
        <row r="2628">
          <cell r="C2628" t="str">
            <v>C49SZX20250032SX</v>
          </cell>
          <cell r="Y2628">
            <v>480000</v>
          </cell>
          <cell r="AG2628" t="str">
            <v>DDP SZ</v>
          </cell>
        </row>
        <row r="2629">
          <cell r="C2629" t="str">
            <v>C49SZX20250033SX</v>
          </cell>
          <cell r="Y2629">
            <v>395000</v>
          </cell>
          <cell r="AG2629" t="str">
            <v>DDP DG</v>
          </cell>
        </row>
        <row r="2630">
          <cell r="C2630" t="str">
            <v>C49SZX20250033SX</v>
          </cell>
          <cell r="Y2630">
            <v>155000</v>
          </cell>
          <cell r="AG2630" t="str">
            <v>DDP DG</v>
          </cell>
        </row>
        <row r="2631">
          <cell r="C2631" t="str">
            <v>C49SZX20250036SX</v>
          </cell>
          <cell r="Y2631">
            <v>389000</v>
          </cell>
          <cell r="AG2631" t="str">
            <v>DDP HZ</v>
          </cell>
        </row>
        <row r="2632">
          <cell r="C2632" t="str">
            <v>C49SZX20250035SX</v>
          </cell>
          <cell r="Y2632">
            <v>7080000</v>
          </cell>
          <cell r="AG2632" t="str">
            <v>DAP SZ</v>
          </cell>
        </row>
        <row r="2633">
          <cell r="C2633" t="str">
            <v>C49SZX20250038HC</v>
          </cell>
          <cell r="Y2633">
            <v>8299000</v>
          </cell>
          <cell r="AG2633" t="str">
            <v>DAP SZ</v>
          </cell>
        </row>
        <row r="2634">
          <cell r="C2634" t="str">
            <v>C49SZX20250040SX</v>
          </cell>
          <cell r="Y2634">
            <v>393000</v>
          </cell>
          <cell r="AG2634" t="str">
            <v>DDP SZ</v>
          </cell>
        </row>
        <row r="2635">
          <cell r="C2635" t="str">
            <v>C49SZX20250040SX</v>
          </cell>
          <cell r="Y2635">
            <v>393000</v>
          </cell>
          <cell r="AG2635" t="str">
            <v>DDP SZ</v>
          </cell>
        </row>
        <row r="2636">
          <cell r="C2636" t="str">
            <v>C49SZX20250040SX</v>
          </cell>
          <cell r="Y2636">
            <v>393000</v>
          </cell>
          <cell r="AG2636" t="str">
            <v>DDP SZ</v>
          </cell>
        </row>
        <row r="2637">
          <cell r="C2637" t="str">
            <v>C49SZX20250039EC</v>
          </cell>
          <cell r="Y2637">
            <v>980000</v>
          </cell>
          <cell r="AG2637" t="str">
            <v>DDP ZH</v>
          </cell>
        </row>
        <row r="2638">
          <cell r="C2638" t="str">
            <v>C49SZX20250039EC</v>
          </cell>
          <cell r="Y2638">
            <v>980000</v>
          </cell>
          <cell r="AG2638" t="str">
            <v>DDP ZH</v>
          </cell>
        </row>
        <row r="2639">
          <cell r="C2639" t="str">
            <v>C49SZX20250039EC</v>
          </cell>
          <cell r="Y2639">
            <v>980000</v>
          </cell>
          <cell r="AG2639" t="str">
            <v>DDP ZH</v>
          </cell>
        </row>
        <row r="2640">
          <cell r="C2640" t="str">
            <v>C49SZX20250039EC</v>
          </cell>
          <cell r="Y2640">
            <v>900000</v>
          </cell>
          <cell r="AG2640" t="str">
            <v>DDP ZH</v>
          </cell>
        </row>
        <row r="2641">
          <cell r="C2641" t="str">
            <v>C49SZX20250039EC</v>
          </cell>
          <cell r="Y2641">
            <v>680000</v>
          </cell>
          <cell r="AG2641" t="str">
            <v>DDP ZH</v>
          </cell>
        </row>
        <row r="2642">
          <cell r="C2642" t="str">
            <v>C49SZX20250039EC</v>
          </cell>
          <cell r="Y2642">
            <v>680000</v>
          </cell>
          <cell r="AG2642" t="str">
            <v>DDP ZH</v>
          </cell>
        </row>
        <row r="2643">
          <cell r="C2643" t="str">
            <v>C49SZX20250031JY</v>
          </cell>
          <cell r="Y2643">
            <v>386000</v>
          </cell>
          <cell r="AG2643" t="str">
            <v>DDP YJ</v>
          </cell>
        </row>
        <row r="2644">
          <cell r="C2644" t="str">
            <v>C49SZX20250041SS</v>
          </cell>
          <cell r="Y2644">
            <v>410000</v>
          </cell>
          <cell r="AG2644" t="str">
            <v>DDP SZ</v>
          </cell>
        </row>
        <row r="2645">
          <cell r="C2645" t="str">
            <v>C49SZX20250040SX</v>
          </cell>
          <cell r="Y2645">
            <v>393000</v>
          </cell>
          <cell r="AG2645" t="str">
            <v>DDP SZ</v>
          </cell>
        </row>
        <row r="2646">
          <cell r="C2646" t="str">
            <v>C49SZX20250040SX</v>
          </cell>
          <cell r="Y2646">
            <v>393000</v>
          </cell>
          <cell r="AG2646" t="str">
            <v>DDP SZ</v>
          </cell>
        </row>
        <row r="2648">
          <cell r="C2648"/>
        </row>
      </sheetData>
      <sheetData sheetId="2"/>
      <sheetData sheetId="3"/>
      <sheetData sheetId="4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U4001" totalsRowShown="0" headerRowDxfId="83" dataDxfId="81" headerRowBorderDxfId="82" tableBorderDxfId="80">
  <autoFilter ref="A1:AU4001" xr:uid="{A45583E2-F1E3-414A-85B7-FCF03CE7C6FC}"/>
  <tableColumns count="47">
    <tableColumn id="1" xr3:uid="{AAE9CE7A-6EE5-684B-BD8B-6FB306BD4AA2}" name="FY_Contract" dataDxfId="79"/>
    <tableColumn id="2" xr3:uid="{6DD04691-AC56-2D44-8010-202EFF160852}" name="Contract_Yr" dataDxfId="78"/>
    <tableColumn id="3" xr3:uid="{5DA8E0A0-39FB-BB4F-8D7D-511A2970B9E7}" name="Contract_Month" dataDxfId="77"/>
    <tableColumn id="41" xr3:uid="{2ACA8F28-14CE-5F4D-B426-8592D3E37B68}" name="FQ(Contract)" dataDxfId="76"/>
    <tableColumn id="4" xr3:uid="{EAA0CFF9-B844-6E4F-AE8E-FDFAF111D1EA}" name="FY_INV" dataDxfId="75"/>
    <tableColumn id="5" xr3:uid="{1925BE00-6C62-5C40-8C03-E61BE8CBFBDA}" name="Inv_Yr" dataDxfId="74"/>
    <tableColumn id="6" xr3:uid="{CE663C22-ACEB-1F44-89EA-16CBA3F75EE8}" name="Inv_Month" dataDxfId="73"/>
    <tableColumn id="7" xr3:uid="{FA7DE3F2-58FD-5A4B-98EA-C85A23C795DD}" name="Contract Cancelled_x000a_Month(due to YAMAHA delivery)" dataDxfId="72"/>
    <tableColumn id="8" xr3:uid="{E9D14EAF-764F-7948-AA3A-467F3CA849CA}" name="FQ(Invoice)" dataDxfId="71"/>
    <tableColumn id="9" xr3:uid="{80BEA84F-85F1-EF45-B44A-E7A29335712A}" name="Contract_No." dataDxfId="70"/>
    <tableColumn id="10" xr3:uid="{1A61F2DF-64BD-CE4F-9A6D-6D912C9FCD60}" name="Customer_Name" dataDxfId="69"/>
    <tableColumn id="42" xr3:uid="{CEBF68FB-82CA-C241-B227-C6C1FCCABFE1}" name="Ordered_Items" dataDxfId="68"/>
    <tableColumn id="12" xr3:uid="{58A21035-FFFC-FE4D-932C-573A25109147}" name="BRAND" dataDxfId="67"/>
    <tableColumn id="13" xr3:uid="{0BD97201-BE7C-5947-A031-9B9E32363AEC}" name="Item Qty" dataDxfId="66"/>
    <tableColumn id="14" xr3:uid="{CD8B0CF5-AC6D-9C44-823D-894FA3996830}" name="QTY(Feeder/ Nozzle/Accessories)" dataDxfId="65"/>
    <tableColumn id="15" xr3:uid="{D596FB67-9716-E34E-83F3-E9B087FC9D78}" name="Product_Type" dataDxfId="64"/>
    <tableColumn id="16" xr3:uid="{3755E707-C533-EB4B-B691-9D181F5F4D00}" name="New_Customer" dataDxfId="63"/>
    <tableColumn id="17" xr3:uid="{38980276-396A-2741-9309-A7FAC3105339}" name="COST_CENTRE" dataDxfId="62"/>
    <tableColumn id="18" xr3:uid="{D808C100-E07E-1043-B266-076B2B30BB2D}" name="Region" dataDxfId="61"/>
    <tableColumn id="19" xr3:uid="{0D51CAF2-B0C9-B347-8B82-CABB6DF0A0FF}" name="Location" dataDxfId="60"/>
    <tableColumn id="20" xr3:uid="{54FB57A7-B461-1742-9E6E-62E4E17CCB33}" name="Territeries" dataDxfId="59"/>
    <tableColumn id="21" xr3:uid="{32EA7D3E-9A57-1346-833B-BCC6DE2B9CDA}" name="Salesman" dataDxfId="58"/>
    <tableColumn id="22" xr3:uid="{2B115E8E-C749-874C-A1EA-00343DFA4914}" name="Curr" dataDxfId="57"/>
    <tableColumn id="23" xr3:uid="{C8303ADB-7A05-B644-A090-0C48B3042F89}" name="Contract Unit Price" dataDxfId="56"/>
    <tableColumn id="24" xr3:uid="{5BE49477-DF64-D049-96E2-6CAD890E2EA4}" name="VAT" dataDxfId="55"/>
    <tableColumn id="25" xr3:uid="{3D797418-8B29-A649-8BC4-E04C6619DE2E}" name="Signed Contract Amt" dataDxfId="54"/>
    <tableColumn id="26" xr3:uid="{476E64A9-124A-9548-85A7-6108450DFAAF}" name="Rate" dataDxfId="53"/>
    <tableColumn id="27" xr3:uid="{8FCA62EF-C920-A146-90F6-505F525E7A60}" name="Before tax Inv Amt (HKD)" dataDxfId="52"/>
    <tableColumn id="28" xr3:uid="{4EF416A5-534F-F543-AE13-B9B0B589096F}" name="G.P.  (HKD)" dataDxfId="51"/>
    <tableColumn id="29" xr3:uid="{BD20A655-677C-B84F-A51A-041C90BF7E67}" name="G.P. %" dataDxfId="50"/>
    <tableColumn id="30" xr3:uid="{242FB1B0-5A85-CD4B-A9E1-126C07CDA70F}" name="New Customer Qty" dataDxfId="49"/>
    <tableColumn id="31" xr3:uid="{58F4A1A1-47C9-1E43-8A95-625FF6547678}" name="New Customer Qty(Contract month)" dataDxfId="48"/>
    <tableColumn id="32" xr3:uid="{F3D4DEEC-53C2-6349-9CE2-E268DD946B2A}" name="Signed Contract Qty" dataDxfId="47"/>
    <tableColumn id="33" xr3:uid="{C8185536-B203-AA45-B0E4-36800B70926F}" name="Invoiced Contract Qty" dataDxfId="46"/>
    <tableColumn id="34" xr3:uid="{1EC37648-CC4C-C142-A616-BA9753252F28}" name="INVOICE  AMOUNT HKD of month" dataDxfId="45"/>
    <tableColumn id="35" xr3:uid="{5F4522B6-EAD9-F04E-A867-6287622DEAF3}" name="GP ( HKD) of month" dataDxfId="44"/>
    <tableColumn id="36" xr3:uid="{6AA1D995-9017-FB4E-A3AB-C846363DF78E}" name="GP%_of_month" dataDxfId="43"/>
    <tableColumn id="37" xr3:uid="{F4748927-DC9C-454F-8008-8C1DE3849D97}" name="INV NO." dataDxfId="42"/>
    <tableColumn id="38" xr3:uid="{B17BF2DE-1699-AC4A-ACB4-8EF428F40280}" name="ISSUED INV_x000a_AMOUNT_x000a_" dataDxfId="41"/>
    <tableColumn id="39" xr3:uid="{455EA308-FF47-914C-8AA3-88C9FDBB59F1}" name="S/N" dataDxfId="40"/>
    <tableColumn id="40" xr3:uid="{AF10112C-DE0C-CE4E-9895-A3798FA91332}" name="Remarks" dataDxfId="39"/>
    <tableColumn id="11" xr3:uid="{924118CF-3456-B642-A0DE-075C50629FEE}" name="INV YR&amp;MONTH" dataDxfId="38">
      <calculatedColumnFormula>IF(F2="","",F2&amp;G2)</calculatedColumnFormula>
    </tableColumn>
    <tableColumn id="43" xr3:uid="{EF9680DE-D49E-A147-8E74-0FBC400753FC}" name="INV YR&amp;MONTH&amp;CUR" dataDxfId="37">
      <calculatedColumnFormula>IF(W2="","",F2&amp;G2&amp;W2)</calculatedColumnFormula>
    </tableColumn>
    <tableColumn id="45" xr3:uid="{447CD2C3-FCAB-1146-B89C-8D8D9D128FC5}" name="BRAND_Details" dataDxfId="36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5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4">
      <calculatedColumnFormula>IF(ISNUMBER(AS2), IF(AS2&gt;=0, IF(AS2&lt;=3, "0-3 months", IF(AS2&lt;=6, "4-6 months", "&gt; 6 months"))), "")</calculatedColumnFormula>
    </tableColumn>
    <tableColumn id="47" xr3:uid="{411455AE-610B-4E92-95BE-9171833627DD}" name="Delivery_Terms" dataDxfId="33">
      <calculatedColumnFormula array="1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U1046276"/>
  <sheetViews>
    <sheetView tabSelected="1" zoomScale="70" zoomScaleNormal="70" workbookViewId="0">
      <pane ySplit="1" topLeftCell="A3939" activePane="bottomLeft" state="frozen"/>
      <selection activeCell="L1" sqref="L1"/>
      <selection pane="bottomLeft" activeCell="J1" sqref="J1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customWidth="1"/>
    <col min="22" max="22" width="12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  <col min="47" max="47" width="19.796875" style="15" bestFit="1" customWidth="1"/>
  </cols>
  <sheetData>
    <row r="1" spans="1:47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3428</v>
      </c>
      <c r="K1" s="141" t="s">
        <v>3426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3427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3743</v>
      </c>
      <c r="AA1" s="7" t="s">
        <v>23</v>
      </c>
      <c r="AB1" s="98" t="s">
        <v>24</v>
      </c>
      <c r="AC1" s="98" t="s">
        <v>25</v>
      </c>
      <c r="AD1" s="175" t="s">
        <v>26</v>
      </c>
      <c r="AE1" s="99" t="s">
        <v>27</v>
      </c>
      <c r="AF1" s="99" t="s">
        <v>28</v>
      </c>
      <c r="AG1" s="99" t="s">
        <v>29</v>
      </c>
      <c r="AH1" s="99" t="s">
        <v>30</v>
      </c>
      <c r="AI1" s="100" t="s">
        <v>31</v>
      </c>
      <c r="AJ1" s="100" t="s">
        <v>32</v>
      </c>
      <c r="AK1" s="101" t="s">
        <v>33</v>
      </c>
      <c r="AL1" s="9" t="s">
        <v>34</v>
      </c>
      <c r="AM1" s="10" t="s">
        <v>35</v>
      </c>
      <c r="AN1" s="10" t="s">
        <v>36</v>
      </c>
      <c r="AO1" s="11" t="s">
        <v>37</v>
      </c>
      <c r="AP1" s="101" t="s">
        <v>38</v>
      </c>
      <c r="AQ1" s="101" t="s">
        <v>39</v>
      </c>
      <c r="AR1" s="205" t="s">
        <v>3418</v>
      </c>
      <c r="AS1" s="144" t="s">
        <v>40</v>
      </c>
      <c r="AT1" s="145" t="s">
        <v>3419</v>
      </c>
      <c r="AU1" s="144" t="s">
        <v>3750</v>
      </c>
    </row>
    <row r="2" spans="1:47" s="12" customFormat="1">
      <c r="A2" s="33" t="s">
        <v>543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41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430</v>
      </c>
      <c r="K2" s="155" t="s">
        <v>431</v>
      </c>
      <c r="L2" s="17" t="s">
        <v>67</v>
      </c>
      <c r="M2" s="13" t="s">
        <v>60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68</v>
      </c>
      <c r="R2" s="13" t="s">
        <v>62</v>
      </c>
      <c r="S2" s="13" t="s">
        <v>50</v>
      </c>
      <c r="T2" s="13" t="s">
        <v>88</v>
      </c>
      <c r="U2" s="13" t="s">
        <v>70</v>
      </c>
      <c r="V2" s="13" t="s">
        <v>94</v>
      </c>
      <c r="W2" s="13" t="s">
        <v>64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432</v>
      </c>
      <c r="AM2" s="17">
        <v>2590000</v>
      </c>
      <c r="AN2" s="17" t="s">
        <v>433</v>
      </c>
      <c r="AO2" s="17" t="s">
        <v>434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  <c r="AU2" s="22" t="str" cm="1">
        <f t="array" ref="AU2">IFERROR(
    IF(ISNUMBER(SEARCH("DAP", INDEX('[1]Raw data'!$AG:$AG, MATCH(1, ('[1]Raw data'!$C:$C=J2) * ('[1]Raw data'!$Y:$Y=X2), 0)))), "DAP",
    IF(ISNUMBER(SEARCH("CIF", INDEX('[1]Raw data'!$AG:$AG, MATCH(1, ('[1]Raw data'!$C:$C=J2) * ('[1]Raw data'!$Y:$Y=X2), 0)))), "CIF",
    IF(ISNUMBER(SEARCH("DDP", INDEX('[1]Raw data'!$AG:$AG, MATCH(1, ('[1]Raw data'!$C:$C=J2) * ('[1]Raw data'!$Y:$Y=X2), 0)))), "DDP",
    INDEX('[1]Raw data'!$AG:$AG, MATCH(1, ('[1]Raw data'!$C:$C=J2) * ('[1]Raw data'!$Y:$Y=X2), 0))))),
"NA")</f>
        <v>NA</v>
      </c>
    </row>
    <row r="3" spans="1:47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41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735</v>
      </c>
      <c r="K3" s="155" t="s">
        <v>736</v>
      </c>
      <c r="L3" s="17" t="s">
        <v>77</v>
      </c>
      <c r="M3" s="13" t="s">
        <v>60</v>
      </c>
      <c r="N3" s="13">
        <v>1</v>
      </c>
      <c r="O3" s="13"/>
      <c r="P3" s="33" t="str">
        <f t="shared" si="2"/>
        <v>MAIN UNIT</v>
      </c>
      <c r="Q3" s="13" t="s">
        <v>68</v>
      </c>
      <c r="R3" s="13" t="s">
        <v>62</v>
      </c>
      <c r="S3" s="13" t="s">
        <v>49</v>
      </c>
      <c r="T3" s="13" t="s">
        <v>78</v>
      </c>
      <c r="U3" s="13" t="s">
        <v>79</v>
      </c>
      <c r="V3" s="13" t="s">
        <v>112</v>
      </c>
      <c r="W3" s="13" t="s">
        <v>737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  <c r="AU3" s="22" t="s">
        <v>3744</v>
      </c>
    </row>
    <row r="4" spans="1:47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47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821</v>
      </c>
      <c r="K4" s="155" t="s">
        <v>822</v>
      </c>
      <c r="L4" s="17" t="s">
        <v>67</v>
      </c>
      <c r="M4" s="13" t="s">
        <v>60</v>
      </c>
      <c r="N4" s="13">
        <v>1</v>
      </c>
      <c r="O4" s="13"/>
      <c r="P4" s="33" t="str">
        <f t="shared" si="2"/>
        <v>MAIN UNIT</v>
      </c>
      <c r="Q4" s="13" t="s">
        <v>68</v>
      </c>
      <c r="R4" s="13" t="s">
        <v>62</v>
      </c>
      <c r="S4" s="13" t="s">
        <v>49</v>
      </c>
      <c r="T4" s="13" t="s">
        <v>249</v>
      </c>
      <c r="U4" s="13" t="s">
        <v>79</v>
      </c>
      <c r="V4" s="13" t="s">
        <v>112</v>
      </c>
      <c r="W4" s="13" t="s">
        <v>64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  <c r="AU4" s="22" t="s">
        <v>3744</v>
      </c>
    </row>
    <row r="5" spans="1:47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47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821</v>
      </c>
      <c r="K5" s="155" t="s">
        <v>822</v>
      </c>
      <c r="L5" s="17" t="s">
        <v>92</v>
      </c>
      <c r="M5" s="13" t="s">
        <v>60</v>
      </c>
      <c r="N5" s="13">
        <v>1</v>
      </c>
      <c r="O5" s="13"/>
      <c r="P5" s="33" t="str">
        <f t="shared" si="2"/>
        <v>MAIN UNIT</v>
      </c>
      <c r="Q5" s="13" t="s">
        <v>68</v>
      </c>
      <c r="R5" s="13" t="s">
        <v>62</v>
      </c>
      <c r="S5" s="13" t="s">
        <v>49</v>
      </c>
      <c r="T5" s="13" t="s">
        <v>249</v>
      </c>
      <c r="U5" s="13" t="s">
        <v>79</v>
      </c>
      <c r="V5" s="13" t="s">
        <v>112</v>
      </c>
      <c r="W5" s="13" t="s">
        <v>64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  <c r="AU5" s="22" t="s">
        <v>3744</v>
      </c>
    </row>
    <row r="6" spans="1:47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41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137</v>
      </c>
      <c r="K6" s="155" t="s">
        <v>138</v>
      </c>
      <c r="L6" s="17" t="s">
        <v>92</v>
      </c>
      <c r="M6" s="13" t="s">
        <v>60</v>
      </c>
      <c r="N6" s="13">
        <v>1</v>
      </c>
      <c r="O6" s="13"/>
      <c r="P6" s="33" t="str">
        <f t="shared" si="2"/>
        <v>MAIN UNIT</v>
      </c>
      <c r="Q6" s="13" t="s">
        <v>68</v>
      </c>
      <c r="R6" s="13" t="s">
        <v>62</v>
      </c>
      <c r="S6" s="13" t="s">
        <v>49</v>
      </c>
      <c r="T6" s="13" t="s">
        <v>78</v>
      </c>
      <c r="U6" s="13" t="s">
        <v>79</v>
      </c>
      <c r="V6" s="13" t="s">
        <v>126</v>
      </c>
      <c r="W6" s="13" t="s">
        <v>109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  <c r="AU6" s="22" t="s">
        <v>3745</v>
      </c>
    </row>
    <row r="7" spans="1:47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56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137</v>
      </c>
      <c r="K7" s="155" t="s">
        <v>138</v>
      </c>
      <c r="L7" s="17" t="s">
        <v>77</v>
      </c>
      <c r="M7" s="13" t="s">
        <v>60</v>
      </c>
      <c r="N7" s="13">
        <v>2</v>
      </c>
      <c r="O7" s="13"/>
      <c r="P7" s="33" t="str">
        <f t="shared" si="2"/>
        <v>MAIN UNIT</v>
      </c>
      <c r="Q7" s="13" t="s">
        <v>68</v>
      </c>
      <c r="R7" s="13" t="s">
        <v>62</v>
      </c>
      <c r="S7" s="13" t="s">
        <v>49</v>
      </c>
      <c r="T7" s="13"/>
      <c r="U7" s="13" t="s">
        <v>79</v>
      </c>
      <c r="V7" s="13" t="s">
        <v>126</v>
      </c>
      <c r="W7" s="13" t="s">
        <v>109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  <c r="AU7" s="22" t="s">
        <v>3745</v>
      </c>
    </row>
    <row r="8" spans="1:47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56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152</v>
      </c>
      <c r="K8" s="155" t="s">
        <v>153</v>
      </c>
      <c r="L8" s="17" t="s">
        <v>77</v>
      </c>
      <c r="M8" s="13" t="s">
        <v>60</v>
      </c>
      <c r="N8" s="13">
        <v>1</v>
      </c>
      <c r="O8" s="13"/>
      <c r="P8" s="33" t="str">
        <f t="shared" si="2"/>
        <v>MAIN UNIT</v>
      </c>
      <c r="Q8" s="13" t="s">
        <v>68</v>
      </c>
      <c r="R8" s="13" t="s">
        <v>62</v>
      </c>
      <c r="S8" s="13" t="s">
        <v>49</v>
      </c>
      <c r="T8" s="13"/>
      <c r="U8" s="13"/>
      <c r="V8" s="13" t="s">
        <v>131</v>
      </c>
      <c r="W8" s="13" t="s">
        <v>109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  <c r="AU8" s="22">
        <v>0</v>
      </c>
    </row>
    <row r="9" spans="1:47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56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152</v>
      </c>
      <c r="K9" s="155" t="s">
        <v>153</v>
      </c>
      <c r="L9" s="17" t="s">
        <v>59</v>
      </c>
      <c r="M9" s="13" t="s">
        <v>60</v>
      </c>
      <c r="N9" s="13">
        <v>1</v>
      </c>
      <c r="O9" s="13"/>
      <c r="P9" s="33" t="str">
        <f t="shared" si="2"/>
        <v>MAIN UNIT</v>
      </c>
      <c r="Q9" s="13" t="s">
        <v>68</v>
      </c>
      <c r="R9" s="13" t="s">
        <v>62</v>
      </c>
      <c r="S9" s="13" t="s">
        <v>49</v>
      </c>
      <c r="T9" s="13"/>
      <c r="U9" s="13"/>
      <c r="V9" s="13" t="s">
        <v>131</v>
      </c>
      <c r="W9" s="13" t="s">
        <v>109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  <c r="AU9" s="22">
        <v>0</v>
      </c>
    </row>
    <row r="10" spans="1:47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41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340</v>
      </c>
      <c r="K10" s="155" t="s">
        <v>341</v>
      </c>
      <c r="L10" s="17" t="s">
        <v>77</v>
      </c>
      <c r="M10" s="13" t="s">
        <v>60</v>
      </c>
      <c r="N10" s="13">
        <v>1</v>
      </c>
      <c r="O10" s="13"/>
      <c r="P10" s="33" t="str">
        <f t="shared" si="2"/>
        <v>MAIN UNIT</v>
      </c>
      <c r="Q10" s="13" t="s">
        <v>61</v>
      </c>
      <c r="R10" s="13" t="s">
        <v>62</v>
      </c>
      <c r="S10" s="13" t="s">
        <v>49</v>
      </c>
      <c r="T10" s="13" t="s">
        <v>249</v>
      </c>
      <c r="U10" s="13" t="s">
        <v>79</v>
      </c>
      <c r="V10" s="13" t="s">
        <v>126</v>
      </c>
      <c r="W10" s="13" t="s">
        <v>109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  <c r="AU10" s="22" t="s">
        <v>3745</v>
      </c>
    </row>
    <row r="11" spans="1:47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47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541</v>
      </c>
      <c r="K11" s="155" t="s">
        <v>542</v>
      </c>
      <c r="L11" s="17" t="s">
        <v>77</v>
      </c>
      <c r="M11" s="13" t="s">
        <v>60</v>
      </c>
      <c r="N11" s="13">
        <v>1</v>
      </c>
      <c r="O11" s="13"/>
      <c r="P11" s="33" t="str">
        <f t="shared" si="2"/>
        <v>MAIN UNIT</v>
      </c>
      <c r="Q11" s="13" t="s">
        <v>61</v>
      </c>
      <c r="R11" s="13" t="s">
        <v>62</v>
      </c>
      <c r="S11" s="13" t="s">
        <v>49</v>
      </c>
      <c r="T11" s="13" t="s">
        <v>78</v>
      </c>
      <c r="U11" s="13" t="s">
        <v>79</v>
      </c>
      <c r="V11" s="13" t="s">
        <v>131</v>
      </c>
      <c r="W11" s="13" t="s">
        <v>109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543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  <c r="AU11" s="22" t="s">
        <v>3746</v>
      </c>
    </row>
    <row r="12" spans="1:47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41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558</v>
      </c>
      <c r="K12" s="155" t="s">
        <v>559</v>
      </c>
      <c r="L12" s="17" t="s">
        <v>92</v>
      </c>
      <c r="M12" s="13" t="s">
        <v>60</v>
      </c>
      <c r="N12" s="13">
        <v>5</v>
      </c>
      <c r="O12" s="13"/>
      <c r="P12" s="33" t="str">
        <f t="shared" si="2"/>
        <v>MAIN UNIT</v>
      </c>
      <c r="Q12" s="13" t="s">
        <v>61</v>
      </c>
      <c r="R12" s="13" t="s">
        <v>62</v>
      </c>
      <c r="S12" s="13" t="s">
        <v>49</v>
      </c>
      <c r="T12" s="13" t="s">
        <v>78</v>
      </c>
      <c r="U12" s="13" t="s">
        <v>79</v>
      </c>
      <c r="V12" s="13" t="s">
        <v>131</v>
      </c>
      <c r="W12" s="13" t="s">
        <v>109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  <c r="AU12" s="22" t="s">
        <v>3746</v>
      </c>
    </row>
    <row r="13" spans="1:47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41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558</v>
      </c>
      <c r="K13" s="155" t="s">
        <v>559</v>
      </c>
      <c r="L13" s="17" t="s">
        <v>67</v>
      </c>
      <c r="M13" s="13" t="s">
        <v>60</v>
      </c>
      <c r="N13" s="13">
        <v>2</v>
      </c>
      <c r="O13" s="13"/>
      <c r="P13" s="33" t="str">
        <f t="shared" si="2"/>
        <v>MAIN UNIT</v>
      </c>
      <c r="Q13" s="13" t="s">
        <v>61</v>
      </c>
      <c r="R13" s="13" t="s">
        <v>62</v>
      </c>
      <c r="S13" s="13" t="s">
        <v>49</v>
      </c>
      <c r="T13" s="13" t="s">
        <v>78</v>
      </c>
      <c r="U13" s="13" t="s">
        <v>79</v>
      </c>
      <c r="V13" s="13" t="s">
        <v>131</v>
      </c>
      <c r="W13" s="13" t="s">
        <v>109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  <c r="AU13" s="22" t="s">
        <v>3746</v>
      </c>
    </row>
    <row r="14" spans="1:47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185</v>
      </c>
      <c r="F14" s="13" t="s">
        <v>185</v>
      </c>
      <c r="G14" s="152" t="s">
        <v>185</v>
      </c>
      <c r="H14" s="155"/>
      <c r="I14" s="33" t="str">
        <f t="shared" si="1"/>
        <v>Cancel</v>
      </c>
      <c r="J14" s="186" t="s">
        <v>629</v>
      </c>
      <c r="K14" s="155" t="s">
        <v>630</v>
      </c>
      <c r="L14" s="17" t="s">
        <v>92</v>
      </c>
      <c r="M14" s="13" t="s">
        <v>60</v>
      </c>
      <c r="N14" s="13">
        <v>5</v>
      </c>
      <c r="O14" s="13"/>
      <c r="P14" s="33" t="str">
        <f t="shared" si="2"/>
        <v>MAIN UNIT</v>
      </c>
      <c r="Q14" s="13" t="s">
        <v>61</v>
      </c>
      <c r="R14" s="13" t="s">
        <v>62</v>
      </c>
      <c r="S14" s="13" t="s">
        <v>49</v>
      </c>
      <c r="T14" s="13" t="s">
        <v>78</v>
      </c>
      <c r="U14" s="13" t="s">
        <v>79</v>
      </c>
      <c r="V14" s="13" t="s">
        <v>131</v>
      </c>
      <c r="W14" s="13" t="s">
        <v>109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499582152.5142017</v>
      </c>
      <c r="AJ14" s="19">
        <f t="shared" si="8"/>
        <v>59520528.679470733</v>
      </c>
      <c r="AK14" s="20">
        <f t="shared" si="9"/>
        <v>0.11914062257814291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  <c r="AU14" s="22" t="s">
        <v>3746</v>
      </c>
    </row>
    <row r="15" spans="1:47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185</v>
      </c>
      <c r="F15" s="13" t="s">
        <v>185</v>
      </c>
      <c r="G15" s="152" t="s">
        <v>185</v>
      </c>
      <c r="H15" s="155"/>
      <c r="I15" s="33" t="str">
        <f t="shared" si="1"/>
        <v>Cancel</v>
      </c>
      <c r="J15" s="186" t="s">
        <v>629</v>
      </c>
      <c r="K15" s="155" t="s">
        <v>630</v>
      </c>
      <c r="L15" s="17" t="s">
        <v>67</v>
      </c>
      <c r="M15" s="13" t="s">
        <v>60</v>
      </c>
      <c r="N15" s="13">
        <v>2</v>
      </c>
      <c r="O15" s="13"/>
      <c r="P15" s="33" t="str">
        <f t="shared" si="2"/>
        <v>MAIN UNIT</v>
      </c>
      <c r="Q15" s="13" t="s">
        <v>61</v>
      </c>
      <c r="R15" s="13" t="s">
        <v>62</v>
      </c>
      <c r="S15" s="13" t="s">
        <v>49</v>
      </c>
      <c r="T15" s="13" t="s">
        <v>78</v>
      </c>
      <c r="U15" s="13" t="s">
        <v>79</v>
      </c>
      <c r="V15" s="13" t="s">
        <v>131</v>
      </c>
      <c r="W15" s="13" t="s">
        <v>109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499582152.5142017</v>
      </c>
      <c r="AJ15" s="19">
        <f t="shared" si="8"/>
        <v>59520528.679470733</v>
      </c>
      <c r="AK15" s="20">
        <f t="shared" si="9"/>
        <v>0.11914062257814291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  <c r="AU15" s="22" t="s">
        <v>3746</v>
      </c>
    </row>
    <row r="16" spans="1:47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48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559</v>
      </c>
      <c r="L16" s="17" t="s">
        <v>2629</v>
      </c>
      <c r="M16" s="13" t="s">
        <v>2630</v>
      </c>
      <c r="N16" s="13">
        <v>0</v>
      </c>
      <c r="O16" s="13"/>
      <c r="P16" s="33" t="str">
        <f t="shared" si="2"/>
        <v>C66 SERVICE/OTHERS</v>
      </c>
      <c r="Q16" s="13" t="s">
        <v>61</v>
      </c>
      <c r="R16" s="13" t="s">
        <v>62</v>
      </c>
      <c r="S16" s="13" t="s">
        <v>49</v>
      </c>
      <c r="T16" s="13" t="s">
        <v>78</v>
      </c>
      <c r="U16" s="13" t="s">
        <v>79</v>
      </c>
      <c r="V16" s="13" t="s">
        <v>131</v>
      </c>
      <c r="W16" s="13" t="s">
        <v>64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  <c r="AU16" s="22" t="s">
        <v>3240</v>
      </c>
    </row>
    <row r="17" spans="1:47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47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899</v>
      </c>
      <c r="K17" s="155" t="s">
        <v>900</v>
      </c>
      <c r="L17" s="17" t="s">
        <v>92</v>
      </c>
      <c r="M17" s="13" t="s">
        <v>60</v>
      </c>
      <c r="N17" s="13">
        <v>1</v>
      </c>
      <c r="O17" s="13"/>
      <c r="P17" s="33" t="str">
        <f t="shared" si="2"/>
        <v>MAIN UNIT</v>
      </c>
      <c r="Q17" s="13" t="s">
        <v>61</v>
      </c>
      <c r="R17" s="13" t="s">
        <v>62</v>
      </c>
      <c r="S17" s="13" t="s">
        <v>49</v>
      </c>
      <c r="T17" s="13" t="s">
        <v>78</v>
      </c>
      <c r="U17" s="13" t="s">
        <v>79</v>
      </c>
      <c r="V17" s="13" t="s">
        <v>134</v>
      </c>
      <c r="W17" s="13" t="s">
        <v>901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  <c r="AU17" s="22" t="s">
        <v>3746</v>
      </c>
    </row>
    <row r="18" spans="1:47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47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899</v>
      </c>
      <c r="K18" s="155" t="s">
        <v>900</v>
      </c>
      <c r="L18" s="17" t="s">
        <v>92</v>
      </c>
      <c r="M18" s="13" t="s">
        <v>60</v>
      </c>
      <c r="N18" s="13">
        <v>1</v>
      </c>
      <c r="O18" s="13"/>
      <c r="P18" s="33" t="str">
        <f t="shared" si="2"/>
        <v>MAIN UNIT</v>
      </c>
      <c r="Q18" s="13" t="s">
        <v>61</v>
      </c>
      <c r="R18" s="13" t="s">
        <v>62</v>
      </c>
      <c r="S18" s="13" t="s">
        <v>49</v>
      </c>
      <c r="T18" s="13" t="s">
        <v>78</v>
      </c>
      <c r="U18" s="13" t="s">
        <v>79</v>
      </c>
      <c r="V18" s="13" t="s">
        <v>134</v>
      </c>
      <c r="W18" s="13" t="s">
        <v>901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  <c r="AU18" s="22" t="s">
        <v>3746</v>
      </c>
    </row>
    <row r="19" spans="1:47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41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2776</v>
      </c>
      <c r="K19" s="155" t="s">
        <v>2777</v>
      </c>
      <c r="L19" s="17" t="s">
        <v>2778</v>
      </c>
      <c r="M19" s="13" t="s">
        <v>2607</v>
      </c>
      <c r="N19" s="13">
        <v>1</v>
      </c>
      <c r="O19" s="13"/>
      <c r="P19" s="33" t="str">
        <f t="shared" si="2"/>
        <v>MAIN UNIT</v>
      </c>
      <c r="Q19" s="13" t="s">
        <v>68</v>
      </c>
      <c r="R19" s="13" t="s">
        <v>2055</v>
      </c>
      <c r="S19" s="13" t="s">
        <v>49</v>
      </c>
      <c r="T19" s="13" t="s">
        <v>78</v>
      </c>
      <c r="U19" s="13" t="s">
        <v>79</v>
      </c>
      <c r="V19" s="13" t="s">
        <v>2779</v>
      </c>
      <c r="W19" s="13" t="s">
        <v>64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  <c r="AU19" s="22" t="s">
        <v>3744</v>
      </c>
    </row>
    <row r="20" spans="1:47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41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477</v>
      </c>
      <c r="K20" s="155" t="s">
        <v>478</v>
      </c>
      <c r="L20" s="17" t="s">
        <v>67</v>
      </c>
      <c r="M20" s="13" t="s">
        <v>60</v>
      </c>
      <c r="N20" s="13">
        <v>1</v>
      </c>
      <c r="O20" s="13"/>
      <c r="P20" s="33" t="str">
        <f t="shared" si="2"/>
        <v>MAIN UNIT</v>
      </c>
      <c r="Q20" s="13" t="s">
        <v>61</v>
      </c>
      <c r="R20" s="13" t="s">
        <v>62</v>
      </c>
      <c r="S20" s="13" t="s">
        <v>49</v>
      </c>
      <c r="T20" s="13" t="s">
        <v>479</v>
      </c>
      <c r="U20" s="13" t="s">
        <v>79</v>
      </c>
      <c r="V20" s="13" t="s">
        <v>131</v>
      </c>
      <c r="W20" s="13" t="s">
        <v>64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480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  <c r="AU20" s="22" t="s">
        <v>3751</v>
      </c>
    </row>
    <row r="21" spans="1:47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41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321</v>
      </c>
      <c r="K21" s="155" t="s">
        <v>322</v>
      </c>
      <c r="L21" s="17" t="s">
        <v>92</v>
      </c>
      <c r="M21" s="13" t="s">
        <v>60</v>
      </c>
      <c r="N21" s="13">
        <v>1</v>
      </c>
      <c r="O21" s="13"/>
      <c r="P21" s="33" t="str">
        <f t="shared" si="2"/>
        <v>MAIN UNIT</v>
      </c>
      <c r="Q21" s="13" t="s">
        <v>61</v>
      </c>
      <c r="R21" s="13" t="s">
        <v>62</v>
      </c>
      <c r="S21" s="13" t="s">
        <v>49</v>
      </c>
      <c r="T21" s="13"/>
      <c r="U21" s="13" t="s">
        <v>79</v>
      </c>
      <c r="V21" s="13" t="s">
        <v>63</v>
      </c>
      <c r="W21" s="13" t="s">
        <v>109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  <c r="AU21" s="22" t="s">
        <v>3746</v>
      </c>
    </row>
    <row r="22" spans="1:47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41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336</v>
      </c>
      <c r="K22" s="155" t="s">
        <v>337</v>
      </c>
      <c r="L22" s="17" t="s">
        <v>77</v>
      </c>
      <c r="M22" s="13" t="s">
        <v>60</v>
      </c>
      <c r="N22" s="13">
        <v>1</v>
      </c>
      <c r="O22" s="13"/>
      <c r="P22" s="33" t="str">
        <f t="shared" si="2"/>
        <v>MAIN UNIT</v>
      </c>
      <c r="Q22" s="13" t="s">
        <v>68</v>
      </c>
      <c r="R22" s="13" t="s">
        <v>62</v>
      </c>
      <c r="S22" s="13" t="s">
        <v>49</v>
      </c>
      <c r="T22" s="13" t="s">
        <v>249</v>
      </c>
      <c r="U22" s="13" t="s">
        <v>79</v>
      </c>
      <c r="V22" s="13" t="s">
        <v>308</v>
      </c>
      <c r="W22" s="13" t="s">
        <v>109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  <c r="AU22" s="22" t="s">
        <v>3745</v>
      </c>
    </row>
    <row r="23" spans="1:47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41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2795</v>
      </c>
      <c r="K23" s="155" t="s">
        <v>2796</v>
      </c>
      <c r="L23" s="17" t="s">
        <v>2788</v>
      </c>
      <c r="M23" s="13" t="s">
        <v>2607</v>
      </c>
      <c r="N23" s="13">
        <v>1</v>
      </c>
      <c r="O23" s="13"/>
      <c r="P23" s="33" t="str">
        <f t="shared" si="2"/>
        <v>MAIN UNIT</v>
      </c>
      <c r="Q23" s="13" t="s">
        <v>68</v>
      </c>
      <c r="R23" s="13" t="s">
        <v>2055</v>
      </c>
      <c r="S23" s="13" t="s">
        <v>49</v>
      </c>
      <c r="T23" s="13" t="s">
        <v>78</v>
      </c>
      <c r="U23" s="13" t="s">
        <v>79</v>
      </c>
      <c r="V23" s="13" t="s">
        <v>2779</v>
      </c>
      <c r="W23" s="13" t="s">
        <v>901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  <c r="AU23" s="22" t="s">
        <v>3746</v>
      </c>
    </row>
    <row r="24" spans="1:47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41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171</v>
      </c>
      <c r="K24" s="155" t="s">
        <v>172</v>
      </c>
      <c r="L24" s="17" t="s">
        <v>77</v>
      </c>
      <c r="M24" s="13" t="s">
        <v>60</v>
      </c>
      <c r="N24" s="13">
        <v>3</v>
      </c>
      <c r="O24" s="13"/>
      <c r="P24" s="33" t="str">
        <f t="shared" si="2"/>
        <v>MAIN UNIT</v>
      </c>
      <c r="Q24" s="13" t="s">
        <v>61</v>
      </c>
      <c r="R24" s="13" t="s">
        <v>62</v>
      </c>
      <c r="S24" s="13" t="s">
        <v>49</v>
      </c>
      <c r="T24" s="13" t="s">
        <v>78</v>
      </c>
      <c r="U24" s="13" t="s">
        <v>79</v>
      </c>
      <c r="V24" s="13" t="s">
        <v>80</v>
      </c>
      <c r="W24" s="13" t="s">
        <v>109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  <c r="AU24" s="22" t="s">
        <v>3746</v>
      </c>
    </row>
    <row r="25" spans="1:47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41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173</v>
      </c>
      <c r="K25" s="155" t="s">
        <v>172</v>
      </c>
      <c r="L25" s="17" t="s">
        <v>100</v>
      </c>
      <c r="M25" s="13" t="s">
        <v>60</v>
      </c>
      <c r="N25" s="13">
        <v>3</v>
      </c>
      <c r="O25" s="13"/>
      <c r="P25" s="33" t="str">
        <f t="shared" si="2"/>
        <v>MAIN UNIT</v>
      </c>
      <c r="Q25" s="13" t="s">
        <v>61</v>
      </c>
      <c r="R25" s="13" t="s">
        <v>62</v>
      </c>
      <c r="S25" s="13" t="s">
        <v>49</v>
      </c>
      <c r="T25" s="13" t="s">
        <v>78</v>
      </c>
      <c r="U25" s="13" t="s">
        <v>79</v>
      </c>
      <c r="V25" s="13" t="s">
        <v>80</v>
      </c>
      <c r="W25" s="13" t="s">
        <v>109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  <c r="AU25" s="22" t="s">
        <v>3746</v>
      </c>
    </row>
    <row r="26" spans="1:47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41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182</v>
      </c>
      <c r="K26" s="155" t="s">
        <v>172</v>
      </c>
      <c r="L26" s="17" t="s">
        <v>77</v>
      </c>
      <c r="M26" s="13" t="s">
        <v>60</v>
      </c>
      <c r="N26" s="13">
        <v>3</v>
      </c>
      <c r="O26" s="13"/>
      <c r="P26" s="33" t="str">
        <f t="shared" si="2"/>
        <v>MAIN UNIT</v>
      </c>
      <c r="Q26" s="13" t="s">
        <v>68</v>
      </c>
      <c r="R26" s="13" t="s">
        <v>62</v>
      </c>
      <c r="S26" s="13" t="s">
        <v>49</v>
      </c>
      <c r="T26" s="13" t="s">
        <v>78</v>
      </c>
      <c r="U26" s="13" t="s">
        <v>79</v>
      </c>
      <c r="V26" s="13" t="s">
        <v>80</v>
      </c>
      <c r="W26" s="13" t="s">
        <v>109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  <c r="AU26" s="22">
        <v>0</v>
      </c>
    </row>
    <row r="27" spans="1:47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41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182</v>
      </c>
      <c r="K27" s="155" t="s">
        <v>172</v>
      </c>
      <c r="L27" s="17" t="s">
        <v>100</v>
      </c>
      <c r="M27" s="13" t="s">
        <v>60</v>
      </c>
      <c r="N27" s="13">
        <v>3</v>
      </c>
      <c r="O27" s="13"/>
      <c r="P27" s="33" t="str">
        <f t="shared" si="2"/>
        <v>MAIN UNIT</v>
      </c>
      <c r="Q27" s="13" t="s">
        <v>68</v>
      </c>
      <c r="R27" s="13" t="s">
        <v>62</v>
      </c>
      <c r="S27" s="13" t="s">
        <v>49</v>
      </c>
      <c r="T27" s="13" t="s">
        <v>78</v>
      </c>
      <c r="U27" s="13" t="s">
        <v>79</v>
      </c>
      <c r="V27" s="13" t="s">
        <v>80</v>
      </c>
      <c r="W27" s="13" t="s">
        <v>109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  <c r="AU27" s="22">
        <v>0</v>
      </c>
    </row>
    <row r="28" spans="1:47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41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469</v>
      </c>
      <c r="K28" s="155" t="s">
        <v>470</v>
      </c>
      <c r="L28" s="17" t="s">
        <v>67</v>
      </c>
      <c r="M28" s="13" t="s">
        <v>60</v>
      </c>
      <c r="N28" s="13">
        <v>1</v>
      </c>
      <c r="O28" s="13"/>
      <c r="P28" s="33" t="str">
        <f t="shared" si="2"/>
        <v>MAIN UNIT</v>
      </c>
      <c r="Q28" s="13" t="s">
        <v>68</v>
      </c>
      <c r="R28" s="13" t="s">
        <v>62</v>
      </c>
      <c r="S28" s="13" t="s">
        <v>49</v>
      </c>
      <c r="T28" s="13" t="s">
        <v>78</v>
      </c>
      <c r="U28" s="13" t="s">
        <v>79</v>
      </c>
      <c r="V28" s="13" t="s">
        <v>471</v>
      </c>
      <c r="W28" s="13" t="s">
        <v>109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  <c r="AU28" s="22" t="s">
        <v>3745</v>
      </c>
    </row>
    <row r="29" spans="1:47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185</v>
      </c>
      <c r="F29" s="13" t="s">
        <v>185</v>
      </c>
      <c r="G29" s="152" t="s">
        <v>185</v>
      </c>
      <c r="H29" s="155"/>
      <c r="I29" s="33" t="str">
        <f t="shared" si="1"/>
        <v>Cancel</v>
      </c>
      <c r="J29" s="186" t="s">
        <v>628</v>
      </c>
      <c r="K29" s="155" t="s">
        <v>470</v>
      </c>
      <c r="L29" s="17" t="s">
        <v>67</v>
      </c>
      <c r="M29" s="13" t="s">
        <v>60</v>
      </c>
      <c r="N29" s="13">
        <v>4</v>
      </c>
      <c r="O29" s="13"/>
      <c r="P29" s="33" t="str">
        <f t="shared" si="2"/>
        <v>MAIN UNIT</v>
      </c>
      <c r="Q29" s="13" t="s">
        <v>68</v>
      </c>
      <c r="R29" s="13" t="s">
        <v>62</v>
      </c>
      <c r="S29" s="13" t="s">
        <v>49</v>
      </c>
      <c r="T29" s="13" t="s">
        <v>78</v>
      </c>
      <c r="U29" s="13" t="s">
        <v>79</v>
      </c>
      <c r="V29" s="13" t="s">
        <v>471</v>
      </c>
      <c r="W29" s="13" t="s">
        <v>109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499582152.5142017</v>
      </c>
      <c r="AJ29" s="19">
        <f t="shared" si="8"/>
        <v>59520528.679470733</v>
      </c>
      <c r="AK29" s="20">
        <f t="shared" si="9"/>
        <v>0.11914062257814291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  <c r="AU29" s="22" t="s">
        <v>3745</v>
      </c>
    </row>
    <row r="30" spans="1:47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47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928</v>
      </c>
      <c r="K30" s="155" t="s">
        <v>929</v>
      </c>
      <c r="L30" s="17" t="s">
        <v>92</v>
      </c>
      <c r="M30" s="13" t="s">
        <v>60</v>
      </c>
      <c r="N30" s="13">
        <v>1</v>
      </c>
      <c r="O30" s="13"/>
      <c r="P30" s="33" t="str">
        <f t="shared" si="2"/>
        <v>MAIN UNIT</v>
      </c>
      <c r="Q30" s="13" t="s">
        <v>61</v>
      </c>
      <c r="R30" s="13" t="s">
        <v>62</v>
      </c>
      <c r="S30" s="13" t="s">
        <v>49</v>
      </c>
      <c r="T30" s="13" t="s">
        <v>78</v>
      </c>
      <c r="U30" s="13" t="s">
        <v>79</v>
      </c>
      <c r="V30" s="13" t="s">
        <v>131</v>
      </c>
      <c r="W30" s="13" t="s">
        <v>64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  <c r="AU30" s="22" t="s">
        <v>3744</v>
      </c>
    </row>
    <row r="31" spans="1:47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47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928</v>
      </c>
      <c r="K31" s="155" t="s">
        <v>929</v>
      </c>
      <c r="L31" s="17" t="s">
        <v>92</v>
      </c>
      <c r="M31" s="13" t="s">
        <v>60</v>
      </c>
      <c r="N31" s="13">
        <v>1</v>
      </c>
      <c r="O31" s="13"/>
      <c r="P31" s="33" t="str">
        <f t="shared" si="2"/>
        <v>MAIN UNIT</v>
      </c>
      <c r="Q31" s="13" t="s">
        <v>61</v>
      </c>
      <c r="R31" s="13" t="s">
        <v>62</v>
      </c>
      <c r="S31" s="13" t="s">
        <v>49</v>
      </c>
      <c r="T31" s="13" t="s">
        <v>78</v>
      </c>
      <c r="U31" s="13" t="s">
        <v>79</v>
      </c>
      <c r="V31" s="13" t="s">
        <v>131</v>
      </c>
      <c r="W31" s="13" t="s">
        <v>64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  <c r="AU31" s="22" t="s">
        <v>3744</v>
      </c>
    </row>
    <row r="32" spans="1:47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41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132</v>
      </c>
      <c r="K32" s="155" t="s">
        <v>133</v>
      </c>
      <c r="L32" s="17" t="s">
        <v>77</v>
      </c>
      <c r="M32" s="13" t="s">
        <v>60</v>
      </c>
      <c r="N32" s="13">
        <v>1</v>
      </c>
      <c r="O32" s="13"/>
      <c r="P32" s="33" t="str">
        <f t="shared" si="2"/>
        <v>MAIN UNIT</v>
      </c>
      <c r="Q32" s="13" t="s">
        <v>68</v>
      </c>
      <c r="R32" s="13" t="s">
        <v>62</v>
      </c>
      <c r="S32" s="13" t="s">
        <v>49</v>
      </c>
      <c r="T32" s="13" t="s">
        <v>78</v>
      </c>
      <c r="U32" s="13" t="s">
        <v>79</v>
      </c>
      <c r="V32" s="13" t="s">
        <v>134</v>
      </c>
      <c r="W32" s="13" t="s">
        <v>109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  <c r="AU32" s="22" t="s">
        <v>3745</v>
      </c>
    </row>
    <row r="33" spans="1:47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41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110</v>
      </c>
      <c r="K33" s="155" t="s">
        <v>111</v>
      </c>
      <c r="L33" s="17" t="s">
        <v>92</v>
      </c>
      <c r="M33" s="13" t="s">
        <v>60</v>
      </c>
      <c r="N33" s="13">
        <v>1</v>
      </c>
      <c r="O33" s="13"/>
      <c r="P33" s="33" t="str">
        <f t="shared" si="2"/>
        <v>MAIN UNIT</v>
      </c>
      <c r="Q33" s="13" t="s">
        <v>61</v>
      </c>
      <c r="R33" s="13" t="s">
        <v>62</v>
      </c>
      <c r="S33" s="13" t="s">
        <v>49</v>
      </c>
      <c r="T33" s="13" t="s">
        <v>78</v>
      </c>
      <c r="U33" s="13" t="s">
        <v>79</v>
      </c>
      <c r="V33" s="13" t="s">
        <v>112</v>
      </c>
      <c r="W33" s="13" t="s">
        <v>109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  <c r="AU33" s="22" t="s">
        <v>3745</v>
      </c>
    </row>
    <row r="34" spans="1:47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41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462</v>
      </c>
      <c r="K34" s="155" t="s">
        <v>463</v>
      </c>
      <c r="L34" s="17" t="s">
        <v>67</v>
      </c>
      <c r="M34" s="13" t="s">
        <v>60</v>
      </c>
      <c r="N34" s="13">
        <v>3</v>
      </c>
      <c r="O34" s="13"/>
      <c r="P34" s="33" t="str">
        <f t="shared" si="2"/>
        <v>MAIN UNIT</v>
      </c>
      <c r="Q34" s="13" t="s">
        <v>68</v>
      </c>
      <c r="R34" s="13" t="s">
        <v>62</v>
      </c>
      <c r="S34" s="13" t="s">
        <v>49</v>
      </c>
      <c r="T34" s="13" t="s">
        <v>464</v>
      </c>
      <c r="U34" s="13" t="s">
        <v>79</v>
      </c>
      <c r="V34" s="13" t="s">
        <v>131</v>
      </c>
      <c r="W34" s="13" t="s">
        <v>109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  <c r="AU34" s="22" t="s">
        <v>3745</v>
      </c>
    </row>
    <row r="35" spans="1:47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41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462</v>
      </c>
      <c r="K35" s="155" t="s">
        <v>463</v>
      </c>
      <c r="L35" s="17" t="s">
        <v>67</v>
      </c>
      <c r="M35" s="13" t="s">
        <v>60</v>
      </c>
      <c r="N35" s="13">
        <v>2</v>
      </c>
      <c r="O35" s="13"/>
      <c r="P35" s="33" t="str">
        <f t="shared" si="2"/>
        <v>MAIN UNIT</v>
      </c>
      <c r="Q35" s="13" t="s">
        <v>68</v>
      </c>
      <c r="R35" s="13" t="s">
        <v>62</v>
      </c>
      <c r="S35" s="13" t="s">
        <v>49</v>
      </c>
      <c r="T35" s="13" t="s">
        <v>464</v>
      </c>
      <c r="U35" s="13" t="s">
        <v>79</v>
      </c>
      <c r="V35" s="13" t="s">
        <v>131</v>
      </c>
      <c r="W35" s="13" t="s">
        <v>109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  <c r="AU35" s="22" t="s">
        <v>3745</v>
      </c>
    </row>
    <row r="36" spans="1:47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41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333</v>
      </c>
      <c r="K36" s="155" t="s">
        <v>334</v>
      </c>
      <c r="L36" s="17" t="s">
        <v>67</v>
      </c>
      <c r="M36" s="13" t="s">
        <v>60</v>
      </c>
      <c r="N36" s="13">
        <v>1</v>
      </c>
      <c r="O36" s="13"/>
      <c r="P36" s="33" t="str">
        <f t="shared" si="2"/>
        <v>MAIN UNIT</v>
      </c>
      <c r="Q36" s="13" t="s">
        <v>68</v>
      </c>
      <c r="R36" s="13" t="s">
        <v>62</v>
      </c>
      <c r="S36" s="13" t="s">
        <v>49</v>
      </c>
      <c r="T36" s="13" t="s">
        <v>249</v>
      </c>
      <c r="U36" s="13" t="s">
        <v>79</v>
      </c>
      <c r="V36" s="13" t="s">
        <v>126</v>
      </c>
      <c r="W36" s="13" t="s">
        <v>109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335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  <c r="AU36" s="22" t="s">
        <v>3745</v>
      </c>
    </row>
    <row r="37" spans="1:47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41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333</v>
      </c>
      <c r="K37" s="155" t="s">
        <v>334</v>
      </c>
      <c r="L37" s="17" t="s">
        <v>77</v>
      </c>
      <c r="M37" s="13" t="s">
        <v>60</v>
      </c>
      <c r="N37" s="13">
        <v>1</v>
      </c>
      <c r="O37" s="13"/>
      <c r="P37" s="33" t="str">
        <f t="shared" si="2"/>
        <v>MAIN UNIT</v>
      </c>
      <c r="Q37" s="13" t="s">
        <v>68</v>
      </c>
      <c r="R37" s="13" t="s">
        <v>62</v>
      </c>
      <c r="S37" s="13" t="s">
        <v>49</v>
      </c>
      <c r="T37" s="13" t="s">
        <v>249</v>
      </c>
      <c r="U37" s="13" t="s">
        <v>79</v>
      </c>
      <c r="V37" s="13" t="s">
        <v>126</v>
      </c>
      <c r="W37" s="13" t="s">
        <v>109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  <c r="AU37" s="22" t="s">
        <v>3745</v>
      </c>
    </row>
    <row r="38" spans="1:47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41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393</v>
      </c>
      <c r="K38" s="155" t="s">
        <v>334</v>
      </c>
      <c r="L38" s="17" t="s">
        <v>77</v>
      </c>
      <c r="M38" s="13" t="s">
        <v>60</v>
      </c>
      <c r="N38" s="13">
        <v>1</v>
      </c>
      <c r="O38" s="13"/>
      <c r="P38" s="33" t="str">
        <f t="shared" si="2"/>
        <v>MAIN UNIT</v>
      </c>
      <c r="Q38" s="13" t="s">
        <v>61</v>
      </c>
      <c r="R38" s="13" t="s">
        <v>62</v>
      </c>
      <c r="S38" s="13" t="s">
        <v>49</v>
      </c>
      <c r="T38" s="13" t="s">
        <v>249</v>
      </c>
      <c r="U38" s="13" t="s">
        <v>79</v>
      </c>
      <c r="V38" s="13" t="s">
        <v>126</v>
      </c>
      <c r="W38" s="13" t="s">
        <v>109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  <c r="AU38" s="22" t="s">
        <v>3745</v>
      </c>
    </row>
    <row r="39" spans="1:47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41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393</v>
      </c>
      <c r="K39" s="155" t="s">
        <v>334</v>
      </c>
      <c r="L39" s="17" t="s">
        <v>67</v>
      </c>
      <c r="M39" s="13" t="s">
        <v>60</v>
      </c>
      <c r="N39" s="13">
        <v>1</v>
      </c>
      <c r="O39" s="13"/>
      <c r="P39" s="33" t="str">
        <f t="shared" si="2"/>
        <v>MAIN UNIT</v>
      </c>
      <c r="Q39" s="13" t="s">
        <v>61</v>
      </c>
      <c r="R39" s="13" t="s">
        <v>62</v>
      </c>
      <c r="S39" s="13" t="s">
        <v>49</v>
      </c>
      <c r="T39" s="13" t="s">
        <v>249</v>
      </c>
      <c r="U39" s="13" t="s">
        <v>79</v>
      </c>
      <c r="V39" s="13" t="s">
        <v>126</v>
      </c>
      <c r="W39" s="13" t="s">
        <v>109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  <c r="AU39" s="22" t="s">
        <v>3745</v>
      </c>
    </row>
    <row r="40" spans="1:47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41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397</v>
      </c>
      <c r="K40" s="155" t="s">
        <v>398</v>
      </c>
      <c r="L40" s="17" t="s">
        <v>67</v>
      </c>
      <c r="M40" s="13" t="s">
        <v>60</v>
      </c>
      <c r="N40" s="13">
        <v>4</v>
      </c>
      <c r="O40" s="13"/>
      <c r="P40" s="33" t="str">
        <f t="shared" si="2"/>
        <v>MAIN UNIT</v>
      </c>
      <c r="Q40" s="13" t="s">
        <v>68</v>
      </c>
      <c r="R40" s="13" t="s">
        <v>62</v>
      </c>
      <c r="S40" s="13" t="s">
        <v>49</v>
      </c>
      <c r="T40" s="13"/>
      <c r="U40" s="13" t="s">
        <v>79</v>
      </c>
      <c r="V40" s="13" t="s">
        <v>112</v>
      </c>
      <c r="W40" s="13" t="s">
        <v>109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  <c r="AU40" s="22" t="s">
        <v>3240</v>
      </c>
    </row>
    <row r="41" spans="1:47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41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2807</v>
      </c>
      <c r="K41" s="155" t="s">
        <v>398</v>
      </c>
      <c r="L41" s="17" t="s">
        <v>2780</v>
      </c>
      <c r="M41" s="13" t="s">
        <v>60</v>
      </c>
      <c r="N41" s="13">
        <v>2</v>
      </c>
      <c r="O41" s="13"/>
      <c r="P41" s="33" t="str">
        <f t="shared" si="2"/>
        <v>MAIN UNIT</v>
      </c>
      <c r="Q41" s="13" t="s">
        <v>68</v>
      </c>
      <c r="R41" s="13" t="s">
        <v>2055</v>
      </c>
      <c r="S41" s="13" t="s">
        <v>49</v>
      </c>
      <c r="T41" s="13" t="s">
        <v>720</v>
      </c>
      <c r="U41" s="13" t="s">
        <v>79</v>
      </c>
      <c r="V41" s="13" t="s">
        <v>2794</v>
      </c>
      <c r="W41" s="13" t="s">
        <v>109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  <c r="AU41" s="22" t="s">
        <v>3751</v>
      </c>
    </row>
    <row r="42" spans="1:47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41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2808</v>
      </c>
      <c r="K42" s="155" t="s">
        <v>398</v>
      </c>
      <c r="L42" s="17" t="s">
        <v>2809</v>
      </c>
      <c r="M42" s="13" t="s">
        <v>2810</v>
      </c>
      <c r="N42" s="13">
        <v>1</v>
      </c>
      <c r="O42" s="13"/>
      <c r="P42" s="33" t="str">
        <f t="shared" si="2"/>
        <v>MAIN UNIT</v>
      </c>
      <c r="Q42" s="13" t="s">
        <v>68</v>
      </c>
      <c r="R42" s="13" t="s">
        <v>2055</v>
      </c>
      <c r="S42" s="13" t="s">
        <v>49</v>
      </c>
      <c r="T42" s="13" t="s">
        <v>720</v>
      </c>
      <c r="U42" s="13" t="s">
        <v>79</v>
      </c>
      <c r="V42" s="13" t="s">
        <v>2794</v>
      </c>
      <c r="W42" s="13" t="s">
        <v>64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  <c r="AU42" s="22" t="s">
        <v>3744</v>
      </c>
    </row>
    <row r="43" spans="1:47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41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2811</v>
      </c>
      <c r="K43" s="155" t="s">
        <v>398</v>
      </c>
      <c r="L43" s="17" t="s">
        <v>2788</v>
      </c>
      <c r="M43" s="13" t="s">
        <v>2607</v>
      </c>
      <c r="N43" s="13">
        <v>1</v>
      </c>
      <c r="O43" s="13"/>
      <c r="P43" s="33" t="str">
        <f t="shared" si="2"/>
        <v>MAIN UNIT</v>
      </c>
      <c r="Q43" s="13" t="s">
        <v>68</v>
      </c>
      <c r="R43" s="13" t="s">
        <v>2055</v>
      </c>
      <c r="S43" s="13" t="s">
        <v>49</v>
      </c>
      <c r="T43" s="13" t="s">
        <v>720</v>
      </c>
      <c r="U43" s="13" t="s">
        <v>79</v>
      </c>
      <c r="V43" s="13" t="s">
        <v>2794</v>
      </c>
      <c r="W43" s="13" t="s">
        <v>901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  <c r="AU43" s="22" t="s">
        <v>3746</v>
      </c>
    </row>
    <row r="44" spans="1:47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56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57</v>
      </c>
      <c r="K44" s="155" t="s">
        <v>58</v>
      </c>
      <c r="L44" s="17" t="s">
        <v>59</v>
      </c>
      <c r="M44" s="13" t="s">
        <v>60</v>
      </c>
      <c r="N44" s="13">
        <v>1</v>
      </c>
      <c r="O44" s="13"/>
      <c r="P44" s="33" t="str">
        <f t="shared" si="2"/>
        <v>MAIN UNIT</v>
      </c>
      <c r="Q44" s="13" t="s">
        <v>61</v>
      </c>
      <c r="R44" s="13" t="s">
        <v>62</v>
      </c>
      <c r="S44" s="13" t="s">
        <v>49</v>
      </c>
      <c r="T44" s="13"/>
      <c r="U44" s="13"/>
      <c r="V44" s="13" t="s">
        <v>63</v>
      </c>
      <c r="W44" s="13" t="s">
        <v>64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  <c r="AU44" s="22">
        <v>0</v>
      </c>
    </row>
    <row r="45" spans="1:47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41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359</v>
      </c>
      <c r="K45" s="155" t="s">
        <v>58</v>
      </c>
      <c r="L45" s="17" t="s">
        <v>77</v>
      </c>
      <c r="M45" s="13" t="s">
        <v>60</v>
      </c>
      <c r="N45" s="13">
        <v>3</v>
      </c>
      <c r="O45" s="13"/>
      <c r="P45" s="33" t="str">
        <f t="shared" si="2"/>
        <v>MAIN UNIT</v>
      </c>
      <c r="Q45" s="13" t="s">
        <v>61</v>
      </c>
      <c r="R45" s="13" t="s">
        <v>62</v>
      </c>
      <c r="S45" s="13" t="s">
        <v>49</v>
      </c>
      <c r="T45" s="13" t="s">
        <v>78</v>
      </c>
      <c r="U45" s="13" t="s">
        <v>79</v>
      </c>
      <c r="V45" s="13" t="s">
        <v>63</v>
      </c>
      <c r="W45" s="13" t="s">
        <v>109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  <c r="AU45" s="22" t="s">
        <v>3745</v>
      </c>
    </row>
    <row r="46" spans="1:47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41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483</v>
      </c>
      <c r="K46" s="155" t="s">
        <v>58</v>
      </c>
      <c r="L46" s="17" t="s">
        <v>293</v>
      </c>
      <c r="M46" s="13" t="s">
        <v>60</v>
      </c>
      <c r="N46" s="13">
        <v>1</v>
      </c>
      <c r="O46" s="13"/>
      <c r="P46" s="33" t="str">
        <f t="shared" si="2"/>
        <v>MAIN UNIT</v>
      </c>
      <c r="Q46" s="13" t="s">
        <v>61</v>
      </c>
      <c r="R46" s="13" t="s">
        <v>62</v>
      </c>
      <c r="S46" s="13" t="s">
        <v>49</v>
      </c>
      <c r="T46" s="13" t="s">
        <v>78</v>
      </c>
      <c r="U46" s="13" t="s">
        <v>79</v>
      </c>
      <c r="V46" s="13" t="s">
        <v>63</v>
      </c>
      <c r="W46" s="13" t="s">
        <v>109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  <c r="AU46" s="22" t="s">
        <v>3745</v>
      </c>
    </row>
    <row r="47" spans="1:47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41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483</v>
      </c>
      <c r="K47" s="155" t="s">
        <v>58</v>
      </c>
      <c r="L47" s="17" t="s">
        <v>484</v>
      </c>
      <c r="M47" s="13" t="s">
        <v>60</v>
      </c>
      <c r="N47" s="13">
        <v>1</v>
      </c>
      <c r="O47" s="13"/>
      <c r="P47" s="33" t="str">
        <f t="shared" si="2"/>
        <v>MAIN UNIT</v>
      </c>
      <c r="Q47" s="13" t="s">
        <v>61</v>
      </c>
      <c r="R47" s="13" t="s">
        <v>62</v>
      </c>
      <c r="S47" s="13" t="s">
        <v>49</v>
      </c>
      <c r="T47" s="13" t="s">
        <v>78</v>
      </c>
      <c r="U47" s="13" t="s">
        <v>79</v>
      </c>
      <c r="V47" s="13" t="s">
        <v>63</v>
      </c>
      <c r="W47" s="13" t="s">
        <v>109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  <c r="AU47" s="22" t="s">
        <v>3745</v>
      </c>
    </row>
    <row r="48" spans="1:47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41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483</v>
      </c>
      <c r="K48" s="155" t="s">
        <v>58</v>
      </c>
      <c r="L48" s="17" t="s">
        <v>67</v>
      </c>
      <c r="M48" s="13" t="s">
        <v>60</v>
      </c>
      <c r="N48" s="13">
        <v>1</v>
      </c>
      <c r="O48" s="13"/>
      <c r="P48" s="33" t="str">
        <f t="shared" si="2"/>
        <v>MAIN UNIT</v>
      </c>
      <c r="Q48" s="13" t="s">
        <v>61</v>
      </c>
      <c r="R48" s="13" t="s">
        <v>62</v>
      </c>
      <c r="S48" s="13" t="s">
        <v>49</v>
      </c>
      <c r="T48" s="13" t="s">
        <v>78</v>
      </c>
      <c r="U48" s="13" t="s">
        <v>79</v>
      </c>
      <c r="V48" s="13" t="s">
        <v>63</v>
      </c>
      <c r="W48" s="13" t="s">
        <v>109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  <c r="AU48" s="22" t="s">
        <v>3745</v>
      </c>
    </row>
    <row r="49" spans="1:47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41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75</v>
      </c>
      <c r="K49" s="155" t="s">
        <v>76</v>
      </c>
      <c r="L49" s="17" t="s">
        <v>77</v>
      </c>
      <c r="M49" s="13" t="s">
        <v>60</v>
      </c>
      <c r="N49" s="13">
        <v>1</v>
      </c>
      <c r="O49" s="13"/>
      <c r="P49" s="33" t="str">
        <f t="shared" si="2"/>
        <v>MAIN UNIT</v>
      </c>
      <c r="Q49" s="13" t="s">
        <v>61</v>
      </c>
      <c r="R49" s="13" t="s">
        <v>62</v>
      </c>
      <c r="S49" s="13" t="s">
        <v>49</v>
      </c>
      <c r="T49" s="13" t="s">
        <v>78</v>
      </c>
      <c r="U49" s="13" t="s">
        <v>79</v>
      </c>
      <c r="V49" s="13" t="s">
        <v>80</v>
      </c>
      <c r="W49" s="13" t="s">
        <v>64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  <c r="AU49" s="22" t="s">
        <v>3744</v>
      </c>
    </row>
    <row r="50" spans="1:47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41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244</v>
      </c>
      <c r="K50" s="155" t="s">
        <v>245</v>
      </c>
      <c r="L50" s="17" t="s">
        <v>67</v>
      </c>
      <c r="M50" s="13" t="s">
        <v>60</v>
      </c>
      <c r="N50" s="13">
        <v>1</v>
      </c>
      <c r="O50" s="13"/>
      <c r="P50" s="33" t="str">
        <f t="shared" si="2"/>
        <v>MAIN UNIT</v>
      </c>
      <c r="Q50" s="13" t="s">
        <v>68</v>
      </c>
      <c r="R50" s="13" t="s">
        <v>62</v>
      </c>
      <c r="S50" s="13" t="s">
        <v>49</v>
      </c>
      <c r="T50" s="13" t="s">
        <v>246</v>
      </c>
      <c r="U50" s="13" t="s">
        <v>79</v>
      </c>
      <c r="V50" s="13" t="s">
        <v>112</v>
      </c>
      <c r="W50" s="13" t="s">
        <v>64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  <c r="AU50" s="22" t="s">
        <v>3746</v>
      </c>
    </row>
    <row r="51" spans="1:47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41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103</v>
      </c>
      <c r="K51" s="155" t="s">
        <v>104</v>
      </c>
      <c r="L51" s="17" t="s">
        <v>77</v>
      </c>
      <c r="M51" s="13" t="s">
        <v>60</v>
      </c>
      <c r="N51" s="13">
        <v>1</v>
      </c>
      <c r="O51" s="13"/>
      <c r="P51" s="33" t="str">
        <f t="shared" si="2"/>
        <v>MAIN UNIT</v>
      </c>
      <c r="Q51" s="13" t="s">
        <v>61</v>
      </c>
      <c r="R51" s="13" t="s">
        <v>62</v>
      </c>
      <c r="S51" s="13" t="s">
        <v>49</v>
      </c>
      <c r="T51" s="13" t="s">
        <v>105</v>
      </c>
      <c r="U51" s="13" t="s">
        <v>79</v>
      </c>
      <c r="V51" s="13" t="s">
        <v>106</v>
      </c>
      <c r="W51" s="13" t="s">
        <v>64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  <c r="AU51" s="22" t="s">
        <v>3744</v>
      </c>
    </row>
    <row r="52" spans="1:47" s="12" customFormat="1">
      <c r="A52" s="33" t="str">
        <f t="shared" si="15"/>
        <v>cancel</v>
      </c>
      <c r="B52" s="152"/>
      <c r="C52" s="152" t="s">
        <v>185</v>
      </c>
      <c r="D52" s="33" t="str">
        <f t="shared" si="0"/>
        <v/>
      </c>
      <c r="E52" s="33" t="s">
        <v>185</v>
      </c>
      <c r="F52" s="13" t="s">
        <v>185</v>
      </c>
      <c r="G52" s="152" t="s">
        <v>185</v>
      </c>
      <c r="H52" s="155"/>
      <c r="I52" s="33" t="str">
        <f t="shared" si="1"/>
        <v>Cancel</v>
      </c>
      <c r="J52" s="186" t="s">
        <v>2731</v>
      </c>
      <c r="K52" s="155" t="s">
        <v>2732</v>
      </c>
      <c r="L52" s="17" t="s">
        <v>293</v>
      </c>
      <c r="M52" s="13" t="s">
        <v>60</v>
      </c>
      <c r="N52" s="13">
        <v>1</v>
      </c>
      <c r="O52" s="13"/>
      <c r="P52" s="33" t="str">
        <f t="shared" si="2"/>
        <v>MAIN UNIT</v>
      </c>
      <c r="Q52" s="13" t="s">
        <v>61</v>
      </c>
      <c r="R52" s="13" t="s">
        <v>62</v>
      </c>
      <c r="S52" s="13" t="s">
        <v>49</v>
      </c>
      <c r="T52" s="13" t="s">
        <v>78</v>
      </c>
      <c r="U52" s="13" t="s">
        <v>79</v>
      </c>
      <c r="V52" s="13" t="s">
        <v>63</v>
      </c>
      <c r="W52" s="13" t="s">
        <v>109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499582152.5142017</v>
      </c>
      <c r="AJ52" s="19">
        <f t="shared" si="8"/>
        <v>59520528.679470733</v>
      </c>
      <c r="AK52" s="20">
        <f t="shared" si="9"/>
        <v>0.11914062257814291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  <c r="AU52" s="22" t="s">
        <v>3746</v>
      </c>
    </row>
    <row r="53" spans="1:47" s="12" customFormat="1">
      <c r="A53" s="33" t="str">
        <f t="shared" si="15"/>
        <v>cancel</v>
      </c>
      <c r="B53" s="152"/>
      <c r="C53" s="152" t="s">
        <v>185</v>
      </c>
      <c r="D53" s="33" t="str">
        <f t="shared" si="0"/>
        <v/>
      </c>
      <c r="E53" s="33" t="s">
        <v>185</v>
      </c>
      <c r="F53" s="13" t="s">
        <v>185</v>
      </c>
      <c r="G53" s="152" t="s">
        <v>185</v>
      </c>
      <c r="H53" s="155"/>
      <c r="I53" s="33" t="str">
        <f t="shared" si="1"/>
        <v>Cancel</v>
      </c>
      <c r="J53" s="186" t="s">
        <v>2731</v>
      </c>
      <c r="K53" s="155" t="s">
        <v>2732</v>
      </c>
      <c r="L53" s="17" t="s">
        <v>67</v>
      </c>
      <c r="M53" s="13" t="s">
        <v>60</v>
      </c>
      <c r="N53" s="13">
        <v>1</v>
      </c>
      <c r="O53" s="13"/>
      <c r="P53" s="33" t="str">
        <f t="shared" si="2"/>
        <v>MAIN UNIT</v>
      </c>
      <c r="Q53" s="13" t="s">
        <v>61</v>
      </c>
      <c r="R53" s="13" t="s">
        <v>62</v>
      </c>
      <c r="S53" s="13" t="s">
        <v>49</v>
      </c>
      <c r="T53" s="13" t="s">
        <v>78</v>
      </c>
      <c r="U53" s="13" t="s">
        <v>79</v>
      </c>
      <c r="V53" s="13" t="s">
        <v>63</v>
      </c>
      <c r="W53" s="13" t="s">
        <v>109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499582152.5142017</v>
      </c>
      <c r="AJ53" s="19">
        <f t="shared" si="8"/>
        <v>59520528.679470733</v>
      </c>
      <c r="AK53" s="20">
        <f t="shared" si="9"/>
        <v>0.11914062257814291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  <c r="AU53" s="22" t="s">
        <v>3746</v>
      </c>
    </row>
    <row r="54" spans="1:47" s="12" customFormat="1">
      <c r="A54" s="33" t="str">
        <f t="shared" si="15"/>
        <v>cancel</v>
      </c>
      <c r="B54" s="152"/>
      <c r="C54" s="152" t="s">
        <v>185</v>
      </c>
      <c r="D54" s="33" t="str">
        <f t="shared" si="0"/>
        <v/>
      </c>
      <c r="E54" s="33" t="s">
        <v>185</v>
      </c>
      <c r="F54" s="13" t="s">
        <v>185</v>
      </c>
      <c r="G54" s="152" t="s">
        <v>185</v>
      </c>
      <c r="H54" s="155"/>
      <c r="I54" s="33" t="str">
        <f t="shared" si="1"/>
        <v>Cancel</v>
      </c>
      <c r="J54" s="186" t="s">
        <v>2731</v>
      </c>
      <c r="K54" s="155" t="s">
        <v>2732</v>
      </c>
      <c r="L54" s="17" t="s">
        <v>67</v>
      </c>
      <c r="M54" s="13" t="s">
        <v>60</v>
      </c>
      <c r="N54" s="13">
        <v>1</v>
      </c>
      <c r="O54" s="13"/>
      <c r="P54" s="33" t="str">
        <f t="shared" si="2"/>
        <v>MAIN UNIT</v>
      </c>
      <c r="Q54" s="13" t="s">
        <v>61</v>
      </c>
      <c r="R54" s="13" t="s">
        <v>62</v>
      </c>
      <c r="S54" s="13" t="s">
        <v>49</v>
      </c>
      <c r="T54" s="13" t="s">
        <v>78</v>
      </c>
      <c r="U54" s="13" t="s">
        <v>79</v>
      </c>
      <c r="V54" s="13" t="s">
        <v>63</v>
      </c>
      <c r="W54" s="13" t="s">
        <v>109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499582152.5142017</v>
      </c>
      <c r="AJ54" s="19">
        <f t="shared" si="8"/>
        <v>59520528.679470733</v>
      </c>
      <c r="AK54" s="20">
        <f t="shared" si="9"/>
        <v>0.11914062257814291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  <c r="AU54" s="22" t="s">
        <v>3746</v>
      </c>
    </row>
    <row r="55" spans="1:47" s="12" customFormat="1">
      <c r="A55" s="33" t="str">
        <f t="shared" si="15"/>
        <v>cancel</v>
      </c>
      <c r="B55" s="152"/>
      <c r="C55" s="152" t="s">
        <v>185</v>
      </c>
      <c r="D55" s="33" t="str">
        <f t="shared" si="0"/>
        <v/>
      </c>
      <c r="E55" s="33" t="s">
        <v>185</v>
      </c>
      <c r="F55" s="13" t="s">
        <v>185</v>
      </c>
      <c r="G55" s="152" t="s">
        <v>185</v>
      </c>
      <c r="H55" s="155"/>
      <c r="I55" s="33" t="str">
        <f t="shared" si="1"/>
        <v>Cancel</v>
      </c>
      <c r="J55" s="186" t="s">
        <v>2731</v>
      </c>
      <c r="K55" s="155" t="s">
        <v>2732</v>
      </c>
      <c r="L55" s="17" t="s">
        <v>293</v>
      </c>
      <c r="M55" s="13" t="s">
        <v>60</v>
      </c>
      <c r="N55" s="13">
        <v>1</v>
      </c>
      <c r="O55" s="13"/>
      <c r="P55" s="33" t="str">
        <f t="shared" si="2"/>
        <v>MAIN UNIT</v>
      </c>
      <c r="Q55" s="13" t="s">
        <v>61</v>
      </c>
      <c r="R55" s="13" t="s">
        <v>62</v>
      </c>
      <c r="S55" s="13" t="s">
        <v>49</v>
      </c>
      <c r="T55" s="13" t="s">
        <v>78</v>
      </c>
      <c r="U55" s="13" t="s">
        <v>79</v>
      </c>
      <c r="V55" s="13" t="s">
        <v>63</v>
      </c>
      <c r="W55" s="13" t="s">
        <v>109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499582152.5142017</v>
      </c>
      <c r="AJ55" s="19">
        <f t="shared" si="8"/>
        <v>59520528.679470733</v>
      </c>
      <c r="AK55" s="20">
        <f t="shared" si="9"/>
        <v>0.11914062257814291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  <c r="AU55" s="22" t="s">
        <v>3746</v>
      </c>
    </row>
    <row r="56" spans="1:47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41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738</v>
      </c>
      <c r="K56" s="155" t="s">
        <v>739</v>
      </c>
      <c r="L56" s="17" t="s">
        <v>92</v>
      </c>
      <c r="M56" s="13" t="s">
        <v>60</v>
      </c>
      <c r="N56" s="13">
        <v>1</v>
      </c>
      <c r="O56" s="13"/>
      <c r="P56" s="33" t="str">
        <f t="shared" si="2"/>
        <v>MAIN UNIT</v>
      </c>
      <c r="Q56" s="13" t="s">
        <v>61</v>
      </c>
      <c r="R56" s="13" t="s">
        <v>538</v>
      </c>
      <c r="S56" s="13" t="s">
        <v>49</v>
      </c>
      <c r="T56" s="13" t="s">
        <v>78</v>
      </c>
      <c r="U56" s="13" t="s">
        <v>79</v>
      </c>
      <c r="V56" s="13" t="s">
        <v>134</v>
      </c>
      <c r="W56" s="13" t="s">
        <v>737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  <c r="AU56" s="22" t="s">
        <v>3744</v>
      </c>
    </row>
    <row r="57" spans="1:47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41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738</v>
      </c>
      <c r="K57" s="155" t="s">
        <v>739</v>
      </c>
      <c r="L57" s="17" t="s">
        <v>92</v>
      </c>
      <c r="M57" s="13" t="s">
        <v>60</v>
      </c>
      <c r="N57" s="13">
        <v>1</v>
      </c>
      <c r="O57" s="13"/>
      <c r="P57" s="33" t="str">
        <f t="shared" si="2"/>
        <v>MAIN UNIT</v>
      </c>
      <c r="Q57" s="13" t="s">
        <v>61</v>
      </c>
      <c r="R57" s="13" t="s">
        <v>538</v>
      </c>
      <c r="S57" s="13" t="s">
        <v>49</v>
      </c>
      <c r="T57" s="13" t="s">
        <v>78</v>
      </c>
      <c r="U57" s="13" t="s">
        <v>79</v>
      </c>
      <c r="V57" s="13" t="s">
        <v>134</v>
      </c>
      <c r="W57" s="13" t="s">
        <v>737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  <c r="AU57" s="22" t="s">
        <v>3744</v>
      </c>
    </row>
    <row r="58" spans="1:47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47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796</v>
      </c>
      <c r="K58" s="155" t="s">
        <v>797</v>
      </c>
      <c r="L58" s="17" t="s">
        <v>92</v>
      </c>
      <c r="M58" s="13" t="s">
        <v>60</v>
      </c>
      <c r="N58" s="13">
        <v>1</v>
      </c>
      <c r="O58" s="13"/>
      <c r="P58" s="33" t="str">
        <f t="shared" si="2"/>
        <v>MAIN UNIT</v>
      </c>
      <c r="Q58" s="13" t="s">
        <v>68</v>
      </c>
      <c r="R58" s="13" t="s">
        <v>62</v>
      </c>
      <c r="S58" s="13" t="s">
        <v>49</v>
      </c>
      <c r="T58" s="13" t="s">
        <v>78</v>
      </c>
      <c r="U58" s="13" t="s">
        <v>79</v>
      </c>
      <c r="V58" s="13" t="s">
        <v>126</v>
      </c>
      <c r="W58" s="13" t="s">
        <v>109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  <c r="AU58" s="22" t="s">
        <v>3746</v>
      </c>
    </row>
    <row r="59" spans="1:47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47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796</v>
      </c>
      <c r="K59" s="155" t="s">
        <v>797</v>
      </c>
      <c r="L59" s="17" t="s">
        <v>67</v>
      </c>
      <c r="M59" s="13" t="s">
        <v>60</v>
      </c>
      <c r="N59" s="13">
        <v>1</v>
      </c>
      <c r="O59" s="13"/>
      <c r="P59" s="33" t="str">
        <f t="shared" si="2"/>
        <v>MAIN UNIT</v>
      </c>
      <c r="Q59" s="13" t="s">
        <v>68</v>
      </c>
      <c r="R59" s="13" t="s">
        <v>62</v>
      </c>
      <c r="S59" s="13" t="s">
        <v>49</v>
      </c>
      <c r="T59" s="13" t="s">
        <v>78</v>
      </c>
      <c r="U59" s="13" t="s">
        <v>79</v>
      </c>
      <c r="V59" s="13" t="s">
        <v>126</v>
      </c>
      <c r="W59" s="13" t="s">
        <v>109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  <c r="AU59" s="22" t="s">
        <v>3240</v>
      </c>
    </row>
    <row r="60" spans="1:47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47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796</v>
      </c>
      <c r="K60" s="155" t="s">
        <v>797</v>
      </c>
      <c r="L60" s="17" t="s">
        <v>67</v>
      </c>
      <c r="M60" s="13" t="s">
        <v>60</v>
      </c>
      <c r="N60" s="13">
        <v>1</v>
      </c>
      <c r="O60" s="13"/>
      <c r="P60" s="33" t="str">
        <f t="shared" si="2"/>
        <v>MAIN UNIT</v>
      </c>
      <c r="Q60" s="13" t="s">
        <v>68</v>
      </c>
      <c r="R60" s="13" t="s">
        <v>62</v>
      </c>
      <c r="S60" s="13" t="s">
        <v>49</v>
      </c>
      <c r="T60" s="13" t="s">
        <v>78</v>
      </c>
      <c r="U60" s="13" t="s">
        <v>79</v>
      </c>
      <c r="V60" s="13" t="s">
        <v>126</v>
      </c>
      <c r="W60" s="13" t="s">
        <v>109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  <c r="AU60" s="22" t="s">
        <v>3240</v>
      </c>
    </row>
    <row r="61" spans="1:47" s="12" customFormat="1">
      <c r="A61" s="33" t="str">
        <f t="shared" si="15"/>
        <v>cancel</v>
      </c>
      <c r="B61" s="152"/>
      <c r="C61" s="152" t="s">
        <v>185</v>
      </c>
      <c r="D61" s="33" t="str">
        <f t="shared" si="0"/>
        <v/>
      </c>
      <c r="E61" s="33" t="s">
        <v>185</v>
      </c>
      <c r="F61" s="13" t="s">
        <v>185</v>
      </c>
      <c r="G61" s="152" t="s">
        <v>185</v>
      </c>
      <c r="H61" s="155"/>
      <c r="I61" s="33" t="str">
        <f t="shared" si="1"/>
        <v>Cancel</v>
      </c>
      <c r="J61" s="186" t="s">
        <v>2652</v>
      </c>
      <c r="K61" s="155" t="s">
        <v>2653</v>
      </c>
      <c r="L61" s="17" t="s">
        <v>92</v>
      </c>
      <c r="M61" s="13" t="s">
        <v>60</v>
      </c>
      <c r="N61" s="13">
        <v>1</v>
      </c>
      <c r="O61" s="13"/>
      <c r="P61" s="33" t="str">
        <f t="shared" si="2"/>
        <v>MAIN UNIT</v>
      </c>
      <c r="Q61" s="13" t="s">
        <v>68</v>
      </c>
      <c r="R61" s="13" t="s">
        <v>62</v>
      </c>
      <c r="S61" s="13" t="s">
        <v>49</v>
      </c>
      <c r="T61" s="13" t="s">
        <v>78</v>
      </c>
      <c r="U61" s="13" t="s">
        <v>79</v>
      </c>
      <c r="V61" s="13" t="s">
        <v>126</v>
      </c>
      <c r="W61" s="13" t="s">
        <v>109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499582152.5142017</v>
      </c>
      <c r="AJ61" s="19">
        <f t="shared" si="8"/>
        <v>59520528.679470733</v>
      </c>
      <c r="AK61" s="20">
        <f t="shared" si="9"/>
        <v>0.11914062257814291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  <c r="AU61" s="22" t="s">
        <v>3746</v>
      </c>
    </row>
    <row r="62" spans="1:47" s="12" customFormat="1">
      <c r="A62" s="33" t="str">
        <f t="shared" si="15"/>
        <v>cancel</v>
      </c>
      <c r="B62" s="152"/>
      <c r="C62" s="152" t="s">
        <v>185</v>
      </c>
      <c r="D62" s="33" t="str">
        <f t="shared" si="0"/>
        <v/>
      </c>
      <c r="E62" s="33" t="s">
        <v>185</v>
      </c>
      <c r="F62" s="13" t="s">
        <v>185</v>
      </c>
      <c r="G62" s="152" t="s">
        <v>185</v>
      </c>
      <c r="H62" s="155"/>
      <c r="I62" s="33" t="str">
        <f t="shared" si="1"/>
        <v>Cancel</v>
      </c>
      <c r="J62" s="186" t="s">
        <v>2697</v>
      </c>
      <c r="K62" s="155" t="s">
        <v>2653</v>
      </c>
      <c r="L62" s="17" t="s">
        <v>67</v>
      </c>
      <c r="M62" s="13" t="s">
        <v>60</v>
      </c>
      <c r="N62" s="13">
        <v>1</v>
      </c>
      <c r="O62" s="13"/>
      <c r="P62" s="33" t="str">
        <f t="shared" si="2"/>
        <v>MAIN UNIT</v>
      </c>
      <c r="Q62" s="13" t="s">
        <v>68</v>
      </c>
      <c r="R62" s="13" t="s">
        <v>62</v>
      </c>
      <c r="S62" s="13" t="s">
        <v>49</v>
      </c>
      <c r="T62" s="13" t="s">
        <v>78</v>
      </c>
      <c r="U62" s="13" t="s">
        <v>79</v>
      </c>
      <c r="V62" s="13" t="s">
        <v>126</v>
      </c>
      <c r="W62" s="13" t="s">
        <v>109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499582152.5142017</v>
      </c>
      <c r="AJ62" s="19">
        <f t="shared" si="8"/>
        <v>59520528.679470733</v>
      </c>
      <c r="AK62" s="20">
        <f t="shared" si="9"/>
        <v>0.11914062257814291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  <c r="AU62" s="22" t="s">
        <v>3746</v>
      </c>
    </row>
    <row r="63" spans="1:47" s="12" customFormat="1">
      <c r="A63" s="33" t="str">
        <f t="shared" si="15"/>
        <v>cancel</v>
      </c>
      <c r="B63" s="152"/>
      <c r="C63" s="152" t="s">
        <v>185</v>
      </c>
      <c r="D63" s="33" t="str">
        <f t="shared" si="0"/>
        <v/>
      </c>
      <c r="E63" s="33" t="s">
        <v>185</v>
      </c>
      <c r="F63" s="13" t="s">
        <v>185</v>
      </c>
      <c r="G63" s="152" t="s">
        <v>185</v>
      </c>
      <c r="H63" s="155"/>
      <c r="I63" s="33" t="str">
        <f t="shared" si="1"/>
        <v>Cancel</v>
      </c>
      <c r="J63" s="186" t="s">
        <v>2697</v>
      </c>
      <c r="K63" s="155" t="s">
        <v>2653</v>
      </c>
      <c r="L63" s="17" t="s">
        <v>67</v>
      </c>
      <c r="M63" s="13" t="s">
        <v>60</v>
      </c>
      <c r="N63" s="13">
        <v>1</v>
      </c>
      <c r="O63" s="13"/>
      <c r="P63" s="33" t="str">
        <f t="shared" si="2"/>
        <v>MAIN UNIT</v>
      </c>
      <c r="Q63" s="13" t="s">
        <v>68</v>
      </c>
      <c r="R63" s="13" t="s">
        <v>62</v>
      </c>
      <c r="S63" s="13" t="s">
        <v>49</v>
      </c>
      <c r="T63" s="13" t="s">
        <v>78</v>
      </c>
      <c r="U63" s="13" t="s">
        <v>79</v>
      </c>
      <c r="V63" s="13" t="s">
        <v>126</v>
      </c>
      <c r="W63" s="13" t="s">
        <v>109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499582152.5142017</v>
      </c>
      <c r="AJ63" s="19">
        <f t="shared" si="8"/>
        <v>59520528.679470733</v>
      </c>
      <c r="AK63" s="20">
        <f t="shared" si="9"/>
        <v>0.11914062257814291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  <c r="AU63" s="22" t="s">
        <v>3746</v>
      </c>
    </row>
    <row r="64" spans="1:47" s="12" customFormat="1">
      <c r="A64" s="33" t="str">
        <f t="shared" si="15"/>
        <v>cancel</v>
      </c>
      <c r="B64" s="152"/>
      <c r="C64" s="152" t="s">
        <v>185</v>
      </c>
      <c r="D64" s="33" t="str">
        <f t="shared" si="0"/>
        <v/>
      </c>
      <c r="E64" s="33" t="s">
        <v>185</v>
      </c>
      <c r="F64" s="13" t="s">
        <v>185</v>
      </c>
      <c r="G64" s="152" t="s">
        <v>185</v>
      </c>
      <c r="H64" s="155"/>
      <c r="I64" s="33" t="str">
        <f t="shared" si="1"/>
        <v>Cancel</v>
      </c>
      <c r="J64" s="186" t="s">
        <v>2697</v>
      </c>
      <c r="K64" s="155" t="s">
        <v>2653</v>
      </c>
      <c r="L64" s="17" t="s">
        <v>92</v>
      </c>
      <c r="M64" s="13" t="s">
        <v>60</v>
      </c>
      <c r="N64" s="13">
        <v>1</v>
      </c>
      <c r="O64" s="13"/>
      <c r="P64" s="33" t="str">
        <f t="shared" si="2"/>
        <v>MAIN UNIT</v>
      </c>
      <c r="Q64" s="13" t="s">
        <v>68</v>
      </c>
      <c r="R64" s="13" t="s">
        <v>62</v>
      </c>
      <c r="S64" s="13" t="s">
        <v>49</v>
      </c>
      <c r="T64" s="13" t="s">
        <v>78</v>
      </c>
      <c r="U64" s="13" t="s">
        <v>79</v>
      </c>
      <c r="V64" s="13" t="s">
        <v>126</v>
      </c>
      <c r="W64" s="13" t="s">
        <v>109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499582152.5142017</v>
      </c>
      <c r="AJ64" s="19">
        <f t="shared" si="8"/>
        <v>59520528.679470733</v>
      </c>
      <c r="AK64" s="20">
        <f t="shared" si="9"/>
        <v>0.11914062257814291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  <c r="AU64" s="22" t="s">
        <v>3746</v>
      </c>
    </row>
    <row r="65" spans="1:47" s="12" customFormat="1">
      <c r="A65" s="33" t="str">
        <f t="shared" si="15"/>
        <v>cancel</v>
      </c>
      <c r="B65" s="152"/>
      <c r="C65" s="152" t="s">
        <v>185</v>
      </c>
      <c r="D65" s="33" t="str">
        <f t="shared" si="0"/>
        <v/>
      </c>
      <c r="E65" s="33" t="s">
        <v>185</v>
      </c>
      <c r="F65" s="13" t="s">
        <v>185</v>
      </c>
      <c r="G65" s="152" t="s">
        <v>185</v>
      </c>
      <c r="H65" s="155"/>
      <c r="I65" s="33" t="str">
        <f t="shared" si="1"/>
        <v>Cancel</v>
      </c>
      <c r="J65" s="186" t="s">
        <v>2698</v>
      </c>
      <c r="K65" s="155" t="s">
        <v>2653</v>
      </c>
      <c r="L65" s="17" t="s">
        <v>92</v>
      </c>
      <c r="M65" s="13" t="s">
        <v>60</v>
      </c>
      <c r="N65" s="13">
        <v>1</v>
      </c>
      <c r="O65" s="13"/>
      <c r="P65" s="33" t="str">
        <f t="shared" si="2"/>
        <v>MAIN UNIT</v>
      </c>
      <c r="Q65" s="13" t="s">
        <v>68</v>
      </c>
      <c r="R65" s="13" t="s">
        <v>62</v>
      </c>
      <c r="S65" s="13" t="s">
        <v>49</v>
      </c>
      <c r="T65" s="13" t="s">
        <v>78</v>
      </c>
      <c r="U65" s="13" t="s">
        <v>79</v>
      </c>
      <c r="V65" s="13" t="s">
        <v>126</v>
      </c>
      <c r="W65" s="13" t="s">
        <v>109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499582152.5142017</v>
      </c>
      <c r="AJ65" s="19">
        <f t="shared" si="8"/>
        <v>59520528.679470733</v>
      </c>
      <c r="AK65" s="20">
        <f t="shared" si="9"/>
        <v>0.11914062257814291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  <c r="AU65" s="22" t="s">
        <v>3746</v>
      </c>
    </row>
    <row r="66" spans="1:47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56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2784</v>
      </c>
      <c r="K66" s="155" t="s">
        <v>2785</v>
      </c>
      <c r="L66" s="17" t="s">
        <v>2786</v>
      </c>
      <c r="M66" s="13" t="s">
        <v>60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61</v>
      </c>
      <c r="R66" s="13" t="s">
        <v>2055</v>
      </c>
      <c r="S66" s="13" t="s">
        <v>49</v>
      </c>
      <c r="T66" s="13"/>
      <c r="U66" s="13"/>
      <c r="V66" s="13" t="s">
        <v>2534</v>
      </c>
      <c r="W66" s="13" t="s">
        <v>64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  <c r="AU66" s="22">
        <v>0</v>
      </c>
    </row>
    <row r="67" spans="1:47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41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118</v>
      </c>
      <c r="K67" s="155" t="s">
        <v>119</v>
      </c>
      <c r="L67" s="17" t="s">
        <v>77</v>
      </c>
      <c r="M67" s="13" t="s">
        <v>60</v>
      </c>
      <c r="N67" s="13">
        <v>2</v>
      </c>
      <c r="O67" s="13"/>
      <c r="P67" s="33" t="str">
        <f t="shared" si="18"/>
        <v>MAIN UNIT</v>
      </c>
      <c r="Q67" s="13" t="s">
        <v>61</v>
      </c>
      <c r="R67" s="13" t="s">
        <v>62</v>
      </c>
      <c r="S67" s="13" t="s">
        <v>49</v>
      </c>
      <c r="T67" s="13" t="s">
        <v>120</v>
      </c>
      <c r="U67" s="13" t="s">
        <v>79</v>
      </c>
      <c r="V67" s="13" t="s">
        <v>121</v>
      </c>
      <c r="W67" s="13" t="s">
        <v>64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  <c r="AU67" s="22" t="s">
        <v>3744</v>
      </c>
    </row>
    <row r="68" spans="1:47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41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122</v>
      </c>
      <c r="K68" s="155" t="s">
        <v>119</v>
      </c>
      <c r="L68" s="17" t="s">
        <v>67</v>
      </c>
      <c r="M68" s="13" t="s">
        <v>60</v>
      </c>
      <c r="N68" s="13">
        <v>1</v>
      </c>
      <c r="O68" s="13"/>
      <c r="P68" s="33" t="str">
        <f t="shared" si="18"/>
        <v>MAIN UNIT</v>
      </c>
      <c r="Q68" s="13" t="s">
        <v>61</v>
      </c>
      <c r="R68" s="13" t="s">
        <v>62</v>
      </c>
      <c r="S68" s="13" t="s">
        <v>49</v>
      </c>
      <c r="T68" s="13" t="s">
        <v>120</v>
      </c>
      <c r="U68" s="13" t="s">
        <v>79</v>
      </c>
      <c r="V68" s="13" t="s">
        <v>121</v>
      </c>
      <c r="W68" s="13" t="s">
        <v>64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  <c r="AU68" s="22" t="s">
        <v>3240</v>
      </c>
    </row>
    <row r="69" spans="1:47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41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123</v>
      </c>
      <c r="K69" s="155" t="s">
        <v>119</v>
      </c>
      <c r="L69" s="17" t="s">
        <v>77</v>
      </c>
      <c r="M69" s="13" t="s">
        <v>60</v>
      </c>
      <c r="N69" s="13">
        <v>1</v>
      </c>
      <c r="O69" s="13"/>
      <c r="P69" s="33" t="str">
        <f t="shared" si="18"/>
        <v>MAIN UNIT</v>
      </c>
      <c r="Q69" s="13" t="s">
        <v>61</v>
      </c>
      <c r="R69" s="13" t="s">
        <v>62</v>
      </c>
      <c r="S69" s="13" t="s">
        <v>49</v>
      </c>
      <c r="T69" s="13" t="s">
        <v>120</v>
      </c>
      <c r="U69" s="13" t="s">
        <v>79</v>
      </c>
      <c r="V69" s="13" t="s">
        <v>121</v>
      </c>
      <c r="W69" s="13" t="s">
        <v>64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  <c r="AU69" s="22" t="s">
        <v>3744</v>
      </c>
    </row>
    <row r="70" spans="1:47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41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303</v>
      </c>
      <c r="K70" s="155" t="s">
        <v>304</v>
      </c>
      <c r="L70" s="17" t="s">
        <v>67</v>
      </c>
      <c r="M70" s="13" t="s">
        <v>60</v>
      </c>
      <c r="N70" s="13">
        <v>2</v>
      </c>
      <c r="O70" s="13"/>
      <c r="P70" s="33" t="str">
        <f t="shared" si="18"/>
        <v>MAIN UNIT</v>
      </c>
      <c r="Q70" s="13" t="s">
        <v>61</v>
      </c>
      <c r="R70" s="13" t="s">
        <v>62</v>
      </c>
      <c r="S70" s="13" t="s">
        <v>49</v>
      </c>
      <c r="T70" s="13" t="s">
        <v>78</v>
      </c>
      <c r="U70" s="13" t="s">
        <v>79</v>
      </c>
      <c r="V70" s="13" t="s">
        <v>80</v>
      </c>
      <c r="W70" s="13" t="s">
        <v>109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305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  <c r="AU70" s="22" t="s">
        <v>3746</v>
      </c>
    </row>
    <row r="71" spans="1:47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185</v>
      </c>
      <c r="F71" s="13" t="s">
        <v>185</v>
      </c>
      <c r="G71" s="152" t="s">
        <v>185</v>
      </c>
      <c r="H71" s="155"/>
      <c r="I71" s="33" t="str">
        <f t="shared" si="17"/>
        <v>Cancel</v>
      </c>
      <c r="J71" s="186" t="s">
        <v>625</v>
      </c>
      <c r="K71" s="155" t="s">
        <v>626</v>
      </c>
      <c r="L71" s="17" t="s">
        <v>92</v>
      </c>
      <c r="M71" s="13" t="s">
        <v>60</v>
      </c>
      <c r="N71" s="13">
        <v>1</v>
      </c>
      <c r="O71" s="13"/>
      <c r="P71" s="33" t="str">
        <f t="shared" si="18"/>
        <v>MAIN UNIT</v>
      </c>
      <c r="Q71" s="13" t="s">
        <v>61</v>
      </c>
      <c r="R71" s="13" t="s">
        <v>62</v>
      </c>
      <c r="S71" s="13" t="s">
        <v>49</v>
      </c>
      <c r="T71" s="13" t="s">
        <v>78</v>
      </c>
      <c r="U71" s="13" t="s">
        <v>79</v>
      </c>
      <c r="V71" s="13" t="s">
        <v>112</v>
      </c>
      <c r="W71" s="13" t="s">
        <v>109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499582152.5142017</v>
      </c>
      <c r="AJ71" s="19">
        <f t="shared" si="24"/>
        <v>59520528.679470733</v>
      </c>
      <c r="AK71" s="20">
        <f t="shared" si="25"/>
        <v>0.11914062257814291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  <c r="AU71" s="22" t="s">
        <v>3745</v>
      </c>
    </row>
    <row r="72" spans="1:47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185</v>
      </c>
      <c r="F72" s="13" t="s">
        <v>185</v>
      </c>
      <c r="G72" s="152" t="s">
        <v>185</v>
      </c>
      <c r="H72" s="155"/>
      <c r="I72" s="33" t="str">
        <f t="shared" si="17"/>
        <v>Cancel</v>
      </c>
      <c r="J72" s="186" t="s">
        <v>627</v>
      </c>
      <c r="K72" s="155" t="s">
        <v>626</v>
      </c>
      <c r="L72" s="17" t="s">
        <v>92</v>
      </c>
      <c r="M72" s="13" t="s">
        <v>60</v>
      </c>
      <c r="N72" s="13">
        <v>1</v>
      </c>
      <c r="O72" s="13"/>
      <c r="P72" s="33" t="str">
        <f t="shared" si="18"/>
        <v>MAIN UNIT</v>
      </c>
      <c r="Q72" s="13" t="s">
        <v>61</v>
      </c>
      <c r="R72" s="13" t="s">
        <v>62</v>
      </c>
      <c r="S72" s="13" t="s">
        <v>49</v>
      </c>
      <c r="T72" s="13" t="s">
        <v>78</v>
      </c>
      <c r="U72" s="13" t="s">
        <v>79</v>
      </c>
      <c r="V72" s="13" t="s">
        <v>112</v>
      </c>
      <c r="W72" s="13" t="s">
        <v>109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499582152.5142017</v>
      </c>
      <c r="AJ72" s="19">
        <f t="shared" si="24"/>
        <v>59520528.679470733</v>
      </c>
      <c r="AK72" s="20">
        <f t="shared" si="25"/>
        <v>0.11914062257814291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  <c r="AU72" s="22" t="s">
        <v>3745</v>
      </c>
    </row>
    <row r="73" spans="1:47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41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233</v>
      </c>
      <c r="K73" s="155" t="s">
        <v>234</v>
      </c>
      <c r="L73" s="17" t="s">
        <v>67</v>
      </c>
      <c r="M73" s="13" t="s">
        <v>60</v>
      </c>
      <c r="N73" s="13">
        <v>1</v>
      </c>
      <c r="O73" s="13"/>
      <c r="P73" s="33" t="str">
        <f t="shared" si="18"/>
        <v>MAIN UNIT</v>
      </c>
      <c r="Q73" s="13" t="s">
        <v>61</v>
      </c>
      <c r="R73" s="13" t="s">
        <v>62</v>
      </c>
      <c r="S73" s="13" t="s">
        <v>49</v>
      </c>
      <c r="T73" s="13" t="s">
        <v>78</v>
      </c>
      <c r="U73" s="13" t="s">
        <v>79</v>
      </c>
      <c r="V73" s="13" t="s">
        <v>126</v>
      </c>
      <c r="W73" s="13" t="s">
        <v>109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235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  <c r="AU73" s="22" t="s">
        <v>3745</v>
      </c>
    </row>
    <row r="74" spans="1:47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41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278</v>
      </c>
      <c r="K74" s="155" t="s">
        <v>279</v>
      </c>
      <c r="L74" s="17" t="s">
        <v>67</v>
      </c>
      <c r="M74" s="13" t="s">
        <v>60</v>
      </c>
      <c r="N74" s="13">
        <v>1</v>
      </c>
      <c r="O74" s="13"/>
      <c r="P74" s="33" t="str">
        <f t="shared" si="18"/>
        <v>MAIN UNIT</v>
      </c>
      <c r="Q74" s="13" t="s">
        <v>68</v>
      </c>
      <c r="R74" s="13" t="s">
        <v>260</v>
      </c>
      <c r="S74" s="13" t="s">
        <v>49</v>
      </c>
      <c r="T74" s="13" t="s">
        <v>246</v>
      </c>
      <c r="U74" s="13" t="s">
        <v>79</v>
      </c>
      <c r="V74" s="13"/>
      <c r="W74" s="13" t="s">
        <v>109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  <c r="AU74" s="22" t="s">
        <v>3746</v>
      </c>
    </row>
    <row r="75" spans="1:47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185</v>
      </c>
      <c r="F75" s="13" t="s">
        <v>185</v>
      </c>
      <c r="G75" s="152" t="s">
        <v>1616</v>
      </c>
      <c r="H75" s="155"/>
      <c r="I75" s="33" t="str">
        <f t="shared" si="17"/>
        <v>Cancel</v>
      </c>
      <c r="J75" s="186" t="s">
        <v>2095</v>
      </c>
      <c r="K75" s="155" t="s">
        <v>2096</v>
      </c>
      <c r="L75" s="17" t="s">
        <v>67</v>
      </c>
      <c r="M75" s="13" t="s">
        <v>60</v>
      </c>
      <c r="N75" s="13">
        <v>1</v>
      </c>
      <c r="O75" s="13"/>
      <c r="P75" s="33" t="str">
        <f t="shared" si="18"/>
        <v>MAIN UNIT</v>
      </c>
      <c r="Q75" s="13" t="s">
        <v>61</v>
      </c>
      <c r="R75" s="13" t="s">
        <v>62</v>
      </c>
      <c r="S75" s="13" t="s">
        <v>49</v>
      </c>
      <c r="T75" s="13" t="s">
        <v>246</v>
      </c>
      <c r="U75" s="13" t="s">
        <v>79</v>
      </c>
      <c r="V75" s="13" t="s">
        <v>1002</v>
      </c>
      <c r="W75" s="13" t="s">
        <v>109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499582152.5142017</v>
      </c>
      <c r="AJ75" s="19">
        <f t="shared" si="24"/>
        <v>59520528.679470733</v>
      </c>
      <c r="AK75" s="20">
        <f t="shared" si="25"/>
        <v>0.11914062257814291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  <c r="AU75" s="22" t="s">
        <v>3746</v>
      </c>
    </row>
    <row r="76" spans="1:47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41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475</v>
      </c>
      <c r="K76" s="155" t="s">
        <v>476</v>
      </c>
      <c r="L76" s="17" t="s">
        <v>67</v>
      </c>
      <c r="M76" s="13" t="s">
        <v>60</v>
      </c>
      <c r="N76" s="13">
        <v>1</v>
      </c>
      <c r="O76" s="13"/>
      <c r="P76" s="33" t="str">
        <f t="shared" si="18"/>
        <v>MAIN UNIT</v>
      </c>
      <c r="Q76" s="13" t="s">
        <v>68</v>
      </c>
      <c r="R76" s="13" t="s">
        <v>62</v>
      </c>
      <c r="S76" s="13" t="s">
        <v>49</v>
      </c>
      <c r="T76" s="13" t="s">
        <v>78</v>
      </c>
      <c r="U76" s="13" t="s">
        <v>79</v>
      </c>
      <c r="V76" s="13" t="s">
        <v>121</v>
      </c>
      <c r="W76" s="13" t="s">
        <v>64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221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  <c r="AU76" s="22" t="s">
        <v>3751</v>
      </c>
    </row>
    <row r="77" spans="1:47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41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475</v>
      </c>
      <c r="K77" s="155" t="s">
        <v>476</v>
      </c>
      <c r="L77" s="17" t="s">
        <v>59</v>
      </c>
      <c r="M77" s="13" t="s">
        <v>60</v>
      </c>
      <c r="N77" s="13">
        <v>1</v>
      </c>
      <c r="O77" s="13"/>
      <c r="P77" s="33" t="str">
        <f t="shared" si="18"/>
        <v>MAIN UNIT</v>
      </c>
      <c r="Q77" s="13" t="s">
        <v>68</v>
      </c>
      <c r="R77" s="13" t="s">
        <v>62</v>
      </c>
      <c r="S77" s="13" t="s">
        <v>49</v>
      </c>
      <c r="T77" s="13" t="s">
        <v>78</v>
      </c>
      <c r="U77" s="13" t="s">
        <v>79</v>
      </c>
      <c r="V77" s="13" t="s">
        <v>121</v>
      </c>
      <c r="W77" s="13" t="s">
        <v>64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221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  <c r="AU77" s="22" t="s">
        <v>3751</v>
      </c>
    </row>
    <row r="78" spans="1:47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47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556</v>
      </c>
      <c r="K78" s="155" t="s">
        <v>557</v>
      </c>
      <c r="L78" s="17" t="s">
        <v>67</v>
      </c>
      <c r="M78" s="13" t="s">
        <v>60</v>
      </c>
      <c r="N78" s="13">
        <v>1</v>
      </c>
      <c r="O78" s="13"/>
      <c r="P78" s="33" t="str">
        <f t="shared" si="18"/>
        <v>MAIN UNIT</v>
      </c>
      <c r="Q78" s="13" t="s">
        <v>68</v>
      </c>
      <c r="R78" s="13" t="s">
        <v>62</v>
      </c>
      <c r="S78" s="13" t="s">
        <v>49</v>
      </c>
      <c r="T78" s="13" t="s">
        <v>78</v>
      </c>
      <c r="U78" s="13" t="s">
        <v>79</v>
      </c>
      <c r="V78" s="13" t="s">
        <v>106</v>
      </c>
      <c r="W78" s="13" t="s">
        <v>64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  <c r="AU78" s="22" t="s">
        <v>3751</v>
      </c>
    </row>
    <row r="79" spans="1:47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47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556</v>
      </c>
      <c r="K79" s="155" t="s">
        <v>557</v>
      </c>
      <c r="L79" s="17" t="s">
        <v>92</v>
      </c>
      <c r="M79" s="13" t="s">
        <v>60</v>
      </c>
      <c r="N79" s="13">
        <v>1</v>
      </c>
      <c r="O79" s="13"/>
      <c r="P79" s="33" t="str">
        <f t="shared" si="18"/>
        <v>MAIN UNIT</v>
      </c>
      <c r="Q79" s="13" t="s">
        <v>68</v>
      </c>
      <c r="R79" s="13" t="s">
        <v>62</v>
      </c>
      <c r="S79" s="13" t="s">
        <v>49</v>
      </c>
      <c r="T79" s="13" t="s">
        <v>78</v>
      </c>
      <c r="U79" s="13" t="s">
        <v>79</v>
      </c>
      <c r="V79" s="13" t="s">
        <v>106</v>
      </c>
      <c r="W79" s="13" t="s">
        <v>64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  <c r="AU79" s="22" t="s">
        <v>3751</v>
      </c>
    </row>
    <row r="80" spans="1:47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3078</v>
      </c>
      <c r="G80" s="152" t="s">
        <v>3078</v>
      </c>
      <c r="H80" s="155"/>
      <c r="I80" s="33" t="str">
        <f t="shared" si="17"/>
        <v>TBA</v>
      </c>
      <c r="J80" s="186" t="s">
        <v>3108</v>
      </c>
      <c r="K80" s="155" t="s">
        <v>3109</v>
      </c>
      <c r="L80" s="155" t="s">
        <v>3110</v>
      </c>
      <c r="M80" s="13" t="s">
        <v>2630</v>
      </c>
      <c r="N80" s="13">
        <v>1</v>
      </c>
      <c r="O80" s="13"/>
      <c r="P80" s="33" t="str">
        <f t="shared" si="18"/>
        <v>MAIN UNIT</v>
      </c>
      <c r="Q80" s="13" t="s">
        <v>68</v>
      </c>
      <c r="R80" s="13" t="s">
        <v>62</v>
      </c>
      <c r="S80" s="13" t="s">
        <v>50</v>
      </c>
      <c r="T80" s="13" t="s">
        <v>88</v>
      </c>
      <c r="U80" s="13" t="s">
        <v>70</v>
      </c>
      <c r="V80" s="13" t="s">
        <v>543</v>
      </c>
      <c r="W80" s="13" t="s">
        <v>2507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30033846.584070798</v>
      </c>
      <c r="AJ80" s="19">
        <f t="shared" si="24"/>
        <v>3534936.4750884958</v>
      </c>
      <c r="AK80" s="20">
        <f t="shared" si="25"/>
        <v>0.11769842618039268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  <c r="AU80" s="22" t="s">
        <v>3240</v>
      </c>
    </row>
    <row r="81" spans="1:47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41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488</v>
      </c>
      <c r="K81" s="155" t="s">
        <v>489</v>
      </c>
      <c r="L81" s="17" t="s">
        <v>484</v>
      </c>
      <c r="M81" s="13" t="s">
        <v>60</v>
      </c>
      <c r="N81" s="13">
        <v>1</v>
      </c>
      <c r="O81" s="13"/>
      <c r="P81" s="33" t="str">
        <f t="shared" si="18"/>
        <v>MAIN UNIT</v>
      </c>
      <c r="Q81" s="13" t="s">
        <v>61</v>
      </c>
      <c r="R81" s="13" t="s">
        <v>62</v>
      </c>
      <c r="S81" s="13" t="s">
        <v>49</v>
      </c>
      <c r="T81" s="13" t="s">
        <v>249</v>
      </c>
      <c r="U81" s="13"/>
      <c r="V81" s="13" t="s">
        <v>112</v>
      </c>
      <c r="W81" s="13" t="s">
        <v>109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490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  <c r="AU81" s="22" t="s">
        <v>3745</v>
      </c>
    </row>
    <row r="82" spans="1:47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54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2422</v>
      </c>
      <c r="K82" s="155" t="s">
        <v>2423</v>
      </c>
      <c r="L82" s="17" t="s">
        <v>67</v>
      </c>
      <c r="M82" s="13" t="s">
        <v>60</v>
      </c>
      <c r="N82" s="13">
        <v>1</v>
      </c>
      <c r="O82" s="13"/>
      <c r="P82" s="33" t="str">
        <f t="shared" si="18"/>
        <v>MAIN UNIT</v>
      </c>
      <c r="Q82" s="13" t="s">
        <v>68</v>
      </c>
      <c r="R82" s="13" t="s">
        <v>62</v>
      </c>
      <c r="S82" s="13" t="s">
        <v>49</v>
      </c>
      <c r="T82" s="13" t="s">
        <v>78</v>
      </c>
      <c r="U82" s="13" t="s">
        <v>79</v>
      </c>
      <c r="V82" s="13" t="s">
        <v>311</v>
      </c>
      <c r="W82" s="13" t="s">
        <v>901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  <c r="AU82" s="22" t="s">
        <v>3746</v>
      </c>
    </row>
    <row r="83" spans="1:47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54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2422</v>
      </c>
      <c r="K83" s="155" t="s">
        <v>2423</v>
      </c>
      <c r="L83" s="17" t="s">
        <v>67</v>
      </c>
      <c r="M83" s="13" t="s">
        <v>60</v>
      </c>
      <c r="N83" s="13">
        <v>1</v>
      </c>
      <c r="O83" s="13"/>
      <c r="P83" s="33" t="str">
        <f t="shared" si="18"/>
        <v>MAIN UNIT</v>
      </c>
      <c r="Q83" s="13" t="s">
        <v>68</v>
      </c>
      <c r="R83" s="13" t="s">
        <v>62</v>
      </c>
      <c r="S83" s="13" t="s">
        <v>49</v>
      </c>
      <c r="T83" s="13" t="s">
        <v>78</v>
      </c>
      <c r="U83" s="13" t="s">
        <v>79</v>
      </c>
      <c r="V83" s="13" t="s">
        <v>311</v>
      </c>
      <c r="W83" s="13" t="s">
        <v>901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  <c r="AU83" s="22" t="s">
        <v>3746</v>
      </c>
    </row>
    <row r="84" spans="1:47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55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2504</v>
      </c>
      <c r="K84" s="155" t="s">
        <v>2505</v>
      </c>
      <c r="L84" s="17" t="s">
        <v>92</v>
      </c>
      <c r="M84" s="13" t="s">
        <v>60</v>
      </c>
      <c r="N84" s="13">
        <v>1</v>
      </c>
      <c r="O84" s="13"/>
      <c r="P84" s="33" t="str">
        <f t="shared" si="18"/>
        <v>MAIN UNIT</v>
      </c>
      <c r="Q84" s="13" t="s">
        <v>68</v>
      </c>
      <c r="R84" s="13" t="s">
        <v>62</v>
      </c>
      <c r="S84" s="13" t="s">
        <v>49</v>
      </c>
      <c r="T84" s="13" t="s">
        <v>78</v>
      </c>
      <c r="U84" s="13" t="s">
        <v>79</v>
      </c>
      <c r="V84" s="13" t="s">
        <v>2506</v>
      </c>
      <c r="W84" s="13" t="s">
        <v>2507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  <c r="AU84" s="22" t="s">
        <v>3746</v>
      </c>
    </row>
    <row r="85" spans="1:47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3064</v>
      </c>
      <c r="K85" s="155" t="s">
        <v>2505</v>
      </c>
      <c r="L85" s="17" t="s">
        <v>3065</v>
      </c>
      <c r="M85" s="13" t="s">
        <v>2607</v>
      </c>
      <c r="N85" s="13">
        <v>1</v>
      </c>
      <c r="O85" s="13"/>
      <c r="P85" s="33" t="str">
        <f t="shared" si="18"/>
        <v>MAIN UNIT</v>
      </c>
      <c r="Q85" s="13" t="s">
        <v>68</v>
      </c>
      <c r="R85" s="13" t="s">
        <v>2055</v>
      </c>
      <c r="S85" s="13" t="s">
        <v>49</v>
      </c>
      <c r="T85" s="13" t="s">
        <v>78</v>
      </c>
      <c r="U85" s="13" t="s">
        <v>79</v>
      </c>
      <c r="V85" s="13" t="s">
        <v>2506</v>
      </c>
      <c r="W85" s="13" t="s">
        <v>2507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  <c r="AU85" s="22" t="s">
        <v>3746</v>
      </c>
    </row>
    <row r="86" spans="1:47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3122</v>
      </c>
      <c r="K86" s="155" t="s">
        <v>2505</v>
      </c>
      <c r="L86" s="17" t="s">
        <v>92</v>
      </c>
      <c r="M86" s="13" t="s">
        <v>60</v>
      </c>
      <c r="N86" s="13">
        <v>1</v>
      </c>
      <c r="O86" s="13"/>
      <c r="P86" s="33" t="str">
        <f t="shared" si="18"/>
        <v>MAIN UNIT</v>
      </c>
      <c r="Q86" s="13" t="s">
        <v>61</v>
      </c>
      <c r="R86" s="13" t="s">
        <v>62</v>
      </c>
      <c r="S86" s="13" t="s">
        <v>49</v>
      </c>
      <c r="T86" s="13" t="s">
        <v>78</v>
      </c>
      <c r="U86" s="13" t="s">
        <v>3123</v>
      </c>
      <c r="V86" s="13" t="s">
        <v>2057</v>
      </c>
      <c r="W86" s="13" t="s">
        <v>901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  <c r="AU86" s="22" t="s">
        <v>3746</v>
      </c>
    </row>
    <row r="87" spans="1:47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3124</v>
      </c>
      <c r="K87" s="155" t="s">
        <v>2505</v>
      </c>
      <c r="L87" s="24" t="s">
        <v>3125</v>
      </c>
      <c r="M87" s="22" t="s">
        <v>2832</v>
      </c>
      <c r="N87" s="22">
        <v>1</v>
      </c>
      <c r="O87" s="22"/>
      <c r="P87" s="33" t="str">
        <f t="shared" si="18"/>
        <v>MAIN UNIT</v>
      </c>
      <c r="Q87" s="13" t="s">
        <v>61</v>
      </c>
      <c r="R87" s="22" t="s">
        <v>2055</v>
      </c>
      <c r="S87" s="22" t="s">
        <v>49</v>
      </c>
      <c r="T87" s="22" t="s">
        <v>78</v>
      </c>
      <c r="U87" s="22" t="s">
        <v>3123</v>
      </c>
      <c r="V87" s="22" t="s">
        <v>3126</v>
      </c>
      <c r="W87" s="22" t="s">
        <v>901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  <c r="AU87" s="22" t="s">
        <v>3746</v>
      </c>
    </row>
    <row r="88" spans="1:47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3124</v>
      </c>
      <c r="K88" s="155" t="s">
        <v>2505</v>
      </c>
      <c r="L88" s="24" t="s">
        <v>3129</v>
      </c>
      <c r="M88" s="22" t="s">
        <v>2607</v>
      </c>
      <c r="N88" s="22">
        <v>1</v>
      </c>
      <c r="O88" s="22"/>
      <c r="P88" s="33" t="str">
        <f t="shared" si="18"/>
        <v>MAIN UNIT</v>
      </c>
      <c r="Q88" s="13" t="s">
        <v>61</v>
      </c>
      <c r="R88" s="22" t="s">
        <v>2055</v>
      </c>
      <c r="S88" s="22" t="s">
        <v>49</v>
      </c>
      <c r="T88" s="22" t="s">
        <v>78</v>
      </c>
      <c r="U88" s="22" t="s">
        <v>3123</v>
      </c>
      <c r="V88" s="22" t="s">
        <v>3126</v>
      </c>
      <c r="W88" s="22" t="s">
        <v>901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  <c r="AU88" s="22" t="s">
        <v>3746</v>
      </c>
    </row>
    <row r="89" spans="1:47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56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124</v>
      </c>
      <c r="K89" s="155" t="s">
        <v>125</v>
      </c>
      <c r="L89" s="17" t="s">
        <v>77</v>
      </c>
      <c r="M89" s="13" t="s">
        <v>60</v>
      </c>
      <c r="N89" s="13">
        <v>1</v>
      </c>
      <c r="O89" s="13"/>
      <c r="P89" s="33" t="str">
        <f t="shared" si="18"/>
        <v>MAIN UNIT</v>
      </c>
      <c r="Q89" s="13" t="s">
        <v>68</v>
      </c>
      <c r="R89" s="13" t="s">
        <v>62</v>
      </c>
      <c r="S89" s="13" t="s">
        <v>49</v>
      </c>
      <c r="T89" s="13"/>
      <c r="U89" s="13"/>
      <c r="V89" s="13" t="s">
        <v>126</v>
      </c>
      <c r="W89" s="13" t="s">
        <v>109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  <c r="AU89" s="22" t="s">
        <v>3746</v>
      </c>
    </row>
    <row r="90" spans="1:47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41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199</v>
      </c>
      <c r="K90" s="155" t="s">
        <v>200</v>
      </c>
      <c r="L90" s="17" t="s">
        <v>92</v>
      </c>
      <c r="M90" s="13" t="s">
        <v>60</v>
      </c>
      <c r="N90" s="13">
        <v>2</v>
      </c>
      <c r="O90" s="13"/>
      <c r="P90" s="33" t="str">
        <f t="shared" si="18"/>
        <v>MAIN UNIT</v>
      </c>
      <c r="Q90" s="13" t="s">
        <v>61</v>
      </c>
      <c r="R90" s="13" t="s">
        <v>62</v>
      </c>
      <c r="S90" s="13" t="s">
        <v>49</v>
      </c>
      <c r="T90" s="13" t="s">
        <v>78</v>
      </c>
      <c r="U90" s="13" t="s">
        <v>79</v>
      </c>
      <c r="V90" s="13" t="s">
        <v>80</v>
      </c>
      <c r="W90" s="13" t="s">
        <v>109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  <c r="AU90" s="22" t="s">
        <v>3746</v>
      </c>
    </row>
    <row r="91" spans="1:47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41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199</v>
      </c>
      <c r="K91" s="155" t="s">
        <v>200</v>
      </c>
      <c r="L91" s="17" t="s">
        <v>67</v>
      </c>
      <c r="M91" s="13" t="s">
        <v>60</v>
      </c>
      <c r="N91" s="13">
        <v>2</v>
      </c>
      <c r="O91" s="13"/>
      <c r="P91" s="33" t="str">
        <f t="shared" si="18"/>
        <v>MAIN UNIT</v>
      </c>
      <c r="Q91" s="13" t="s">
        <v>61</v>
      </c>
      <c r="R91" s="13" t="s">
        <v>62</v>
      </c>
      <c r="S91" s="13" t="s">
        <v>49</v>
      </c>
      <c r="T91" s="13" t="s">
        <v>78</v>
      </c>
      <c r="U91" s="13" t="s">
        <v>79</v>
      </c>
      <c r="V91" s="13" t="s">
        <v>80</v>
      </c>
      <c r="W91" s="13" t="s">
        <v>109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  <c r="AU91" s="22" t="s">
        <v>3746</v>
      </c>
    </row>
    <row r="92" spans="1:47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41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259</v>
      </c>
      <c r="K92" s="155" t="s">
        <v>200</v>
      </c>
      <c r="L92" s="17" t="s">
        <v>67</v>
      </c>
      <c r="M92" s="13" t="s">
        <v>60</v>
      </c>
      <c r="N92" s="13">
        <v>1</v>
      </c>
      <c r="O92" s="13"/>
      <c r="P92" s="33" t="str">
        <f t="shared" si="18"/>
        <v>MAIN UNIT</v>
      </c>
      <c r="Q92" s="13" t="s">
        <v>61</v>
      </c>
      <c r="R92" s="13" t="s">
        <v>260</v>
      </c>
      <c r="S92" s="13" t="s">
        <v>261</v>
      </c>
      <c r="T92" s="13" t="s">
        <v>262</v>
      </c>
      <c r="U92" s="13" t="s">
        <v>263</v>
      </c>
      <c r="V92" s="13" t="s">
        <v>264</v>
      </c>
      <c r="W92" s="13" t="s">
        <v>265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  <c r="AU92" s="22" t="s">
        <v>3746</v>
      </c>
    </row>
    <row r="93" spans="1:47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185</v>
      </c>
      <c r="F93" s="13" t="s">
        <v>185</v>
      </c>
      <c r="G93" s="152" t="s">
        <v>185</v>
      </c>
      <c r="H93" s="155"/>
      <c r="I93" s="33" t="str">
        <f t="shared" si="17"/>
        <v>Cancel</v>
      </c>
      <c r="J93" s="186" t="s">
        <v>589</v>
      </c>
      <c r="K93" s="155" t="s">
        <v>200</v>
      </c>
      <c r="L93" s="17" t="s">
        <v>92</v>
      </c>
      <c r="M93" s="13" t="s">
        <v>60</v>
      </c>
      <c r="N93" s="13">
        <v>2</v>
      </c>
      <c r="O93" s="13"/>
      <c r="P93" s="33" t="str">
        <f t="shared" si="18"/>
        <v>MAIN UNIT</v>
      </c>
      <c r="Q93" s="13" t="s">
        <v>61</v>
      </c>
      <c r="R93" s="13" t="s">
        <v>62</v>
      </c>
      <c r="S93" s="13" t="s">
        <v>49</v>
      </c>
      <c r="T93" s="13" t="s">
        <v>78</v>
      </c>
      <c r="U93" s="13" t="s">
        <v>79</v>
      </c>
      <c r="V93" s="13" t="s">
        <v>80</v>
      </c>
      <c r="W93" s="13" t="s">
        <v>109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499582152.5142017</v>
      </c>
      <c r="AJ93" s="19">
        <f t="shared" si="24"/>
        <v>59520528.679470733</v>
      </c>
      <c r="AK93" s="20">
        <f t="shared" si="25"/>
        <v>0.11914062257814291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  <c r="AU93" s="22" t="s">
        <v>3746</v>
      </c>
    </row>
    <row r="94" spans="1:47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185</v>
      </c>
      <c r="F94" s="13" t="s">
        <v>185</v>
      </c>
      <c r="G94" s="152" t="s">
        <v>185</v>
      </c>
      <c r="H94" s="155"/>
      <c r="I94" s="33" t="str">
        <f t="shared" si="17"/>
        <v>Cancel</v>
      </c>
      <c r="J94" s="186" t="s">
        <v>589</v>
      </c>
      <c r="K94" s="155" t="s">
        <v>200</v>
      </c>
      <c r="L94" s="17" t="s">
        <v>67</v>
      </c>
      <c r="M94" s="13" t="s">
        <v>60</v>
      </c>
      <c r="N94" s="13">
        <v>2</v>
      </c>
      <c r="O94" s="13"/>
      <c r="P94" s="33" t="str">
        <f t="shared" si="18"/>
        <v>MAIN UNIT</v>
      </c>
      <c r="Q94" s="13" t="s">
        <v>61</v>
      </c>
      <c r="R94" s="13" t="s">
        <v>62</v>
      </c>
      <c r="S94" s="13" t="s">
        <v>49</v>
      </c>
      <c r="T94" s="13" t="s">
        <v>78</v>
      </c>
      <c r="U94" s="13" t="s">
        <v>79</v>
      </c>
      <c r="V94" s="13" t="s">
        <v>80</v>
      </c>
      <c r="W94" s="13" t="s">
        <v>109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499582152.5142017</v>
      </c>
      <c r="AJ94" s="19">
        <f t="shared" si="24"/>
        <v>59520528.679470733</v>
      </c>
      <c r="AK94" s="20">
        <f t="shared" si="25"/>
        <v>0.11914062257814291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  <c r="AU94" s="22" t="s">
        <v>3746</v>
      </c>
    </row>
    <row r="95" spans="1:47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41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853</v>
      </c>
      <c r="K95" s="155" t="s">
        <v>200</v>
      </c>
      <c r="L95" s="17" t="s">
        <v>67</v>
      </c>
      <c r="M95" s="13" t="s">
        <v>60</v>
      </c>
      <c r="N95" s="13">
        <v>1</v>
      </c>
      <c r="O95" s="13"/>
      <c r="P95" s="33" t="str">
        <f t="shared" si="18"/>
        <v>MAIN UNIT</v>
      </c>
      <c r="Q95" s="13" t="s">
        <v>61</v>
      </c>
      <c r="R95" s="13" t="s">
        <v>62</v>
      </c>
      <c r="S95" s="13" t="s">
        <v>49</v>
      </c>
      <c r="T95" s="13" t="s">
        <v>78</v>
      </c>
      <c r="U95" s="13" t="s">
        <v>79</v>
      </c>
      <c r="V95" s="13" t="s">
        <v>80</v>
      </c>
      <c r="W95" s="13" t="s">
        <v>109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  <c r="AU95" s="22" t="s">
        <v>3746</v>
      </c>
    </row>
    <row r="96" spans="1:47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41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853</v>
      </c>
      <c r="K96" s="155" t="s">
        <v>200</v>
      </c>
      <c r="L96" s="17" t="s">
        <v>67</v>
      </c>
      <c r="M96" s="13" t="s">
        <v>60</v>
      </c>
      <c r="N96" s="13">
        <v>1</v>
      </c>
      <c r="O96" s="13"/>
      <c r="P96" s="33" t="str">
        <f t="shared" si="18"/>
        <v>MAIN UNIT</v>
      </c>
      <c r="Q96" s="13" t="s">
        <v>61</v>
      </c>
      <c r="R96" s="13" t="s">
        <v>62</v>
      </c>
      <c r="S96" s="13" t="s">
        <v>49</v>
      </c>
      <c r="T96" s="13" t="s">
        <v>78</v>
      </c>
      <c r="U96" s="13" t="s">
        <v>79</v>
      </c>
      <c r="V96" s="13" t="s">
        <v>80</v>
      </c>
      <c r="W96" s="13" t="s">
        <v>109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  <c r="AU96" s="22" t="s">
        <v>3746</v>
      </c>
    </row>
    <row r="97" spans="1:47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41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853</v>
      </c>
      <c r="K97" s="155" t="s">
        <v>200</v>
      </c>
      <c r="L97" s="17" t="s">
        <v>92</v>
      </c>
      <c r="M97" s="13" t="s">
        <v>60</v>
      </c>
      <c r="N97" s="13">
        <v>1</v>
      </c>
      <c r="O97" s="13"/>
      <c r="P97" s="33" t="str">
        <f t="shared" si="18"/>
        <v>MAIN UNIT</v>
      </c>
      <c r="Q97" s="13" t="s">
        <v>61</v>
      </c>
      <c r="R97" s="13" t="s">
        <v>62</v>
      </c>
      <c r="S97" s="13" t="s">
        <v>49</v>
      </c>
      <c r="T97" s="13" t="s">
        <v>78</v>
      </c>
      <c r="U97" s="13" t="s">
        <v>79</v>
      </c>
      <c r="V97" s="13" t="s">
        <v>80</v>
      </c>
      <c r="W97" s="13" t="s">
        <v>109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  <c r="AU97" s="22" t="s">
        <v>3746</v>
      </c>
    </row>
    <row r="98" spans="1:47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41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853</v>
      </c>
      <c r="K98" s="155" t="s">
        <v>200</v>
      </c>
      <c r="L98" s="17" t="s">
        <v>92</v>
      </c>
      <c r="M98" s="13" t="s">
        <v>60</v>
      </c>
      <c r="N98" s="13">
        <v>1</v>
      </c>
      <c r="O98" s="13"/>
      <c r="P98" s="33" t="str">
        <f t="shared" si="18"/>
        <v>MAIN UNIT</v>
      </c>
      <c r="Q98" s="13" t="s">
        <v>61</v>
      </c>
      <c r="R98" s="13" t="s">
        <v>62</v>
      </c>
      <c r="S98" s="13" t="s">
        <v>49</v>
      </c>
      <c r="T98" s="13" t="s">
        <v>78</v>
      </c>
      <c r="U98" s="13" t="s">
        <v>79</v>
      </c>
      <c r="V98" s="13" t="s">
        <v>80</v>
      </c>
      <c r="W98" s="13" t="s">
        <v>109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  <c r="AU98" s="22" t="s">
        <v>3746</v>
      </c>
    </row>
    <row r="99" spans="1:47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54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2311</v>
      </c>
      <c r="K99" s="155" t="s">
        <v>2312</v>
      </c>
      <c r="L99" s="17" t="s">
        <v>92</v>
      </c>
      <c r="M99" s="13" t="s">
        <v>60</v>
      </c>
      <c r="N99" s="13">
        <v>1</v>
      </c>
      <c r="O99" s="13"/>
      <c r="P99" s="33" t="str">
        <f t="shared" si="18"/>
        <v>MAIN UNIT</v>
      </c>
      <c r="Q99" s="13" t="s">
        <v>61</v>
      </c>
      <c r="R99" s="13" t="s">
        <v>62</v>
      </c>
      <c r="S99" s="13" t="s">
        <v>49</v>
      </c>
      <c r="T99" s="13" t="s">
        <v>78</v>
      </c>
      <c r="U99" s="13" t="s">
        <v>79</v>
      </c>
      <c r="V99" s="13" t="s">
        <v>1002</v>
      </c>
      <c r="W99" s="13" t="s">
        <v>109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  <c r="AU99" s="22" t="s">
        <v>3746</v>
      </c>
    </row>
    <row r="100" spans="1:47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54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2311</v>
      </c>
      <c r="K100" s="155" t="s">
        <v>2312</v>
      </c>
      <c r="L100" s="17" t="s">
        <v>92</v>
      </c>
      <c r="M100" s="13" t="s">
        <v>60</v>
      </c>
      <c r="N100" s="13">
        <v>1</v>
      </c>
      <c r="O100" s="13"/>
      <c r="P100" s="33" t="str">
        <f t="shared" si="18"/>
        <v>MAIN UNIT</v>
      </c>
      <c r="Q100" s="13" t="s">
        <v>61</v>
      </c>
      <c r="R100" s="13" t="s">
        <v>62</v>
      </c>
      <c r="S100" s="13" t="s">
        <v>49</v>
      </c>
      <c r="T100" s="13" t="s">
        <v>78</v>
      </c>
      <c r="U100" s="13" t="s">
        <v>79</v>
      </c>
      <c r="V100" s="13" t="s">
        <v>1002</v>
      </c>
      <c r="W100" s="13" t="s">
        <v>109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  <c r="AU100" s="22" t="s">
        <v>3746</v>
      </c>
    </row>
    <row r="101" spans="1:47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54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2313</v>
      </c>
      <c r="K101" s="155" t="s">
        <v>2312</v>
      </c>
      <c r="L101" s="17" t="s">
        <v>92</v>
      </c>
      <c r="M101" s="13" t="s">
        <v>60</v>
      </c>
      <c r="N101" s="13">
        <v>1</v>
      </c>
      <c r="O101" s="13"/>
      <c r="P101" s="33" t="str">
        <f t="shared" si="18"/>
        <v>MAIN UNIT</v>
      </c>
      <c r="Q101" s="13" t="s">
        <v>61</v>
      </c>
      <c r="R101" s="13" t="s">
        <v>62</v>
      </c>
      <c r="S101" s="13" t="s">
        <v>49</v>
      </c>
      <c r="T101" s="13" t="s">
        <v>78</v>
      </c>
      <c r="U101" s="13" t="s">
        <v>79</v>
      </c>
      <c r="V101" s="13" t="s">
        <v>1002</v>
      </c>
      <c r="W101" s="13" t="s">
        <v>109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  <c r="AU101" s="22" t="s">
        <v>3746</v>
      </c>
    </row>
    <row r="102" spans="1:47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54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2313</v>
      </c>
      <c r="K102" s="155" t="s">
        <v>2312</v>
      </c>
      <c r="L102" s="17" t="s">
        <v>92</v>
      </c>
      <c r="M102" s="13" t="s">
        <v>60</v>
      </c>
      <c r="N102" s="13">
        <v>1</v>
      </c>
      <c r="O102" s="13"/>
      <c r="P102" s="33" t="str">
        <f t="shared" si="18"/>
        <v>MAIN UNIT</v>
      </c>
      <c r="Q102" s="13" t="s">
        <v>61</v>
      </c>
      <c r="R102" s="13" t="s">
        <v>62</v>
      </c>
      <c r="S102" s="13" t="s">
        <v>49</v>
      </c>
      <c r="T102" s="13" t="s">
        <v>78</v>
      </c>
      <c r="U102" s="13" t="s">
        <v>79</v>
      </c>
      <c r="V102" s="13" t="s">
        <v>1002</v>
      </c>
      <c r="W102" s="13" t="s">
        <v>109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  <c r="AU102" s="22" t="s">
        <v>3746</v>
      </c>
    </row>
    <row r="103" spans="1:47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54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2313</v>
      </c>
      <c r="K103" s="155" t="s">
        <v>2312</v>
      </c>
      <c r="L103" s="17" t="s">
        <v>67</v>
      </c>
      <c r="M103" s="13" t="s">
        <v>60</v>
      </c>
      <c r="N103" s="13">
        <v>1</v>
      </c>
      <c r="O103" s="13"/>
      <c r="P103" s="33" t="str">
        <f t="shared" si="18"/>
        <v>MAIN UNIT</v>
      </c>
      <c r="Q103" s="13" t="s">
        <v>61</v>
      </c>
      <c r="R103" s="13" t="s">
        <v>62</v>
      </c>
      <c r="S103" s="13" t="s">
        <v>49</v>
      </c>
      <c r="T103" s="13" t="s">
        <v>78</v>
      </c>
      <c r="U103" s="13" t="s">
        <v>79</v>
      </c>
      <c r="V103" s="13" t="s">
        <v>1002</v>
      </c>
      <c r="W103" s="13" t="s">
        <v>109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  <c r="AU103" s="22" t="s">
        <v>3746</v>
      </c>
    </row>
    <row r="104" spans="1:47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54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2313</v>
      </c>
      <c r="K104" s="155" t="s">
        <v>2312</v>
      </c>
      <c r="L104" s="17" t="s">
        <v>67</v>
      </c>
      <c r="M104" s="13" t="s">
        <v>60</v>
      </c>
      <c r="N104" s="13">
        <v>1</v>
      </c>
      <c r="O104" s="13"/>
      <c r="P104" s="33" t="str">
        <f t="shared" si="18"/>
        <v>MAIN UNIT</v>
      </c>
      <c r="Q104" s="13" t="s">
        <v>61</v>
      </c>
      <c r="R104" s="13" t="s">
        <v>62</v>
      </c>
      <c r="S104" s="13" t="s">
        <v>49</v>
      </c>
      <c r="T104" s="13" t="s">
        <v>78</v>
      </c>
      <c r="U104" s="13" t="s">
        <v>79</v>
      </c>
      <c r="V104" s="13" t="s">
        <v>1002</v>
      </c>
      <c r="W104" s="13" t="s">
        <v>109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  <c r="AU104" s="22" t="s">
        <v>3746</v>
      </c>
    </row>
    <row r="105" spans="1:47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41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2829</v>
      </c>
      <c r="K105" s="155" t="s">
        <v>2830</v>
      </c>
      <c r="L105" s="17" t="s">
        <v>2831</v>
      </c>
      <c r="M105" s="13" t="s">
        <v>2832</v>
      </c>
      <c r="N105" s="13">
        <v>2</v>
      </c>
      <c r="O105" s="13"/>
      <c r="P105" s="33" t="str">
        <f t="shared" si="18"/>
        <v>MAIN UNIT</v>
      </c>
      <c r="Q105" s="13" t="s">
        <v>61</v>
      </c>
      <c r="R105" s="13" t="s">
        <v>2055</v>
      </c>
      <c r="S105" s="13" t="s">
        <v>49</v>
      </c>
      <c r="T105" s="13"/>
      <c r="U105" s="13" t="s">
        <v>79</v>
      </c>
      <c r="V105" s="13" t="s">
        <v>2833</v>
      </c>
      <c r="W105" s="13" t="s">
        <v>64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2834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  <c r="AU105" s="22" t="s">
        <v>3751</v>
      </c>
    </row>
    <row r="106" spans="1:47" s="12" customFormat="1">
      <c r="A106" s="33" t="str">
        <f t="shared" si="31"/>
        <v>cancel</v>
      </c>
      <c r="B106" s="152"/>
      <c r="C106" s="152" t="s">
        <v>185</v>
      </c>
      <c r="D106" s="33" t="str">
        <f t="shared" si="16"/>
        <v/>
      </c>
      <c r="E106" s="33" t="s">
        <v>185</v>
      </c>
      <c r="F106" s="13" t="s">
        <v>185</v>
      </c>
      <c r="G106" s="152" t="s">
        <v>185</v>
      </c>
      <c r="H106" s="155"/>
      <c r="I106" s="33" t="str">
        <f t="shared" si="17"/>
        <v>Cancel</v>
      </c>
      <c r="J106" s="186" t="s">
        <v>2639</v>
      </c>
      <c r="K106" s="155" t="s">
        <v>2640</v>
      </c>
      <c r="L106" s="17" t="s">
        <v>67</v>
      </c>
      <c r="M106" s="13" t="s">
        <v>60</v>
      </c>
      <c r="N106" s="13">
        <v>2</v>
      </c>
      <c r="O106" s="13"/>
      <c r="P106" s="33" t="str">
        <f t="shared" si="18"/>
        <v>MAIN UNIT</v>
      </c>
      <c r="Q106" s="13" t="s">
        <v>68</v>
      </c>
      <c r="R106" s="13" t="s">
        <v>62</v>
      </c>
      <c r="S106" s="13" t="s">
        <v>49</v>
      </c>
      <c r="T106" s="13" t="s">
        <v>78</v>
      </c>
      <c r="U106" s="13" t="s">
        <v>79</v>
      </c>
      <c r="V106" s="13" t="s">
        <v>112</v>
      </c>
      <c r="W106" s="13" t="s">
        <v>109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499582152.5142017</v>
      </c>
      <c r="AJ106" s="19">
        <f t="shared" si="24"/>
        <v>59520528.679470733</v>
      </c>
      <c r="AK106" s="20">
        <f t="shared" si="25"/>
        <v>0.11914062257814291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  <c r="AU106" s="22" t="s">
        <v>3745</v>
      </c>
    </row>
    <row r="107" spans="1:47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41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135</v>
      </c>
      <c r="K107" s="155" t="s">
        <v>136</v>
      </c>
      <c r="L107" s="17" t="s">
        <v>77</v>
      </c>
      <c r="M107" s="13" t="s">
        <v>60</v>
      </c>
      <c r="N107" s="13">
        <v>2</v>
      </c>
      <c r="O107" s="13"/>
      <c r="P107" s="33" t="str">
        <f t="shared" si="18"/>
        <v>MAIN UNIT</v>
      </c>
      <c r="Q107" s="13" t="s">
        <v>61</v>
      </c>
      <c r="R107" s="13" t="s">
        <v>62</v>
      </c>
      <c r="S107" s="13" t="s">
        <v>49</v>
      </c>
      <c r="T107" s="13" t="s">
        <v>78</v>
      </c>
      <c r="U107" s="13" t="s">
        <v>79</v>
      </c>
      <c r="V107" s="13" t="s">
        <v>131</v>
      </c>
      <c r="W107" s="13" t="s">
        <v>109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  <c r="AU107" s="22" t="s">
        <v>3746</v>
      </c>
    </row>
    <row r="108" spans="1:47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56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135</v>
      </c>
      <c r="K108" s="155" t="s">
        <v>136</v>
      </c>
      <c r="L108" s="17" t="s">
        <v>77</v>
      </c>
      <c r="M108" s="13" t="s">
        <v>60</v>
      </c>
      <c r="N108" s="13">
        <v>2</v>
      </c>
      <c r="O108" s="13"/>
      <c r="P108" s="33" t="str">
        <f t="shared" si="18"/>
        <v>MAIN UNIT</v>
      </c>
      <c r="Q108" s="13" t="s">
        <v>61</v>
      </c>
      <c r="R108" s="13" t="s">
        <v>62</v>
      </c>
      <c r="S108" s="13" t="s">
        <v>49</v>
      </c>
      <c r="T108" s="13" t="s">
        <v>78</v>
      </c>
      <c r="U108" s="13" t="s">
        <v>79</v>
      </c>
      <c r="V108" s="13" t="s">
        <v>131</v>
      </c>
      <c r="W108" s="13" t="s">
        <v>109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154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  <c r="AU108" s="22" t="s">
        <v>3746</v>
      </c>
    </row>
    <row r="109" spans="1:47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41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183</v>
      </c>
      <c r="K109" s="155" t="s">
        <v>184</v>
      </c>
      <c r="L109" s="17" t="s">
        <v>77</v>
      </c>
      <c r="M109" s="13" t="s">
        <v>60</v>
      </c>
      <c r="N109" s="13">
        <v>1</v>
      </c>
      <c r="O109" s="13"/>
      <c r="P109" s="33" t="str">
        <f t="shared" si="18"/>
        <v>MAIN UNIT</v>
      </c>
      <c r="Q109" s="13" t="s">
        <v>68</v>
      </c>
      <c r="R109" s="13" t="s">
        <v>62</v>
      </c>
      <c r="S109" s="13" t="s">
        <v>49</v>
      </c>
      <c r="T109" s="13" t="s">
        <v>78</v>
      </c>
      <c r="U109" s="13" t="s">
        <v>79</v>
      </c>
      <c r="V109" s="13" t="s">
        <v>126</v>
      </c>
      <c r="W109" s="13" t="s">
        <v>109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  <c r="AU109" s="22" t="s">
        <v>3745</v>
      </c>
    </row>
    <row r="110" spans="1:47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55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2058</v>
      </c>
      <c r="K110" s="155" t="s">
        <v>2059</v>
      </c>
      <c r="L110" s="17" t="s">
        <v>2060</v>
      </c>
      <c r="M110" s="13" t="s">
        <v>2054</v>
      </c>
      <c r="N110" s="13">
        <v>1</v>
      </c>
      <c r="O110" s="13"/>
      <c r="P110" s="33" t="str">
        <f t="shared" si="18"/>
        <v>MAIN UNIT</v>
      </c>
      <c r="Q110" s="13" t="s">
        <v>61</v>
      </c>
      <c r="R110" s="13" t="s">
        <v>2055</v>
      </c>
      <c r="S110" s="13" t="s">
        <v>50</v>
      </c>
      <c r="T110" s="13" t="s">
        <v>78</v>
      </c>
      <c r="U110" s="13" t="s">
        <v>2056</v>
      </c>
      <c r="V110" s="13" t="s">
        <v>2057</v>
      </c>
      <c r="W110" s="13" t="s">
        <v>64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  <c r="AU110" s="22" t="s">
        <v>3240</v>
      </c>
    </row>
    <row r="111" spans="1:47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48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2899</v>
      </c>
      <c r="K111" s="155" t="s">
        <v>2059</v>
      </c>
      <c r="L111" s="17" t="s">
        <v>2060</v>
      </c>
      <c r="M111" s="13" t="s">
        <v>2054</v>
      </c>
      <c r="N111" s="13">
        <v>1</v>
      </c>
      <c r="O111" s="13"/>
      <c r="P111" s="33" t="str">
        <f t="shared" si="18"/>
        <v>MAIN UNIT</v>
      </c>
      <c r="Q111" s="13" t="s">
        <v>68</v>
      </c>
      <c r="R111" s="13" t="s">
        <v>2055</v>
      </c>
      <c r="S111" s="13" t="s">
        <v>49</v>
      </c>
      <c r="T111" s="13" t="s">
        <v>78</v>
      </c>
      <c r="U111" s="13" t="s">
        <v>79</v>
      </c>
      <c r="V111" s="13" t="s">
        <v>2856</v>
      </c>
      <c r="W111" s="13" t="s">
        <v>901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  <c r="AU111" s="22" t="s">
        <v>3744</v>
      </c>
    </row>
    <row r="112" spans="1:47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48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2941</v>
      </c>
      <c r="K112" s="155" t="s">
        <v>2059</v>
      </c>
      <c r="L112" s="17" t="s">
        <v>2060</v>
      </c>
      <c r="M112" s="13" t="s">
        <v>2054</v>
      </c>
      <c r="N112" s="13">
        <v>1</v>
      </c>
      <c r="O112" s="13"/>
      <c r="P112" s="33" t="str">
        <f t="shared" si="18"/>
        <v>MAIN UNIT</v>
      </c>
      <c r="Q112" s="13" t="s">
        <v>61</v>
      </c>
      <c r="R112" s="13" t="s">
        <v>2055</v>
      </c>
      <c r="S112" s="13" t="s">
        <v>49</v>
      </c>
      <c r="T112" s="13" t="s">
        <v>78</v>
      </c>
      <c r="U112" s="13" t="s">
        <v>79</v>
      </c>
      <c r="V112" s="13" t="s">
        <v>2856</v>
      </c>
      <c r="W112" s="13" t="s">
        <v>901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  <c r="AU112" s="22" t="s">
        <v>3744</v>
      </c>
    </row>
    <row r="113" spans="1:47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54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2059</v>
      </c>
      <c r="L113" s="17" t="s">
        <v>2060</v>
      </c>
      <c r="M113" s="13" t="s">
        <v>2054</v>
      </c>
      <c r="N113" s="13">
        <v>1</v>
      </c>
      <c r="O113" s="13"/>
      <c r="P113" s="33" t="str">
        <f t="shared" si="18"/>
        <v>MAIN UNIT</v>
      </c>
      <c r="Q113" s="13" t="s">
        <v>61</v>
      </c>
      <c r="R113" s="13" t="s">
        <v>2055</v>
      </c>
      <c r="S113" s="13" t="s">
        <v>50</v>
      </c>
      <c r="T113" s="13" t="s">
        <v>101</v>
      </c>
      <c r="U113" s="13" t="s">
        <v>70</v>
      </c>
      <c r="V113" s="13" t="s">
        <v>2506</v>
      </c>
      <c r="W113" s="13" t="s">
        <v>64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  <c r="AU113" s="22" t="s">
        <v>3240</v>
      </c>
    </row>
    <row r="114" spans="1:47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3074</v>
      </c>
      <c r="K114" s="155" t="s">
        <v>2059</v>
      </c>
      <c r="L114" s="17" t="s">
        <v>2060</v>
      </c>
      <c r="M114" s="13" t="s">
        <v>2054</v>
      </c>
      <c r="N114" s="13">
        <v>1</v>
      </c>
      <c r="O114" s="13"/>
      <c r="P114" s="33" t="str">
        <f t="shared" si="18"/>
        <v>MAIN UNIT</v>
      </c>
      <c r="Q114" s="13" t="s">
        <v>61</v>
      </c>
      <c r="R114" s="13" t="s">
        <v>2055</v>
      </c>
      <c r="S114" s="13" t="s">
        <v>49</v>
      </c>
      <c r="T114" s="13" t="s">
        <v>78</v>
      </c>
      <c r="U114" s="13" t="s">
        <v>79</v>
      </c>
      <c r="V114" s="13" t="s">
        <v>2057</v>
      </c>
      <c r="W114" s="13" t="s">
        <v>64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  <c r="AU114" s="22" t="s">
        <v>3240</v>
      </c>
    </row>
    <row r="115" spans="1:47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3103</v>
      </c>
      <c r="K115" s="29" t="s">
        <v>2059</v>
      </c>
      <c r="L115" s="17" t="s">
        <v>2060</v>
      </c>
      <c r="M115" s="22" t="s">
        <v>2054</v>
      </c>
      <c r="N115" s="22">
        <v>1</v>
      </c>
      <c r="O115" s="22"/>
      <c r="P115" s="33" t="str">
        <f t="shared" si="18"/>
        <v>MAIN UNIT</v>
      </c>
      <c r="Q115" s="13" t="s">
        <v>61</v>
      </c>
      <c r="R115" s="22" t="s">
        <v>2055</v>
      </c>
      <c r="S115" s="22" t="s">
        <v>50</v>
      </c>
      <c r="T115" s="22" t="s">
        <v>78</v>
      </c>
      <c r="U115" s="22" t="s">
        <v>70</v>
      </c>
      <c r="V115" s="22" t="s">
        <v>2057</v>
      </c>
      <c r="W115" s="22" t="s">
        <v>64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  <c r="AU115" s="22" t="s">
        <v>3751</v>
      </c>
    </row>
    <row r="116" spans="1:47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53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1979</v>
      </c>
      <c r="K116" s="155" t="s">
        <v>1980</v>
      </c>
      <c r="L116" s="17" t="s">
        <v>92</v>
      </c>
      <c r="M116" s="13" t="s">
        <v>60</v>
      </c>
      <c r="N116" s="13">
        <v>1</v>
      </c>
      <c r="O116" s="13"/>
      <c r="P116" s="33" t="str">
        <f t="shared" si="18"/>
        <v>MAIN UNIT</v>
      </c>
      <c r="Q116" s="13" t="s">
        <v>61</v>
      </c>
      <c r="R116" s="13" t="s">
        <v>62</v>
      </c>
      <c r="S116" s="13" t="s">
        <v>49</v>
      </c>
      <c r="T116" s="13" t="s">
        <v>78</v>
      </c>
      <c r="U116" s="13" t="s">
        <v>79</v>
      </c>
      <c r="V116" s="13" t="s">
        <v>131</v>
      </c>
      <c r="W116" s="13" t="s">
        <v>64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  <c r="AU116" s="22" t="s">
        <v>3751</v>
      </c>
    </row>
    <row r="117" spans="1:47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48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2900</v>
      </c>
      <c r="K117" s="155" t="s">
        <v>2901</v>
      </c>
      <c r="L117" s="17" t="s">
        <v>2060</v>
      </c>
      <c r="M117" s="13" t="s">
        <v>2054</v>
      </c>
      <c r="N117" s="13">
        <v>1</v>
      </c>
      <c r="O117" s="13"/>
      <c r="P117" s="33" t="str">
        <f t="shared" si="18"/>
        <v>MAIN UNIT</v>
      </c>
      <c r="Q117" s="13" t="s">
        <v>68</v>
      </c>
      <c r="R117" s="13" t="s">
        <v>2055</v>
      </c>
      <c r="S117" s="13" t="s">
        <v>51</v>
      </c>
      <c r="T117" s="13" t="s">
        <v>349</v>
      </c>
      <c r="U117" s="13" t="s">
        <v>149</v>
      </c>
      <c r="V117" s="13" t="s">
        <v>2828</v>
      </c>
      <c r="W117" s="13" t="s">
        <v>64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  <c r="AU117" s="22" t="s">
        <v>3744</v>
      </c>
    </row>
    <row r="118" spans="1:47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47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840</v>
      </c>
      <c r="K118" s="155" t="s">
        <v>841</v>
      </c>
      <c r="L118" s="17" t="s">
        <v>67</v>
      </c>
      <c r="M118" s="13" t="s">
        <v>60</v>
      </c>
      <c r="N118" s="13">
        <v>1</v>
      </c>
      <c r="O118" s="13"/>
      <c r="P118" s="33" t="str">
        <f t="shared" si="18"/>
        <v>MAIN UNIT</v>
      </c>
      <c r="Q118" s="13" t="s">
        <v>61</v>
      </c>
      <c r="R118" s="13" t="s">
        <v>701</v>
      </c>
      <c r="S118" s="13" t="s">
        <v>750</v>
      </c>
      <c r="T118" s="13" t="s">
        <v>806</v>
      </c>
      <c r="U118" s="13" t="s">
        <v>263</v>
      </c>
      <c r="V118" s="13" t="s">
        <v>751</v>
      </c>
      <c r="W118" s="13" t="s">
        <v>773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  <c r="AU118" s="22" t="s">
        <v>3744</v>
      </c>
    </row>
    <row r="119" spans="1:47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47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840</v>
      </c>
      <c r="K119" s="155" t="s">
        <v>841</v>
      </c>
      <c r="L119" s="17" t="s">
        <v>67</v>
      </c>
      <c r="M119" s="13" t="s">
        <v>60</v>
      </c>
      <c r="N119" s="13">
        <v>1</v>
      </c>
      <c r="O119" s="13"/>
      <c r="P119" s="33" t="str">
        <f t="shared" si="18"/>
        <v>MAIN UNIT</v>
      </c>
      <c r="Q119" s="13" t="s">
        <v>61</v>
      </c>
      <c r="R119" s="13" t="s">
        <v>701</v>
      </c>
      <c r="S119" s="13" t="s">
        <v>750</v>
      </c>
      <c r="T119" s="13" t="s">
        <v>806</v>
      </c>
      <c r="U119" s="13" t="s">
        <v>263</v>
      </c>
      <c r="V119" s="13" t="s">
        <v>751</v>
      </c>
      <c r="W119" s="13" t="s">
        <v>773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  <c r="AU119" s="22" t="s">
        <v>3744</v>
      </c>
    </row>
    <row r="120" spans="1:47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47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840</v>
      </c>
      <c r="K120" s="155" t="s">
        <v>841</v>
      </c>
      <c r="L120" s="17" t="s">
        <v>67</v>
      </c>
      <c r="M120" s="13" t="s">
        <v>60</v>
      </c>
      <c r="N120" s="13">
        <v>1</v>
      </c>
      <c r="O120" s="13"/>
      <c r="P120" s="33" t="str">
        <f t="shared" si="18"/>
        <v>MAIN UNIT</v>
      </c>
      <c r="Q120" s="13" t="s">
        <v>61</v>
      </c>
      <c r="R120" s="13" t="s">
        <v>701</v>
      </c>
      <c r="S120" s="13" t="s">
        <v>750</v>
      </c>
      <c r="T120" s="13" t="s">
        <v>806</v>
      </c>
      <c r="U120" s="13" t="s">
        <v>263</v>
      </c>
      <c r="V120" s="13" t="s">
        <v>751</v>
      </c>
      <c r="W120" s="13" t="s">
        <v>773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  <c r="AU120" s="22" t="s">
        <v>3744</v>
      </c>
    </row>
    <row r="121" spans="1:47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47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840</v>
      </c>
      <c r="K121" s="155" t="s">
        <v>841</v>
      </c>
      <c r="L121" s="17" t="s">
        <v>92</v>
      </c>
      <c r="M121" s="13" t="s">
        <v>60</v>
      </c>
      <c r="N121" s="13">
        <v>1</v>
      </c>
      <c r="O121" s="13"/>
      <c r="P121" s="33" t="str">
        <f t="shared" si="18"/>
        <v>MAIN UNIT</v>
      </c>
      <c r="Q121" s="13" t="s">
        <v>61</v>
      </c>
      <c r="R121" s="13" t="s">
        <v>701</v>
      </c>
      <c r="S121" s="13" t="s">
        <v>750</v>
      </c>
      <c r="T121" s="13" t="s">
        <v>806</v>
      </c>
      <c r="U121" s="13" t="s">
        <v>263</v>
      </c>
      <c r="V121" s="13" t="s">
        <v>751</v>
      </c>
      <c r="W121" s="13" t="s">
        <v>773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  <c r="AU121" s="22" t="s">
        <v>3744</v>
      </c>
    </row>
    <row r="122" spans="1:47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48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1425</v>
      </c>
      <c r="K122" s="155" t="s">
        <v>1426</v>
      </c>
      <c r="L122" s="17" t="s">
        <v>67</v>
      </c>
      <c r="M122" s="13" t="s">
        <v>60</v>
      </c>
      <c r="N122" s="13">
        <v>1</v>
      </c>
      <c r="O122" s="13"/>
      <c r="P122" s="33" t="str">
        <f t="shared" si="18"/>
        <v>MAIN UNIT</v>
      </c>
      <c r="Q122" s="13" t="s">
        <v>61</v>
      </c>
      <c r="R122" s="13" t="s">
        <v>62</v>
      </c>
      <c r="S122" s="13" t="s">
        <v>49</v>
      </c>
      <c r="T122" s="13" t="s">
        <v>78</v>
      </c>
      <c r="U122" s="13" t="s">
        <v>79</v>
      </c>
      <c r="V122" s="13" t="s">
        <v>80</v>
      </c>
      <c r="W122" s="13" t="s">
        <v>109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  <c r="AU122" s="22" t="s">
        <v>3746</v>
      </c>
    </row>
    <row r="123" spans="1:47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48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1425</v>
      </c>
      <c r="K123" s="155" t="s">
        <v>1426</v>
      </c>
      <c r="L123" s="17" t="s">
        <v>67</v>
      </c>
      <c r="M123" s="13" t="s">
        <v>60</v>
      </c>
      <c r="N123" s="13">
        <v>1</v>
      </c>
      <c r="O123" s="13"/>
      <c r="P123" s="33" t="str">
        <f t="shared" si="18"/>
        <v>MAIN UNIT</v>
      </c>
      <c r="Q123" s="13" t="s">
        <v>61</v>
      </c>
      <c r="R123" s="13" t="s">
        <v>62</v>
      </c>
      <c r="S123" s="13" t="s">
        <v>49</v>
      </c>
      <c r="T123" s="13" t="s">
        <v>78</v>
      </c>
      <c r="U123" s="13" t="s">
        <v>79</v>
      </c>
      <c r="V123" s="13" t="s">
        <v>80</v>
      </c>
      <c r="W123" s="13" t="s">
        <v>109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  <c r="AU123" s="22" t="s">
        <v>3746</v>
      </c>
    </row>
    <row r="124" spans="1:47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48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1425</v>
      </c>
      <c r="K124" s="155" t="s">
        <v>1426</v>
      </c>
      <c r="L124" s="17" t="s">
        <v>67</v>
      </c>
      <c r="M124" s="13" t="s">
        <v>60</v>
      </c>
      <c r="N124" s="13">
        <v>1</v>
      </c>
      <c r="O124" s="13"/>
      <c r="P124" s="33" t="str">
        <f t="shared" si="18"/>
        <v>MAIN UNIT</v>
      </c>
      <c r="Q124" s="13" t="s">
        <v>61</v>
      </c>
      <c r="R124" s="13" t="s">
        <v>62</v>
      </c>
      <c r="S124" s="13" t="s">
        <v>49</v>
      </c>
      <c r="T124" s="13" t="s">
        <v>78</v>
      </c>
      <c r="U124" s="13" t="s">
        <v>79</v>
      </c>
      <c r="V124" s="13" t="s">
        <v>80</v>
      </c>
      <c r="W124" s="13" t="s">
        <v>109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  <c r="AU124" s="22" t="s">
        <v>3746</v>
      </c>
    </row>
    <row r="125" spans="1:47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48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1429</v>
      </c>
      <c r="K125" s="155" t="s">
        <v>1426</v>
      </c>
      <c r="L125" s="17" t="s">
        <v>67</v>
      </c>
      <c r="M125" s="13" t="s">
        <v>60</v>
      </c>
      <c r="N125" s="13">
        <v>1</v>
      </c>
      <c r="O125" s="13"/>
      <c r="P125" s="33" t="str">
        <f t="shared" si="18"/>
        <v>MAIN UNIT</v>
      </c>
      <c r="Q125" s="13" t="s">
        <v>61</v>
      </c>
      <c r="R125" s="13" t="s">
        <v>62</v>
      </c>
      <c r="S125" s="13" t="s">
        <v>49</v>
      </c>
      <c r="T125" s="13" t="s">
        <v>78</v>
      </c>
      <c r="U125" s="13" t="s">
        <v>79</v>
      </c>
      <c r="V125" s="13" t="s">
        <v>80</v>
      </c>
      <c r="W125" s="13" t="s">
        <v>109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  <c r="AU125" s="22" t="s">
        <v>3746</v>
      </c>
    </row>
    <row r="126" spans="1:47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48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1429</v>
      </c>
      <c r="K126" s="155" t="s">
        <v>1426</v>
      </c>
      <c r="L126" s="17" t="s">
        <v>92</v>
      </c>
      <c r="M126" s="13" t="s">
        <v>60</v>
      </c>
      <c r="N126" s="13">
        <v>1</v>
      </c>
      <c r="O126" s="13"/>
      <c r="P126" s="33" t="str">
        <f t="shared" si="18"/>
        <v>MAIN UNIT</v>
      </c>
      <c r="Q126" s="13" t="s">
        <v>61</v>
      </c>
      <c r="R126" s="13" t="s">
        <v>62</v>
      </c>
      <c r="S126" s="13" t="s">
        <v>49</v>
      </c>
      <c r="T126" s="13" t="s">
        <v>78</v>
      </c>
      <c r="U126" s="13" t="s">
        <v>79</v>
      </c>
      <c r="V126" s="13" t="s">
        <v>80</v>
      </c>
      <c r="W126" s="13" t="s">
        <v>109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  <c r="AU126" s="22" t="s">
        <v>3746</v>
      </c>
    </row>
    <row r="127" spans="1:47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53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1803</v>
      </c>
      <c r="K127" s="155" t="s">
        <v>1426</v>
      </c>
      <c r="L127" s="17" t="s">
        <v>67</v>
      </c>
      <c r="M127" s="13" t="s">
        <v>60</v>
      </c>
      <c r="N127" s="13">
        <v>1</v>
      </c>
      <c r="O127" s="13"/>
      <c r="P127" s="33" t="str">
        <f t="shared" si="18"/>
        <v>MAIN UNIT</v>
      </c>
      <c r="Q127" s="13" t="s">
        <v>61</v>
      </c>
      <c r="R127" s="13" t="s">
        <v>62</v>
      </c>
      <c r="S127" s="13" t="s">
        <v>49</v>
      </c>
      <c r="T127" s="13" t="s">
        <v>78</v>
      </c>
      <c r="U127" s="13" t="s">
        <v>79</v>
      </c>
      <c r="V127" s="13" t="s">
        <v>80</v>
      </c>
      <c r="W127" s="13" t="s">
        <v>109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  <c r="AU127" s="22" t="s">
        <v>3746</v>
      </c>
    </row>
    <row r="128" spans="1:47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53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1903</v>
      </c>
      <c r="K128" s="155" t="s">
        <v>1426</v>
      </c>
      <c r="L128" s="17" t="s">
        <v>67</v>
      </c>
      <c r="M128" s="13" t="s">
        <v>60</v>
      </c>
      <c r="N128" s="13">
        <v>1</v>
      </c>
      <c r="O128" s="13"/>
      <c r="P128" s="33" t="str">
        <f t="shared" si="18"/>
        <v>MAIN UNIT</v>
      </c>
      <c r="Q128" s="13" t="s">
        <v>61</v>
      </c>
      <c r="R128" s="13" t="s">
        <v>62</v>
      </c>
      <c r="S128" s="13" t="s">
        <v>49</v>
      </c>
      <c r="T128" s="13" t="s">
        <v>78</v>
      </c>
      <c r="U128" s="13" t="s">
        <v>79</v>
      </c>
      <c r="V128" s="13" t="s">
        <v>80</v>
      </c>
      <c r="W128" s="13" t="s">
        <v>109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  <c r="AU128" s="22" t="s">
        <v>3745</v>
      </c>
    </row>
    <row r="129" spans="1:47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54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2450</v>
      </c>
      <c r="K129" s="155" t="s">
        <v>1426</v>
      </c>
      <c r="L129" s="17" t="s">
        <v>67</v>
      </c>
      <c r="M129" s="13" t="s">
        <v>60</v>
      </c>
      <c r="N129" s="13">
        <v>1</v>
      </c>
      <c r="O129" s="13"/>
      <c r="P129" s="33" t="str">
        <f t="shared" si="18"/>
        <v>MAIN UNIT</v>
      </c>
      <c r="Q129" s="13" t="s">
        <v>61</v>
      </c>
      <c r="R129" s="13" t="s">
        <v>62</v>
      </c>
      <c r="S129" s="13" t="s">
        <v>49</v>
      </c>
      <c r="T129" s="13" t="s">
        <v>78</v>
      </c>
      <c r="U129" s="13" t="s">
        <v>79</v>
      </c>
      <c r="V129" s="13" t="s">
        <v>80</v>
      </c>
      <c r="W129" s="13" t="s">
        <v>64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  <c r="AU129" s="22" t="s">
        <v>3240</v>
      </c>
    </row>
    <row r="130" spans="1:47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54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2450</v>
      </c>
      <c r="K130" s="155" t="s">
        <v>1426</v>
      </c>
      <c r="L130" s="17" t="s">
        <v>67</v>
      </c>
      <c r="M130" s="13" t="s">
        <v>60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61</v>
      </c>
      <c r="R130" s="13" t="s">
        <v>62</v>
      </c>
      <c r="S130" s="13" t="s">
        <v>49</v>
      </c>
      <c r="T130" s="13" t="s">
        <v>78</v>
      </c>
      <c r="U130" s="13" t="s">
        <v>79</v>
      </c>
      <c r="V130" s="13" t="s">
        <v>80</v>
      </c>
      <c r="W130" s="13" t="s">
        <v>64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93" si="40">IF(P130="C66 SERVICE","",SUMIFS(AB:AB,F:F,F130,G:G,G130,E:E,E130))</f>
        <v>33543315.897345133</v>
      </c>
      <c r="AJ130" s="19">
        <f t="shared" ref="AJ130:AJ19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  <c r="AU130" s="22" t="s">
        <v>3240</v>
      </c>
    </row>
    <row r="131" spans="1:47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54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2457</v>
      </c>
      <c r="K131" s="155" t="s">
        <v>1426</v>
      </c>
      <c r="L131" s="17" t="s">
        <v>2458</v>
      </c>
      <c r="M131" s="13" t="s">
        <v>60</v>
      </c>
      <c r="N131" s="13">
        <v>0</v>
      </c>
      <c r="O131" s="13">
        <v>1</v>
      </c>
      <c r="P131" s="33" t="str">
        <f t="shared" si="35"/>
        <v>SERVICE/ PARTS</v>
      </c>
      <c r="Q131" s="13" t="s">
        <v>61</v>
      </c>
      <c r="R131" s="13" t="s">
        <v>62</v>
      </c>
      <c r="S131" s="13" t="s">
        <v>49</v>
      </c>
      <c r="T131" s="13" t="s">
        <v>78</v>
      </c>
      <c r="U131" s="13" t="s">
        <v>79</v>
      </c>
      <c r="V131" s="13" t="s">
        <v>80</v>
      </c>
      <c r="W131" s="13" t="s">
        <v>64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  <c r="AU131" s="22" t="s">
        <v>3240</v>
      </c>
    </row>
    <row r="132" spans="1:47" s="12" customFormat="1">
      <c r="A132" s="33" t="str">
        <f t="shared" si="48"/>
        <v>cancel</v>
      </c>
      <c r="B132" s="152"/>
      <c r="C132" s="152" t="s">
        <v>185</v>
      </c>
      <c r="D132" s="33" t="str">
        <f t="shared" si="33"/>
        <v/>
      </c>
      <c r="E132" s="33" t="s">
        <v>185</v>
      </c>
      <c r="F132" s="13" t="s">
        <v>185</v>
      </c>
      <c r="G132" s="152" t="s">
        <v>185</v>
      </c>
      <c r="H132" s="155"/>
      <c r="I132" s="33" t="str">
        <f t="shared" si="34"/>
        <v>Cancel</v>
      </c>
      <c r="J132" s="186" t="s">
        <v>2638</v>
      </c>
      <c r="K132" s="155" t="s">
        <v>1426</v>
      </c>
      <c r="L132" s="17" t="s">
        <v>67</v>
      </c>
      <c r="M132" s="13" t="s">
        <v>60</v>
      </c>
      <c r="N132" s="13">
        <v>2</v>
      </c>
      <c r="O132" s="13"/>
      <c r="P132" s="33" t="str">
        <f t="shared" si="35"/>
        <v>MAIN UNIT</v>
      </c>
      <c r="Q132" s="13" t="s">
        <v>61</v>
      </c>
      <c r="R132" s="13" t="s">
        <v>62</v>
      </c>
      <c r="S132" s="13" t="s">
        <v>49</v>
      </c>
      <c r="T132" s="13" t="s">
        <v>78</v>
      </c>
      <c r="U132" s="13" t="s">
        <v>79</v>
      </c>
      <c r="V132" s="13" t="s">
        <v>80</v>
      </c>
      <c r="W132" s="13" t="s">
        <v>109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499582152.5142017</v>
      </c>
      <c r="AJ132" s="19">
        <f t="shared" si="41"/>
        <v>59520528.679470733</v>
      </c>
      <c r="AK132" s="20">
        <f t="shared" si="42"/>
        <v>0.11914062257814291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  <c r="AU132" s="22" t="s">
        <v>3746</v>
      </c>
    </row>
    <row r="133" spans="1:47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48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2925</v>
      </c>
      <c r="K133" s="155" t="s">
        <v>1426</v>
      </c>
      <c r="L133" s="17" t="s">
        <v>2788</v>
      </c>
      <c r="M133" s="13" t="s">
        <v>2607</v>
      </c>
      <c r="N133" s="13">
        <v>1</v>
      </c>
      <c r="O133" s="13"/>
      <c r="P133" s="33" t="str">
        <f t="shared" si="35"/>
        <v>MAIN UNIT</v>
      </c>
      <c r="Q133" s="13" t="s">
        <v>61</v>
      </c>
      <c r="R133" s="13" t="s">
        <v>2055</v>
      </c>
      <c r="S133" s="13" t="s">
        <v>49</v>
      </c>
      <c r="T133" s="13" t="s">
        <v>78</v>
      </c>
      <c r="U133" s="13" t="s">
        <v>79</v>
      </c>
      <c r="V133" s="13" t="s">
        <v>80</v>
      </c>
      <c r="W133" s="13" t="s">
        <v>64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  <c r="AU133" s="22" t="s">
        <v>3744</v>
      </c>
    </row>
    <row r="134" spans="1:47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3336</v>
      </c>
      <c r="K134" s="164" t="s">
        <v>3338</v>
      </c>
      <c r="L134" s="17" t="s">
        <v>92</v>
      </c>
      <c r="M134" s="22" t="s">
        <v>60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61</v>
      </c>
      <c r="R134" s="22" t="s">
        <v>62</v>
      </c>
      <c r="S134" s="22" t="s">
        <v>50</v>
      </c>
      <c r="T134" s="22" t="s">
        <v>101</v>
      </c>
      <c r="U134" s="22" t="s">
        <v>70</v>
      </c>
      <c r="V134" s="22" t="s">
        <v>71</v>
      </c>
      <c r="W134" s="22" t="s">
        <v>64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si="40"/>
        <v>20319282.700884953</v>
      </c>
      <c r="AJ134" s="27">
        <f t="shared" si="41"/>
        <v>2408851.9638623013</v>
      </c>
      <c r="AK134" s="28">
        <f t="shared" ref="AK134:AK197" si="57">IF(AJ134&gt;0,AJ134/AI134,"")</f>
        <v>0.11855004919821259</v>
      </c>
      <c r="AL134" s="24"/>
      <c r="AM134" s="24"/>
      <c r="AN134" s="24"/>
      <c r="AO134" s="24"/>
      <c r="AP134" s="28" t="str">
        <f t="shared" ref="AP134:AP197" si="58">IF(F134="","",F134&amp;G134)</f>
        <v>20244</v>
      </c>
      <c r="AQ134" s="28" t="str">
        <f t="shared" ref="AQ134:AQ197" si="59">IF(W134="","",F134&amp;G134&amp;W134)</f>
        <v>20244RMB</v>
      </c>
      <c r="AR134" s="206" t="str">
        <f t="shared" ref="AR134:AR197" si="60">IFERROR(IF(AND(M134="YAMAHA", R134="C28"), "YAMAHA_Non_Mounter", IF(AND(M134="YAMAHA", R134="C49"), "YAMAHA_Mounter", M134)),"")</f>
        <v>YAMAHA_Mounter</v>
      </c>
      <c r="AS134" s="22">
        <f t="shared" ref="AS134:AS197" si="61">IFERROR(IF(OR(G134="TBA", G134=""), "", DATEDIF(DATE(B134, C134, 1), DATE(F134, G134, 1), "M")),"")</f>
        <v>1</v>
      </c>
      <c r="AT134" s="24" t="str">
        <f t="shared" ref="AT134:AT197" si="62">IF(ISNUMBER(AS134), IF(AS134&gt;=0, IF(AS134&lt;=3, "0-3 months", IF(AS134&lt;=6, "4-6 months", "&gt; 6 months"))), "")</f>
        <v>0-3 months</v>
      </c>
      <c r="AU134" s="22" t="s">
        <v>3240</v>
      </c>
    </row>
    <row r="135" spans="1:47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3373</v>
      </c>
      <c r="K135" s="29" t="s">
        <v>579</v>
      </c>
      <c r="L135" s="17" t="s">
        <v>67</v>
      </c>
      <c r="M135" s="22" t="s">
        <v>60</v>
      </c>
      <c r="N135" s="22">
        <v>1</v>
      </c>
      <c r="O135" s="22"/>
      <c r="P135" s="33" t="str">
        <f t="shared" si="52"/>
        <v>MAIN UNIT</v>
      </c>
      <c r="Q135" s="13" t="s">
        <v>61</v>
      </c>
      <c r="R135" s="22" t="s">
        <v>62</v>
      </c>
      <c r="S135" s="22" t="s">
        <v>50</v>
      </c>
      <c r="T135" s="22" t="s">
        <v>101</v>
      </c>
      <c r="U135" s="22" t="s">
        <v>70</v>
      </c>
      <c r="V135" s="22" t="s">
        <v>102</v>
      </c>
      <c r="W135" s="22" t="s">
        <v>64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40"/>
        <v>20319282.700884953</v>
      </c>
      <c r="AJ135" s="27">
        <f t="shared" si="41"/>
        <v>2408851.9638623013</v>
      </c>
      <c r="AK135" s="28">
        <f t="shared" si="57"/>
        <v>0.11855004919821259</v>
      </c>
      <c r="AL135" s="24"/>
      <c r="AM135" s="24"/>
      <c r="AN135" s="24"/>
      <c r="AO135" s="24"/>
      <c r="AP135" s="28" t="str">
        <f t="shared" si="58"/>
        <v>20244</v>
      </c>
      <c r="AQ135" s="28" t="str">
        <f t="shared" si="59"/>
        <v>20244RMB</v>
      </c>
      <c r="AR135" s="206" t="str">
        <f t="shared" si="60"/>
        <v>YAMAHA_Mounter</v>
      </c>
      <c r="AS135" s="22">
        <f t="shared" si="61"/>
        <v>1</v>
      </c>
      <c r="AT135" s="24" t="str">
        <f t="shared" si="62"/>
        <v>0-3 months</v>
      </c>
      <c r="AU135" s="22" t="s">
        <v>3240</v>
      </c>
    </row>
    <row r="136" spans="1:47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48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1395</v>
      </c>
      <c r="K136" s="155" t="s">
        <v>1396</v>
      </c>
      <c r="L136" s="17" t="s">
        <v>293</v>
      </c>
      <c r="M136" s="13" t="s">
        <v>60</v>
      </c>
      <c r="N136" s="13">
        <v>1</v>
      </c>
      <c r="O136" s="13"/>
      <c r="P136" s="33" t="str">
        <f t="shared" si="52"/>
        <v>MAIN UNIT</v>
      </c>
      <c r="Q136" s="13" t="s">
        <v>68</v>
      </c>
      <c r="R136" s="13" t="s">
        <v>62</v>
      </c>
      <c r="S136" s="13" t="s">
        <v>49</v>
      </c>
      <c r="T136" s="13" t="s">
        <v>78</v>
      </c>
      <c r="U136" s="13" t="s">
        <v>79</v>
      </c>
      <c r="V136" s="13" t="s">
        <v>106</v>
      </c>
      <c r="W136" s="13" t="s">
        <v>64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40"/>
        <v>47907808.356810622</v>
      </c>
      <c r="AJ136" s="19">
        <f t="shared" si="41"/>
        <v>6027384.8806384448</v>
      </c>
      <c r="AK136" s="20">
        <f t="shared" si="57"/>
        <v>0.12581216063459488</v>
      </c>
      <c r="AL136" s="17"/>
      <c r="AM136" s="17"/>
      <c r="AN136" s="17"/>
      <c r="AO136" s="17"/>
      <c r="AP136" s="28" t="str">
        <f t="shared" si="58"/>
        <v>20209</v>
      </c>
      <c r="AQ136" s="28" t="str">
        <f t="shared" si="59"/>
        <v>20209RMB</v>
      </c>
      <c r="AR136" s="206" t="str">
        <f t="shared" si="60"/>
        <v>YAMAHA_Mounter</v>
      </c>
      <c r="AS136" s="22">
        <f t="shared" si="61"/>
        <v>1</v>
      </c>
      <c r="AT136" s="24" t="str">
        <f t="shared" si="62"/>
        <v>0-3 months</v>
      </c>
      <c r="AU136" s="22" t="s">
        <v>3744</v>
      </c>
    </row>
    <row r="137" spans="1:47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185</v>
      </c>
      <c r="F137" s="13" t="s">
        <v>185</v>
      </c>
      <c r="G137" s="152" t="s">
        <v>185</v>
      </c>
      <c r="H137" s="155" t="s">
        <v>1617</v>
      </c>
      <c r="I137" s="33" t="str">
        <f t="shared" si="51"/>
        <v>Cancel</v>
      </c>
      <c r="J137" s="186" t="s">
        <v>2354</v>
      </c>
      <c r="K137" s="155" t="s">
        <v>1396</v>
      </c>
      <c r="L137" s="17" t="s">
        <v>293</v>
      </c>
      <c r="M137" s="13" t="s">
        <v>60</v>
      </c>
      <c r="N137" s="13">
        <v>1</v>
      </c>
      <c r="O137" s="13"/>
      <c r="P137" s="33" t="str">
        <f t="shared" si="52"/>
        <v>MAIN UNIT</v>
      </c>
      <c r="Q137" s="13" t="s">
        <v>61</v>
      </c>
      <c r="R137" s="13" t="s">
        <v>62</v>
      </c>
      <c r="S137" s="13" t="s">
        <v>49</v>
      </c>
      <c r="T137" s="13" t="s">
        <v>78</v>
      </c>
      <c r="U137" s="13" t="s">
        <v>79</v>
      </c>
      <c r="V137" s="13" t="s">
        <v>80</v>
      </c>
      <c r="W137" s="13" t="s">
        <v>64</v>
      </c>
      <c r="X137" s="135">
        <v>1290000</v>
      </c>
      <c r="Y137" s="157" t="str">
        <f t="shared" ref="Y137:Y145" si="63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40"/>
        <v>499582152.5142017</v>
      </c>
      <c r="AJ137" s="19">
        <f t="shared" si="41"/>
        <v>59520528.679470733</v>
      </c>
      <c r="AK137" s="20">
        <f t="shared" si="57"/>
        <v>0.11914062257814291</v>
      </c>
      <c r="AL137" s="17"/>
      <c r="AM137" s="17"/>
      <c r="AN137" s="17"/>
      <c r="AO137" s="17"/>
      <c r="AP137" s="28" t="str">
        <f t="shared" si="58"/>
        <v>CancelCancel</v>
      </c>
      <c r="AQ137" s="28" t="str">
        <f t="shared" si="59"/>
        <v>CancelCancelRMB</v>
      </c>
      <c r="AR137" s="206" t="str">
        <f t="shared" si="60"/>
        <v>YAMAHA_Mounter</v>
      </c>
      <c r="AS137" s="22" t="str">
        <f t="shared" si="61"/>
        <v/>
      </c>
      <c r="AT137" s="24" t="str">
        <f t="shared" si="62"/>
        <v/>
      </c>
      <c r="AU137" s="22" t="s">
        <v>3751</v>
      </c>
    </row>
    <row r="138" spans="1:47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185</v>
      </c>
      <c r="F138" s="13" t="s">
        <v>185</v>
      </c>
      <c r="G138" s="152" t="s">
        <v>185</v>
      </c>
      <c r="H138" s="155"/>
      <c r="I138" s="33" t="str">
        <f t="shared" si="51"/>
        <v>Cancel</v>
      </c>
      <c r="J138" s="186" t="s">
        <v>2355</v>
      </c>
      <c r="K138" s="155" t="s">
        <v>1396</v>
      </c>
      <c r="L138" s="17" t="s">
        <v>293</v>
      </c>
      <c r="M138" s="13" t="s">
        <v>60</v>
      </c>
      <c r="N138" s="13">
        <v>1</v>
      </c>
      <c r="O138" s="13"/>
      <c r="P138" s="33" t="str">
        <f t="shared" si="52"/>
        <v>MAIN UNIT</v>
      </c>
      <c r="Q138" s="13" t="s">
        <v>61</v>
      </c>
      <c r="R138" s="13" t="s">
        <v>62</v>
      </c>
      <c r="S138" s="13" t="s">
        <v>49</v>
      </c>
      <c r="T138" s="13" t="s">
        <v>78</v>
      </c>
      <c r="U138" s="13" t="s">
        <v>79</v>
      </c>
      <c r="V138" s="13" t="s">
        <v>80</v>
      </c>
      <c r="W138" s="13" t="s">
        <v>109</v>
      </c>
      <c r="X138" s="135">
        <v>20800000</v>
      </c>
      <c r="Y138" s="157" t="str">
        <f t="shared" si="63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40"/>
        <v>499582152.5142017</v>
      </c>
      <c r="AJ138" s="19">
        <f t="shared" si="41"/>
        <v>59520528.679470733</v>
      </c>
      <c r="AK138" s="20">
        <f t="shared" si="57"/>
        <v>0.11914062257814291</v>
      </c>
      <c r="AL138" s="17"/>
      <c r="AM138" s="17"/>
      <c r="AN138" s="17"/>
      <c r="AO138" s="17"/>
      <c r="AP138" s="28" t="str">
        <f t="shared" si="58"/>
        <v>CancelCancel</v>
      </c>
      <c r="AQ138" s="28" t="str">
        <f t="shared" si="59"/>
        <v>CancelCancelJPY</v>
      </c>
      <c r="AR138" s="206" t="str">
        <f t="shared" si="60"/>
        <v>YAMAHA_Mounter</v>
      </c>
      <c r="AS138" s="22" t="str">
        <f t="shared" si="61"/>
        <v/>
      </c>
      <c r="AT138" s="24" t="str">
        <f t="shared" si="62"/>
        <v/>
      </c>
      <c r="AU138" s="22" t="s">
        <v>3745</v>
      </c>
    </row>
    <row r="139" spans="1:47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185</v>
      </c>
      <c r="F139" s="13" t="s">
        <v>185</v>
      </c>
      <c r="G139" s="152" t="s">
        <v>185</v>
      </c>
      <c r="H139" s="155"/>
      <c r="I139" s="33" t="str">
        <f t="shared" si="51"/>
        <v>Cancel</v>
      </c>
      <c r="J139" s="186" t="s">
        <v>2355</v>
      </c>
      <c r="K139" s="155" t="s">
        <v>1396</v>
      </c>
      <c r="L139" s="17" t="s">
        <v>293</v>
      </c>
      <c r="M139" s="13" t="s">
        <v>60</v>
      </c>
      <c r="N139" s="13">
        <v>1</v>
      </c>
      <c r="O139" s="13"/>
      <c r="P139" s="33" t="str">
        <f t="shared" si="52"/>
        <v>MAIN UNIT</v>
      </c>
      <c r="Q139" s="13" t="s">
        <v>61</v>
      </c>
      <c r="R139" s="13" t="s">
        <v>62</v>
      </c>
      <c r="S139" s="13" t="s">
        <v>49</v>
      </c>
      <c r="T139" s="13" t="s">
        <v>78</v>
      </c>
      <c r="U139" s="13" t="s">
        <v>79</v>
      </c>
      <c r="V139" s="13" t="s">
        <v>80</v>
      </c>
      <c r="W139" s="13" t="s">
        <v>109</v>
      </c>
      <c r="X139" s="135">
        <v>20800000</v>
      </c>
      <c r="Y139" s="157" t="str">
        <f t="shared" si="63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40"/>
        <v>499582152.5142017</v>
      </c>
      <c r="AJ139" s="19">
        <f t="shared" si="41"/>
        <v>59520528.679470733</v>
      </c>
      <c r="AK139" s="20">
        <f t="shared" si="57"/>
        <v>0.11914062257814291</v>
      </c>
      <c r="AL139" s="17"/>
      <c r="AM139" s="17"/>
      <c r="AN139" s="17"/>
      <c r="AO139" s="17"/>
      <c r="AP139" s="28" t="str">
        <f t="shared" si="58"/>
        <v>CancelCancel</v>
      </c>
      <c r="AQ139" s="28" t="str">
        <f t="shared" si="59"/>
        <v>CancelCancelJPY</v>
      </c>
      <c r="AR139" s="206" t="str">
        <f t="shared" si="60"/>
        <v>YAMAHA_Mounter</v>
      </c>
      <c r="AS139" s="22" t="str">
        <f t="shared" si="61"/>
        <v/>
      </c>
      <c r="AT139" s="24" t="str">
        <f t="shared" si="62"/>
        <v/>
      </c>
      <c r="AU139" s="22" t="s">
        <v>3745</v>
      </c>
    </row>
    <row r="140" spans="1:47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185</v>
      </c>
      <c r="F140" s="13" t="s">
        <v>185</v>
      </c>
      <c r="G140" s="152" t="s">
        <v>185</v>
      </c>
      <c r="H140" s="155"/>
      <c r="I140" s="33" t="str">
        <f t="shared" si="51"/>
        <v>Cancel</v>
      </c>
      <c r="J140" s="186" t="s">
        <v>2355</v>
      </c>
      <c r="K140" s="155" t="s">
        <v>1396</v>
      </c>
      <c r="L140" s="17" t="s">
        <v>293</v>
      </c>
      <c r="M140" s="13" t="s">
        <v>60</v>
      </c>
      <c r="N140" s="13">
        <v>1</v>
      </c>
      <c r="O140" s="13"/>
      <c r="P140" s="33" t="str">
        <f t="shared" si="52"/>
        <v>MAIN UNIT</v>
      </c>
      <c r="Q140" s="13" t="s">
        <v>61</v>
      </c>
      <c r="R140" s="13" t="s">
        <v>62</v>
      </c>
      <c r="S140" s="13" t="s">
        <v>49</v>
      </c>
      <c r="T140" s="13" t="s">
        <v>78</v>
      </c>
      <c r="U140" s="13" t="s">
        <v>79</v>
      </c>
      <c r="V140" s="13" t="s">
        <v>80</v>
      </c>
      <c r="W140" s="13" t="s">
        <v>109</v>
      </c>
      <c r="X140" s="135">
        <v>20800000</v>
      </c>
      <c r="Y140" s="157" t="str">
        <f t="shared" si="63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40"/>
        <v>499582152.5142017</v>
      </c>
      <c r="AJ140" s="19">
        <f t="shared" si="41"/>
        <v>59520528.679470733</v>
      </c>
      <c r="AK140" s="20">
        <f t="shared" si="57"/>
        <v>0.11914062257814291</v>
      </c>
      <c r="AL140" s="17"/>
      <c r="AM140" s="17"/>
      <c r="AN140" s="17"/>
      <c r="AO140" s="17"/>
      <c r="AP140" s="28" t="str">
        <f t="shared" si="58"/>
        <v>CancelCancel</v>
      </c>
      <c r="AQ140" s="28" t="str">
        <f t="shared" si="59"/>
        <v>CancelCancelJPY</v>
      </c>
      <c r="AR140" s="206" t="str">
        <f t="shared" si="60"/>
        <v>YAMAHA_Mounter</v>
      </c>
      <c r="AS140" s="22" t="str">
        <f t="shared" si="61"/>
        <v/>
      </c>
      <c r="AT140" s="24" t="str">
        <f t="shared" si="62"/>
        <v/>
      </c>
      <c r="AU140" s="22" t="s">
        <v>3745</v>
      </c>
    </row>
    <row r="141" spans="1:47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185</v>
      </c>
      <c r="F141" s="13" t="s">
        <v>185</v>
      </c>
      <c r="G141" s="152" t="s">
        <v>185</v>
      </c>
      <c r="H141" s="155"/>
      <c r="I141" s="33" t="str">
        <f t="shared" si="51"/>
        <v>Cancel</v>
      </c>
      <c r="J141" s="186" t="s">
        <v>2355</v>
      </c>
      <c r="K141" s="155" t="s">
        <v>1396</v>
      </c>
      <c r="L141" s="17" t="s">
        <v>293</v>
      </c>
      <c r="M141" s="13" t="s">
        <v>60</v>
      </c>
      <c r="N141" s="13">
        <v>1</v>
      </c>
      <c r="O141" s="13"/>
      <c r="P141" s="33" t="str">
        <f t="shared" si="52"/>
        <v>MAIN UNIT</v>
      </c>
      <c r="Q141" s="13" t="s">
        <v>61</v>
      </c>
      <c r="R141" s="13" t="s">
        <v>62</v>
      </c>
      <c r="S141" s="13" t="s">
        <v>49</v>
      </c>
      <c r="T141" s="13" t="s">
        <v>78</v>
      </c>
      <c r="U141" s="13" t="s">
        <v>79</v>
      </c>
      <c r="V141" s="13" t="s">
        <v>80</v>
      </c>
      <c r="W141" s="13" t="s">
        <v>109</v>
      </c>
      <c r="X141" s="135">
        <v>20800000</v>
      </c>
      <c r="Y141" s="157" t="str">
        <f t="shared" si="63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40"/>
        <v>499582152.5142017</v>
      </c>
      <c r="AJ141" s="19">
        <f t="shared" si="41"/>
        <v>59520528.679470733</v>
      </c>
      <c r="AK141" s="20">
        <f t="shared" si="57"/>
        <v>0.11914062257814291</v>
      </c>
      <c r="AL141" s="17"/>
      <c r="AM141" s="17"/>
      <c r="AN141" s="17"/>
      <c r="AO141" s="17"/>
      <c r="AP141" s="28" t="str">
        <f t="shared" si="58"/>
        <v>CancelCancel</v>
      </c>
      <c r="AQ141" s="28" t="str">
        <f t="shared" si="59"/>
        <v>CancelCancelJPY</v>
      </c>
      <c r="AR141" s="206" t="str">
        <f t="shared" si="60"/>
        <v>YAMAHA_Mounter</v>
      </c>
      <c r="AS141" s="22" t="str">
        <f t="shared" si="61"/>
        <v/>
      </c>
      <c r="AT141" s="24" t="str">
        <f t="shared" si="62"/>
        <v/>
      </c>
      <c r="AU141" s="22" t="s">
        <v>3745</v>
      </c>
    </row>
    <row r="142" spans="1:47" s="12" customFormat="1">
      <c r="A142" s="33" t="str">
        <f t="shared" si="49"/>
        <v>cancel</v>
      </c>
      <c r="B142" s="152"/>
      <c r="C142" s="152" t="s">
        <v>185</v>
      </c>
      <c r="D142" s="33" t="str">
        <f t="shared" si="50"/>
        <v/>
      </c>
      <c r="E142" s="33" t="s">
        <v>185</v>
      </c>
      <c r="F142" s="13" t="s">
        <v>185</v>
      </c>
      <c r="G142" s="152" t="s">
        <v>185</v>
      </c>
      <c r="H142" s="155"/>
      <c r="I142" s="33" t="str">
        <f t="shared" si="51"/>
        <v>Cancel</v>
      </c>
      <c r="J142" s="186" t="s">
        <v>2741</v>
      </c>
      <c r="K142" s="155" t="s">
        <v>1396</v>
      </c>
      <c r="L142" s="17" t="s">
        <v>293</v>
      </c>
      <c r="M142" s="13" t="s">
        <v>60</v>
      </c>
      <c r="N142" s="13">
        <v>1</v>
      </c>
      <c r="O142" s="13"/>
      <c r="P142" s="33" t="str">
        <f t="shared" si="52"/>
        <v>MAIN UNIT</v>
      </c>
      <c r="Q142" s="13" t="s">
        <v>68</v>
      </c>
      <c r="R142" s="13" t="s">
        <v>62</v>
      </c>
      <c r="S142" s="13" t="s">
        <v>49</v>
      </c>
      <c r="T142" s="13" t="s">
        <v>78</v>
      </c>
      <c r="U142" s="13" t="s">
        <v>79</v>
      </c>
      <c r="V142" s="13" t="s">
        <v>106</v>
      </c>
      <c r="W142" s="13" t="s">
        <v>64</v>
      </c>
      <c r="X142" s="135">
        <v>1500000</v>
      </c>
      <c r="Y142" s="157" t="str">
        <f t="shared" si="63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40"/>
        <v>499582152.5142017</v>
      </c>
      <c r="AJ142" s="19">
        <f t="shared" si="41"/>
        <v>59520528.679470733</v>
      </c>
      <c r="AK142" s="20">
        <f t="shared" si="57"/>
        <v>0.11914062257814291</v>
      </c>
      <c r="AL142" s="17"/>
      <c r="AM142" s="17"/>
      <c r="AN142" s="17"/>
      <c r="AO142" s="17"/>
      <c r="AP142" s="28" t="str">
        <f t="shared" si="58"/>
        <v>CancelCancel</v>
      </c>
      <c r="AQ142" s="28" t="str">
        <f t="shared" si="59"/>
        <v>CancelCancelRMB</v>
      </c>
      <c r="AR142" s="206" t="str">
        <f t="shared" si="60"/>
        <v>YAMAHA_Mounter</v>
      </c>
      <c r="AS142" s="22" t="str">
        <f t="shared" si="61"/>
        <v/>
      </c>
      <c r="AT142" s="24" t="str">
        <f t="shared" si="62"/>
        <v/>
      </c>
      <c r="AU142" s="22" t="s">
        <v>3744</v>
      </c>
    </row>
    <row r="143" spans="1:47" s="12" customFormat="1">
      <c r="A143" s="33" t="str">
        <f t="shared" si="49"/>
        <v>cancel</v>
      </c>
      <c r="B143" s="152"/>
      <c r="C143" s="152" t="s">
        <v>185</v>
      </c>
      <c r="D143" s="33" t="str">
        <f t="shared" si="50"/>
        <v/>
      </c>
      <c r="E143" s="33" t="s">
        <v>185</v>
      </c>
      <c r="F143" s="13" t="s">
        <v>185</v>
      </c>
      <c r="G143" s="152" t="s">
        <v>185</v>
      </c>
      <c r="H143" s="155"/>
      <c r="I143" s="33" t="str">
        <f t="shared" si="51"/>
        <v>Cancel</v>
      </c>
      <c r="J143" s="186" t="s">
        <v>2741</v>
      </c>
      <c r="K143" s="155" t="s">
        <v>1396</v>
      </c>
      <c r="L143" s="17" t="s">
        <v>293</v>
      </c>
      <c r="M143" s="13" t="s">
        <v>60</v>
      </c>
      <c r="N143" s="13">
        <v>1</v>
      </c>
      <c r="O143" s="13"/>
      <c r="P143" s="33" t="str">
        <f t="shared" si="52"/>
        <v>MAIN UNIT</v>
      </c>
      <c r="Q143" s="13" t="s">
        <v>68</v>
      </c>
      <c r="R143" s="13" t="s">
        <v>62</v>
      </c>
      <c r="S143" s="13" t="s">
        <v>49</v>
      </c>
      <c r="T143" s="13" t="s">
        <v>78</v>
      </c>
      <c r="U143" s="13" t="s">
        <v>79</v>
      </c>
      <c r="V143" s="13" t="s">
        <v>106</v>
      </c>
      <c r="W143" s="13" t="s">
        <v>64</v>
      </c>
      <c r="X143" s="135">
        <v>1500000</v>
      </c>
      <c r="Y143" s="157" t="str">
        <f t="shared" si="63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40"/>
        <v>499582152.5142017</v>
      </c>
      <c r="AJ143" s="19">
        <f t="shared" si="41"/>
        <v>59520528.679470733</v>
      </c>
      <c r="AK143" s="20">
        <f t="shared" si="57"/>
        <v>0.11914062257814291</v>
      </c>
      <c r="AL143" s="17"/>
      <c r="AM143" s="17"/>
      <c r="AN143" s="17"/>
      <c r="AO143" s="17"/>
      <c r="AP143" s="28" t="str">
        <f t="shared" si="58"/>
        <v>CancelCancel</v>
      </c>
      <c r="AQ143" s="28" t="str">
        <f t="shared" si="59"/>
        <v>CancelCancelRMB</v>
      </c>
      <c r="AR143" s="206" t="str">
        <f t="shared" si="60"/>
        <v>YAMAHA_Mounter</v>
      </c>
      <c r="AS143" s="22" t="str">
        <f t="shared" si="61"/>
        <v/>
      </c>
      <c r="AT143" s="24" t="str">
        <f t="shared" si="62"/>
        <v/>
      </c>
      <c r="AU143" s="22" t="s">
        <v>3744</v>
      </c>
    </row>
    <row r="144" spans="1:47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55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2524</v>
      </c>
      <c r="K144" s="155" t="s">
        <v>2525</v>
      </c>
      <c r="L144" s="17" t="s">
        <v>92</v>
      </c>
      <c r="M144" s="13" t="s">
        <v>60</v>
      </c>
      <c r="N144" s="13">
        <v>1</v>
      </c>
      <c r="O144" s="13"/>
      <c r="P144" s="33" t="str">
        <f t="shared" si="52"/>
        <v>MAIN UNIT</v>
      </c>
      <c r="Q144" s="13" t="s">
        <v>68</v>
      </c>
      <c r="R144" s="13" t="s">
        <v>62</v>
      </c>
      <c r="S144" s="13" t="s">
        <v>49</v>
      </c>
      <c r="T144" s="13" t="s">
        <v>78</v>
      </c>
      <c r="U144" s="13" t="s">
        <v>79</v>
      </c>
      <c r="V144" s="13" t="s">
        <v>112</v>
      </c>
      <c r="W144" s="13" t="s">
        <v>64</v>
      </c>
      <c r="X144" s="135">
        <v>800000</v>
      </c>
      <c r="Y144" s="157" t="str">
        <f t="shared" si="63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40"/>
        <v>11730565.00042478</v>
      </c>
      <c r="AJ144" s="19">
        <f t="shared" si="41"/>
        <v>1439625.5685810833</v>
      </c>
      <c r="AK144" s="20">
        <f t="shared" si="57"/>
        <v>0.12272431622253084</v>
      </c>
      <c r="AL144" s="17"/>
      <c r="AM144" s="17"/>
      <c r="AN144" s="17"/>
      <c r="AO144" s="17"/>
      <c r="AP144" s="28" t="str">
        <f t="shared" si="58"/>
        <v>202311</v>
      </c>
      <c r="AQ144" s="28" t="str">
        <f t="shared" si="59"/>
        <v>202311RMB</v>
      </c>
      <c r="AR144" s="206" t="str">
        <f t="shared" si="60"/>
        <v>YAMAHA_Mounter</v>
      </c>
      <c r="AS144" s="22">
        <f t="shared" si="61"/>
        <v>4</v>
      </c>
      <c r="AT144" s="24" t="str">
        <f t="shared" si="62"/>
        <v>4-6 months</v>
      </c>
      <c r="AU144" s="22" t="s">
        <v>3751</v>
      </c>
    </row>
    <row r="145" spans="1:47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55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2524</v>
      </c>
      <c r="K145" s="155" t="s">
        <v>2525</v>
      </c>
      <c r="L145" s="17" t="s">
        <v>67</v>
      </c>
      <c r="M145" s="13" t="s">
        <v>60</v>
      </c>
      <c r="N145" s="13">
        <v>1</v>
      </c>
      <c r="O145" s="13"/>
      <c r="P145" s="33" t="str">
        <f t="shared" si="52"/>
        <v>MAIN UNIT</v>
      </c>
      <c r="Q145" s="13" t="s">
        <v>68</v>
      </c>
      <c r="R145" s="13" t="s">
        <v>62</v>
      </c>
      <c r="S145" s="13" t="s">
        <v>49</v>
      </c>
      <c r="T145" s="13" t="s">
        <v>78</v>
      </c>
      <c r="U145" s="13" t="s">
        <v>79</v>
      </c>
      <c r="V145" s="13" t="s">
        <v>112</v>
      </c>
      <c r="W145" s="13" t="s">
        <v>64</v>
      </c>
      <c r="X145" s="135">
        <v>480000</v>
      </c>
      <c r="Y145" s="157" t="str">
        <f t="shared" si="63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40"/>
        <v>11730565.00042478</v>
      </c>
      <c r="AJ145" s="19">
        <f t="shared" si="41"/>
        <v>1439625.5685810833</v>
      </c>
      <c r="AK145" s="20">
        <f t="shared" si="57"/>
        <v>0.12272431622253084</v>
      </c>
      <c r="AL145" s="17"/>
      <c r="AM145" s="17"/>
      <c r="AN145" s="17"/>
      <c r="AO145" s="17"/>
      <c r="AP145" s="28" t="str">
        <f t="shared" si="58"/>
        <v>202311</v>
      </c>
      <c r="AQ145" s="28" t="str">
        <f t="shared" si="59"/>
        <v>202311RMB</v>
      </c>
      <c r="AR145" s="206" t="str">
        <f t="shared" si="60"/>
        <v>YAMAHA_Mounter</v>
      </c>
      <c r="AS145" s="22">
        <f t="shared" si="61"/>
        <v>4</v>
      </c>
      <c r="AT145" s="24" t="str">
        <f t="shared" si="62"/>
        <v>4-6 months</v>
      </c>
      <c r="AU145" s="22" t="s">
        <v>3751</v>
      </c>
    </row>
    <row r="146" spans="1:47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185</v>
      </c>
      <c r="F146" s="13" t="s">
        <v>185</v>
      </c>
      <c r="G146" s="152" t="s">
        <v>185</v>
      </c>
      <c r="H146" s="155"/>
      <c r="I146" s="33" t="str">
        <f t="shared" si="51"/>
        <v>Cancel</v>
      </c>
      <c r="J146" s="186" t="s">
        <v>633</v>
      </c>
      <c r="K146" s="155" t="s">
        <v>634</v>
      </c>
      <c r="L146" s="17" t="s">
        <v>293</v>
      </c>
      <c r="M146" s="13" t="s">
        <v>60</v>
      </c>
      <c r="N146" s="13">
        <v>1</v>
      </c>
      <c r="O146" s="13"/>
      <c r="P146" s="33" t="str">
        <f t="shared" si="52"/>
        <v>MAIN UNIT</v>
      </c>
      <c r="Q146" s="13" t="s">
        <v>61</v>
      </c>
      <c r="R146" s="13" t="s">
        <v>260</v>
      </c>
      <c r="S146" s="13" t="s">
        <v>261</v>
      </c>
      <c r="T146" s="13" t="s">
        <v>262</v>
      </c>
      <c r="U146" s="13" t="s">
        <v>79</v>
      </c>
      <c r="V146" s="13" t="s">
        <v>597</v>
      </c>
      <c r="W146" s="13" t="s">
        <v>64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40"/>
        <v>499582152.5142017</v>
      </c>
      <c r="AJ146" s="19">
        <f t="shared" si="41"/>
        <v>59520528.679470733</v>
      </c>
      <c r="AK146" s="20">
        <f t="shared" si="57"/>
        <v>0.11914062257814291</v>
      </c>
      <c r="AL146" s="17"/>
      <c r="AM146" s="17"/>
      <c r="AN146" s="17"/>
      <c r="AO146" s="17"/>
      <c r="AP146" s="28" t="str">
        <f t="shared" si="58"/>
        <v>CancelCancel</v>
      </c>
      <c r="AQ146" s="28" t="str">
        <f t="shared" si="59"/>
        <v>CancelCancelRMB</v>
      </c>
      <c r="AR146" s="206" t="str">
        <f t="shared" si="60"/>
        <v>YAMAHA_Mounter</v>
      </c>
      <c r="AS146" s="22" t="str">
        <f t="shared" si="61"/>
        <v/>
      </c>
      <c r="AT146" s="24" t="str">
        <f t="shared" si="62"/>
        <v/>
      </c>
      <c r="AU146" s="22" t="s">
        <v>3744</v>
      </c>
    </row>
    <row r="147" spans="1:47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54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1996</v>
      </c>
      <c r="K147" s="155" t="s">
        <v>1997</v>
      </c>
      <c r="L147" s="17" t="s">
        <v>67</v>
      </c>
      <c r="M147" s="13" t="s">
        <v>60</v>
      </c>
      <c r="N147" s="13">
        <v>1</v>
      </c>
      <c r="O147" s="13"/>
      <c r="P147" s="33" t="str">
        <f t="shared" si="52"/>
        <v>MAIN UNIT</v>
      </c>
      <c r="Q147" s="13" t="s">
        <v>68</v>
      </c>
      <c r="R147" s="13" t="s">
        <v>62</v>
      </c>
      <c r="S147" s="13" t="s">
        <v>49</v>
      </c>
      <c r="T147" s="13" t="s">
        <v>78</v>
      </c>
      <c r="U147" s="13" t="s">
        <v>79</v>
      </c>
      <c r="V147" s="13" t="s">
        <v>311</v>
      </c>
      <c r="W147" s="13" t="s">
        <v>109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40"/>
        <v>46600814.041769907</v>
      </c>
      <c r="AJ147" s="19">
        <f t="shared" si="41"/>
        <v>5956366.3435927071</v>
      </c>
      <c r="AK147" s="20">
        <f t="shared" si="57"/>
        <v>0.1278167874546958</v>
      </c>
      <c r="AL147" s="17"/>
      <c r="AM147" s="17"/>
      <c r="AN147" s="17"/>
      <c r="AO147" s="17"/>
      <c r="AP147" s="28" t="str">
        <f t="shared" si="58"/>
        <v>20224</v>
      </c>
      <c r="AQ147" s="28" t="str">
        <f t="shared" si="59"/>
        <v>20224JPY</v>
      </c>
      <c r="AR147" s="206" t="str">
        <f t="shared" si="60"/>
        <v>YAMAHA_Mounter</v>
      </c>
      <c r="AS147" s="22">
        <f t="shared" si="61"/>
        <v>10</v>
      </c>
      <c r="AT147" s="24" t="str">
        <f t="shared" si="62"/>
        <v>&gt; 6 months</v>
      </c>
      <c r="AU147" s="22" t="s">
        <v>3745</v>
      </c>
    </row>
    <row r="148" spans="1:47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54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2046</v>
      </c>
      <c r="K148" s="155" t="s">
        <v>2047</v>
      </c>
      <c r="L148" s="17" t="s">
        <v>67</v>
      </c>
      <c r="M148" s="13" t="s">
        <v>60</v>
      </c>
      <c r="N148" s="13">
        <v>1</v>
      </c>
      <c r="O148" s="13"/>
      <c r="P148" s="33" t="str">
        <f t="shared" si="52"/>
        <v>MAIN UNIT</v>
      </c>
      <c r="Q148" s="13" t="s">
        <v>68</v>
      </c>
      <c r="R148" s="13" t="s">
        <v>62</v>
      </c>
      <c r="S148" s="13" t="s">
        <v>49</v>
      </c>
      <c r="T148" s="13" t="s">
        <v>78</v>
      </c>
      <c r="U148" s="13" t="s">
        <v>79</v>
      </c>
      <c r="V148" s="13" t="s">
        <v>1885</v>
      </c>
      <c r="W148" s="13" t="s">
        <v>109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40"/>
        <v>35073581.838938057</v>
      </c>
      <c r="AJ148" s="19">
        <f t="shared" si="41"/>
        <v>5034113.9728989396</v>
      </c>
      <c r="AK148" s="20">
        <f t="shared" si="57"/>
        <v>0.14353007902118958</v>
      </c>
      <c r="AL148" s="17"/>
      <c r="AM148" s="17"/>
      <c r="AN148" s="17"/>
      <c r="AO148" s="17"/>
      <c r="AP148" s="28" t="str">
        <f t="shared" si="58"/>
        <v>20228</v>
      </c>
      <c r="AQ148" s="28" t="str">
        <f t="shared" si="59"/>
        <v>20228JPY</v>
      </c>
      <c r="AR148" s="206" t="str">
        <f t="shared" si="60"/>
        <v>YAMAHA_Mounter</v>
      </c>
      <c r="AS148" s="22">
        <f t="shared" si="61"/>
        <v>14</v>
      </c>
      <c r="AT148" s="24" t="str">
        <f t="shared" si="62"/>
        <v>&gt; 6 months</v>
      </c>
      <c r="AU148" s="22" t="s">
        <v>3745</v>
      </c>
    </row>
    <row r="149" spans="1:47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47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896</v>
      </c>
      <c r="K149" s="155" t="s">
        <v>897</v>
      </c>
      <c r="L149" s="17" t="s">
        <v>67</v>
      </c>
      <c r="M149" s="13" t="s">
        <v>60</v>
      </c>
      <c r="N149" s="13">
        <v>1</v>
      </c>
      <c r="O149" s="13"/>
      <c r="P149" s="33" t="str">
        <f t="shared" si="52"/>
        <v>MAIN UNIT</v>
      </c>
      <c r="Q149" s="13" t="s">
        <v>61</v>
      </c>
      <c r="R149" s="13" t="s">
        <v>62</v>
      </c>
      <c r="S149" s="13" t="s">
        <v>51</v>
      </c>
      <c r="T149" s="13" t="s">
        <v>349</v>
      </c>
      <c r="U149" s="13" t="s">
        <v>149</v>
      </c>
      <c r="V149" s="13" t="s">
        <v>564</v>
      </c>
      <c r="W149" s="13" t="s">
        <v>64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40"/>
        <v>26147030.909862842</v>
      </c>
      <c r="AJ149" s="19">
        <f t="shared" si="41"/>
        <v>2743862.8630715334</v>
      </c>
      <c r="AK149" s="20">
        <f t="shared" si="57"/>
        <v>0.10493974908778378</v>
      </c>
      <c r="AL149" s="17"/>
      <c r="AM149" s="17"/>
      <c r="AN149" s="17"/>
      <c r="AO149" s="17"/>
      <c r="AP149" s="28" t="str">
        <f t="shared" si="58"/>
        <v>201911</v>
      </c>
      <c r="AQ149" s="28" t="str">
        <f t="shared" si="59"/>
        <v>201911RMB</v>
      </c>
      <c r="AR149" s="206" t="str">
        <f t="shared" si="60"/>
        <v>YAMAHA_Mounter</v>
      </c>
      <c r="AS149" s="22">
        <f t="shared" si="61"/>
        <v>0</v>
      </c>
      <c r="AT149" s="24" t="str">
        <f t="shared" si="62"/>
        <v>0-3 months</v>
      </c>
      <c r="AU149" s="22" t="s">
        <v>3240</v>
      </c>
    </row>
    <row r="150" spans="1:47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48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1059</v>
      </c>
      <c r="K150" s="155" t="s">
        <v>897</v>
      </c>
      <c r="L150" s="17" t="s">
        <v>67</v>
      </c>
      <c r="M150" s="13" t="s">
        <v>60</v>
      </c>
      <c r="N150" s="13">
        <v>1</v>
      </c>
      <c r="O150" s="13"/>
      <c r="P150" s="33" t="str">
        <f t="shared" si="52"/>
        <v>MAIN UNIT</v>
      </c>
      <c r="Q150" s="13" t="s">
        <v>61</v>
      </c>
      <c r="R150" s="13" t="s">
        <v>62</v>
      </c>
      <c r="S150" s="13" t="s">
        <v>51</v>
      </c>
      <c r="T150" s="13" t="s">
        <v>349</v>
      </c>
      <c r="U150" s="13" t="s">
        <v>149</v>
      </c>
      <c r="V150" s="13" t="s">
        <v>564</v>
      </c>
      <c r="W150" s="13" t="s">
        <v>64</v>
      </c>
      <c r="X150" s="135">
        <v>550000</v>
      </c>
      <c r="Y150" s="156" t="s">
        <v>1058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40"/>
        <v>33477255.428389374</v>
      </c>
      <c r="AJ150" s="19">
        <f t="shared" si="41"/>
        <v>4578663.362915583</v>
      </c>
      <c r="AK150" s="20">
        <f t="shared" si="57"/>
        <v>0.13676937682988152</v>
      </c>
      <c r="AL150" s="17"/>
      <c r="AM150" s="17"/>
      <c r="AN150" s="17"/>
      <c r="AO150" s="17"/>
      <c r="AP150" s="28" t="str">
        <f t="shared" si="58"/>
        <v>20204</v>
      </c>
      <c r="AQ150" s="28" t="str">
        <f t="shared" si="59"/>
        <v>20204RMB</v>
      </c>
      <c r="AR150" s="206" t="str">
        <f t="shared" si="60"/>
        <v>YAMAHA_Mounter</v>
      </c>
      <c r="AS150" s="22">
        <f t="shared" si="61"/>
        <v>1</v>
      </c>
      <c r="AT150" s="24" t="str">
        <f t="shared" si="62"/>
        <v>0-3 months</v>
      </c>
      <c r="AU150" s="22" t="s">
        <v>3240</v>
      </c>
    </row>
    <row r="151" spans="1:47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48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1063</v>
      </c>
      <c r="K151" s="155" t="s">
        <v>897</v>
      </c>
      <c r="L151" s="17" t="s">
        <v>92</v>
      </c>
      <c r="M151" s="13" t="s">
        <v>60</v>
      </c>
      <c r="N151" s="13">
        <v>1</v>
      </c>
      <c r="O151" s="13"/>
      <c r="P151" s="33" t="str">
        <f t="shared" si="52"/>
        <v>MAIN UNIT</v>
      </c>
      <c r="Q151" s="13" t="s">
        <v>61</v>
      </c>
      <c r="R151" s="13" t="s">
        <v>62</v>
      </c>
      <c r="S151" s="13" t="s">
        <v>51</v>
      </c>
      <c r="T151" s="13" t="s">
        <v>349</v>
      </c>
      <c r="U151" s="13" t="s">
        <v>149</v>
      </c>
      <c r="V151" s="13" t="s">
        <v>564</v>
      </c>
      <c r="W151" s="13" t="s">
        <v>64</v>
      </c>
      <c r="X151" s="135">
        <v>1070000</v>
      </c>
      <c r="Y151" s="156" t="s">
        <v>1058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40"/>
        <v>33477255.428389374</v>
      </c>
      <c r="AJ151" s="19">
        <f t="shared" si="41"/>
        <v>4578663.362915583</v>
      </c>
      <c r="AK151" s="20">
        <f t="shared" si="57"/>
        <v>0.13676937682988152</v>
      </c>
      <c r="AL151" s="17"/>
      <c r="AM151" s="17"/>
      <c r="AN151" s="17"/>
      <c r="AO151" s="17"/>
      <c r="AP151" s="28" t="str">
        <f t="shared" si="58"/>
        <v>20204</v>
      </c>
      <c r="AQ151" s="28" t="str">
        <f t="shared" si="59"/>
        <v>20204RMB</v>
      </c>
      <c r="AR151" s="206" t="str">
        <f t="shared" si="60"/>
        <v>YAMAHA_Mounter</v>
      </c>
      <c r="AS151" s="22">
        <f t="shared" si="61"/>
        <v>0</v>
      </c>
      <c r="AT151" s="24" t="str">
        <f t="shared" si="62"/>
        <v>0-3 months</v>
      </c>
      <c r="AU151" s="22" t="s">
        <v>3240</v>
      </c>
    </row>
    <row r="152" spans="1:47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54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2265</v>
      </c>
      <c r="K152" s="155" t="s">
        <v>2266</v>
      </c>
      <c r="L152" s="17" t="s">
        <v>67</v>
      </c>
      <c r="M152" s="13" t="s">
        <v>60</v>
      </c>
      <c r="N152" s="13">
        <v>1</v>
      </c>
      <c r="O152" s="13"/>
      <c r="P152" s="33" t="str">
        <f t="shared" si="52"/>
        <v>MAIN UNIT</v>
      </c>
      <c r="Q152" s="13" t="s">
        <v>61</v>
      </c>
      <c r="R152" s="13" t="s">
        <v>62</v>
      </c>
      <c r="S152" s="13" t="s">
        <v>51</v>
      </c>
      <c r="T152" s="13" t="s">
        <v>349</v>
      </c>
      <c r="U152" s="13" t="s">
        <v>149</v>
      </c>
      <c r="V152" s="13" t="s">
        <v>954</v>
      </c>
      <c r="W152" s="13" t="s">
        <v>64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40"/>
        <v>35073581.838938057</v>
      </c>
      <c r="AJ152" s="19">
        <f t="shared" si="41"/>
        <v>5034113.9728989396</v>
      </c>
      <c r="AK152" s="20">
        <f t="shared" si="57"/>
        <v>0.14353007902118958</v>
      </c>
      <c r="AL152" s="17"/>
      <c r="AM152" s="17"/>
      <c r="AN152" s="17"/>
      <c r="AO152" s="17"/>
      <c r="AP152" s="28" t="str">
        <f t="shared" si="58"/>
        <v>20228</v>
      </c>
      <c r="AQ152" s="28" t="str">
        <f t="shared" si="59"/>
        <v>20228RMB</v>
      </c>
      <c r="AR152" s="206" t="str">
        <f t="shared" si="60"/>
        <v>YAMAHA_Mounter</v>
      </c>
      <c r="AS152" s="22">
        <f t="shared" si="61"/>
        <v>0</v>
      </c>
      <c r="AT152" s="24" t="str">
        <f t="shared" si="62"/>
        <v>0-3 months</v>
      </c>
      <c r="AU152" s="22" t="s">
        <v>3240</v>
      </c>
    </row>
    <row r="153" spans="1:47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41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391</v>
      </c>
      <c r="K153" s="155" t="s">
        <v>392</v>
      </c>
      <c r="L153" s="17" t="s">
        <v>67</v>
      </c>
      <c r="M153" s="13" t="s">
        <v>60</v>
      </c>
      <c r="N153" s="13">
        <v>2</v>
      </c>
      <c r="O153" s="13"/>
      <c r="P153" s="33" t="str">
        <f t="shared" si="52"/>
        <v>MAIN UNIT</v>
      </c>
      <c r="Q153" s="13" t="s">
        <v>61</v>
      </c>
      <c r="R153" s="13" t="s">
        <v>62</v>
      </c>
      <c r="S153" s="13" t="s">
        <v>49</v>
      </c>
      <c r="T153" s="13" t="s">
        <v>78</v>
      </c>
      <c r="U153" s="13" t="s">
        <v>79</v>
      </c>
      <c r="V153" s="13" t="s">
        <v>63</v>
      </c>
      <c r="W153" s="13" t="s">
        <v>64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40"/>
        <v>29840797.698275864</v>
      </c>
      <c r="AJ153" s="19">
        <f t="shared" si="41"/>
        <v>3940167.6555448272</v>
      </c>
      <c r="AK153" s="20">
        <f t="shared" si="57"/>
        <v>0.13203962224416277</v>
      </c>
      <c r="AL153" s="17"/>
      <c r="AM153" s="17"/>
      <c r="AN153" s="17"/>
      <c r="AO153" s="17"/>
      <c r="AP153" s="28" t="str">
        <f t="shared" si="58"/>
        <v>201812</v>
      </c>
      <c r="AQ153" s="28" t="str">
        <f t="shared" si="59"/>
        <v>201812RMB</v>
      </c>
      <c r="AR153" s="206" t="str">
        <f t="shared" si="60"/>
        <v>YAMAHA_Mounter</v>
      </c>
      <c r="AS153" s="22">
        <f t="shared" si="61"/>
        <v>6</v>
      </c>
      <c r="AT153" s="24" t="str">
        <f t="shared" si="62"/>
        <v>4-6 months</v>
      </c>
      <c r="AU153" s="22" t="s">
        <v>3744</v>
      </c>
    </row>
    <row r="154" spans="1:47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41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206</v>
      </c>
      <c r="K154" s="155" t="s">
        <v>207</v>
      </c>
      <c r="L154" s="17" t="s">
        <v>77</v>
      </c>
      <c r="M154" s="13" t="s">
        <v>60</v>
      </c>
      <c r="N154" s="13">
        <v>1</v>
      </c>
      <c r="O154" s="13"/>
      <c r="P154" s="33" t="str">
        <f t="shared" si="52"/>
        <v>MAIN UNIT</v>
      </c>
      <c r="Q154" s="13" t="s">
        <v>68</v>
      </c>
      <c r="R154" s="13" t="s">
        <v>62</v>
      </c>
      <c r="S154" s="13" t="s">
        <v>50</v>
      </c>
      <c r="T154" s="13" t="s">
        <v>101</v>
      </c>
      <c r="U154" s="13" t="s">
        <v>70</v>
      </c>
      <c r="V154" s="13" t="s">
        <v>102</v>
      </c>
      <c r="W154" s="13" t="s">
        <v>64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40"/>
        <v>29946107.503386207</v>
      </c>
      <c r="AJ154" s="19">
        <f t="shared" si="41"/>
        <v>3987206.4954923098</v>
      </c>
      <c r="AK154" s="20">
        <f t="shared" si="57"/>
        <v>0.13314606898547499</v>
      </c>
      <c r="AL154" s="17"/>
      <c r="AM154" s="17"/>
      <c r="AN154" s="17"/>
      <c r="AO154" s="17"/>
      <c r="AP154" s="28" t="str">
        <f t="shared" si="58"/>
        <v>20187</v>
      </c>
      <c r="AQ154" s="28" t="str">
        <f t="shared" si="59"/>
        <v>20187RMB</v>
      </c>
      <c r="AR154" s="206" t="str">
        <f t="shared" si="60"/>
        <v>YAMAHA_Mounter</v>
      </c>
      <c r="AS154" s="22">
        <f t="shared" si="61"/>
        <v>3</v>
      </c>
      <c r="AT154" s="24" t="str">
        <f t="shared" si="62"/>
        <v>0-3 months</v>
      </c>
      <c r="AU154" s="22" t="s">
        <v>3240</v>
      </c>
    </row>
    <row r="155" spans="1:47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41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255</v>
      </c>
      <c r="K155" s="155" t="s">
        <v>256</v>
      </c>
      <c r="L155" s="17" t="s">
        <v>59</v>
      </c>
      <c r="M155" s="13" t="s">
        <v>60</v>
      </c>
      <c r="N155" s="13">
        <v>1</v>
      </c>
      <c r="O155" s="13"/>
      <c r="P155" s="33" t="str">
        <f t="shared" si="52"/>
        <v>MAIN UNIT</v>
      </c>
      <c r="Q155" s="13" t="s">
        <v>61</v>
      </c>
      <c r="R155" s="13" t="s">
        <v>62</v>
      </c>
      <c r="S155" s="13" t="s">
        <v>50</v>
      </c>
      <c r="T155" s="13" t="s">
        <v>101</v>
      </c>
      <c r="U155" s="13" t="s">
        <v>70</v>
      </c>
      <c r="V155" s="13" t="s">
        <v>71</v>
      </c>
      <c r="W155" s="13" t="s">
        <v>64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40"/>
        <v>29288201.603076916</v>
      </c>
      <c r="AJ155" s="19">
        <f t="shared" si="41"/>
        <v>3870159.1769246152</v>
      </c>
      <c r="AK155" s="20">
        <f t="shared" si="57"/>
        <v>0.13214055370740244</v>
      </c>
      <c r="AL155" s="17" t="s">
        <v>257</v>
      </c>
      <c r="AM155" s="17">
        <v>580000</v>
      </c>
      <c r="AN155" s="17" t="s">
        <v>258</v>
      </c>
      <c r="AO155" s="17"/>
      <c r="AP155" s="28" t="str">
        <f t="shared" si="58"/>
        <v>20184</v>
      </c>
      <c r="AQ155" s="28" t="str">
        <f t="shared" si="59"/>
        <v>20184RMB</v>
      </c>
      <c r="AR155" s="206" t="str">
        <f t="shared" si="60"/>
        <v>YAMAHA_Mounter</v>
      </c>
      <c r="AS155" s="22">
        <f t="shared" si="61"/>
        <v>0</v>
      </c>
      <c r="AT155" s="24" t="str">
        <f t="shared" si="62"/>
        <v>0-3 months</v>
      </c>
      <c r="AU155" s="22" t="s">
        <v>3240</v>
      </c>
    </row>
    <row r="156" spans="1:47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53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1736</v>
      </c>
      <c r="K156" s="155" t="s">
        <v>256</v>
      </c>
      <c r="L156" s="17" t="s">
        <v>92</v>
      </c>
      <c r="M156" s="13" t="s">
        <v>60</v>
      </c>
      <c r="N156" s="13">
        <v>1</v>
      </c>
      <c r="O156" s="13"/>
      <c r="P156" s="33" t="str">
        <f t="shared" si="52"/>
        <v>MAIN UNIT</v>
      </c>
      <c r="Q156" s="13" t="s">
        <v>61</v>
      </c>
      <c r="R156" s="13" t="s">
        <v>62</v>
      </c>
      <c r="S156" s="13" t="s">
        <v>50</v>
      </c>
      <c r="T156" s="13" t="s">
        <v>101</v>
      </c>
      <c r="U156" s="13" t="s">
        <v>70</v>
      </c>
      <c r="V156" s="13" t="s">
        <v>71</v>
      </c>
      <c r="W156" s="13" t="s">
        <v>64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40"/>
        <v>63006605.696460173</v>
      </c>
      <c r="AJ156" s="19">
        <f t="shared" si="41"/>
        <v>8897485.660753984</v>
      </c>
      <c r="AK156" s="20">
        <f t="shared" si="57"/>
        <v>0.141215124388995</v>
      </c>
      <c r="AL156" s="17"/>
      <c r="AM156" s="17"/>
      <c r="AN156" s="17"/>
      <c r="AO156" s="17"/>
      <c r="AP156" s="28" t="str">
        <f t="shared" si="58"/>
        <v>20215</v>
      </c>
      <c r="AQ156" s="28" t="str">
        <f t="shared" si="59"/>
        <v>20215RMB</v>
      </c>
      <c r="AR156" s="206" t="str">
        <f t="shared" si="60"/>
        <v>YAMAHA_Mounter</v>
      </c>
      <c r="AS156" s="22">
        <f t="shared" si="61"/>
        <v>2</v>
      </c>
      <c r="AT156" s="24" t="str">
        <f t="shared" si="62"/>
        <v>0-3 months</v>
      </c>
      <c r="AU156" s="22" t="s">
        <v>3240</v>
      </c>
    </row>
    <row r="157" spans="1:47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53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1833</v>
      </c>
      <c r="K157" s="155" t="s">
        <v>256</v>
      </c>
      <c r="L157" s="17" t="s">
        <v>92</v>
      </c>
      <c r="M157" s="13" t="s">
        <v>60</v>
      </c>
      <c r="N157" s="13">
        <v>1</v>
      </c>
      <c r="O157" s="13"/>
      <c r="P157" s="33" t="str">
        <f t="shared" si="52"/>
        <v>MAIN UNIT</v>
      </c>
      <c r="Q157" s="13" t="s">
        <v>61</v>
      </c>
      <c r="R157" s="13" t="s">
        <v>62</v>
      </c>
      <c r="S157" s="13" t="s">
        <v>50</v>
      </c>
      <c r="T157" s="13" t="s">
        <v>101</v>
      </c>
      <c r="U157" s="13" t="s">
        <v>70</v>
      </c>
      <c r="V157" s="13" t="s">
        <v>71</v>
      </c>
      <c r="W157" s="13" t="s">
        <v>64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40"/>
        <v>41443303.53761062</v>
      </c>
      <c r="AJ157" s="19">
        <f t="shared" si="41"/>
        <v>6194988.76643031</v>
      </c>
      <c r="AK157" s="20">
        <f t="shared" si="57"/>
        <v>0.1494810557466355</v>
      </c>
      <c r="AL157" s="17"/>
      <c r="AM157" s="17"/>
      <c r="AN157" s="17"/>
      <c r="AO157" s="17"/>
      <c r="AP157" s="28" t="str">
        <f t="shared" si="58"/>
        <v>20217</v>
      </c>
      <c r="AQ157" s="28" t="str">
        <f t="shared" si="59"/>
        <v>20217RMB</v>
      </c>
      <c r="AR157" s="206" t="str">
        <f t="shared" si="60"/>
        <v>YAMAHA_Mounter</v>
      </c>
      <c r="AS157" s="22">
        <f t="shared" si="61"/>
        <v>3</v>
      </c>
      <c r="AT157" s="24" t="str">
        <f t="shared" si="62"/>
        <v>0-3 months</v>
      </c>
      <c r="AU157" s="22" t="s">
        <v>3240</v>
      </c>
    </row>
    <row r="158" spans="1:47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54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2402</v>
      </c>
      <c r="K158" s="155" t="s">
        <v>256</v>
      </c>
      <c r="L158" s="17" t="s">
        <v>67</v>
      </c>
      <c r="M158" s="13" t="s">
        <v>60</v>
      </c>
      <c r="N158" s="13">
        <v>1</v>
      </c>
      <c r="O158" s="13"/>
      <c r="P158" s="33" t="str">
        <f t="shared" si="52"/>
        <v>MAIN UNIT</v>
      </c>
      <c r="Q158" s="13" t="s">
        <v>61</v>
      </c>
      <c r="R158" s="13" t="s">
        <v>62</v>
      </c>
      <c r="S158" s="13" t="s">
        <v>50</v>
      </c>
      <c r="T158" s="13" t="s">
        <v>101</v>
      </c>
      <c r="U158" s="13" t="s">
        <v>70</v>
      </c>
      <c r="V158" s="13" t="s">
        <v>71</v>
      </c>
      <c r="W158" s="13" t="s">
        <v>64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40"/>
        <v>17329060.066371687</v>
      </c>
      <c r="AJ158" s="19">
        <f t="shared" si="41"/>
        <v>2472600.2142256643</v>
      </c>
      <c r="AK158" s="20">
        <f t="shared" si="57"/>
        <v>0.14268518919984163</v>
      </c>
      <c r="AL158" s="17"/>
      <c r="AM158" s="17"/>
      <c r="AN158" s="17"/>
      <c r="AO158" s="17"/>
      <c r="AP158" s="28" t="str">
        <f t="shared" si="58"/>
        <v>202212</v>
      </c>
      <c r="AQ158" s="28" t="str">
        <f t="shared" si="59"/>
        <v>202212RMB</v>
      </c>
      <c r="AR158" s="206" t="str">
        <f t="shared" si="60"/>
        <v>YAMAHA_Mounter</v>
      </c>
      <c r="AS158" s="22">
        <f t="shared" si="61"/>
        <v>0</v>
      </c>
      <c r="AT158" s="24" t="str">
        <f t="shared" si="62"/>
        <v>0-3 months</v>
      </c>
      <c r="AU158" s="22" t="s">
        <v>3240</v>
      </c>
    </row>
    <row r="159" spans="1:47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3401</v>
      </c>
      <c r="K159" s="29" t="s">
        <v>579</v>
      </c>
      <c r="L159" s="17" t="s">
        <v>67</v>
      </c>
      <c r="M159" s="22" t="s">
        <v>60</v>
      </c>
      <c r="N159" s="22">
        <v>1</v>
      </c>
      <c r="O159" s="22"/>
      <c r="P159" s="33" t="str">
        <f t="shared" si="52"/>
        <v>MAIN UNIT</v>
      </c>
      <c r="Q159" s="13" t="s">
        <v>61</v>
      </c>
      <c r="R159" s="22" t="s">
        <v>62</v>
      </c>
      <c r="S159" s="22" t="s">
        <v>50</v>
      </c>
      <c r="T159" s="22" t="s">
        <v>101</v>
      </c>
      <c r="U159" s="22" t="s">
        <v>70</v>
      </c>
      <c r="V159" s="22" t="s">
        <v>102</v>
      </c>
      <c r="W159" s="22" t="s">
        <v>64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40"/>
        <v>20319282.700884953</v>
      </c>
      <c r="AJ159" s="27">
        <f t="shared" si="41"/>
        <v>2408851.9638623013</v>
      </c>
      <c r="AK159" s="28">
        <f t="shared" si="57"/>
        <v>0.11855004919821259</v>
      </c>
      <c r="AL159" s="24"/>
      <c r="AM159" s="24"/>
      <c r="AN159" s="24"/>
      <c r="AO159" s="24"/>
      <c r="AP159" s="28" t="str">
        <f t="shared" si="58"/>
        <v>20244</v>
      </c>
      <c r="AQ159" s="28" t="str">
        <f t="shared" si="59"/>
        <v>20244RMB</v>
      </c>
      <c r="AR159" s="206" t="str">
        <f t="shared" si="60"/>
        <v>YAMAHA_Mounter</v>
      </c>
      <c r="AS159" s="22">
        <f t="shared" si="61"/>
        <v>1</v>
      </c>
      <c r="AT159" s="24" t="str">
        <f t="shared" si="62"/>
        <v>0-3 months</v>
      </c>
      <c r="AU159" s="22" t="s">
        <v>3240</v>
      </c>
    </row>
    <row r="160" spans="1:47" s="12" customFormat="1">
      <c r="A160" s="33" t="str">
        <f t="shared" si="49"/>
        <v>cancel</v>
      </c>
      <c r="B160" s="152"/>
      <c r="C160" s="152" t="s">
        <v>185</v>
      </c>
      <c r="D160" s="33" t="str">
        <f t="shared" si="50"/>
        <v/>
      </c>
      <c r="E160" s="33" t="s">
        <v>185</v>
      </c>
      <c r="F160" s="13" t="s">
        <v>185</v>
      </c>
      <c r="G160" s="152" t="s">
        <v>185</v>
      </c>
      <c r="H160" s="155"/>
      <c r="I160" s="33" t="str">
        <f t="shared" si="51"/>
        <v>Cancel</v>
      </c>
      <c r="J160" s="186" t="s">
        <v>2683</v>
      </c>
      <c r="K160" s="155" t="s">
        <v>2684</v>
      </c>
      <c r="L160" s="17" t="s">
        <v>92</v>
      </c>
      <c r="M160" s="13" t="s">
        <v>60</v>
      </c>
      <c r="N160" s="13">
        <v>1</v>
      </c>
      <c r="O160" s="13"/>
      <c r="P160" s="33" t="str">
        <f t="shared" si="52"/>
        <v>MAIN UNIT</v>
      </c>
      <c r="Q160" s="13" t="s">
        <v>61</v>
      </c>
      <c r="R160" s="13" t="s">
        <v>62</v>
      </c>
      <c r="S160" s="13" t="s">
        <v>50</v>
      </c>
      <c r="T160" s="13" t="s">
        <v>101</v>
      </c>
      <c r="U160" s="13" t="s">
        <v>2685</v>
      </c>
      <c r="V160" s="13" t="s">
        <v>2686</v>
      </c>
      <c r="W160" s="13" t="s">
        <v>64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40"/>
        <v>499582152.5142017</v>
      </c>
      <c r="AJ160" s="19">
        <f t="shared" si="41"/>
        <v>59520528.679470733</v>
      </c>
      <c r="AK160" s="20">
        <f t="shared" si="57"/>
        <v>0.11914062257814291</v>
      </c>
      <c r="AL160" s="17"/>
      <c r="AM160" s="17"/>
      <c r="AN160" s="17"/>
      <c r="AO160" s="17"/>
      <c r="AP160" s="28" t="str">
        <f t="shared" si="58"/>
        <v>CancelCancel</v>
      </c>
      <c r="AQ160" s="28" t="str">
        <f t="shared" si="59"/>
        <v>CancelCancelRMB</v>
      </c>
      <c r="AR160" s="206" t="str">
        <f t="shared" si="60"/>
        <v>YAMAHA_Mounter</v>
      </c>
      <c r="AS160" s="22" t="str">
        <f t="shared" si="61"/>
        <v/>
      </c>
      <c r="AT160" s="24" t="str">
        <f t="shared" si="62"/>
        <v/>
      </c>
      <c r="AU160" s="22" t="s">
        <v>3240</v>
      </c>
    </row>
    <row r="161" spans="1:47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53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1750</v>
      </c>
      <c r="K161" s="155" t="s">
        <v>1751</v>
      </c>
      <c r="L161" s="17" t="s">
        <v>67</v>
      </c>
      <c r="M161" s="13" t="s">
        <v>60</v>
      </c>
      <c r="N161" s="13">
        <v>1</v>
      </c>
      <c r="O161" s="13"/>
      <c r="P161" s="33" t="str">
        <f t="shared" si="52"/>
        <v>MAIN UNIT</v>
      </c>
      <c r="Q161" s="13" t="s">
        <v>61</v>
      </c>
      <c r="R161" s="13" t="s">
        <v>62</v>
      </c>
      <c r="S161" s="13" t="s">
        <v>50</v>
      </c>
      <c r="T161" s="13" t="s">
        <v>101</v>
      </c>
      <c r="U161" s="13" t="s">
        <v>70</v>
      </c>
      <c r="V161" s="13" t="s">
        <v>102</v>
      </c>
      <c r="W161" s="13" t="s">
        <v>64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40"/>
        <v>63006605.696460173</v>
      </c>
      <c r="AJ161" s="19">
        <f t="shared" si="41"/>
        <v>8897485.660753984</v>
      </c>
      <c r="AK161" s="20">
        <f t="shared" si="57"/>
        <v>0.141215124388995</v>
      </c>
      <c r="AL161" s="17"/>
      <c r="AM161" s="17"/>
      <c r="AN161" s="17"/>
      <c r="AO161" s="17"/>
      <c r="AP161" s="28" t="str">
        <f t="shared" si="58"/>
        <v>20215</v>
      </c>
      <c r="AQ161" s="28" t="str">
        <f t="shared" si="59"/>
        <v>20215RMB</v>
      </c>
      <c r="AR161" s="206" t="str">
        <f t="shared" si="60"/>
        <v>YAMAHA_Mounter</v>
      </c>
      <c r="AS161" s="22">
        <f t="shared" si="61"/>
        <v>2</v>
      </c>
      <c r="AT161" s="24" t="str">
        <f t="shared" si="62"/>
        <v>0-3 months</v>
      </c>
      <c r="AU161" s="22" t="s">
        <v>3240</v>
      </c>
    </row>
    <row r="162" spans="1:47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53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1754</v>
      </c>
      <c r="K162" s="155" t="s">
        <v>1751</v>
      </c>
      <c r="L162" s="17" t="s">
        <v>92</v>
      </c>
      <c r="M162" s="13" t="s">
        <v>60</v>
      </c>
      <c r="N162" s="13">
        <v>1</v>
      </c>
      <c r="O162" s="13"/>
      <c r="P162" s="33" t="str">
        <f t="shared" si="52"/>
        <v>MAIN UNIT</v>
      </c>
      <c r="Q162" s="13" t="s">
        <v>61</v>
      </c>
      <c r="R162" s="13" t="s">
        <v>62</v>
      </c>
      <c r="S162" s="13" t="s">
        <v>50</v>
      </c>
      <c r="T162" s="13" t="s">
        <v>101</v>
      </c>
      <c r="U162" s="13" t="s">
        <v>70</v>
      </c>
      <c r="V162" s="13" t="s">
        <v>102</v>
      </c>
      <c r="W162" s="13" t="s">
        <v>64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40"/>
        <v>63006605.696460173</v>
      </c>
      <c r="AJ162" s="19">
        <f t="shared" si="41"/>
        <v>8897485.660753984</v>
      </c>
      <c r="AK162" s="20">
        <f t="shared" si="57"/>
        <v>0.141215124388995</v>
      </c>
      <c r="AL162" s="17"/>
      <c r="AM162" s="17"/>
      <c r="AN162" s="17"/>
      <c r="AO162" s="17"/>
      <c r="AP162" s="28" t="str">
        <f t="shared" si="58"/>
        <v>20215</v>
      </c>
      <c r="AQ162" s="28" t="str">
        <f t="shared" si="59"/>
        <v>20215RMB</v>
      </c>
      <c r="AR162" s="206" t="str">
        <f t="shared" si="60"/>
        <v>YAMAHA_Mounter</v>
      </c>
      <c r="AS162" s="22">
        <f t="shared" si="61"/>
        <v>1</v>
      </c>
      <c r="AT162" s="24" t="str">
        <f t="shared" si="62"/>
        <v>0-3 months</v>
      </c>
      <c r="AU162" s="22" t="s">
        <v>3240</v>
      </c>
    </row>
    <row r="163" spans="1:47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53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1924</v>
      </c>
      <c r="K163" s="155" t="s">
        <v>1751</v>
      </c>
      <c r="L163" s="17" t="s">
        <v>516</v>
      </c>
      <c r="M163" s="13" t="s">
        <v>60</v>
      </c>
      <c r="N163" s="13">
        <v>0</v>
      </c>
      <c r="O163" s="13">
        <v>2</v>
      </c>
      <c r="P163" s="33" t="str">
        <f t="shared" si="52"/>
        <v>SERVICE/ PARTS</v>
      </c>
      <c r="Q163" s="13" t="s">
        <v>61</v>
      </c>
      <c r="R163" s="13" t="s">
        <v>62</v>
      </c>
      <c r="S163" s="13" t="s">
        <v>50</v>
      </c>
      <c r="T163" s="13" t="s">
        <v>101</v>
      </c>
      <c r="U163" s="13" t="s">
        <v>70</v>
      </c>
      <c r="V163" s="13" t="s">
        <v>102</v>
      </c>
      <c r="W163" s="13" t="s">
        <v>64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40"/>
        <v>25380121.402654871</v>
      </c>
      <c r="AJ163" s="19">
        <f t="shared" si="41"/>
        <v>3850343.1237796471</v>
      </c>
      <c r="AK163" s="20">
        <f t="shared" si="57"/>
        <v>0.1517070412191521</v>
      </c>
      <c r="AL163" s="17"/>
      <c r="AM163" s="17"/>
      <c r="AN163" s="17"/>
      <c r="AO163" s="17"/>
      <c r="AP163" s="28" t="str">
        <f t="shared" si="58"/>
        <v>202112</v>
      </c>
      <c r="AQ163" s="28" t="str">
        <f t="shared" si="59"/>
        <v>202112RMB</v>
      </c>
      <c r="AR163" s="206" t="str">
        <f t="shared" si="60"/>
        <v>YAMAHA_Mounter</v>
      </c>
      <c r="AS163" s="22">
        <f t="shared" si="61"/>
        <v>0</v>
      </c>
      <c r="AT163" s="24" t="str">
        <f t="shared" si="62"/>
        <v>0-3 months</v>
      </c>
      <c r="AU163" s="22" t="s">
        <v>3240</v>
      </c>
    </row>
    <row r="164" spans="1:47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54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2224</v>
      </c>
      <c r="K164" s="155" t="s">
        <v>1751</v>
      </c>
      <c r="L164" s="17" t="s">
        <v>92</v>
      </c>
      <c r="M164" s="13" t="s">
        <v>60</v>
      </c>
      <c r="N164" s="13">
        <v>1</v>
      </c>
      <c r="O164" s="13"/>
      <c r="P164" s="33" t="str">
        <f t="shared" si="52"/>
        <v>MAIN UNIT</v>
      </c>
      <c r="Q164" s="13" t="s">
        <v>61</v>
      </c>
      <c r="R164" s="13" t="s">
        <v>62</v>
      </c>
      <c r="S164" s="13" t="s">
        <v>50</v>
      </c>
      <c r="T164" s="13" t="s">
        <v>101</v>
      </c>
      <c r="U164" s="13" t="s">
        <v>70</v>
      </c>
      <c r="V164" s="13" t="s">
        <v>102</v>
      </c>
      <c r="W164" s="13" t="s">
        <v>64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40"/>
        <v>36480247.665929198</v>
      </c>
      <c r="AJ164" s="19">
        <f t="shared" si="41"/>
        <v>5330996.6372757526</v>
      </c>
      <c r="AK164" s="20">
        <f t="shared" si="57"/>
        <v>0.14613378412599562</v>
      </c>
      <c r="AL164" s="17"/>
      <c r="AM164" s="17"/>
      <c r="AN164" s="17"/>
      <c r="AO164" s="17"/>
      <c r="AP164" s="28" t="str">
        <f t="shared" si="58"/>
        <v>20227</v>
      </c>
      <c r="AQ164" s="28" t="str">
        <f t="shared" si="59"/>
        <v>20227RMB</v>
      </c>
      <c r="AR164" s="206" t="str">
        <f t="shared" si="60"/>
        <v>YAMAHA_Mounter</v>
      </c>
      <c r="AS164" s="22">
        <f t="shared" si="61"/>
        <v>1</v>
      </c>
      <c r="AT164" s="24" t="str">
        <f t="shared" si="62"/>
        <v>0-3 months</v>
      </c>
      <c r="AU164" s="22" t="s">
        <v>3240</v>
      </c>
    </row>
    <row r="165" spans="1:47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47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655</v>
      </c>
      <c r="K165" s="155" t="s">
        <v>656</v>
      </c>
      <c r="L165" s="17" t="s">
        <v>67</v>
      </c>
      <c r="M165" s="13" t="s">
        <v>60</v>
      </c>
      <c r="N165" s="13">
        <v>4</v>
      </c>
      <c r="O165" s="13"/>
      <c r="P165" s="33" t="str">
        <f t="shared" si="52"/>
        <v>MAIN UNIT</v>
      </c>
      <c r="Q165" s="13" t="s">
        <v>68</v>
      </c>
      <c r="R165" s="13" t="s">
        <v>62</v>
      </c>
      <c r="S165" s="13" t="s">
        <v>50</v>
      </c>
      <c r="T165" s="13" t="s">
        <v>101</v>
      </c>
      <c r="U165" s="13" t="s">
        <v>70</v>
      </c>
      <c r="V165" s="13" t="s">
        <v>102</v>
      </c>
      <c r="W165" s="13" t="s">
        <v>64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40"/>
        <v>32843736.557277881</v>
      </c>
      <c r="AJ165" s="19">
        <f t="shared" si="41"/>
        <v>3921470.6822663117</v>
      </c>
      <c r="AK165" s="20">
        <f t="shared" si="57"/>
        <v>0.11939782416131177</v>
      </c>
      <c r="AL165" s="17"/>
      <c r="AM165" s="17"/>
      <c r="AN165" s="17"/>
      <c r="AO165" s="17"/>
      <c r="AP165" s="28" t="str">
        <f t="shared" si="58"/>
        <v>20194</v>
      </c>
      <c r="AQ165" s="28" t="str">
        <f t="shared" si="59"/>
        <v>20194RMB</v>
      </c>
      <c r="AR165" s="206" t="str">
        <f t="shared" si="60"/>
        <v>YAMAHA_Mounter</v>
      </c>
      <c r="AS165" s="22">
        <f t="shared" si="61"/>
        <v>1</v>
      </c>
      <c r="AT165" s="24" t="str">
        <f t="shared" si="62"/>
        <v>0-3 months</v>
      </c>
      <c r="AU165" s="22" t="s">
        <v>3240</v>
      </c>
    </row>
    <row r="166" spans="1:47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48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1146</v>
      </c>
      <c r="K166" s="155" t="s">
        <v>1147</v>
      </c>
      <c r="L166" s="17" t="s">
        <v>67</v>
      </c>
      <c r="M166" s="13" t="s">
        <v>60</v>
      </c>
      <c r="N166" s="13">
        <v>1</v>
      </c>
      <c r="O166" s="13"/>
      <c r="P166" s="33" t="str">
        <f t="shared" si="52"/>
        <v>MAIN UNIT</v>
      </c>
      <c r="Q166" s="13" t="s">
        <v>61</v>
      </c>
      <c r="R166" s="13" t="s">
        <v>62</v>
      </c>
      <c r="S166" s="13" t="s">
        <v>50</v>
      </c>
      <c r="T166" s="13" t="s">
        <v>101</v>
      </c>
      <c r="U166" s="13" t="s">
        <v>70</v>
      </c>
      <c r="V166" s="13" t="s">
        <v>102</v>
      </c>
      <c r="W166" s="13" t="s">
        <v>64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40"/>
        <v>28011162.254106201</v>
      </c>
      <c r="AJ166" s="19">
        <f t="shared" si="41"/>
        <v>3401347.1124888416</v>
      </c>
      <c r="AK166" s="20">
        <f t="shared" si="57"/>
        <v>0.12142827497242578</v>
      </c>
      <c r="AL166" s="17"/>
      <c r="AM166" s="17"/>
      <c r="AN166" s="17"/>
      <c r="AO166" s="17"/>
      <c r="AP166" s="28" t="str">
        <f t="shared" si="58"/>
        <v>202010</v>
      </c>
      <c r="AQ166" s="28" t="str">
        <f t="shared" si="59"/>
        <v>202010RMB</v>
      </c>
      <c r="AR166" s="206" t="str">
        <f t="shared" si="60"/>
        <v>YAMAHA_Mounter</v>
      </c>
      <c r="AS166" s="22">
        <f t="shared" si="61"/>
        <v>2</v>
      </c>
      <c r="AT166" s="24" t="str">
        <f t="shared" si="62"/>
        <v>0-3 months</v>
      </c>
      <c r="AU166" s="22" t="s">
        <v>3240</v>
      </c>
    </row>
    <row r="167" spans="1:47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48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1148</v>
      </c>
      <c r="K167" s="155" t="s">
        <v>1147</v>
      </c>
      <c r="L167" s="17" t="s">
        <v>67</v>
      </c>
      <c r="M167" s="13" t="s">
        <v>60</v>
      </c>
      <c r="N167" s="13">
        <v>1</v>
      </c>
      <c r="O167" s="13"/>
      <c r="P167" s="33" t="str">
        <f t="shared" si="52"/>
        <v>MAIN UNIT</v>
      </c>
      <c r="Q167" s="13" t="s">
        <v>61</v>
      </c>
      <c r="R167" s="13" t="s">
        <v>62</v>
      </c>
      <c r="S167" s="13" t="s">
        <v>50</v>
      </c>
      <c r="T167" s="13" t="s">
        <v>101</v>
      </c>
      <c r="U167" s="13" t="s">
        <v>70</v>
      </c>
      <c r="V167" s="13" t="s">
        <v>102</v>
      </c>
      <c r="W167" s="13" t="s">
        <v>64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40"/>
        <v>44078731.611185849</v>
      </c>
      <c r="AJ167" s="19">
        <f t="shared" si="41"/>
        <v>5508173.2163771465</v>
      </c>
      <c r="AK167" s="20">
        <f t="shared" si="57"/>
        <v>0.12496215328889679</v>
      </c>
      <c r="AL167" s="17"/>
      <c r="AM167" s="17"/>
      <c r="AN167" s="17"/>
      <c r="AO167" s="17"/>
      <c r="AP167" s="28" t="str">
        <f t="shared" si="58"/>
        <v>202011</v>
      </c>
      <c r="AQ167" s="28" t="str">
        <f t="shared" si="59"/>
        <v>202011RMB</v>
      </c>
      <c r="AR167" s="206" t="str">
        <f t="shared" si="60"/>
        <v>YAMAHA_Mounter</v>
      </c>
      <c r="AS167" s="22">
        <f t="shared" si="61"/>
        <v>3</v>
      </c>
      <c r="AT167" s="24" t="str">
        <f t="shared" si="62"/>
        <v>0-3 months</v>
      </c>
      <c r="AU167" s="22" t="s">
        <v>3240</v>
      </c>
    </row>
    <row r="168" spans="1:47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41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98</v>
      </c>
      <c r="K168" s="155" t="s">
        <v>99</v>
      </c>
      <c r="L168" s="17" t="s">
        <v>100</v>
      </c>
      <c r="M168" s="13" t="s">
        <v>60</v>
      </c>
      <c r="N168" s="13">
        <v>6</v>
      </c>
      <c r="O168" s="13"/>
      <c r="P168" s="33" t="str">
        <f t="shared" si="52"/>
        <v>MAIN UNIT</v>
      </c>
      <c r="Q168" s="13" t="s">
        <v>61</v>
      </c>
      <c r="R168" s="13" t="s">
        <v>62</v>
      </c>
      <c r="S168" s="13" t="s">
        <v>50</v>
      </c>
      <c r="T168" s="13" t="s">
        <v>101</v>
      </c>
      <c r="U168" s="13" t="s">
        <v>70</v>
      </c>
      <c r="V168" s="13" t="s">
        <v>102</v>
      </c>
      <c r="W168" s="13" t="s">
        <v>64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40"/>
        <v>29288201.603076916</v>
      </c>
      <c r="AJ168" s="19">
        <f t="shared" si="41"/>
        <v>3870159.1769246152</v>
      </c>
      <c r="AK168" s="20">
        <f t="shared" si="57"/>
        <v>0.13214055370740244</v>
      </c>
      <c r="AL168" s="17"/>
      <c r="AM168" s="17"/>
      <c r="AN168" s="17"/>
      <c r="AO168" s="17"/>
      <c r="AP168" s="28" t="str">
        <f t="shared" si="58"/>
        <v>20184</v>
      </c>
      <c r="AQ168" s="28" t="str">
        <f t="shared" si="59"/>
        <v>20184RMB</v>
      </c>
      <c r="AR168" s="206" t="str">
        <f t="shared" si="60"/>
        <v>YAMAHA_Mounter</v>
      </c>
      <c r="AS168" s="22">
        <f t="shared" si="61"/>
        <v>5</v>
      </c>
      <c r="AT168" s="24" t="str">
        <f t="shared" si="62"/>
        <v>4-6 months</v>
      </c>
      <c r="AU168" s="22" t="s">
        <v>3240</v>
      </c>
    </row>
    <row r="169" spans="1:47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47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1008</v>
      </c>
      <c r="K169" s="155" t="s">
        <v>1009</v>
      </c>
      <c r="L169" s="17" t="s">
        <v>67</v>
      </c>
      <c r="M169" s="13" t="s">
        <v>60</v>
      </c>
      <c r="N169" s="13">
        <v>1</v>
      </c>
      <c r="O169" s="13"/>
      <c r="P169" s="33" t="str">
        <f t="shared" si="52"/>
        <v>MAIN UNIT</v>
      </c>
      <c r="Q169" s="13" t="s">
        <v>68</v>
      </c>
      <c r="R169" s="13" t="s">
        <v>62</v>
      </c>
      <c r="S169" s="13" t="s">
        <v>50</v>
      </c>
      <c r="T169" s="13" t="s">
        <v>101</v>
      </c>
      <c r="U169" s="13" t="s">
        <v>70</v>
      </c>
      <c r="V169" s="13" t="s">
        <v>1010</v>
      </c>
      <c r="W169" s="13" t="s">
        <v>64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40"/>
        <v>11620538.477876106</v>
      </c>
      <c r="AJ169" s="19">
        <f t="shared" si="41"/>
        <v>1598596.3145221241</v>
      </c>
      <c r="AK169" s="20">
        <f t="shared" si="57"/>
        <v>0.13756645766163331</v>
      </c>
      <c r="AL169" s="17"/>
      <c r="AM169" s="17"/>
      <c r="AN169" s="17"/>
      <c r="AO169" s="17"/>
      <c r="AP169" s="28" t="str">
        <f t="shared" si="58"/>
        <v>20201</v>
      </c>
      <c r="AQ169" s="28" t="str">
        <f t="shared" si="59"/>
        <v>20201RMB</v>
      </c>
      <c r="AR169" s="206" t="str">
        <f t="shared" si="60"/>
        <v>YAMAHA_Mounter</v>
      </c>
      <c r="AS169" s="22">
        <f t="shared" si="61"/>
        <v>1</v>
      </c>
      <c r="AT169" s="24" t="str">
        <f t="shared" si="62"/>
        <v>0-3 months</v>
      </c>
      <c r="AU169" s="22" t="s">
        <v>3240</v>
      </c>
    </row>
    <row r="170" spans="1:47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47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1008</v>
      </c>
      <c r="K170" s="155" t="s">
        <v>1009</v>
      </c>
      <c r="L170" s="17" t="s">
        <v>67</v>
      </c>
      <c r="M170" s="13" t="s">
        <v>60</v>
      </c>
      <c r="N170" s="13">
        <v>1</v>
      </c>
      <c r="O170" s="13"/>
      <c r="P170" s="33" t="str">
        <f t="shared" si="52"/>
        <v>MAIN UNIT</v>
      </c>
      <c r="Q170" s="13" t="s">
        <v>68</v>
      </c>
      <c r="R170" s="13" t="s">
        <v>62</v>
      </c>
      <c r="S170" s="13" t="s">
        <v>50</v>
      </c>
      <c r="T170" s="13" t="s">
        <v>101</v>
      </c>
      <c r="U170" s="13" t="s">
        <v>70</v>
      </c>
      <c r="V170" s="13" t="s">
        <v>1010</v>
      </c>
      <c r="W170" s="13" t="s">
        <v>64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40"/>
        <v>11620538.477876106</v>
      </c>
      <c r="AJ170" s="19">
        <f t="shared" si="41"/>
        <v>1598596.3145221241</v>
      </c>
      <c r="AK170" s="20">
        <f t="shared" si="57"/>
        <v>0.13756645766163331</v>
      </c>
      <c r="AL170" s="17"/>
      <c r="AM170" s="17"/>
      <c r="AN170" s="17"/>
      <c r="AO170" s="17"/>
      <c r="AP170" s="28" t="str">
        <f t="shared" si="58"/>
        <v>20201</v>
      </c>
      <c r="AQ170" s="28" t="str">
        <f t="shared" si="59"/>
        <v>20201RMB</v>
      </c>
      <c r="AR170" s="206" t="str">
        <f t="shared" si="60"/>
        <v>YAMAHA_Mounter</v>
      </c>
      <c r="AS170" s="22">
        <f t="shared" si="61"/>
        <v>1</v>
      </c>
      <c r="AT170" s="24" t="str">
        <f t="shared" si="62"/>
        <v>0-3 months</v>
      </c>
      <c r="AU170" s="22" t="s">
        <v>3240</v>
      </c>
    </row>
    <row r="171" spans="1:47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48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1074</v>
      </c>
      <c r="K171" s="155" t="s">
        <v>1009</v>
      </c>
      <c r="L171" s="17" t="s">
        <v>92</v>
      </c>
      <c r="M171" s="13" t="s">
        <v>60</v>
      </c>
      <c r="N171" s="13">
        <v>1</v>
      </c>
      <c r="O171" s="13"/>
      <c r="P171" s="33" t="str">
        <f t="shared" si="52"/>
        <v>MAIN UNIT</v>
      </c>
      <c r="Q171" s="13" t="s">
        <v>61</v>
      </c>
      <c r="R171" s="13" t="s">
        <v>62</v>
      </c>
      <c r="S171" s="13" t="s">
        <v>50</v>
      </c>
      <c r="T171" s="13" t="s">
        <v>101</v>
      </c>
      <c r="U171" s="13" t="s">
        <v>70</v>
      </c>
      <c r="V171" s="13" t="s">
        <v>1010</v>
      </c>
      <c r="W171" s="13" t="s">
        <v>64</v>
      </c>
      <c r="X171" s="135">
        <v>1083000</v>
      </c>
      <c r="Y171" s="156" t="s">
        <v>1058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40"/>
        <v>33477255.428389374</v>
      </c>
      <c r="AJ171" s="19">
        <f t="shared" si="41"/>
        <v>4578663.362915583</v>
      </c>
      <c r="AK171" s="20">
        <f t="shared" si="57"/>
        <v>0.13676937682988152</v>
      </c>
      <c r="AL171" s="17"/>
      <c r="AM171" s="17"/>
      <c r="AN171" s="17"/>
      <c r="AO171" s="17"/>
      <c r="AP171" s="28" t="str">
        <f t="shared" si="58"/>
        <v>20204</v>
      </c>
      <c r="AQ171" s="28" t="str">
        <f t="shared" si="59"/>
        <v>20204RMB</v>
      </c>
      <c r="AR171" s="206" t="str">
        <f t="shared" si="60"/>
        <v>YAMAHA_Mounter</v>
      </c>
      <c r="AS171" s="22">
        <f t="shared" si="61"/>
        <v>0</v>
      </c>
      <c r="AT171" s="24" t="str">
        <f t="shared" si="62"/>
        <v>0-3 months</v>
      </c>
      <c r="AU171" s="22" t="s">
        <v>3240</v>
      </c>
    </row>
    <row r="172" spans="1:47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41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413</v>
      </c>
      <c r="K172" s="155" t="s">
        <v>414</v>
      </c>
      <c r="L172" s="17" t="s">
        <v>67</v>
      </c>
      <c r="M172" s="13" t="s">
        <v>60</v>
      </c>
      <c r="N172" s="13">
        <v>2</v>
      </c>
      <c r="O172" s="13"/>
      <c r="P172" s="33" t="str">
        <f t="shared" si="52"/>
        <v>MAIN UNIT</v>
      </c>
      <c r="Q172" s="13" t="s">
        <v>61</v>
      </c>
      <c r="R172" s="13" t="s">
        <v>62</v>
      </c>
      <c r="S172" s="13" t="s">
        <v>50</v>
      </c>
      <c r="T172" s="13" t="s">
        <v>101</v>
      </c>
      <c r="U172" s="13" t="s">
        <v>415</v>
      </c>
      <c r="V172" s="13" t="s">
        <v>84</v>
      </c>
      <c r="W172" s="13" t="s">
        <v>64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40"/>
        <v>10785027.603448275</v>
      </c>
      <c r="AJ172" s="19">
        <f t="shared" si="41"/>
        <v>1540894.1297982759</v>
      </c>
      <c r="AK172" s="20">
        <f t="shared" si="57"/>
        <v>0.1428734525728621</v>
      </c>
      <c r="AL172" s="17"/>
      <c r="AM172" s="17"/>
      <c r="AN172" s="17"/>
      <c r="AO172" s="17"/>
      <c r="AP172" s="28" t="str">
        <f t="shared" si="58"/>
        <v>201811</v>
      </c>
      <c r="AQ172" s="28" t="str">
        <f t="shared" si="59"/>
        <v>201811RMB</v>
      </c>
      <c r="AR172" s="206" t="str">
        <f t="shared" si="60"/>
        <v>YAMAHA_Mounter</v>
      </c>
      <c r="AS172" s="22">
        <f t="shared" si="61"/>
        <v>5</v>
      </c>
      <c r="AT172" s="24" t="str">
        <f t="shared" si="62"/>
        <v>4-6 months</v>
      </c>
      <c r="AU172" s="22" t="s">
        <v>3240</v>
      </c>
    </row>
    <row r="173" spans="1:47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55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2562</v>
      </c>
      <c r="K173" s="155" t="s">
        <v>414</v>
      </c>
      <c r="L173" s="17" t="s">
        <v>293</v>
      </c>
      <c r="M173" s="13" t="s">
        <v>60</v>
      </c>
      <c r="N173" s="13">
        <v>1</v>
      </c>
      <c r="O173" s="13"/>
      <c r="P173" s="33" t="str">
        <f t="shared" si="52"/>
        <v>MAIN UNIT</v>
      </c>
      <c r="Q173" s="13" t="s">
        <v>61</v>
      </c>
      <c r="R173" s="13" t="s">
        <v>62</v>
      </c>
      <c r="S173" s="13" t="s">
        <v>50</v>
      </c>
      <c r="T173" s="13" t="s">
        <v>101</v>
      </c>
      <c r="U173" s="13" t="s">
        <v>89</v>
      </c>
      <c r="V173" s="13" t="s">
        <v>84</v>
      </c>
      <c r="W173" s="13" t="s">
        <v>64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40"/>
        <v>26078226.463097349</v>
      </c>
      <c r="AJ173" s="19">
        <f t="shared" si="41"/>
        <v>3137870.4427774516</v>
      </c>
      <c r="AK173" s="20">
        <f t="shared" si="57"/>
        <v>0.12032530077218917</v>
      </c>
      <c r="AL173" s="17"/>
      <c r="AM173" s="17"/>
      <c r="AN173" s="17"/>
      <c r="AO173" s="17"/>
      <c r="AP173" s="28" t="str">
        <f t="shared" si="58"/>
        <v>20239</v>
      </c>
      <c r="AQ173" s="28" t="str">
        <f t="shared" si="59"/>
        <v>20239RMB</v>
      </c>
      <c r="AR173" s="206" t="str">
        <f t="shared" si="60"/>
        <v>YAMAHA_Mounter</v>
      </c>
      <c r="AS173" s="22">
        <f t="shared" si="61"/>
        <v>4</v>
      </c>
      <c r="AT173" s="24" t="str">
        <f t="shared" si="62"/>
        <v>4-6 months</v>
      </c>
      <c r="AU173" s="22" t="s">
        <v>3240</v>
      </c>
    </row>
    <row r="174" spans="1:47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55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2562</v>
      </c>
      <c r="K174" s="155" t="s">
        <v>414</v>
      </c>
      <c r="L174" s="17" t="s">
        <v>293</v>
      </c>
      <c r="M174" s="13" t="s">
        <v>60</v>
      </c>
      <c r="N174" s="13">
        <v>1</v>
      </c>
      <c r="O174" s="13"/>
      <c r="P174" s="33" t="str">
        <f t="shared" si="52"/>
        <v>MAIN UNIT</v>
      </c>
      <c r="Q174" s="13" t="s">
        <v>61</v>
      </c>
      <c r="R174" s="13" t="s">
        <v>62</v>
      </c>
      <c r="S174" s="13" t="s">
        <v>50</v>
      </c>
      <c r="T174" s="13" t="s">
        <v>101</v>
      </c>
      <c r="U174" s="13" t="s">
        <v>89</v>
      </c>
      <c r="V174" s="13" t="s">
        <v>84</v>
      </c>
      <c r="W174" s="13" t="s">
        <v>64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40"/>
        <v>26078226.463097349</v>
      </c>
      <c r="AJ174" s="19">
        <f t="shared" si="41"/>
        <v>3137870.4427774516</v>
      </c>
      <c r="AK174" s="20">
        <f t="shared" si="57"/>
        <v>0.12032530077218917</v>
      </c>
      <c r="AL174" s="17"/>
      <c r="AM174" s="17"/>
      <c r="AN174" s="17"/>
      <c r="AO174" s="17"/>
      <c r="AP174" s="28" t="str">
        <f t="shared" si="58"/>
        <v>20239</v>
      </c>
      <c r="AQ174" s="28" t="str">
        <f t="shared" si="59"/>
        <v>20239RMB</v>
      </c>
      <c r="AR174" s="206" t="str">
        <f t="shared" si="60"/>
        <v>YAMAHA_Mounter</v>
      </c>
      <c r="AS174" s="22">
        <f t="shared" si="61"/>
        <v>4</v>
      </c>
      <c r="AT174" s="24" t="str">
        <f t="shared" si="62"/>
        <v>4-6 months</v>
      </c>
      <c r="AU174" s="22" t="s">
        <v>3240</v>
      </c>
    </row>
    <row r="175" spans="1:47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55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2562</v>
      </c>
      <c r="K175" s="155" t="s">
        <v>414</v>
      </c>
      <c r="L175" s="17" t="s">
        <v>293</v>
      </c>
      <c r="M175" s="13" t="s">
        <v>60</v>
      </c>
      <c r="N175" s="13">
        <v>1</v>
      </c>
      <c r="O175" s="13"/>
      <c r="P175" s="33" t="str">
        <f t="shared" si="52"/>
        <v>MAIN UNIT</v>
      </c>
      <c r="Q175" s="13" t="s">
        <v>61</v>
      </c>
      <c r="R175" s="13" t="s">
        <v>62</v>
      </c>
      <c r="S175" s="13" t="s">
        <v>50</v>
      </c>
      <c r="T175" s="13" t="s">
        <v>101</v>
      </c>
      <c r="U175" s="13" t="s">
        <v>89</v>
      </c>
      <c r="V175" s="13" t="s">
        <v>84</v>
      </c>
      <c r="W175" s="13" t="s">
        <v>64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40"/>
        <v>26078226.463097349</v>
      </c>
      <c r="AJ175" s="19">
        <f t="shared" si="41"/>
        <v>3137870.4427774516</v>
      </c>
      <c r="AK175" s="20">
        <f t="shared" si="57"/>
        <v>0.12032530077218917</v>
      </c>
      <c r="AL175" s="17"/>
      <c r="AM175" s="17"/>
      <c r="AN175" s="17"/>
      <c r="AO175" s="17"/>
      <c r="AP175" s="28" t="str">
        <f t="shared" si="58"/>
        <v>20239</v>
      </c>
      <c r="AQ175" s="28" t="str">
        <f t="shared" si="59"/>
        <v>20239RMB</v>
      </c>
      <c r="AR175" s="206" t="str">
        <f t="shared" si="60"/>
        <v>YAMAHA_Mounter</v>
      </c>
      <c r="AS175" s="22">
        <f t="shared" si="61"/>
        <v>4</v>
      </c>
      <c r="AT175" s="24" t="str">
        <f t="shared" si="62"/>
        <v>4-6 months</v>
      </c>
      <c r="AU175" s="22" t="s">
        <v>3240</v>
      </c>
    </row>
    <row r="176" spans="1:47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55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2562</v>
      </c>
      <c r="K176" s="155" t="s">
        <v>414</v>
      </c>
      <c r="L176" s="17" t="s">
        <v>293</v>
      </c>
      <c r="M176" s="13" t="s">
        <v>60</v>
      </c>
      <c r="N176" s="13">
        <v>1</v>
      </c>
      <c r="O176" s="13"/>
      <c r="P176" s="33" t="str">
        <f t="shared" si="52"/>
        <v>MAIN UNIT</v>
      </c>
      <c r="Q176" s="13" t="s">
        <v>61</v>
      </c>
      <c r="R176" s="13" t="s">
        <v>62</v>
      </c>
      <c r="S176" s="13" t="s">
        <v>50</v>
      </c>
      <c r="T176" s="13" t="s">
        <v>101</v>
      </c>
      <c r="U176" s="13" t="s">
        <v>89</v>
      </c>
      <c r="V176" s="13" t="s">
        <v>84</v>
      </c>
      <c r="W176" s="13" t="s">
        <v>64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40"/>
        <v>26078226.463097349</v>
      </c>
      <c r="AJ176" s="19">
        <f t="shared" si="41"/>
        <v>3137870.4427774516</v>
      </c>
      <c r="AK176" s="20">
        <f t="shared" si="57"/>
        <v>0.12032530077218917</v>
      </c>
      <c r="AL176" s="17"/>
      <c r="AM176" s="17"/>
      <c r="AN176" s="17"/>
      <c r="AO176" s="17"/>
      <c r="AP176" s="28" t="str">
        <f t="shared" si="58"/>
        <v>20239</v>
      </c>
      <c r="AQ176" s="28" t="str">
        <f t="shared" si="59"/>
        <v>20239RMB</v>
      </c>
      <c r="AR176" s="206" t="str">
        <f t="shared" si="60"/>
        <v>YAMAHA_Mounter</v>
      </c>
      <c r="AS176" s="22">
        <f t="shared" si="61"/>
        <v>4</v>
      </c>
      <c r="AT176" s="24" t="str">
        <f t="shared" si="62"/>
        <v>4-6 months</v>
      </c>
      <c r="AU176" s="22" t="s">
        <v>3240</v>
      </c>
    </row>
    <row r="177" spans="1:47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55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2562</v>
      </c>
      <c r="K177" s="155" t="s">
        <v>414</v>
      </c>
      <c r="L177" s="17" t="s">
        <v>2563</v>
      </c>
      <c r="M177" s="13" t="s">
        <v>377</v>
      </c>
      <c r="N177" s="13">
        <v>0</v>
      </c>
      <c r="O177" s="13">
        <v>512</v>
      </c>
      <c r="P177" s="33" t="str">
        <f t="shared" si="52"/>
        <v>SERVICE/ PARTS</v>
      </c>
      <c r="Q177" s="13" t="s">
        <v>61</v>
      </c>
      <c r="R177" s="13" t="s">
        <v>62</v>
      </c>
      <c r="S177" s="13" t="s">
        <v>50</v>
      </c>
      <c r="T177" s="13" t="s">
        <v>101</v>
      </c>
      <c r="U177" s="13" t="s">
        <v>89</v>
      </c>
      <c r="V177" s="13" t="s">
        <v>84</v>
      </c>
      <c r="W177" s="13" t="s">
        <v>64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40"/>
        <v>26078226.463097349</v>
      </c>
      <c r="AJ177" s="19">
        <f t="shared" si="41"/>
        <v>3137870.4427774516</v>
      </c>
      <c r="AK177" s="20">
        <f t="shared" si="57"/>
        <v>0.12032530077218917</v>
      </c>
      <c r="AL177" s="17"/>
      <c r="AM177" s="17"/>
      <c r="AN177" s="17"/>
      <c r="AO177" s="17"/>
      <c r="AP177" s="28" t="str">
        <f t="shared" si="58"/>
        <v>20239</v>
      </c>
      <c r="AQ177" s="28" t="str">
        <f t="shared" si="59"/>
        <v>20239RMB</v>
      </c>
      <c r="AR177" s="206" t="str">
        <f t="shared" si="60"/>
        <v>LOCAL SUPPLIER</v>
      </c>
      <c r="AS177" s="22">
        <f t="shared" si="61"/>
        <v>4</v>
      </c>
      <c r="AT177" s="24" t="str">
        <f t="shared" si="62"/>
        <v>4-6 months</v>
      </c>
      <c r="AU177" s="22" t="s">
        <v>3240</v>
      </c>
    </row>
    <row r="178" spans="1:47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4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2562</v>
      </c>
      <c r="K178" s="155" t="s">
        <v>414</v>
      </c>
      <c r="L178" s="17" t="s">
        <v>2780</v>
      </c>
      <c r="M178" s="13" t="s">
        <v>60</v>
      </c>
      <c r="N178" s="13">
        <v>1</v>
      </c>
      <c r="O178" s="13"/>
      <c r="P178" s="33" t="str">
        <f t="shared" si="52"/>
        <v>MAIN UNIT</v>
      </c>
      <c r="Q178" s="13" t="s">
        <v>61</v>
      </c>
      <c r="R178" s="13" t="s">
        <v>2055</v>
      </c>
      <c r="S178" s="13" t="s">
        <v>50</v>
      </c>
      <c r="T178" s="13" t="s">
        <v>101</v>
      </c>
      <c r="U178" s="13" t="s">
        <v>89</v>
      </c>
      <c r="V178" s="13" t="s">
        <v>84</v>
      </c>
      <c r="W178" s="13" t="s">
        <v>64</v>
      </c>
      <c r="X178" s="135">
        <v>330000</v>
      </c>
      <c r="Y178" s="157" t="str">
        <f t="shared" ref="Y178:Y185" si="65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40"/>
        <v>26078226.463097349</v>
      </c>
      <c r="AJ178" s="19">
        <f t="shared" si="41"/>
        <v>3137870.4427774516</v>
      </c>
      <c r="AK178" s="20">
        <f t="shared" si="57"/>
        <v>0.12032530077218917</v>
      </c>
      <c r="AL178" s="17"/>
      <c r="AM178" s="17"/>
      <c r="AN178" s="17"/>
      <c r="AO178" s="17"/>
      <c r="AP178" s="28" t="str">
        <f t="shared" si="58"/>
        <v>20239</v>
      </c>
      <c r="AQ178" s="28" t="str">
        <f t="shared" si="59"/>
        <v>20239RMB</v>
      </c>
      <c r="AR178" s="206" t="str">
        <f t="shared" si="60"/>
        <v>YAMAHA_Non_Mounter</v>
      </c>
      <c r="AS178" s="22">
        <f t="shared" si="61"/>
        <v>4</v>
      </c>
      <c r="AT178" s="24" t="str">
        <f t="shared" si="62"/>
        <v>4-6 months</v>
      </c>
      <c r="AU178" s="22" t="s">
        <v>3240</v>
      </c>
    </row>
    <row r="179" spans="1:47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4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2562</v>
      </c>
      <c r="K179" s="155" t="s">
        <v>414</v>
      </c>
      <c r="L179" s="17" t="s">
        <v>2620</v>
      </c>
      <c r="M179" s="13" t="s">
        <v>60</v>
      </c>
      <c r="N179" s="13">
        <v>1</v>
      </c>
      <c r="O179" s="13"/>
      <c r="P179" s="33" t="str">
        <f t="shared" si="52"/>
        <v>MAIN UNIT</v>
      </c>
      <c r="Q179" s="13" t="s">
        <v>61</v>
      </c>
      <c r="R179" s="13" t="s">
        <v>2055</v>
      </c>
      <c r="S179" s="13" t="s">
        <v>50</v>
      </c>
      <c r="T179" s="13" t="s">
        <v>101</v>
      </c>
      <c r="U179" s="13" t="s">
        <v>89</v>
      </c>
      <c r="V179" s="13" t="s">
        <v>84</v>
      </c>
      <c r="W179" s="13" t="s">
        <v>64</v>
      </c>
      <c r="X179" s="135">
        <v>490000</v>
      </c>
      <c r="Y179" s="157" t="str">
        <f t="shared" si="65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40"/>
        <v>26078226.463097349</v>
      </c>
      <c r="AJ179" s="19">
        <f t="shared" si="41"/>
        <v>3137870.4427774516</v>
      </c>
      <c r="AK179" s="20">
        <f t="shared" si="57"/>
        <v>0.12032530077218917</v>
      </c>
      <c r="AL179" s="17"/>
      <c r="AM179" s="17"/>
      <c r="AN179" s="17"/>
      <c r="AO179" s="17"/>
      <c r="AP179" s="28" t="str">
        <f t="shared" si="58"/>
        <v>20239</v>
      </c>
      <c r="AQ179" s="28" t="str">
        <f t="shared" si="59"/>
        <v>20239RMB</v>
      </c>
      <c r="AR179" s="206" t="str">
        <f t="shared" si="60"/>
        <v>YAMAHA_Non_Mounter</v>
      </c>
      <c r="AS179" s="22">
        <f t="shared" si="61"/>
        <v>4</v>
      </c>
      <c r="AT179" s="24" t="str">
        <f t="shared" si="62"/>
        <v>4-6 months</v>
      </c>
      <c r="AU179" s="22" t="s">
        <v>3240</v>
      </c>
    </row>
    <row r="180" spans="1:47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4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2562</v>
      </c>
      <c r="K180" s="155" t="s">
        <v>414</v>
      </c>
      <c r="L180" s="17" t="s">
        <v>2609</v>
      </c>
      <c r="M180" s="13" t="s">
        <v>2607</v>
      </c>
      <c r="N180" s="13">
        <v>1</v>
      </c>
      <c r="O180" s="13"/>
      <c r="P180" s="33" t="str">
        <f t="shared" si="52"/>
        <v>MAIN UNIT</v>
      </c>
      <c r="Q180" s="13" t="s">
        <v>61</v>
      </c>
      <c r="R180" s="13" t="s">
        <v>2055</v>
      </c>
      <c r="S180" s="13" t="s">
        <v>50</v>
      </c>
      <c r="T180" s="13" t="s">
        <v>101</v>
      </c>
      <c r="U180" s="13" t="s">
        <v>89</v>
      </c>
      <c r="V180" s="13" t="s">
        <v>84</v>
      </c>
      <c r="W180" s="13" t="s">
        <v>64</v>
      </c>
      <c r="X180" s="135">
        <v>350000</v>
      </c>
      <c r="Y180" s="157" t="str">
        <f t="shared" si="65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40"/>
        <v>26078226.463097349</v>
      </c>
      <c r="AJ180" s="19">
        <f t="shared" si="41"/>
        <v>3137870.4427774516</v>
      </c>
      <c r="AK180" s="20">
        <f t="shared" si="57"/>
        <v>0.12032530077218917</v>
      </c>
      <c r="AL180" s="17"/>
      <c r="AM180" s="17"/>
      <c r="AN180" s="17"/>
      <c r="AO180" s="17"/>
      <c r="AP180" s="28" t="str">
        <f t="shared" si="58"/>
        <v>20239</v>
      </c>
      <c r="AQ180" s="28" t="str">
        <f t="shared" si="59"/>
        <v>20239RMB</v>
      </c>
      <c r="AR180" s="206" t="str">
        <f t="shared" si="60"/>
        <v>HELLER</v>
      </c>
      <c r="AS180" s="22">
        <f t="shared" si="61"/>
        <v>4</v>
      </c>
      <c r="AT180" s="24" t="str">
        <f t="shared" si="62"/>
        <v>4-6 months</v>
      </c>
      <c r="AU180" s="22" t="s">
        <v>3240</v>
      </c>
    </row>
    <row r="181" spans="1:47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4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2562</v>
      </c>
      <c r="K181" s="155" t="s">
        <v>414</v>
      </c>
      <c r="L181" s="17" t="s">
        <v>2837</v>
      </c>
      <c r="M181" s="13" t="s">
        <v>2832</v>
      </c>
      <c r="N181" s="13">
        <v>1</v>
      </c>
      <c r="O181" s="13"/>
      <c r="P181" s="33" t="str">
        <f t="shared" si="52"/>
        <v>MAIN UNIT</v>
      </c>
      <c r="Q181" s="13" t="s">
        <v>61</v>
      </c>
      <c r="R181" s="13" t="s">
        <v>2055</v>
      </c>
      <c r="S181" s="13" t="s">
        <v>50</v>
      </c>
      <c r="T181" s="13" t="s">
        <v>101</v>
      </c>
      <c r="U181" s="13" t="s">
        <v>89</v>
      </c>
      <c r="V181" s="13" t="s">
        <v>84</v>
      </c>
      <c r="W181" s="13" t="s">
        <v>64</v>
      </c>
      <c r="X181" s="135">
        <v>380000</v>
      </c>
      <c r="Y181" s="157" t="str">
        <f t="shared" si="65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40"/>
        <v>26078226.463097349</v>
      </c>
      <c r="AJ181" s="19">
        <f t="shared" si="41"/>
        <v>3137870.4427774516</v>
      </c>
      <c r="AK181" s="20">
        <f t="shared" si="57"/>
        <v>0.12032530077218917</v>
      </c>
      <c r="AL181" s="17"/>
      <c r="AM181" s="17"/>
      <c r="AN181" s="17"/>
      <c r="AO181" s="17"/>
      <c r="AP181" s="28" t="str">
        <f t="shared" si="58"/>
        <v>20239</v>
      </c>
      <c r="AQ181" s="28" t="str">
        <f t="shared" si="59"/>
        <v>20239RMB</v>
      </c>
      <c r="AR181" s="206" t="str">
        <f t="shared" si="60"/>
        <v>PEMTRON</v>
      </c>
      <c r="AS181" s="22">
        <f t="shared" si="61"/>
        <v>4</v>
      </c>
      <c r="AT181" s="24" t="str">
        <f t="shared" si="62"/>
        <v>4-6 months</v>
      </c>
      <c r="AU181" s="22" t="s">
        <v>3240</v>
      </c>
    </row>
    <row r="182" spans="1:47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4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3075</v>
      </c>
      <c r="K182" s="155" t="s">
        <v>414</v>
      </c>
      <c r="L182" s="17" t="s">
        <v>3076</v>
      </c>
      <c r="M182" s="13" t="s">
        <v>377</v>
      </c>
      <c r="N182" s="13">
        <v>1</v>
      </c>
      <c r="O182" s="13"/>
      <c r="P182" s="33" t="str">
        <f t="shared" si="52"/>
        <v>MAIN UNIT</v>
      </c>
      <c r="Q182" s="13" t="s">
        <v>61</v>
      </c>
      <c r="R182" s="13" t="s">
        <v>2055</v>
      </c>
      <c r="S182" s="13" t="s">
        <v>50</v>
      </c>
      <c r="T182" s="13" t="s">
        <v>101</v>
      </c>
      <c r="U182" s="13" t="s">
        <v>89</v>
      </c>
      <c r="V182" s="13" t="s">
        <v>84</v>
      </c>
      <c r="W182" s="13" t="s">
        <v>64</v>
      </c>
      <c r="X182" s="135">
        <v>260000</v>
      </c>
      <c r="Y182" s="157" t="str">
        <f t="shared" si="65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40"/>
        <v>26078226.463097349</v>
      </c>
      <c r="AJ182" s="19">
        <f t="shared" si="41"/>
        <v>3137870.4427774516</v>
      </c>
      <c r="AK182" s="20">
        <f t="shared" si="57"/>
        <v>0.12032530077218917</v>
      </c>
      <c r="AL182" s="17"/>
      <c r="AM182" s="17"/>
      <c r="AN182" s="17"/>
      <c r="AO182" s="17"/>
      <c r="AP182" s="28" t="str">
        <f t="shared" si="58"/>
        <v>20239</v>
      </c>
      <c r="AQ182" s="28" t="str">
        <f t="shared" si="59"/>
        <v>20239RMB</v>
      </c>
      <c r="AR182" s="206" t="str">
        <f t="shared" si="60"/>
        <v>LOCAL SUPPLIER</v>
      </c>
      <c r="AS182" s="22">
        <f t="shared" si="61"/>
        <v>1</v>
      </c>
      <c r="AT182" s="24" t="str">
        <f t="shared" si="62"/>
        <v>0-3 months</v>
      </c>
      <c r="AU182" s="22" t="s">
        <v>3240</v>
      </c>
    </row>
    <row r="183" spans="1:47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4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3370</v>
      </c>
      <c r="K183" s="29" t="s">
        <v>1835</v>
      </c>
      <c r="L183" s="17" t="s">
        <v>92</v>
      </c>
      <c r="M183" s="22" t="s">
        <v>60</v>
      </c>
      <c r="N183" s="22">
        <v>1</v>
      </c>
      <c r="O183" s="22"/>
      <c r="P183" s="33" t="str">
        <f t="shared" si="52"/>
        <v>MAIN UNIT</v>
      </c>
      <c r="Q183" s="13" t="s">
        <v>61</v>
      </c>
      <c r="R183" s="22" t="s">
        <v>62</v>
      </c>
      <c r="S183" s="22" t="s">
        <v>52</v>
      </c>
      <c r="T183" s="22" t="s">
        <v>1659</v>
      </c>
      <c r="U183" s="22" t="s">
        <v>177</v>
      </c>
      <c r="V183" s="22" t="s">
        <v>178</v>
      </c>
      <c r="W183" s="22" t="s">
        <v>64</v>
      </c>
      <c r="X183" s="30">
        <v>690000</v>
      </c>
      <c r="Y183" s="31" t="str">
        <f t="shared" si="65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40"/>
        <v>20319282.700884953</v>
      </c>
      <c r="AJ183" s="27">
        <f t="shared" si="41"/>
        <v>2408851.9638623013</v>
      </c>
      <c r="AK183" s="28">
        <f t="shared" si="57"/>
        <v>0.11855004919821259</v>
      </c>
      <c r="AL183" s="24"/>
      <c r="AM183" s="24"/>
      <c r="AN183" s="24"/>
      <c r="AO183" s="24"/>
      <c r="AP183" s="28" t="str">
        <f t="shared" si="58"/>
        <v>20244</v>
      </c>
      <c r="AQ183" s="28" t="str">
        <f t="shared" si="59"/>
        <v>20244RMB</v>
      </c>
      <c r="AR183" s="206" t="str">
        <f t="shared" si="60"/>
        <v>YAMAHA_Mounter</v>
      </c>
      <c r="AS183" s="22">
        <f t="shared" si="61"/>
        <v>1</v>
      </c>
      <c r="AT183" s="24" t="str">
        <f t="shared" si="62"/>
        <v>0-3 months</v>
      </c>
      <c r="AU183" s="22" t="s">
        <v>3240</v>
      </c>
    </row>
    <row r="184" spans="1:47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4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3315</v>
      </c>
      <c r="K184" s="29" t="s">
        <v>3316</v>
      </c>
      <c r="L184" s="17" t="s">
        <v>92</v>
      </c>
      <c r="M184" s="13" t="s">
        <v>60</v>
      </c>
      <c r="N184" s="22">
        <v>1</v>
      </c>
      <c r="O184" s="22"/>
      <c r="P184" s="33" t="str">
        <f t="shared" si="52"/>
        <v>MAIN UNIT</v>
      </c>
      <c r="Q184" s="13" t="s">
        <v>68</v>
      </c>
      <c r="R184" s="22" t="s">
        <v>62</v>
      </c>
      <c r="S184" s="22" t="s">
        <v>49</v>
      </c>
      <c r="T184" s="22" t="s">
        <v>78</v>
      </c>
      <c r="U184" s="22" t="s">
        <v>78</v>
      </c>
      <c r="V184" s="22" t="s">
        <v>3095</v>
      </c>
      <c r="W184" s="22" t="s">
        <v>64</v>
      </c>
      <c r="X184" s="30">
        <v>750800</v>
      </c>
      <c r="Y184" s="31" t="str">
        <f t="shared" si="65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40"/>
        <v>20319282.700884953</v>
      </c>
      <c r="AJ184" s="27">
        <f t="shared" si="41"/>
        <v>2408851.9638623013</v>
      </c>
      <c r="AK184" s="28">
        <f t="shared" si="57"/>
        <v>0.11855004919821259</v>
      </c>
      <c r="AL184" s="24"/>
      <c r="AM184" s="24"/>
      <c r="AN184" s="24"/>
      <c r="AO184" s="24"/>
      <c r="AP184" s="28" t="str">
        <f t="shared" si="58"/>
        <v>20244</v>
      </c>
      <c r="AQ184" s="28" t="str">
        <f t="shared" si="59"/>
        <v>20244RMB</v>
      </c>
      <c r="AR184" s="206" t="str">
        <f t="shared" si="60"/>
        <v>YAMAHA_Mounter</v>
      </c>
      <c r="AS184" s="22">
        <f t="shared" si="61"/>
        <v>1</v>
      </c>
      <c r="AT184" s="24" t="str">
        <f t="shared" si="62"/>
        <v>0-3 months</v>
      </c>
      <c r="AU184" s="22" t="s">
        <v>3751</v>
      </c>
    </row>
    <row r="185" spans="1:47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4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3315</v>
      </c>
      <c r="K185" s="29" t="s">
        <v>3316</v>
      </c>
      <c r="L185" s="17" t="s">
        <v>92</v>
      </c>
      <c r="M185" s="13" t="s">
        <v>60</v>
      </c>
      <c r="N185" s="22">
        <v>1</v>
      </c>
      <c r="O185" s="22"/>
      <c r="P185" s="33" t="str">
        <f t="shared" si="52"/>
        <v>MAIN UNIT</v>
      </c>
      <c r="Q185" s="13" t="s">
        <v>68</v>
      </c>
      <c r="R185" s="22" t="s">
        <v>62</v>
      </c>
      <c r="S185" s="22" t="s">
        <v>49</v>
      </c>
      <c r="T185" s="22" t="s">
        <v>78</v>
      </c>
      <c r="U185" s="22" t="s">
        <v>78</v>
      </c>
      <c r="V185" s="22" t="s">
        <v>3095</v>
      </c>
      <c r="W185" s="22" t="s">
        <v>64</v>
      </c>
      <c r="X185" s="30">
        <v>750800</v>
      </c>
      <c r="Y185" s="31" t="str">
        <f t="shared" si="65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40"/>
        <v>20319282.700884953</v>
      </c>
      <c r="AJ185" s="27">
        <f t="shared" si="41"/>
        <v>2408851.9638623013</v>
      </c>
      <c r="AK185" s="28">
        <f t="shared" si="57"/>
        <v>0.11855004919821259</v>
      </c>
      <c r="AL185" s="24"/>
      <c r="AM185" s="24"/>
      <c r="AN185" s="24"/>
      <c r="AO185" s="24"/>
      <c r="AP185" s="28" t="str">
        <f t="shared" si="58"/>
        <v>20244</v>
      </c>
      <c r="AQ185" s="28" t="str">
        <f t="shared" si="59"/>
        <v>20244RMB</v>
      </c>
      <c r="AR185" s="206" t="str">
        <f t="shared" si="60"/>
        <v>YAMAHA_Mounter</v>
      </c>
      <c r="AS185" s="22">
        <f t="shared" si="61"/>
        <v>1</v>
      </c>
      <c r="AT185" s="24" t="str">
        <f t="shared" si="62"/>
        <v>0-3 months</v>
      </c>
      <c r="AU185" s="22" t="s">
        <v>3751</v>
      </c>
    </row>
    <row r="186" spans="1:47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47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978</v>
      </c>
      <c r="K186" s="155" t="s">
        <v>979</v>
      </c>
      <c r="L186" s="17" t="s">
        <v>92</v>
      </c>
      <c r="M186" s="13" t="s">
        <v>60</v>
      </c>
      <c r="N186" s="13">
        <v>1</v>
      </c>
      <c r="O186" s="13"/>
      <c r="P186" s="33" t="str">
        <f t="shared" si="52"/>
        <v>MAIN UNIT</v>
      </c>
      <c r="Q186" s="13" t="s">
        <v>61</v>
      </c>
      <c r="R186" s="13" t="s">
        <v>62</v>
      </c>
      <c r="S186" s="13" t="s">
        <v>50</v>
      </c>
      <c r="T186" s="13" t="s">
        <v>88</v>
      </c>
      <c r="U186" s="13" t="s">
        <v>70</v>
      </c>
      <c r="V186" s="13" t="s">
        <v>169</v>
      </c>
      <c r="W186" s="13" t="s">
        <v>64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40"/>
        <v>37599388.802345134</v>
      </c>
      <c r="AJ186" s="19">
        <f t="shared" si="41"/>
        <v>4866784.3630338367</v>
      </c>
      <c r="AK186" s="20">
        <f t="shared" si="57"/>
        <v>0.12943785838163113</v>
      </c>
      <c r="AL186" s="17"/>
      <c r="AM186" s="17"/>
      <c r="AN186" s="17"/>
      <c r="AO186" s="17"/>
      <c r="AP186" s="28" t="str">
        <f t="shared" si="58"/>
        <v>20199</v>
      </c>
      <c r="AQ186" s="28" t="str">
        <f t="shared" si="59"/>
        <v>20199RMB</v>
      </c>
      <c r="AR186" s="206" t="str">
        <f t="shared" si="60"/>
        <v>YAMAHA_Mounter</v>
      </c>
      <c r="AS186" s="22">
        <f t="shared" si="61"/>
        <v>0</v>
      </c>
      <c r="AT186" s="24" t="str">
        <f t="shared" si="62"/>
        <v>0-3 months</v>
      </c>
      <c r="AU186" s="22" t="s">
        <v>3240</v>
      </c>
    </row>
    <row r="187" spans="1:47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47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978</v>
      </c>
      <c r="K187" s="155" t="s">
        <v>979</v>
      </c>
      <c r="L187" s="17" t="s">
        <v>67</v>
      </c>
      <c r="M187" s="13" t="s">
        <v>60</v>
      </c>
      <c r="N187" s="13">
        <v>1</v>
      </c>
      <c r="O187" s="13"/>
      <c r="P187" s="33" t="str">
        <f t="shared" si="52"/>
        <v>MAIN UNIT</v>
      </c>
      <c r="Q187" s="13" t="s">
        <v>61</v>
      </c>
      <c r="R187" s="13" t="s">
        <v>62</v>
      </c>
      <c r="S187" s="13" t="s">
        <v>50</v>
      </c>
      <c r="T187" s="13" t="s">
        <v>88</v>
      </c>
      <c r="U187" s="13" t="s">
        <v>70</v>
      </c>
      <c r="V187" s="13" t="s">
        <v>169</v>
      </c>
      <c r="W187" s="13" t="s">
        <v>64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40"/>
        <v>37599388.802345134</v>
      </c>
      <c r="AJ187" s="19">
        <f t="shared" si="41"/>
        <v>4866784.3630338367</v>
      </c>
      <c r="AK187" s="20">
        <f t="shared" si="57"/>
        <v>0.12943785838163113</v>
      </c>
      <c r="AL187" s="17"/>
      <c r="AM187" s="17"/>
      <c r="AN187" s="17"/>
      <c r="AO187" s="17"/>
      <c r="AP187" s="28" t="str">
        <f t="shared" si="58"/>
        <v>20199</v>
      </c>
      <c r="AQ187" s="28" t="str">
        <f t="shared" si="59"/>
        <v>20199RMB</v>
      </c>
      <c r="AR187" s="206" t="str">
        <f t="shared" si="60"/>
        <v>YAMAHA_Mounter</v>
      </c>
      <c r="AS187" s="22">
        <f t="shared" si="61"/>
        <v>0</v>
      </c>
      <c r="AT187" s="24" t="str">
        <f t="shared" si="62"/>
        <v>0-3 months</v>
      </c>
      <c r="AU187" s="22" t="s">
        <v>3240</v>
      </c>
    </row>
    <row r="188" spans="1:47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53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1792</v>
      </c>
      <c r="K188" s="155" t="s">
        <v>1793</v>
      </c>
      <c r="L188" s="17" t="s">
        <v>67</v>
      </c>
      <c r="M188" s="13" t="s">
        <v>60</v>
      </c>
      <c r="N188" s="13">
        <v>1</v>
      </c>
      <c r="O188" s="13"/>
      <c r="P188" s="33" t="str">
        <f t="shared" si="52"/>
        <v>MAIN UNIT</v>
      </c>
      <c r="Q188" s="13" t="s">
        <v>68</v>
      </c>
      <c r="R188" s="13" t="s">
        <v>62</v>
      </c>
      <c r="S188" s="13" t="s">
        <v>50</v>
      </c>
      <c r="T188" s="13" t="s">
        <v>101</v>
      </c>
      <c r="U188" s="13" t="s">
        <v>70</v>
      </c>
      <c r="V188" s="13" t="s">
        <v>1010</v>
      </c>
      <c r="W188" s="13" t="s">
        <v>64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40"/>
        <v>54700260.692079648</v>
      </c>
      <c r="AJ188" s="19">
        <f t="shared" si="41"/>
        <v>7482899.5749188727</v>
      </c>
      <c r="AK188" s="20">
        <f t="shared" si="57"/>
        <v>0.13679824337660537</v>
      </c>
      <c r="AL188" s="17"/>
      <c r="AM188" s="17"/>
      <c r="AN188" s="17"/>
      <c r="AO188" s="17"/>
      <c r="AP188" s="28" t="str">
        <f t="shared" si="58"/>
        <v>20216</v>
      </c>
      <c r="AQ188" s="28" t="str">
        <f t="shared" si="59"/>
        <v>20216RMB</v>
      </c>
      <c r="AR188" s="206" t="str">
        <f t="shared" si="60"/>
        <v>YAMAHA_Mounter</v>
      </c>
      <c r="AS188" s="22">
        <f t="shared" si="61"/>
        <v>2</v>
      </c>
      <c r="AT188" s="24" t="str">
        <f t="shared" si="62"/>
        <v>0-3 months</v>
      </c>
      <c r="AU188" s="22" t="s">
        <v>3240</v>
      </c>
    </row>
    <row r="189" spans="1:47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53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1792</v>
      </c>
      <c r="K189" s="155" t="s">
        <v>1793</v>
      </c>
      <c r="L189" s="17" t="s">
        <v>67</v>
      </c>
      <c r="M189" s="13" t="s">
        <v>60</v>
      </c>
      <c r="N189" s="13">
        <v>1</v>
      </c>
      <c r="O189" s="13"/>
      <c r="P189" s="33" t="str">
        <f t="shared" si="52"/>
        <v>MAIN UNIT</v>
      </c>
      <c r="Q189" s="13" t="s">
        <v>68</v>
      </c>
      <c r="R189" s="13" t="s">
        <v>62</v>
      </c>
      <c r="S189" s="13" t="s">
        <v>50</v>
      </c>
      <c r="T189" s="13" t="s">
        <v>101</v>
      </c>
      <c r="U189" s="13" t="s">
        <v>70</v>
      </c>
      <c r="V189" s="13" t="s">
        <v>1010</v>
      </c>
      <c r="W189" s="13" t="s">
        <v>64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40"/>
        <v>54700260.692079648</v>
      </c>
      <c r="AJ189" s="19">
        <f t="shared" si="41"/>
        <v>7482899.5749188727</v>
      </c>
      <c r="AK189" s="20">
        <f t="shared" si="57"/>
        <v>0.13679824337660537</v>
      </c>
      <c r="AL189" s="17"/>
      <c r="AM189" s="17"/>
      <c r="AN189" s="17"/>
      <c r="AO189" s="17"/>
      <c r="AP189" s="28" t="str">
        <f t="shared" si="58"/>
        <v>20216</v>
      </c>
      <c r="AQ189" s="28" t="str">
        <f t="shared" si="59"/>
        <v>20216RMB</v>
      </c>
      <c r="AR189" s="206" t="str">
        <f t="shared" si="60"/>
        <v>YAMAHA_Mounter</v>
      </c>
      <c r="AS189" s="22">
        <f t="shared" si="61"/>
        <v>2</v>
      </c>
      <c r="AT189" s="24" t="str">
        <f t="shared" si="62"/>
        <v>0-3 months</v>
      </c>
      <c r="AU189" s="22" t="s">
        <v>3240</v>
      </c>
    </row>
    <row r="190" spans="1:47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53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1792</v>
      </c>
      <c r="K190" s="155" t="s">
        <v>1793</v>
      </c>
      <c r="L190" s="17" t="s">
        <v>67</v>
      </c>
      <c r="M190" s="13" t="s">
        <v>60</v>
      </c>
      <c r="N190" s="13">
        <v>1</v>
      </c>
      <c r="O190" s="13"/>
      <c r="P190" s="33" t="str">
        <f t="shared" si="52"/>
        <v>MAIN UNIT</v>
      </c>
      <c r="Q190" s="13" t="s">
        <v>68</v>
      </c>
      <c r="R190" s="13" t="s">
        <v>62</v>
      </c>
      <c r="S190" s="13" t="s">
        <v>50</v>
      </c>
      <c r="T190" s="13" t="s">
        <v>101</v>
      </c>
      <c r="U190" s="13" t="s">
        <v>70</v>
      </c>
      <c r="V190" s="13" t="s">
        <v>1010</v>
      </c>
      <c r="W190" s="13" t="s">
        <v>64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40"/>
        <v>54700260.692079648</v>
      </c>
      <c r="AJ190" s="19">
        <f t="shared" si="41"/>
        <v>7482899.5749188727</v>
      </c>
      <c r="AK190" s="20">
        <f t="shared" si="57"/>
        <v>0.13679824337660537</v>
      </c>
      <c r="AL190" s="17"/>
      <c r="AM190" s="17"/>
      <c r="AN190" s="17"/>
      <c r="AO190" s="17"/>
      <c r="AP190" s="28" t="str">
        <f t="shared" si="58"/>
        <v>20216</v>
      </c>
      <c r="AQ190" s="28" t="str">
        <f t="shared" si="59"/>
        <v>20216RMB</v>
      </c>
      <c r="AR190" s="206" t="str">
        <f t="shared" si="60"/>
        <v>YAMAHA_Mounter</v>
      </c>
      <c r="AS190" s="22">
        <f t="shared" si="61"/>
        <v>2</v>
      </c>
      <c r="AT190" s="24" t="str">
        <f t="shared" si="62"/>
        <v>0-3 months</v>
      </c>
      <c r="AU190" s="22" t="s">
        <v>3240</v>
      </c>
    </row>
    <row r="191" spans="1:47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53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2954</v>
      </c>
      <c r="K191" s="155" t="s">
        <v>2955</v>
      </c>
      <c r="L191" s="17" t="s">
        <v>2956</v>
      </c>
      <c r="M191" s="13" t="s">
        <v>2832</v>
      </c>
      <c r="N191" s="13">
        <v>2</v>
      </c>
      <c r="O191" s="13"/>
      <c r="P191" s="33" t="str">
        <f t="shared" si="52"/>
        <v>MAIN UNIT</v>
      </c>
      <c r="Q191" s="13" t="s">
        <v>68</v>
      </c>
      <c r="R191" s="13" t="s">
        <v>2055</v>
      </c>
      <c r="S191" s="13" t="s">
        <v>49</v>
      </c>
      <c r="T191" s="13" t="s">
        <v>78</v>
      </c>
      <c r="U191" s="13" t="s">
        <v>79</v>
      </c>
      <c r="V191" s="13" t="s">
        <v>2856</v>
      </c>
      <c r="W191" s="13" t="s">
        <v>64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40"/>
        <v>54700260.692079648</v>
      </c>
      <c r="AJ191" s="19">
        <f t="shared" si="41"/>
        <v>7482899.5749188727</v>
      </c>
      <c r="AK191" s="20">
        <f t="shared" si="57"/>
        <v>0.13679824337660537</v>
      </c>
      <c r="AL191" s="17"/>
      <c r="AM191" s="17"/>
      <c r="AN191" s="17"/>
      <c r="AO191" s="17"/>
      <c r="AP191" s="28" t="str">
        <f t="shared" si="58"/>
        <v>20216</v>
      </c>
      <c r="AQ191" s="28" t="str">
        <f t="shared" si="59"/>
        <v>20216RMB</v>
      </c>
      <c r="AR191" s="206" t="str">
        <f t="shared" si="60"/>
        <v>PEMTRON</v>
      </c>
      <c r="AS191" s="22">
        <f t="shared" si="61"/>
        <v>3</v>
      </c>
      <c r="AT191" s="24" t="str">
        <f t="shared" si="62"/>
        <v>0-3 months</v>
      </c>
      <c r="AU191" s="22" t="s">
        <v>3240</v>
      </c>
    </row>
    <row r="192" spans="1:47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53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2954</v>
      </c>
      <c r="K192" s="155" t="s">
        <v>2955</v>
      </c>
      <c r="L192" s="17" t="s">
        <v>2956</v>
      </c>
      <c r="M192" s="13" t="s">
        <v>2832</v>
      </c>
      <c r="N192" s="13">
        <v>1</v>
      </c>
      <c r="O192" s="13"/>
      <c r="P192" s="33" t="str">
        <f t="shared" si="52"/>
        <v>MAIN UNIT</v>
      </c>
      <c r="Q192" s="13" t="s">
        <v>61</v>
      </c>
      <c r="R192" s="13" t="s">
        <v>2055</v>
      </c>
      <c r="S192" s="13" t="s">
        <v>49</v>
      </c>
      <c r="T192" s="13" t="s">
        <v>78</v>
      </c>
      <c r="U192" s="13" t="s">
        <v>79</v>
      </c>
      <c r="V192" s="13" t="s">
        <v>2856</v>
      </c>
      <c r="W192" s="13" t="s">
        <v>64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40"/>
        <v>10844605.840707963</v>
      </c>
      <c r="AJ192" s="19">
        <f t="shared" si="41"/>
        <v>1523130.9860707966</v>
      </c>
      <c r="AK192" s="20">
        <f t="shared" si="57"/>
        <v>0.14045056209911663</v>
      </c>
      <c r="AL192" s="17"/>
      <c r="AM192" s="17"/>
      <c r="AN192" s="17"/>
      <c r="AO192" s="17"/>
      <c r="AP192" s="28" t="str">
        <f t="shared" si="58"/>
        <v>20219</v>
      </c>
      <c r="AQ192" s="28" t="str">
        <f t="shared" si="59"/>
        <v>20219RMB</v>
      </c>
      <c r="AR192" s="206" t="str">
        <f t="shared" si="60"/>
        <v>PEMTRON</v>
      </c>
      <c r="AS192" s="22">
        <f t="shared" si="61"/>
        <v>2</v>
      </c>
      <c r="AT192" s="24" t="str">
        <f t="shared" si="62"/>
        <v>0-3 months</v>
      </c>
      <c r="AU192" s="22" t="s">
        <v>3240</v>
      </c>
    </row>
    <row r="193" spans="1:47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41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578</v>
      </c>
      <c r="K193" s="155" t="s">
        <v>579</v>
      </c>
      <c r="L193" s="17" t="s">
        <v>77</v>
      </c>
      <c r="M193" s="13" t="s">
        <v>60</v>
      </c>
      <c r="N193" s="13">
        <v>1</v>
      </c>
      <c r="O193" s="13"/>
      <c r="P193" s="33" t="str">
        <f t="shared" si="52"/>
        <v>MAIN UNIT</v>
      </c>
      <c r="Q193" s="13" t="s">
        <v>68</v>
      </c>
      <c r="R193" s="13" t="s">
        <v>62</v>
      </c>
      <c r="S193" s="13" t="s">
        <v>50</v>
      </c>
      <c r="T193" s="13" t="s">
        <v>101</v>
      </c>
      <c r="U193" s="13" t="s">
        <v>70</v>
      </c>
      <c r="V193" s="13"/>
      <c r="W193" s="13" t="s">
        <v>64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40"/>
        <v>23237072.69172414</v>
      </c>
      <c r="AJ193" s="19">
        <f t="shared" si="41"/>
        <v>2402195.7372206897</v>
      </c>
      <c r="AK193" s="20">
        <f t="shared" si="57"/>
        <v>0.10337772614862238</v>
      </c>
      <c r="AL193" s="17"/>
      <c r="AM193" s="17"/>
      <c r="AN193" s="17"/>
      <c r="AO193" s="17"/>
      <c r="AP193" s="28" t="str">
        <f t="shared" si="58"/>
        <v>20191</v>
      </c>
      <c r="AQ193" s="28" t="str">
        <f t="shared" si="59"/>
        <v>20191RMB</v>
      </c>
      <c r="AR193" s="206" t="str">
        <f t="shared" si="60"/>
        <v>YAMAHA_Mounter</v>
      </c>
      <c r="AS193" s="22">
        <f t="shared" si="61"/>
        <v>4</v>
      </c>
      <c r="AT193" s="24" t="str">
        <f t="shared" si="62"/>
        <v>4-6 months</v>
      </c>
      <c r="AU193" s="22" t="s">
        <v>3240</v>
      </c>
    </row>
    <row r="194" spans="1:47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41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578</v>
      </c>
      <c r="K194" s="155" t="s">
        <v>579</v>
      </c>
      <c r="L194" s="17" t="s">
        <v>59</v>
      </c>
      <c r="M194" s="13" t="s">
        <v>60</v>
      </c>
      <c r="N194" s="13">
        <v>1</v>
      </c>
      <c r="O194" s="13"/>
      <c r="P194" s="33" t="str">
        <f t="shared" si="52"/>
        <v>MAIN UNIT</v>
      </c>
      <c r="Q194" s="13" t="s">
        <v>68</v>
      </c>
      <c r="R194" s="13" t="s">
        <v>62</v>
      </c>
      <c r="S194" s="13" t="s">
        <v>50</v>
      </c>
      <c r="T194" s="13" t="s">
        <v>101</v>
      </c>
      <c r="U194" s="13" t="s">
        <v>70</v>
      </c>
      <c r="V194" s="13"/>
      <c r="W194" s="13" t="s">
        <v>64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ref="AI194:AI257" si="66">IF(P194="C66 SERVICE","",SUMIFS(AB:AB,F:F,F194,G:G,G194,E:E,E194))</f>
        <v>23237072.69172414</v>
      </c>
      <c r="AJ194" s="19">
        <f t="shared" ref="AJ194:AJ257" si="67">IF(P194="C66 SERVICE","",SUMIFS(AC:AC,F:F,F194,G:G,G194,E:E,E194))</f>
        <v>2402195.7372206897</v>
      </c>
      <c r="AK194" s="20">
        <f t="shared" si="57"/>
        <v>0.10337772614862238</v>
      </c>
      <c r="AL194" s="17"/>
      <c r="AM194" s="17"/>
      <c r="AN194" s="17"/>
      <c r="AO194" s="17"/>
      <c r="AP194" s="28" t="str">
        <f t="shared" si="58"/>
        <v>20191</v>
      </c>
      <c r="AQ194" s="28" t="str">
        <f t="shared" si="59"/>
        <v>20191RMB</v>
      </c>
      <c r="AR194" s="206" t="str">
        <f t="shared" si="60"/>
        <v>YAMAHA_Mounter</v>
      </c>
      <c r="AS194" s="22">
        <f t="shared" si="61"/>
        <v>4</v>
      </c>
      <c r="AT194" s="24" t="str">
        <f t="shared" si="62"/>
        <v>4-6 months</v>
      </c>
      <c r="AU194" s="22" t="s">
        <v>3240</v>
      </c>
    </row>
    <row r="195" spans="1:47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48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1545</v>
      </c>
      <c r="K195" s="155" t="s">
        <v>579</v>
      </c>
      <c r="L195" s="17" t="s">
        <v>67</v>
      </c>
      <c r="M195" s="13" t="s">
        <v>60</v>
      </c>
      <c r="N195" s="13">
        <v>1</v>
      </c>
      <c r="O195" s="13"/>
      <c r="P195" s="33" t="str">
        <f t="shared" si="52"/>
        <v>MAIN UNIT</v>
      </c>
      <c r="Q195" s="13" t="s">
        <v>61</v>
      </c>
      <c r="R195" s="13" t="s">
        <v>62</v>
      </c>
      <c r="S195" s="13" t="s">
        <v>50</v>
      </c>
      <c r="T195" s="13" t="s">
        <v>101</v>
      </c>
      <c r="U195" s="13" t="s">
        <v>70</v>
      </c>
      <c r="V195" s="13" t="s">
        <v>102</v>
      </c>
      <c r="W195" s="13" t="s">
        <v>64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66"/>
        <v>45803245.025628321</v>
      </c>
      <c r="AJ195" s="19">
        <f t="shared" si="67"/>
        <v>5664636.2584379362</v>
      </c>
      <c r="AK195" s="20">
        <f t="shared" si="57"/>
        <v>0.12367325186825515</v>
      </c>
      <c r="AL195" s="17"/>
      <c r="AM195" s="17"/>
      <c r="AN195" s="17"/>
      <c r="AO195" s="17"/>
      <c r="AP195" s="28" t="str">
        <f t="shared" si="58"/>
        <v>20211</v>
      </c>
      <c r="AQ195" s="28" t="str">
        <f t="shared" si="59"/>
        <v>20211RMB</v>
      </c>
      <c r="AR195" s="206" t="str">
        <f t="shared" si="60"/>
        <v>YAMAHA_Mounter</v>
      </c>
      <c r="AS195" s="22">
        <f t="shared" si="61"/>
        <v>2</v>
      </c>
      <c r="AT195" s="24" t="str">
        <f t="shared" si="62"/>
        <v>0-3 months</v>
      </c>
      <c r="AU195" s="22" t="s">
        <v>3240</v>
      </c>
    </row>
    <row r="196" spans="1:47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48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1545</v>
      </c>
      <c r="K196" s="155" t="s">
        <v>579</v>
      </c>
      <c r="L196" s="17" t="s">
        <v>67</v>
      </c>
      <c r="M196" s="13" t="s">
        <v>60</v>
      </c>
      <c r="N196" s="13">
        <v>1</v>
      </c>
      <c r="O196" s="13"/>
      <c r="P196" s="33" t="str">
        <f t="shared" si="52"/>
        <v>MAIN UNIT</v>
      </c>
      <c r="Q196" s="13" t="s">
        <v>61</v>
      </c>
      <c r="R196" s="13" t="s">
        <v>62</v>
      </c>
      <c r="S196" s="13" t="s">
        <v>50</v>
      </c>
      <c r="T196" s="13" t="s">
        <v>101</v>
      </c>
      <c r="U196" s="13" t="s">
        <v>70</v>
      </c>
      <c r="V196" s="13" t="s">
        <v>102</v>
      </c>
      <c r="W196" s="13" t="s">
        <v>64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66"/>
        <v>45803245.025628321</v>
      </c>
      <c r="AJ196" s="19">
        <f t="shared" si="67"/>
        <v>5664636.2584379362</v>
      </c>
      <c r="AK196" s="20">
        <f t="shared" si="57"/>
        <v>0.12367325186825515</v>
      </c>
      <c r="AL196" s="17"/>
      <c r="AM196" s="17"/>
      <c r="AN196" s="17"/>
      <c r="AO196" s="17"/>
      <c r="AP196" s="28" t="str">
        <f t="shared" si="58"/>
        <v>20211</v>
      </c>
      <c r="AQ196" s="28" t="str">
        <f t="shared" si="59"/>
        <v>20211RMB</v>
      </c>
      <c r="AR196" s="206" t="str">
        <f t="shared" si="60"/>
        <v>YAMAHA_Mounter</v>
      </c>
      <c r="AS196" s="22">
        <f t="shared" si="61"/>
        <v>2</v>
      </c>
      <c r="AT196" s="24" t="str">
        <f t="shared" si="62"/>
        <v>0-3 months</v>
      </c>
      <c r="AU196" s="22" t="s">
        <v>3240</v>
      </c>
    </row>
    <row r="197" spans="1:47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54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2243</v>
      </c>
      <c r="K197" s="155" t="s">
        <v>579</v>
      </c>
      <c r="L197" s="17" t="s">
        <v>1301</v>
      </c>
      <c r="M197" s="13" t="s">
        <v>60</v>
      </c>
      <c r="N197" s="13">
        <v>1</v>
      </c>
      <c r="O197" s="13"/>
      <c r="P197" s="33" t="str">
        <f t="shared" si="52"/>
        <v>MAIN UNIT</v>
      </c>
      <c r="Q197" s="13" t="s">
        <v>61</v>
      </c>
      <c r="R197" s="13" t="s">
        <v>62</v>
      </c>
      <c r="S197" s="13" t="s">
        <v>50</v>
      </c>
      <c r="T197" s="13" t="s">
        <v>101</v>
      </c>
      <c r="U197" s="13" t="s">
        <v>70</v>
      </c>
      <c r="V197" s="13" t="s">
        <v>102</v>
      </c>
      <c r="W197" s="13" t="s">
        <v>64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66"/>
        <v>35073581.838938057</v>
      </c>
      <c r="AJ197" s="19">
        <f t="shared" si="67"/>
        <v>5034113.9728989396</v>
      </c>
      <c r="AK197" s="20">
        <f t="shared" si="57"/>
        <v>0.14353007902118958</v>
      </c>
      <c r="AL197" s="17"/>
      <c r="AM197" s="17"/>
      <c r="AN197" s="17"/>
      <c r="AO197" s="17"/>
      <c r="AP197" s="28" t="str">
        <f t="shared" si="58"/>
        <v>20228</v>
      </c>
      <c r="AQ197" s="28" t="str">
        <f t="shared" si="59"/>
        <v>20228RMB</v>
      </c>
      <c r="AR197" s="206" t="str">
        <f t="shared" si="60"/>
        <v>YAMAHA_Mounter</v>
      </c>
      <c r="AS197" s="22">
        <f t="shared" si="61"/>
        <v>3</v>
      </c>
      <c r="AT197" s="24" t="str">
        <f t="shared" si="62"/>
        <v>0-3 months</v>
      </c>
      <c r="AU197" s="22" t="s">
        <v>3240</v>
      </c>
    </row>
    <row r="198" spans="1:47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48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1545</v>
      </c>
      <c r="K198" s="155" t="s">
        <v>579</v>
      </c>
      <c r="L198" s="17" t="s">
        <v>2620</v>
      </c>
      <c r="M198" s="13" t="s">
        <v>60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61</v>
      </c>
      <c r="R198" s="13" t="s">
        <v>2055</v>
      </c>
      <c r="S198" s="13" t="s">
        <v>50</v>
      </c>
      <c r="T198" s="13" t="s">
        <v>101</v>
      </c>
      <c r="U198" s="13" t="s">
        <v>70</v>
      </c>
      <c r="V198" s="13" t="s">
        <v>102</v>
      </c>
      <c r="W198" s="13" t="s">
        <v>64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si="66"/>
        <v>45803245.025628321</v>
      </c>
      <c r="AJ198" s="19">
        <f t="shared" si="67"/>
        <v>5664636.2584379362</v>
      </c>
      <c r="AK198" s="20">
        <f t="shared" ref="AK198:AK261" si="76">IF(AJ198&gt;0,AJ198/AI198,"")</f>
        <v>0.12367325186825515</v>
      </c>
      <c r="AL198" s="17"/>
      <c r="AM198" s="17"/>
      <c r="AN198" s="17"/>
      <c r="AO198" s="17"/>
      <c r="AP198" s="28" t="str">
        <f t="shared" ref="AP198:AP261" si="77">IF(F198="","",F198&amp;G198)</f>
        <v>20211</v>
      </c>
      <c r="AQ198" s="28" t="str">
        <f t="shared" ref="AQ198:AQ261" si="78">IF(W198="","",F198&amp;G198&amp;W198)</f>
        <v>20211RMB</v>
      </c>
      <c r="AR198" s="206" t="str">
        <f t="shared" ref="AR198:AR261" si="79">IFERROR(IF(AND(M198="YAMAHA", R198="C28"), "YAMAHA_Non_Mounter", IF(AND(M198="YAMAHA", R198="C49"), "YAMAHA_Mounter", M198)),"")</f>
        <v>YAMAHA_Non_Mounter</v>
      </c>
      <c r="AS198" s="22">
        <f t="shared" ref="AS198:AS261" si="80">IFERROR(IF(OR(G198="TBA", G198=""), "", DATEDIF(DATE(B198, C198, 1), DATE(F198, G198, 1), "M")),"")</f>
        <v>2</v>
      </c>
      <c r="AT198" s="24" t="str">
        <f t="shared" ref="AT198:AT261" si="81">IF(ISNUMBER(AS198), IF(AS198&gt;=0, IF(AS198&lt;=3, "0-3 months", IF(AS198&lt;=6, "4-6 months", "&gt; 6 months"))), "")</f>
        <v>0-3 months</v>
      </c>
      <c r="AU198" s="22" t="s">
        <v>3240</v>
      </c>
    </row>
    <row r="199" spans="1:47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54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3027</v>
      </c>
      <c r="K199" s="155" t="s">
        <v>579</v>
      </c>
      <c r="L199" s="17" t="s">
        <v>2620</v>
      </c>
      <c r="M199" s="13" t="s">
        <v>60</v>
      </c>
      <c r="N199" s="13">
        <v>1</v>
      </c>
      <c r="O199" s="13"/>
      <c r="P199" s="33" t="str">
        <f t="shared" si="71"/>
        <v>MAIN UNIT</v>
      </c>
      <c r="Q199" s="13" t="s">
        <v>61</v>
      </c>
      <c r="R199" s="13" t="s">
        <v>2055</v>
      </c>
      <c r="S199" s="13" t="s">
        <v>50</v>
      </c>
      <c r="T199" s="13" t="s">
        <v>101</v>
      </c>
      <c r="U199" s="13" t="s">
        <v>70</v>
      </c>
      <c r="V199" s="13" t="s">
        <v>102</v>
      </c>
      <c r="W199" s="13" t="s">
        <v>64</v>
      </c>
      <c r="X199" s="135">
        <v>455000</v>
      </c>
      <c r="Y199" s="157" t="str">
        <f t="shared" ref="Y199:Y206" si="82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66"/>
        <v>31017966.201968137</v>
      </c>
      <c r="AJ199" s="19">
        <f t="shared" si="67"/>
        <v>4704250.3347305888</v>
      </c>
      <c r="AK199" s="20">
        <f t="shared" si="76"/>
        <v>0.15166211427595458</v>
      </c>
      <c r="AL199" s="17"/>
      <c r="AM199" s="17"/>
      <c r="AN199" s="17"/>
      <c r="AO199" s="17"/>
      <c r="AP199" s="28" t="str">
        <f t="shared" si="77"/>
        <v>202211</v>
      </c>
      <c r="AQ199" s="28" t="str">
        <f t="shared" si="78"/>
        <v>202211RMB</v>
      </c>
      <c r="AR199" s="206" t="str">
        <f t="shared" si="79"/>
        <v>YAMAHA_Non_Mounter</v>
      </c>
      <c r="AS199" s="22">
        <f t="shared" si="80"/>
        <v>2</v>
      </c>
      <c r="AT199" s="24" t="str">
        <f t="shared" si="81"/>
        <v>0-3 months</v>
      </c>
      <c r="AU199" s="22" t="s">
        <v>3240</v>
      </c>
    </row>
    <row r="200" spans="1:47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3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3100</v>
      </c>
      <c r="K200" s="155" t="s">
        <v>579</v>
      </c>
      <c r="L200" s="17" t="s">
        <v>3101</v>
      </c>
      <c r="M200" s="13" t="s">
        <v>60</v>
      </c>
      <c r="N200" s="13">
        <v>0</v>
      </c>
      <c r="O200" s="13">
        <v>1</v>
      </c>
      <c r="P200" s="33" t="str">
        <f t="shared" si="71"/>
        <v>SERVICE/ PARTS</v>
      </c>
      <c r="Q200" s="13" t="s">
        <v>61</v>
      </c>
      <c r="R200" s="13" t="s">
        <v>62</v>
      </c>
      <c r="S200" s="13" t="s">
        <v>50</v>
      </c>
      <c r="T200" s="13" t="s">
        <v>101</v>
      </c>
      <c r="U200" s="13" t="s">
        <v>70</v>
      </c>
      <c r="V200" s="13" t="s">
        <v>102</v>
      </c>
      <c r="W200" s="13" t="s">
        <v>64</v>
      </c>
      <c r="X200" s="137">
        <v>9834</v>
      </c>
      <c r="Y200" s="157" t="str">
        <f t="shared" si="82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66"/>
        <v>11730565.00042478</v>
      </c>
      <c r="AJ200" s="19">
        <f t="shared" si="67"/>
        <v>1439625.5685810833</v>
      </c>
      <c r="AK200" s="20">
        <f t="shared" si="76"/>
        <v>0.12272431622253084</v>
      </c>
      <c r="AL200" s="17"/>
      <c r="AM200" s="17"/>
      <c r="AN200" s="17"/>
      <c r="AO200" s="17"/>
      <c r="AP200" s="28" t="str">
        <f t="shared" si="77"/>
        <v>202311</v>
      </c>
      <c r="AQ200" s="28" t="str">
        <f t="shared" si="78"/>
        <v>202311RMB</v>
      </c>
      <c r="AR200" s="206" t="str">
        <f t="shared" si="79"/>
        <v>YAMAHA_Mounter</v>
      </c>
      <c r="AS200" s="22">
        <f t="shared" si="80"/>
        <v>0</v>
      </c>
      <c r="AT200" s="24" t="str">
        <f t="shared" si="81"/>
        <v>0-3 months</v>
      </c>
      <c r="AU200" s="22" t="s">
        <v>3240</v>
      </c>
    </row>
    <row r="201" spans="1:47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3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3117</v>
      </c>
      <c r="K201" s="155" t="s">
        <v>579</v>
      </c>
      <c r="L201" s="17" t="s">
        <v>2620</v>
      </c>
      <c r="M201" s="13" t="s">
        <v>60</v>
      </c>
      <c r="N201" s="13">
        <v>1</v>
      </c>
      <c r="O201" s="13"/>
      <c r="P201" s="33" t="str">
        <f t="shared" si="71"/>
        <v>MAIN UNIT</v>
      </c>
      <c r="Q201" s="13" t="s">
        <v>61</v>
      </c>
      <c r="R201" s="13" t="s">
        <v>2055</v>
      </c>
      <c r="S201" s="13" t="s">
        <v>50</v>
      </c>
      <c r="T201" s="13" t="s">
        <v>101</v>
      </c>
      <c r="U201" s="13" t="s">
        <v>70</v>
      </c>
      <c r="V201" s="13" t="s">
        <v>102</v>
      </c>
      <c r="W201" s="13" t="s">
        <v>64</v>
      </c>
      <c r="X201" s="135">
        <v>330000</v>
      </c>
      <c r="Y201" s="157" t="str">
        <f t="shared" si="82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66"/>
        <v>23146578.081415929</v>
      </c>
      <c r="AJ201" s="19">
        <f t="shared" si="67"/>
        <v>2745231.3889985834</v>
      </c>
      <c r="AK201" s="20">
        <f t="shared" si="76"/>
        <v>0.11860204041143742</v>
      </c>
      <c r="AL201" s="17"/>
      <c r="AM201" s="17"/>
      <c r="AN201" s="17"/>
      <c r="AO201" s="17"/>
      <c r="AP201" s="28" t="str">
        <f t="shared" si="77"/>
        <v>20241</v>
      </c>
      <c r="AQ201" s="28" t="str">
        <f t="shared" si="78"/>
        <v>20241RMB</v>
      </c>
      <c r="AR201" s="206" t="str">
        <f t="shared" si="79"/>
        <v>YAMAHA_Non_Mounter</v>
      </c>
      <c r="AS201" s="22">
        <f t="shared" si="80"/>
        <v>2</v>
      </c>
      <c r="AT201" s="24" t="str">
        <f t="shared" si="81"/>
        <v>0-3 months</v>
      </c>
      <c r="AU201" s="22" t="s">
        <v>3240</v>
      </c>
    </row>
    <row r="202" spans="1:47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3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3117</v>
      </c>
      <c r="K202" s="155" t="s">
        <v>579</v>
      </c>
      <c r="L202" s="17" t="s">
        <v>2620</v>
      </c>
      <c r="M202" s="13" t="s">
        <v>60</v>
      </c>
      <c r="N202" s="13">
        <v>1</v>
      </c>
      <c r="O202" s="13"/>
      <c r="P202" s="33" t="str">
        <f t="shared" si="71"/>
        <v>MAIN UNIT</v>
      </c>
      <c r="Q202" s="13" t="s">
        <v>61</v>
      </c>
      <c r="R202" s="13" t="s">
        <v>2055</v>
      </c>
      <c r="S202" s="13" t="s">
        <v>50</v>
      </c>
      <c r="T202" s="13" t="s">
        <v>101</v>
      </c>
      <c r="U202" s="13" t="s">
        <v>70</v>
      </c>
      <c r="V202" s="13" t="s">
        <v>102</v>
      </c>
      <c r="W202" s="13" t="s">
        <v>64</v>
      </c>
      <c r="X202" s="135">
        <v>330000</v>
      </c>
      <c r="Y202" s="157" t="str">
        <f t="shared" si="82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66"/>
        <v>23146578.081415929</v>
      </c>
      <c r="AJ202" s="19">
        <f t="shared" si="67"/>
        <v>2745231.3889985834</v>
      </c>
      <c r="AK202" s="20">
        <f t="shared" si="76"/>
        <v>0.11860204041143742</v>
      </c>
      <c r="AL202" s="17"/>
      <c r="AM202" s="17"/>
      <c r="AN202" s="17"/>
      <c r="AO202" s="17"/>
      <c r="AP202" s="28" t="str">
        <f t="shared" si="77"/>
        <v>20241</v>
      </c>
      <c r="AQ202" s="28" t="str">
        <f t="shared" si="78"/>
        <v>20241RMB</v>
      </c>
      <c r="AR202" s="206" t="str">
        <f t="shared" si="79"/>
        <v>YAMAHA_Non_Mounter</v>
      </c>
      <c r="AS202" s="22">
        <f t="shared" si="80"/>
        <v>2</v>
      </c>
      <c r="AT202" s="24" t="str">
        <f t="shared" si="81"/>
        <v>0-3 months</v>
      </c>
      <c r="AU202" s="22" t="s">
        <v>3240</v>
      </c>
    </row>
    <row r="203" spans="1:47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3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3137</v>
      </c>
      <c r="K203" s="29" t="s">
        <v>579</v>
      </c>
      <c r="L203" s="17" t="s">
        <v>92</v>
      </c>
      <c r="M203" s="22" t="s">
        <v>60</v>
      </c>
      <c r="N203" s="22">
        <v>1</v>
      </c>
      <c r="O203" s="22"/>
      <c r="P203" s="33" t="str">
        <f t="shared" si="71"/>
        <v>MAIN UNIT</v>
      </c>
      <c r="Q203" s="13" t="s">
        <v>61</v>
      </c>
      <c r="R203" s="22" t="s">
        <v>62</v>
      </c>
      <c r="S203" s="22" t="s">
        <v>50</v>
      </c>
      <c r="T203" s="22" t="s">
        <v>101</v>
      </c>
      <c r="U203" s="22" t="s">
        <v>70</v>
      </c>
      <c r="V203" s="22" t="s">
        <v>102</v>
      </c>
      <c r="W203" s="22" t="s">
        <v>64</v>
      </c>
      <c r="X203" s="30">
        <v>626000</v>
      </c>
      <c r="Y203" s="31" t="str">
        <f t="shared" si="82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66"/>
        <v>10271727.486725664</v>
      </c>
      <c r="AJ203" s="27">
        <f t="shared" si="67"/>
        <v>1227228.7260761063</v>
      </c>
      <c r="AK203" s="28">
        <f t="shared" si="76"/>
        <v>0.11947637120066472</v>
      </c>
      <c r="AL203" s="24"/>
      <c r="AM203" s="24"/>
      <c r="AN203" s="24"/>
      <c r="AO203" s="24"/>
      <c r="AP203" s="28" t="str">
        <f t="shared" si="77"/>
        <v>202312</v>
      </c>
      <c r="AQ203" s="28" t="str">
        <f t="shared" si="78"/>
        <v>202312RMB</v>
      </c>
      <c r="AR203" s="206" t="str">
        <f t="shared" si="79"/>
        <v>YAMAHA_Mounter</v>
      </c>
      <c r="AS203" s="22">
        <f t="shared" si="80"/>
        <v>0</v>
      </c>
      <c r="AT203" s="24" t="str">
        <f t="shared" si="81"/>
        <v>0-3 months</v>
      </c>
      <c r="AU203" s="22" t="s">
        <v>3240</v>
      </c>
    </row>
    <row r="204" spans="1:47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3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3138</v>
      </c>
      <c r="K204" s="29" t="s">
        <v>579</v>
      </c>
      <c r="L204" s="17" t="s">
        <v>67</v>
      </c>
      <c r="M204" s="22" t="s">
        <v>60</v>
      </c>
      <c r="N204" s="22">
        <v>1</v>
      </c>
      <c r="O204" s="22"/>
      <c r="P204" s="33" t="str">
        <f t="shared" si="71"/>
        <v>MAIN UNIT</v>
      </c>
      <c r="Q204" s="13" t="s">
        <v>61</v>
      </c>
      <c r="R204" s="22" t="s">
        <v>62</v>
      </c>
      <c r="S204" s="22" t="s">
        <v>50</v>
      </c>
      <c r="T204" s="22" t="s">
        <v>101</v>
      </c>
      <c r="U204" s="22" t="s">
        <v>70</v>
      </c>
      <c r="V204" s="22" t="s">
        <v>102</v>
      </c>
      <c r="W204" s="22" t="s">
        <v>64</v>
      </c>
      <c r="X204" s="30">
        <v>570100</v>
      </c>
      <c r="Y204" s="31" t="str">
        <f t="shared" si="82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66"/>
        <v>10271727.486725664</v>
      </c>
      <c r="AJ204" s="27">
        <f t="shared" si="67"/>
        <v>1227228.7260761063</v>
      </c>
      <c r="AK204" s="28">
        <f t="shared" si="76"/>
        <v>0.11947637120066472</v>
      </c>
      <c r="AL204" s="24"/>
      <c r="AM204" s="24"/>
      <c r="AN204" s="24"/>
      <c r="AO204" s="24"/>
      <c r="AP204" s="28" t="str">
        <f t="shared" si="77"/>
        <v>202312</v>
      </c>
      <c r="AQ204" s="28" t="str">
        <f t="shared" si="78"/>
        <v>202312RMB</v>
      </c>
      <c r="AR204" s="206" t="str">
        <f t="shared" si="79"/>
        <v>YAMAHA_Mounter</v>
      </c>
      <c r="AS204" s="22">
        <f t="shared" si="80"/>
        <v>0</v>
      </c>
      <c r="AT204" s="24" t="str">
        <f t="shared" si="81"/>
        <v>0-3 months</v>
      </c>
      <c r="AU204" s="22" t="s">
        <v>3240</v>
      </c>
    </row>
    <row r="205" spans="1:47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3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3315</v>
      </c>
      <c r="K205" s="29" t="s">
        <v>3316</v>
      </c>
      <c r="L205" s="17" t="s">
        <v>92</v>
      </c>
      <c r="M205" s="13" t="s">
        <v>60</v>
      </c>
      <c r="N205" s="22">
        <v>1</v>
      </c>
      <c r="O205" s="22"/>
      <c r="P205" s="33" t="str">
        <f t="shared" si="71"/>
        <v>MAIN UNIT</v>
      </c>
      <c r="Q205" s="13" t="s">
        <v>68</v>
      </c>
      <c r="R205" s="22" t="s">
        <v>62</v>
      </c>
      <c r="S205" s="22" t="s">
        <v>49</v>
      </c>
      <c r="T205" s="22" t="s">
        <v>78</v>
      </c>
      <c r="U205" s="22" t="s">
        <v>78</v>
      </c>
      <c r="V205" s="22" t="s">
        <v>3095</v>
      </c>
      <c r="W205" s="22" t="s">
        <v>64</v>
      </c>
      <c r="X205" s="30">
        <v>750800</v>
      </c>
      <c r="Y205" s="31" t="str">
        <f t="shared" si="82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66"/>
        <v>20319282.700884953</v>
      </c>
      <c r="AJ205" s="27">
        <f t="shared" si="67"/>
        <v>2408851.9638623013</v>
      </c>
      <c r="AK205" s="28">
        <f t="shared" si="76"/>
        <v>0.11855004919821259</v>
      </c>
      <c r="AL205" s="24"/>
      <c r="AM205" s="24"/>
      <c r="AN205" s="24"/>
      <c r="AO205" s="24"/>
      <c r="AP205" s="28" t="str">
        <f t="shared" si="77"/>
        <v>20244</v>
      </c>
      <c r="AQ205" s="28" t="str">
        <f t="shared" si="78"/>
        <v>20244RMB</v>
      </c>
      <c r="AR205" s="206" t="str">
        <f t="shared" si="79"/>
        <v>YAMAHA_Mounter</v>
      </c>
      <c r="AS205" s="22">
        <f t="shared" si="80"/>
        <v>1</v>
      </c>
      <c r="AT205" s="24" t="str">
        <f t="shared" si="81"/>
        <v>0-3 months</v>
      </c>
      <c r="AU205" s="22" t="s">
        <v>3751</v>
      </c>
    </row>
    <row r="206" spans="1:47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3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3327</v>
      </c>
      <c r="K206" s="29" t="s">
        <v>3328</v>
      </c>
      <c r="L206" s="17" t="s">
        <v>92</v>
      </c>
      <c r="M206" s="22" t="s">
        <v>60</v>
      </c>
      <c r="N206" s="22">
        <v>1</v>
      </c>
      <c r="O206" s="22"/>
      <c r="P206" s="33" t="str">
        <f t="shared" si="71"/>
        <v>MAIN UNIT</v>
      </c>
      <c r="Q206" s="13" t="s">
        <v>68</v>
      </c>
      <c r="R206" s="22" t="s">
        <v>62</v>
      </c>
      <c r="S206" s="22" t="s">
        <v>49</v>
      </c>
      <c r="T206" s="22" t="s">
        <v>78</v>
      </c>
      <c r="U206" s="22" t="s">
        <v>3330</v>
      </c>
      <c r="V206" s="22" t="s">
        <v>121</v>
      </c>
      <c r="W206" s="22" t="s">
        <v>109</v>
      </c>
      <c r="X206" s="30">
        <v>13700000</v>
      </c>
      <c r="Y206" s="31" t="str">
        <f t="shared" si="82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66"/>
        <v>20319282.700884953</v>
      </c>
      <c r="AJ206" s="27">
        <f t="shared" si="67"/>
        <v>2408851.9638623013</v>
      </c>
      <c r="AK206" s="28">
        <f t="shared" si="76"/>
        <v>0.11855004919821259</v>
      </c>
      <c r="AL206" s="24"/>
      <c r="AM206" s="24"/>
      <c r="AN206" s="24"/>
      <c r="AO206" s="24"/>
      <c r="AP206" s="28" t="str">
        <f t="shared" si="77"/>
        <v>20244</v>
      </c>
      <c r="AQ206" s="28" t="str">
        <f t="shared" si="78"/>
        <v>20244JPY</v>
      </c>
      <c r="AR206" s="206" t="str">
        <f t="shared" si="79"/>
        <v>YAMAHA_Mounter</v>
      </c>
      <c r="AS206" s="22">
        <f t="shared" si="80"/>
        <v>1</v>
      </c>
      <c r="AT206" s="24" t="str">
        <f t="shared" si="81"/>
        <v>0-3 months</v>
      </c>
      <c r="AU206" s="22" t="s">
        <v>3745</v>
      </c>
    </row>
    <row r="207" spans="1:47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54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2225</v>
      </c>
      <c r="K207" s="155" t="s">
        <v>2226</v>
      </c>
      <c r="L207" s="17" t="s">
        <v>92</v>
      </c>
      <c r="M207" s="13" t="s">
        <v>60</v>
      </c>
      <c r="N207" s="13">
        <v>1</v>
      </c>
      <c r="O207" s="13"/>
      <c r="P207" s="33" t="str">
        <f t="shared" si="71"/>
        <v>MAIN UNIT</v>
      </c>
      <c r="Q207" s="13" t="s">
        <v>68</v>
      </c>
      <c r="R207" s="13" t="s">
        <v>62</v>
      </c>
      <c r="S207" s="13" t="s">
        <v>50</v>
      </c>
      <c r="T207" s="13" t="s">
        <v>101</v>
      </c>
      <c r="U207" s="13" t="s">
        <v>70</v>
      </c>
      <c r="V207" s="13" t="s">
        <v>169</v>
      </c>
      <c r="W207" s="13" t="s">
        <v>64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66"/>
        <v>36480247.665929198</v>
      </c>
      <c r="AJ207" s="19">
        <f t="shared" si="67"/>
        <v>5330996.6372757526</v>
      </c>
      <c r="AK207" s="20">
        <f t="shared" si="76"/>
        <v>0.14613378412599562</v>
      </c>
      <c r="AL207" s="17"/>
      <c r="AM207" s="17"/>
      <c r="AN207" s="17"/>
      <c r="AO207" s="17"/>
      <c r="AP207" s="28" t="str">
        <f t="shared" si="77"/>
        <v>20227</v>
      </c>
      <c r="AQ207" s="28" t="str">
        <f t="shared" si="78"/>
        <v>20227RMB</v>
      </c>
      <c r="AR207" s="206" t="str">
        <f t="shared" si="79"/>
        <v>YAMAHA_Mounter</v>
      </c>
      <c r="AS207" s="22">
        <f t="shared" si="80"/>
        <v>1</v>
      </c>
      <c r="AT207" s="24" t="str">
        <f t="shared" si="81"/>
        <v>0-3 months</v>
      </c>
      <c r="AU207" s="22" t="s">
        <v>3240</v>
      </c>
    </row>
    <row r="208" spans="1:47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48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993</v>
      </c>
      <c r="K208" s="155" t="s">
        <v>994</v>
      </c>
      <c r="L208" s="17" t="s">
        <v>67</v>
      </c>
      <c r="M208" s="13" t="s">
        <v>60</v>
      </c>
      <c r="N208" s="13">
        <v>1</v>
      </c>
      <c r="O208" s="13"/>
      <c r="P208" s="33" t="str">
        <f t="shared" si="71"/>
        <v>MAIN UNIT</v>
      </c>
      <c r="Q208" s="13" t="s">
        <v>61</v>
      </c>
      <c r="R208" s="13" t="s">
        <v>62</v>
      </c>
      <c r="S208" s="13" t="s">
        <v>50</v>
      </c>
      <c r="T208" s="13" t="s">
        <v>101</v>
      </c>
      <c r="U208" s="13" t="s">
        <v>70</v>
      </c>
      <c r="V208" s="13"/>
      <c r="W208" s="13" t="s">
        <v>64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66"/>
        <v>33477255.428389374</v>
      </c>
      <c r="AJ208" s="19">
        <f t="shared" si="67"/>
        <v>4578663.362915583</v>
      </c>
      <c r="AK208" s="20">
        <f t="shared" si="76"/>
        <v>0.13676937682988152</v>
      </c>
      <c r="AL208" s="17"/>
      <c r="AM208" s="17"/>
      <c r="AN208" s="17"/>
      <c r="AO208" s="17"/>
      <c r="AP208" s="28" t="str">
        <f t="shared" si="77"/>
        <v>20204</v>
      </c>
      <c r="AQ208" s="28" t="str">
        <f t="shared" si="78"/>
        <v>20204RMB</v>
      </c>
      <c r="AR208" s="206" t="str">
        <f t="shared" si="79"/>
        <v>YAMAHA_Mounter</v>
      </c>
      <c r="AS208" s="22">
        <f t="shared" si="80"/>
        <v>5</v>
      </c>
      <c r="AT208" s="24" t="str">
        <f t="shared" si="81"/>
        <v>4-6 months</v>
      </c>
      <c r="AU208" s="22" t="s">
        <v>3240</v>
      </c>
    </row>
    <row r="209" spans="1:47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48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993</v>
      </c>
      <c r="K209" s="155" t="s">
        <v>994</v>
      </c>
      <c r="L209" s="17" t="s">
        <v>67</v>
      </c>
      <c r="M209" s="13" t="s">
        <v>60</v>
      </c>
      <c r="N209" s="13">
        <v>1</v>
      </c>
      <c r="O209" s="13"/>
      <c r="P209" s="33" t="str">
        <f t="shared" si="71"/>
        <v>MAIN UNIT</v>
      </c>
      <c r="Q209" s="13" t="s">
        <v>61</v>
      </c>
      <c r="R209" s="13" t="s">
        <v>62</v>
      </c>
      <c r="S209" s="13" t="s">
        <v>50</v>
      </c>
      <c r="T209" s="13" t="s">
        <v>101</v>
      </c>
      <c r="U209" s="13" t="s">
        <v>70</v>
      </c>
      <c r="V209" s="13"/>
      <c r="W209" s="13" t="s">
        <v>64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66"/>
        <v>33477255.428389374</v>
      </c>
      <c r="AJ209" s="19">
        <f t="shared" si="67"/>
        <v>4578663.362915583</v>
      </c>
      <c r="AK209" s="20">
        <f t="shared" si="76"/>
        <v>0.13676937682988152</v>
      </c>
      <c r="AL209" s="17"/>
      <c r="AM209" s="17"/>
      <c r="AN209" s="17"/>
      <c r="AO209" s="17"/>
      <c r="AP209" s="28" t="str">
        <f t="shared" si="77"/>
        <v>20204</v>
      </c>
      <c r="AQ209" s="28" t="str">
        <f t="shared" si="78"/>
        <v>20204RMB</v>
      </c>
      <c r="AR209" s="206" t="str">
        <f t="shared" si="79"/>
        <v>YAMAHA_Mounter</v>
      </c>
      <c r="AS209" s="22">
        <f t="shared" si="80"/>
        <v>5</v>
      </c>
      <c r="AT209" s="24" t="str">
        <f t="shared" si="81"/>
        <v>4-6 months</v>
      </c>
      <c r="AU209" s="22" t="s">
        <v>3240</v>
      </c>
    </row>
    <row r="210" spans="1:47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41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197</v>
      </c>
      <c r="K210" s="155" t="s">
        <v>198</v>
      </c>
      <c r="L210" s="17" t="s">
        <v>67</v>
      </c>
      <c r="M210" s="13" t="s">
        <v>60</v>
      </c>
      <c r="N210" s="13">
        <v>1</v>
      </c>
      <c r="O210" s="13"/>
      <c r="P210" s="33" t="str">
        <f t="shared" si="71"/>
        <v>MAIN UNIT</v>
      </c>
      <c r="Q210" s="13" t="s">
        <v>68</v>
      </c>
      <c r="R210" s="13" t="s">
        <v>62</v>
      </c>
      <c r="S210" s="13" t="s">
        <v>50</v>
      </c>
      <c r="T210" s="13" t="s">
        <v>101</v>
      </c>
      <c r="U210" s="13" t="s">
        <v>70</v>
      </c>
      <c r="V210" s="13" t="s">
        <v>94</v>
      </c>
      <c r="W210" s="13" t="s">
        <v>64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66"/>
        <v>29288201.603076916</v>
      </c>
      <c r="AJ210" s="19">
        <f t="shared" si="67"/>
        <v>3870159.1769246152</v>
      </c>
      <c r="AK210" s="20">
        <f t="shared" si="76"/>
        <v>0.13214055370740244</v>
      </c>
      <c r="AL210" s="17"/>
      <c r="AM210" s="17"/>
      <c r="AN210" s="17"/>
      <c r="AO210" s="17"/>
      <c r="AP210" s="28" t="str">
        <f t="shared" si="77"/>
        <v>20184</v>
      </c>
      <c r="AQ210" s="28" t="str">
        <f t="shared" si="78"/>
        <v>20184RMB</v>
      </c>
      <c r="AR210" s="206" t="str">
        <f t="shared" si="79"/>
        <v>YAMAHA_Mounter</v>
      </c>
      <c r="AS210" s="22">
        <f t="shared" si="80"/>
        <v>0</v>
      </c>
      <c r="AT210" s="24" t="str">
        <f t="shared" si="81"/>
        <v>0-3 months</v>
      </c>
      <c r="AU210" s="22" t="s">
        <v>3240</v>
      </c>
    </row>
    <row r="211" spans="1:47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48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1476</v>
      </c>
      <c r="K211" s="155" t="s">
        <v>1477</v>
      </c>
      <c r="L211" s="17" t="s">
        <v>67</v>
      </c>
      <c r="M211" s="13" t="s">
        <v>60</v>
      </c>
      <c r="N211" s="13">
        <v>1</v>
      </c>
      <c r="O211" s="13"/>
      <c r="P211" s="33" t="str">
        <f t="shared" si="71"/>
        <v>MAIN UNIT</v>
      </c>
      <c r="Q211" s="13" t="s">
        <v>61</v>
      </c>
      <c r="R211" s="13" t="s">
        <v>62</v>
      </c>
      <c r="S211" s="13" t="s">
        <v>50</v>
      </c>
      <c r="T211" s="13" t="s">
        <v>101</v>
      </c>
      <c r="U211" s="13" t="s">
        <v>70</v>
      </c>
      <c r="V211" s="13" t="s">
        <v>94</v>
      </c>
      <c r="W211" s="13" t="s">
        <v>64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66"/>
        <v>44078731.611185849</v>
      </c>
      <c r="AJ211" s="19">
        <f t="shared" si="67"/>
        <v>5508173.2163771465</v>
      </c>
      <c r="AK211" s="20">
        <f t="shared" si="76"/>
        <v>0.12496215328889679</v>
      </c>
      <c r="AL211" s="17"/>
      <c r="AM211" s="17"/>
      <c r="AN211" s="17"/>
      <c r="AO211" s="17"/>
      <c r="AP211" s="28" t="str">
        <f t="shared" si="77"/>
        <v>202011</v>
      </c>
      <c r="AQ211" s="28" t="str">
        <f t="shared" si="78"/>
        <v>202011RMB</v>
      </c>
      <c r="AR211" s="206" t="str">
        <f t="shared" si="79"/>
        <v>YAMAHA_Mounter</v>
      </c>
      <c r="AS211" s="22">
        <f t="shared" si="80"/>
        <v>0</v>
      </c>
      <c r="AT211" s="24" t="str">
        <f t="shared" si="81"/>
        <v>0-3 months</v>
      </c>
      <c r="AU211" s="22" t="s">
        <v>3240</v>
      </c>
    </row>
    <row r="212" spans="1:47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48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1476</v>
      </c>
      <c r="K212" s="155" t="s">
        <v>1477</v>
      </c>
      <c r="L212" s="17" t="s">
        <v>67</v>
      </c>
      <c r="M212" s="13" t="s">
        <v>60</v>
      </c>
      <c r="N212" s="13">
        <v>1</v>
      </c>
      <c r="O212" s="13"/>
      <c r="P212" s="33" t="str">
        <f t="shared" si="71"/>
        <v>MAIN UNIT</v>
      </c>
      <c r="Q212" s="13" t="s">
        <v>61</v>
      </c>
      <c r="R212" s="13" t="s">
        <v>62</v>
      </c>
      <c r="S212" s="13" t="s">
        <v>50</v>
      </c>
      <c r="T212" s="13" t="s">
        <v>101</v>
      </c>
      <c r="U212" s="13" t="s">
        <v>70</v>
      </c>
      <c r="V212" s="13" t="s">
        <v>94</v>
      </c>
      <c r="W212" s="13" t="s">
        <v>64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66"/>
        <v>45803245.025628321</v>
      </c>
      <c r="AJ212" s="19">
        <f t="shared" si="67"/>
        <v>5664636.2584379362</v>
      </c>
      <c r="AK212" s="20">
        <f t="shared" si="76"/>
        <v>0.12367325186825515</v>
      </c>
      <c r="AL212" s="17"/>
      <c r="AM212" s="17"/>
      <c r="AN212" s="17"/>
      <c r="AO212" s="17"/>
      <c r="AP212" s="28" t="str">
        <f t="shared" si="77"/>
        <v>20211</v>
      </c>
      <c r="AQ212" s="28" t="str">
        <f t="shared" si="78"/>
        <v>20211RMB</v>
      </c>
      <c r="AR212" s="206" t="str">
        <f t="shared" si="79"/>
        <v>YAMAHA_Mounter</v>
      </c>
      <c r="AS212" s="22">
        <f t="shared" si="80"/>
        <v>2</v>
      </c>
      <c r="AT212" s="24" t="str">
        <f t="shared" si="81"/>
        <v>0-3 months</v>
      </c>
      <c r="AU212" s="22" t="s">
        <v>3240</v>
      </c>
    </row>
    <row r="213" spans="1:47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48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1476</v>
      </c>
      <c r="K213" s="155" t="s">
        <v>1477</v>
      </c>
      <c r="L213" s="17" t="s">
        <v>67</v>
      </c>
      <c r="M213" s="13" t="s">
        <v>60</v>
      </c>
      <c r="N213" s="13">
        <v>1</v>
      </c>
      <c r="O213" s="13"/>
      <c r="P213" s="33" t="str">
        <f t="shared" si="71"/>
        <v>MAIN UNIT</v>
      </c>
      <c r="Q213" s="13" t="s">
        <v>61</v>
      </c>
      <c r="R213" s="13" t="s">
        <v>62</v>
      </c>
      <c r="S213" s="13" t="s">
        <v>50</v>
      </c>
      <c r="T213" s="13" t="s">
        <v>101</v>
      </c>
      <c r="U213" s="13" t="s">
        <v>70</v>
      </c>
      <c r="V213" s="13" t="s">
        <v>94</v>
      </c>
      <c r="W213" s="13" t="s">
        <v>64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66"/>
        <v>45803245.025628321</v>
      </c>
      <c r="AJ213" s="19">
        <f t="shared" si="67"/>
        <v>5664636.2584379362</v>
      </c>
      <c r="AK213" s="20">
        <f t="shared" si="76"/>
        <v>0.12367325186825515</v>
      </c>
      <c r="AL213" s="17"/>
      <c r="AM213" s="17"/>
      <c r="AN213" s="17"/>
      <c r="AO213" s="17"/>
      <c r="AP213" s="28" t="str">
        <f t="shared" si="77"/>
        <v>20211</v>
      </c>
      <c r="AQ213" s="28" t="str">
        <f t="shared" si="78"/>
        <v>20211RMB</v>
      </c>
      <c r="AR213" s="206" t="str">
        <f t="shared" si="79"/>
        <v>YAMAHA_Mounter</v>
      </c>
      <c r="AS213" s="22">
        <f t="shared" si="80"/>
        <v>2</v>
      </c>
      <c r="AT213" s="24" t="str">
        <f t="shared" si="81"/>
        <v>0-3 months</v>
      </c>
      <c r="AU213" s="22" t="s">
        <v>3240</v>
      </c>
    </row>
    <row r="214" spans="1:47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47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814</v>
      </c>
      <c r="K214" s="155" t="s">
        <v>815</v>
      </c>
      <c r="L214" s="17" t="s">
        <v>67</v>
      </c>
      <c r="M214" s="13" t="s">
        <v>60</v>
      </c>
      <c r="N214" s="13">
        <v>1</v>
      </c>
      <c r="O214" s="13"/>
      <c r="P214" s="33" t="str">
        <f t="shared" si="71"/>
        <v>MAIN UNIT</v>
      </c>
      <c r="Q214" s="13" t="s">
        <v>61</v>
      </c>
      <c r="R214" s="13" t="s">
        <v>701</v>
      </c>
      <c r="S214" s="13" t="s">
        <v>50</v>
      </c>
      <c r="T214" s="13" t="s">
        <v>101</v>
      </c>
      <c r="U214" s="13" t="s">
        <v>70</v>
      </c>
      <c r="V214" s="13" t="s">
        <v>816</v>
      </c>
      <c r="W214" s="13" t="s">
        <v>703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66"/>
        <v>31296887.037898075</v>
      </c>
      <c r="AJ214" s="19">
        <f t="shared" si="67"/>
        <v>3588873.9502021763</v>
      </c>
      <c r="AK214" s="20">
        <f t="shared" si="76"/>
        <v>0.11467191436184473</v>
      </c>
      <c r="AL214" s="17"/>
      <c r="AM214" s="17"/>
      <c r="AN214" s="17"/>
      <c r="AO214" s="17"/>
      <c r="AP214" s="28" t="str">
        <f t="shared" si="77"/>
        <v>20196</v>
      </c>
      <c r="AQ214" s="28" t="str">
        <f t="shared" si="78"/>
        <v>20196RMB</v>
      </c>
      <c r="AR214" s="206" t="str">
        <f t="shared" si="79"/>
        <v>YAMAHA_Mounter</v>
      </c>
      <c r="AS214" s="22">
        <f t="shared" si="80"/>
        <v>0</v>
      </c>
      <c r="AT214" s="24" t="str">
        <f t="shared" si="81"/>
        <v>0-3 months</v>
      </c>
      <c r="AU214" s="22" t="s">
        <v>3240</v>
      </c>
    </row>
    <row r="215" spans="1:47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47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814</v>
      </c>
      <c r="K215" s="155" t="s">
        <v>815</v>
      </c>
      <c r="L215" s="17" t="s">
        <v>67</v>
      </c>
      <c r="M215" s="13" t="s">
        <v>60</v>
      </c>
      <c r="N215" s="13">
        <v>1</v>
      </c>
      <c r="O215" s="13"/>
      <c r="P215" s="33" t="str">
        <f t="shared" si="71"/>
        <v>MAIN UNIT</v>
      </c>
      <c r="Q215" s="13" t="s">
        <v>61</v>
      </c>
      <c r="R215" s="13" t="s">
        <v>701</v>
      </c>
      <c r="S215" s="13" t="s">
        <v>50</v>
      </c>
      <c r="T215" s="13" t="s">
        <v>101</v>
      </c>
      <c r="U215" s="13" t="s">
        <v>70</v>
      </c>
      <c r="V215" s="13" t="s">
        <v>816</v>
      </c>
      <c r="W215" s="13" t="s">
        <v>703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66"/>
        <v>31296887.037898075</v>
      </c>
      <c r="AJ215" s="19">
        <f t="shared" si="67"/>
        <v>3588873.9502021763</v>
      </c>
      <c r="AK215" s="20">
        <f t="shared" si="76"/>
        <v>0.11467191436184473</v>
      </c>
      <c r="AL215" s="17"/>
      <c r="AM215" s="17"/>
      <c r="AN215" s="17"/>
      <c r="AO215" s="17"/>
      <c r="AP215" s="28" t="str">
        <f t="shared" si="77"/>
        <v>20196</v>
      </c>
      <c r="AQ215" s="28" t="str">
        <f t="shared" si="78"/>
        <v>20196RMB</v>
      </c>
      <c r="AR215" s="206" t="str">
        <f t="shared" si="79"/>
        <v>YAMAHA_Mounter</v>
      </c>
      <c r="AS215" s="22">
        <f t="shared" si="80"/>
        <v>0</v>
      </c>
      <c r="AT215" s="24" t="str">
        <f t="shared" si="81"/>
        <v>0-3 months</v>
      </c>
      <c r="AU215" s="22" t="s">
        <v>3240</v>
      </c>
    </row>
    <row r="216" spans="1:47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55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2342</v>
      </c>
      <c r="K216" s="155" t="s">
        <v>2343</v>
      </c>
      <c r="L216" s="17" t="s">
        <v>2344</v>
      </c>
      <c r="M216" s="13" t="s">
        <v>2054</v>
      </c>
      <c r="N216" s="13">
        <v>1</v>
      </c>
      <c r="O216" s="13"/>
      <c r="P216" s="33" t="str">
        <f t="shared" si="71"/>
        <v>MAIN UNIT</v>
      </c>
      <c r="Q216" s="13" t="s">
        <v>68</v>
      </c>
      <c r="R216" s="13" t="s">
        <v>2055</v>
      </c>
      <c r="S216" s="13" t="s">
        <v>50</v>
      </c>
      <c r="T216" s="13" t="s">
        <v>78</v>
      </c>
      <c r="U216" s="13" t="s">
        <v>70</v>
      </c>
      <c r="V216" s="13" t="s">
        <v>2057</v>
      </c>
      <c r="W216" s="13" t="s">
        <v>64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66"/>
        <v>5219988.5752212387</v>
      </c>
      <c r="AJ216" s="19">
        <f t="shared" si="67"/>
        <v>631627.0013460177</v>
      </c>
      <c r="AK216" s="20">
        <f t="shared" si="76"/>
        <v>0.12100160608478869</v>
      </c>
      <c r="AL216" s="17"/>
      <c r="AM216" s="17"/>
      <c r="AN216" s="17"/>
      <c r="AO216" s="17"/>
      <c r="AP216" s="28" t="str">
        <f t="shared" si="77"/>
        <v>202310</v>
      </c>
      <c r="AQ216" s="28" t="str">
        <f t="shared" si="78"/>
        <v>202310RMB</v>
      </c>
      <c r="AR216" s="206" t="str">
        <f t="shared" si="79"/>
        <v>SOLDERSTAR</v>
      </c>
      <c r="AS216" s="22">
        <f t="shared" si="80"/>
        <v>1</v>
      </c>
      <c r="AT216" s="24" t="str">
        <f t="shared" si="81"/>
        <v>0-3 months</v>
      </c>
      <c r="AU216" s="22" t="s">
        <v>3751</v>
      </c>
    </row>
    <row r="217" spans="1:47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3327</v>
      </c>
      <c r="K217" s="29" t="s">
        <v>3328</v>
      </c>
      <c r="L217" s="17" t="s">
        <v>67</v>
      </c>
      <c r="M217" s="22" t="s">
        <v>60</v>
      </c>
      <c r="N217" s="22">
        <v>1</v>
      </c>
      <c r="O217" s="22"/>
      <c r="P217" s="33" t="str">
        <f t="shared" si="71"/>
        <v>MAIN UNIT</v>
      </c>
      <c r="Q217" s="13" t="s">
        <v>68</v>
      </c>
      <c r="R217" s="22" t="s">
        <v>62</v>
      </c>
      <c r="S217" s="22" t="s">
        <v>49</v>
      </c>
      <c r="T217" s="22" t="s">
        <v>78</v>
      </c>
      <c r="U217" s="22" t="s">
        <v>3330</v>
      </c>
      <c r="V217" s="22" t="s">
        <v>121</v>
      </c>
      <c r="W217" s="22" t="s">
        <v>109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66"/>
        <v>20319282.700884953</v>
      </c>
      <c r="AJ217" s="27">
        <f t="shared" si="67"/>
        <v>2408851.9638623013</v>
      </c>
      <c r="AK217" s="28">
        <f t="shared" si="76"/>
        <v>0.11855004919821259</v>
      </c>
      <c r="AL217" s="24"/>
      <c r="AM217" s="24"/>
      <c r="AN217" s="24"/>
      <c r="AO217" s="24"/>
      <c r="AP217" s="28" t="str">
        <f t="shared" si="77"/>
        <v>20244</v>
      </c>
      <c r="AQ217" s="28" t="str">
        <f t="shared" si="78"/>
        <v>20244JPY</v>
      </c>
      <c r="AR217" s="206" t="str">
        <f t="shared" si="79"/>
        <v>YAMAHA_Mounter</v>
      </c>
      <c r="AS217" s="22">
        <f t="shared" si="80"/>
        <v>1</v>
      </c>
      <c r="AT217" s="24" t="str">
        <f t="shared" si="81"/>
        <v>0-3 months</v>
      </c>
      <c r="AU217" s="22" t="s">
        <v>3745</v>
      </c>
    </row>
    <row r="218" spans="1:47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53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1757</v>
      </c>
      <c r="K218" s="155" t="s">
        <v>1758</v>
      </c>
      <c r="L218" s="17" t="s">
        <v>92</v>
      </c>
      <c r="M218" s="13" t="s">
        <v>60</v>
      </c>
      <c r="N218" s="13">
        <v>1</v>
      </c>
      <c r="O218" s="13"/>
      <c r="P218" s="33" t="str">
        <f t="shared" si="71"/>
        <v>MAIN UNIT</v>
      </c>
      <c r="Q218" s="13" t="s">
        <v>61</v>
      </c>
      <c r="R218" s="13" t="s">
        <v>62</v>
      </c>
      <c r="S218" s="13" t="s">
        <v>50</v>
      </c>
      <c r="T218" s="13" t="s">
        <v>101</v>
      </c>
      <c r="U218" s="13" t="s">
        <v>70</v>
      </c>
      <c r="V218" s="13" t="s">
        <v>102</v>
      </c>
      <c r="W218" s="13" t="s">
        <v>64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66"/>
        <v>63006605.696460173</v>
      </c>
      <c r="AJ218" s="19">
        <f t="shared" si="67"/>
        <v>8897485.660753984</v>
      </c>
      <c r="AK218" s="20">
        <f t="shared" si="76"/>
        <v>0.141215124388995</v>
      </c>
      <c r="AL218" s="17"/>
      <c r="AM218" s="17"/>
      <c r="AN218" s="17"/>
      <c r="AO218" s="17"/>
      <c r="AP218" s="28" t="str">
        <f t="shared" si="77"/>
        <v>20215</v>
      </c>
      <c r="AQ218" s="28" t="str">
        <f t="shared" si="78"/>
        <v>20215RMB</v>
      </c>
      <c r="AR218" s="206" t="str">
        <f t="shared" si="79"/>
        <v>YAMAHA_Mounter</v>
      </c>
      <c r="AS218" s="22">
        <f t="shared" si="80"/>
        <v>1</v>
      </c>
      <c r="AT218" s="24" t="str">
        <f t="shared" si="81"/>
        <v>0-3 months</v>
      </c>
      <c r="AU218" s="22" t="s">
        <v>3240</v>
      </c>
    </row>
    <row r="219" spans="1:47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53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1757</v>
      </c>
      <c r="K219" s="155" t="s">
        <v>1758</v>
      </c>
      <c r="L219" s="17" t="s">
        <v>67</v>
      </c>
      <c r="M219" s="13" t="s">
        <v>60</v>
      </c>
      <c r="N219" s="13">
        <v>1</v>
      </c>
      <c r="O219" s="13"/>
      <c r="P219" s="33" t="str">
        <f t="shared" si="71"/>
        <v>MAIN UNIT</v>
      </c>
      <c r="Q219" s="13" t="s">
        <v>61</v>
      </c>
      <c r="R219" s="13" t="s">
        <v>62</v>
      </c>
      <c r="S219" s="13" t="s">
        <v>50</v>
      </c>
      <c r="T219" s="13" t="s">
        <v>101</v>
      </c>
      <c r="U219" s="13" t="s">
        <v>70</v>
      </c>
      <c r="V219" s="13" t="s">
        <v>102</v>
      </c>
      <c r="W219" s="13" t="s">
        <v>64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66"/>
        <v>63006605.696460173</v>
      </c>
      <c r="AJ219" s="19">
        <f t="shared" si="67"/>
        <v>8897485.660753984</v>
      </c>
      <c r="AK219" s="20">
        <f t="shared" si="76"/>
        <v>0.141215124388995</v>
      </c>
      <c r="AL219" s="17"/>
      <c r="AM219" s="17"/>
      <c r="AN219" s="17"/>
      <c r="AO219" s="17"/>
      <c r="AP219" s="28" t="str">
        <f t="shared" si="77"/>
        <v>20215</v>
      </c>
      <c r="AQ219" s="28" t="str">
        <f t="shared" si="78"/>
        <v>20215RMB</v>
      </c>
      <c r="AR219" s="206" t="str">
        <f t="shared" si="79"/>
        <v>YAMAHA_Mounter</v>
      </c>
      <c r="AS219" s="22">
        <f t="shared" si="80"/>
        <v>1</v>
      </c>
      <c r="AT219" s="24" t="str">
        <f t="shared" si="81"/>
        <v>0-3 months</v>
      </c>
      <c r="AU219" s="22" t="s">
        <v>3240</v>
      </c>
    </row>
    <row r="220" spans="1:47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54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2252</v>
      </c>
      <c r="K220" s="155" t="s">
        <v>1758</v>
      </c>
      <c r="L220" s="17" t="s">
        <v>67</v>
      </c>
      <c r="M220" s="13" t="s">
        <v>60</v>
      </c>
      <c r="N220" s="13">
        <v>1</v>
      </c>
      <c r="O220" s="13"/>
      <c r="P220" s="33" t="str">
        <f t="shared" si="71"/>
        <v>MAIN UNIT</v>
      </c>
      <c r="Q220" s="13" t="s">
        <v>61</v>
      </c>
      <c r="R220" s="13" t="s">
        <v>62</v>
      </c>
      <c r="S220" s="13" t="s">
        <v>50</v>
      </c>
      <c r="T220" s="13" t="s">
        <v>101</v>
      </c>
      <c r="U220" s="13" t="s">
        <v>70</v>
      </c>
      <c r="V220" s="13" t="s">
        <v>102</v>
      </c>
      <c r="W220" s="13" t="s">
        <v>64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66"/>
        <v>35073581.838938057</v>
      </c>
      <c r="AJ220" s="19">
        <f t="shared" si="67"/>
        <v>5034113.9728989396</v>
      </c>
      <c r="AK220" s="20">
        <f t="shared" si="76"/>
        <v>0.14353007902118958</v>
      </c>
      <c r="AL220" s="17"/>
      <c r="AM220" s="17"/>
      <c r="AN220" s="17"/>
      <c r="AO220" s="17"/>
      <c r="AP220" s="28" t="str">
        <f t="shared" si="77"/>
        <v>20228</v>
      </c>
      <c r="AQ220" s="28" t="str">
        <f t="shared" si="78"/>
        <v>20228RMB</v>
      </c>
      <c r="AR220" s="206" t="str">
        <f t="shared" si="79"/>
        <v>YAMAHA_Mounter</v>
      </c>
      <c r="AS220" s="22">
        <f t="shared" si="80"/>
        <v>2</v>
      </c>
      <c r="AT220" s="24" t="str">
        <f t="shared" si="81"/>
        <v>0-3 months</v>
      </c>
      <c r="AU220" s="22" t="s">
        <v>3240</v>
      </c>
    </row>
    <row r="221" spans="1:47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3139</v>
      </c>
      <c r="K221" s="29" t="s">
        <v>1758</v>
      </c>
      <c r="L221" s="17" t="s">
        <v>92</v>
      </c>
      <c r="M221" s="22" t="s">
        <v>60</v>
      </c>
      <c r="N221" s="22">
        <v>1</v>
      </c>
      <c r="O221" s="22"/>
      <c r="P221" s="33" t="str">
        <f t="shared" si="71"/>
        <v>MAIN UNIT</v>
      </c>
      <c r="Q221" s="13" t="s">
        <v>61</v>
      </c>
      <c r="R221" s="22" t="s">
        <v>62</v>
      </c>
      <c r="S221" s="22" t="s">
        <v>50</v>
      </c>
      <c r="T221" s="22" t="s">
        <v>101</v>
      </c>
      <c r="U221" s="22" t="s">
        <v>70</v>
      </c>
      <c r="V221" s="22" t="s">
        <v>102</v>
      </c>
      <c r="W221" s="22" t="s">
        <v>64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66"/>
        <v>10271727.486725664</v>
      </c>
      <c r="AJ221" s="27">
        <f t="shared" si="67"/>
        <v>1227228.7260761063</v>
      </c>
      <c r="AK221" s="28">
        <f t="shared" si="76"/>
        <v>0.11947637120066472</v>
      </c>
      <c r="AL221" s="24"/>
      <c r="AM221" s="24"/>
      <c r="AN221" s="24"/>
      <c r="AO221" s="24"/>
      <c r="AP221" s="28" t="str">
        <f t="shared" si="77"/>
        <v>202312</v>
      </c>
      <c r="AQ221" s="28" t="str">
        <f t="shared" si="78"/>
        <v>202312RMB</v>
      </c>
      <c r="AR221" s="206" t="str">
        <f t="shared" si="79"/>
        <v>YAMAHA_Mounter</v>
      </c>
      <c r="AS221" s="22">
        <f t="shared" si="80"/>
        <v>0</v>
      </c>
      <c r="AT221" s="24" t="str">
        <f t="shared" si="81"/>
        <v>0-3 months</v>
      </c>
      <c r="AU221" s="22" t="s">
        <v>3240</v>
      </c>
    </row>
    <row r="222" spans="1:47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3314</v>
      </c>
      <c r="K222" s="29" t="s">
        <v>1758</v>
      </c>
      <c r="L222" s="17" t="s">
        <v>2620</v>
      </c>
      <c r="M222" s="13" t="s">
        <v>60</v>
      </c>
      <c r="N222" s="22">
        <v>1</v>
      </c>
      <c r="O222" s="22"/>
      <c r="P222" s="33" t="str">
        <f t="shared" si="71"/>
        <v>MAIN UNIT</v>
      </c>
      <c r="Q222" s="13" t="s">
        <v>61</v>
      </c>
      <c r="R222" s="22" t="s">
        <v>2055</v>
      </c>
      <c r="S222" s="22" t="s">
        <v>50</v>
      </c>
      <c r="T222" s="22" t="s">
        <v>101</v>
      </c>
      <c r="U222" s="22" t="s">
        <v>70</v>
      </c>
      <c r="V222" s="22" t="s">
        <v>102</v>
      </c>
      <c r="W222" s="22" t="s">
        <v>64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66"/>
        <v>21241742.157380536</v>
      </c>
      <c r="AJ222" s="27">
        <f t="shared" si="67"/>
        <v>2987081.1613773629</v>
      </c>
      <c r="AK222" s="28">
        <f t="shared" si="76"/>
        <v>0.14062317201884914</v>
      </c>
      <c r="AL222" s="24"/>
      <c r="AM222" s="24"/>
      <c r="AN222" s="24"/>
      <c r="AO222" s="24"/>
      <c r="AP222" s="28" t="str">
        <f t="shared" si="77"/>
        <v>20243</v>
      </c>
      <c r="AQ222" s="28" t="str">
        <f t="shared" si="78"/>
        <v>20243RMB</v>
      </c>
      <c r="AR222" s="206" t="str">
        <f t="shared" si="79"/>
        <v>YAMAHA_Non_Mounter</v>
      </c>
      <c r="AS222" s="22">
        <f t="shared" si="80"/>
        <v>0</v>
      </c>
      <c r="AT222" s="24" t="str">
        <f t="shared" si="81"/>
        <v>0-3 months</v>
      </c>
      <c r="AU222" s="22" t="s">
        <v>3240</v>
      </c>
    </row>
    <row r="223" spans="1:47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3329</v>
      </c>
      <c r="K223" s="29" t="s">
        <v>3328</v>
      </c>
      <c r="L223" s="17" t="s">
        <v>92</v>
      </c>
      <c r="M223" s="22" t="s">
        <v>60</v>
      </c>
      <c r="N223" s="22">
        <v>1</v>
      </c>
      <c r="O223" s="22"/>
      <c r="P223" s="33" t="str">
        <f t="shared" si="71"/>
        <v>MAIN UNIT</v>
      </c>
      <c r="Q223" s="13" t="s">
        <v>68</v>
      </c>
      <c r="R223" s="22" t="s">
        <v>62</v>
      </c>
      <c r="S223" s="22" t="s">
        <v>49</v>
      </c>
      <c r="T223" s="22" t="s">
        <v>78</v>
      </c>
      <c r="U223" s="22" t="s">
        <v>3330</v>
      </c>
      <c r="V223" s="22" t="s">
        <v>121</v>
      </c>
      <c r="W223" s="22" t="s">
        <v>109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66"/>
        <v>20319282.700884953</v>
      </c>
      <c r="AJ223" s="27">
        <f t="shared" si="67"/>
        <v>2408851.9638623013</v>
      </c>
      <c r="AK223" s="28">
        <f t="shared" si="76"/>
        <v>0.11855004919821259</v>
      </c>
      <c r="AL223" s="24"/>
      <c r="AM223" s="24"/>
      <c r="AN223" s="24"/>
      <c r="AO223" s="24"/>
      <c r="AP223" s="28" t="str">
        <f t="shared" si="77"/>
        <v>20244</v>
      </c>
      <c r="AQ223" s="28" t="str">
        <f t="shared" si="78"/>
        <v>20244JPY</v>
      </c>
      <c r="AR223" s="206" t="str">
        <f t="shared" si="79"/>
        <v>YAMAHA_Mounter</v>
      </c>
      <c r="AS223" s="22">
        <f t="shared" si="80"/>
        <v>1</v>
      </c>
      <c r="AT223" s="24" t="str">
        <f t="shared" si="81"/>
        <v>0-3 months</v>
      </c>
      <c r="AU223" s="22" t="s">
        <v>3745</v>
      </c>
    </row>
    <row r="224" spans="1:47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47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667</v>
      </c>
      <c r="K224" s="155" t="s">
        <v>668</v>
      </c>
      <c r="L224" s="17" t="s">
        <v>67</v>
      </c>
      <c r="M224" s="13" t="s">
        <v>60</v>
      </c>
      <c r="N224" s="13">
        <v>1</v>
      </c>
      <c r="O224" s="13"/>
      <c r="P224" s="33" t="str">
        <f t="shared" si="71"/>
        <v>MAIN UNIT</v>
      </c>
      <c r="Q224" s="13" t="s">
        <v>68</v>
      </c>
      <c r="R224" s="13" t="s">
        <v>62</v>
      </c>
      <c r="S224" s="13" t="s">
        <v>50</v>
      </c>
      <c r="T224" s="13" t="s">
        <v>101</v>
      </c>
      <c r="U224" s="13" t="s">
        <v>70</v>
      </c>
      <c r="V224" s="13" t="s">
        <v>102</v>
      </c>
      <c r="W224" s="13" t="s">
        <v>64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66"/>
        <v>21386017.707964607</v>
      </c>
      <c r="AJ224" s="19">
        <f t="shared" si="67"/>
        <v>2238764.3265707968</v>
      </c>
      <c r="AK224" s="20">
        <f t="shared" si="76"/>
        <v>0.10468355339185161</v>
      </c>
      <c r="AL224" s="17"/>
      <c r="AM224" s="17"/>
      <c r="AN224" s="17"/>
      <c r="AO224" s="17"/>
      <c r="AP224" s="28" t="str">
        <f t="shared" si="77"/>
        <v>20198</v>
      </c>
      <c r="AQ224" s="28" t="str">
        <f t="shared" si="78"/>
        <v>20198RMB</v>
      </c>
      <c r="AR224" s="206" t="str">
        <f t="shared" si="79"/>
        <v>YAMAHA_Mounter</v>
      </c>
      <c r="AS224" s="22">
        <f t="shared" si="80"/>
        <v>0</v>
      </c>
      <c r="AT224" s="24" t="str">
        <f t="shared" si="81"/>
        <v>0-3 months</v>
      </c>
      <c r="AU224" s="22" t="s">
        <v>3240</v>
      </c>
    </row>
    <row r="225" spans="1:47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54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3010</v>
      </c>
      <c r="K225" s="155" t="s">
        <v>3011</v>
      </c>
      <c r="L225" s="17" t="s">
        <v>3012</v>
      </c>
      <c r="M225" s="13" t="s">
        <v>2607</v>
      </c>
      <c r="N225" s="13">
        <v>1</v>
      </c>
      <c r="O225" s="13"/>
      <c r="P225" s="33" t="str">
        <f t="shared" si="71"/>
        <v>MAIN UNIT</v>
      </c>
      <c r="Q225" s="13" t="s">
        <v>61</v>
      </c>
      <c r="R225" s="13" t="s">
        <v>2055</v>
      </c>
      <c r="S225" s="13" t="s">
        <v>50</v>
      </c>
      <c r="T225" s="13" t="s">
        <v>101</v>
      </c>
      <c r="U225" s="13" t="s">
        <v>70</v>
      </c>
      <c r="V225" s="13" t="s">
        <v>102</v>
      </c>
      <c r="W225" s="13" t="s">
        <v>64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66"/>
        <v>22717528.991150443</v>
      </c>
      <c r="AJ225" s="19">
        <f t="shared" si="67"/>
        <v>3947747.192555753</v>
      </c>
      <c r="AK225" s="20">
        <f t="shared" si="76"/>
        <v>0.1737753782153679</v>
      </c>
      <c r="AL225" s="17"/>
      <c r="AM225" s="17"/>
      <c r="AN225" s="17"/>
      <c r="AO225" s="17"/>
      <c r="AP225" s="28" t="str">
        <f t="shared" si="77"/>
        <v>202210</v>
      </c>
      <c r="AQ225" s="28" t="str">
        <f t="shared" si="78"/>
        <v>202210RMB</v>
      </c>
      <c r="AR225" s="206" t="str">
        <f t="shared" si="79"/>
        <v>HELLER</v>
      </c>
      <c r="AS225" s="22">
        <f t="shared" si="80"/>
        <v>5</v>
      </c>
      <c r="AT225" s="24" t="str">
        <f t="shared" si="81"/>
        <v>4-6 months</v>
      </c>
      <c r="AU225" s="22" t="s">
        <v>3240</v>
      </c>
    </row>
    <row r="226" spans="1:47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55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2520</v>
      </c>
      <c r="K226" s="155" t="s">
        <v>2521</v>
      </c>
      <c r="L226" s="17" t="s">
        <v>67</v>
      </c>
      <c r="M226" s="13" t="s">
        <v>60</v>
      </c>
      <c r="N226" s="13">
        <v>1</v>
      </c>
      <c r="O226" s="13"/>
      <c r="P226" s="33" t="str">
        <f t="shared" si="71"/>
        <v>MAIN UNIT</v>
      </c>
      <c r="Q226" s="13" t="s">
        <v>68</v>
      </c>
      <c r="R226" s="13" t="s">
        <v>62</v>
      </c>
      <c r="S226" s="13" t="s">
        <v>50</v>
      </c>
      <c r="T226" s="13" t="s">
        <v>101</v>
      </c>
      <c r="U226" s="13" t="s">
        <v>70</v>
      </c>
      <c r="V226" s="13" t="s">
        <v>169</v>
      </c>
      <c r="W226" s="13" t="s">
        <v>64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66"/>
        <v>13640480.497522123</v>
      </c>
      <c r="AJ226" s="19">
        <f t="shared" si="67"/>
        <v>1928605.8020906283</v>
      </c>
      <c r="AK226" s="20">
        <f t="shared" si="76"/>
        <v>0.1413884065477731</v>
      </c>
      <c r="AL226" s="17"/>
      <c r="AM226" s="17"/>
      <c r="AN226" s="17"/>
      <c r="AO226" s="17"/>
      <c r="AP226" s="28" t="str">
        <f t="shared" si="77"/>
        <v>20236</v>
      </c>
      <c r="AQ226" s="28" t="str">
        <f t="shared" si="78"/>
        <v>20236RMB</v>
      </c>
      <c r="AR226" s="206" t="str">
        <f t="shared" si="79"/>
        <v>YAMAHA_Mounter</v>
      </c>
      <c r="AS226" s="22">
        <f t="shared" si="80"/>
        <v>2</v>
      </c>
      <c r="AT226" s="24" t="str">
        <f t="shared" si="81"/>
        <v>0-3 months</v>
      </c>
      <c r="AU226" s="22" t="s">
        <v>3240</v>
      </c>
    </row>
    <row r="227" spans="1:47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55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2520</v>
      </c>
      <c r="K227" s="155" t="s">
        <v>2521</v>
      </c>
      <c r="L227" s="17" t="s">
        <v>67</v>
      </c>
      <c r="M227" s="13" t="s">
        <v>60</v>
      </c>
      <c r="N227" s="13">
        <v>1</v>
      </c>
      <c r="O227" s="13"/>
      <c r="P227" s="33" t="str">
        <f t="shared" si="71"/>
        <v>MAIN UNIT</v>
      </c>
      <c r="Q227" s="13" t="s">
        <v>68</v>
      </c>
      <c r="R227" s="13" t="s">
        <v>62</v>
      </c>
      <c r="S227" s="13" t="s">
        <v>50</v>
      </c>
      <c r="T227" s="13" t="s">
        <v>101</v>
      </c>
      <c r="U227" s="13" t="s">
        <v>70</v>
      </c>
      <c r="V227" s="13" t="s">
        <v>169</v>
      </c>
      <c r="W227" s="13" t="s">
        <v>64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66"/>
        <v>13640480.497522123</v>
      </c>
      <c r="AJ227" s="19">
        <f t="shared" si="67"/>
        <v>1928605.8020906283</v>
      </c>
      <c r="AK227" s="20">
        <f t="shared" si="76"/>
        <v>0.1413884065477731</v>
      </c>
      <c r="AL227" s="17"/>
      <c r="AM227" s="17"/>
      <c r="AN227" s="17"/>
      <c r="AO227" s="17"/>
      <c r="AP227" s="28" t="str">
        <f t="shared" si="77"/>
        <v>20236</v>
      </c>
      <c r="AQ227" s="28" t="str">
        <f t="shared" si="78"/>
        <v>20236RMB</v>
      </c>
      <c r="AR227" s="206" t="str">
        <f t="shared" si="79"/>
        <v>YAMAHA_Mounter</v>
      </c>
      <c r="AS227" s="22">
        <f t="shared" si="80"/>
        <v>2</v>
      </c>
      <c r="AT227" s="24" t="str">
        <f t="shared" si="81"/>
        <v>0-3 months</v>
      </c>
      <c r="AU227" s="22" t="s">
        <v>3240</v>
      </c>
    </row>
    <row r="228" spans="1:47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41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2805</v>
      </c>
      <c r="K228" s="155" t="s">
        <v>2806</v>
      </c>
      <c r="L228" s="17" t="s">
        <v>2778</v>
      </c>
      <c r="M228" s="13" t="s">
        <v>2607</v>
      </c>
      <c r="N228" s="13">
        <v>1</v>
      </c>
      <c r="O228" s="13"/>
      <c r="P228" s="33" t="str">
        <f t="shared" si="71"/>
        <v>MAIN UNIT</v>
      </c>
      <c r="Q228" s="13" t="s">
        <v>61</v>
      </c>
      <c r="R228" s="13" t="s">
        <v>2055</v>
      </c>
      <c r="S228" s="13" t="s">
        <v>50</v>
      </c>
      <c r="T228" s="13" t="s">
        <v>101</v>
      </c>
      <c r="U228" s="13" t="s">
        <v>409</v>
      </c>
      <c r="V228" s="13" t="s">
        <v>102</v>
      </c>
      <c r="W228" s="13" t="s">
        <v>64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66"/>
        <v>26754147.763010349</v>
      </c>
      <c r="AJ228" s="19">
        <f t="shared" si="67"/>
        <v>3429137.9965357962</v>
      </c>
      <c r="AK228" s="20">
        <f t="shared" si="76"/>
        <v>0.12817220069617921</v>
      </c>
      <c r="AL228" s="17"/>
      <c r="AM228" s="17"/>
      <c r="AN228" s="17"/>
      <c r="AO228" s="17"/>
      <c r="AP228" s="28" t="str">
        <f t="shared" si="77"/>
        <v>20188</v>
      </c>
      <c r="AQ228" s="28" t="str">
        <f t="shared" si="78"/>
        <v>20188RMB</v>
      </c>
      <c r="AR228" s="206" t="str">
        <f t="shared" si="79"/>
        <v>HELLER</v>
      </c>
      <c r="AS228" s="22">
        <f t="shared" si="80"/>
        <v>2</v>
      </c>
      <c r="AT228" s="24" t="str">
        <f t="shared" si="81"/>
        <v>0-3 months</v>
      </c>
      <c r="AU228" s="22" t="s">
        <v>3240</v>
      </c>
    </row>
    <row r="229" spans="1:47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3070</v>
      </c>
      <c r="K229" s="155" t="s">
        <v>3071</v>
      </c>
      <c r="L229" s="17" t="s">
        <v>3072</v>
      </c>
      <c r="M229" s="13" t="s">
        <v>2054</v>
      </c>
      <c r="N229" s="13">
        <v>1</v>
      </c>
      <c r="O229" s="13"/>
      <c r="P229" s="33" t="str">
        <f t="shared" si="71"/>
        <v>MAIN UNIT</v>
      </c>
      <c r="Q229" s="13" t="s">
        <v>68</v>
      </c>
      <c r="R229" s="13" t="s">
        <v>2055</v>
      </c>
      <c r="S229" s="13" t="s">
        <v>50</v>
      </c>
      <c r="T229" s="13" t="s">
        <v>101</v>
      </c>
      <c r="U229" s="13" t="s">
        <v>70</v>
      </c>
      <c r="V229" s="13" t="s">
        <v>71</v>
      </c>
      <c r="W229" s="13" t="s">
        <v>64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66"/>
        <v>15951056.41591504</v>
      </c>
      <c r="AJ229" s="19">
        <f t="shared" si="67"/>
        <v>1966354.6022462982</v>
      </c>
      <c r="AK229" s="20">
        <f t="shared" si="76"/>
        <v>0.12327425538313459</v>
      </c>
      <c r="AL229" s="17"/>
      <c r="AM229" s="17"/>
      <c r="AN229" s="17"/>
      <c r="AO229" s="17"/>
      <c r="AP229" s="28" t="str">
        <f t="shared" si="77"/>
        <v>20237</v>
      </c>
      <c r="AQ229" s="28" t="str">
        <f t="shared" si="78"/>
        <v>20237RMB</v>
      </c>
      <c r="AR229" s="206" t="str">
        <f t="shared" si="79"/>
        <v>SOLDERSTAR</v>
      </c>
      <c r="AS229" s="22">
        <f t="shared" si="80"/>
        <v>2</v>
      </c>
      <c r="AT229" s="24" t="str">
        <f t="shared" si="81"/>
        <v>0-3 months</v>
      </c>
      <c r="AU229" s="22" t="s">
        <v>3240</v>
      </c>
    </row>
    <row r="230" spans="1:47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48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1645</v>
      </c>
      <c r="K230" s="155" t="s">
        <v>1646</v>
      </c>
      <c r="L230" s="17" t="s">
        <v>67</v>
      </c>
      <c r="M230" s="13" t="s">
        <v>60</v>
      </c>
      <c r="N230" s="13">
        <v>1</v>
      </c>
      <c r="O230" s="13"/>
      <c r="P230" s="33" t="str">
        <f t="shared" si="71"/>
        <v>MAIN UNIT</v>
      </c>
      <c r="Q230" s="13" t="s">
        <v>61</v>
      </c>
      <c r="R230" s="13" t="s">
        <v>62</v>
      </c>
      <c r="S230" s="13" t="s">
        <v>50</v>
      </c>
      <c r="T230" s="13" t="s">
        <v>101</v>
      </c>
      <c r="U230" s="13" t="s">
        <v>70</v>
      </c>
      <c r="V230" s="13" t="s">
        <v>702</v>
      </c>
      <c r="W230" s="13" t="s">
        <v>64</v>
      </c>
      <c r="X230" s="135">
        <v>657000</v>
      </c>
      <c r="Y230" s="157" t="str">
        <f t="shared" ref="Y230:Y237" si="84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66"/>
        <v>57778307.282035396</v>
      </c>
      <c r="AJ230" s="19">
        <f t="shared" si="67"/>
        <v>7259860.7225420559</v>
      </c>
      <c r="AK230" s="20">
        <f t="shared" si="76"/>
        <v>0.12565028406083667</v>
      </c>
      <c r="AL230" s="17"/>
      <c r="AM230" s="17"/>
      <c r="AN230" s="17"/>
      <c r="AO230" s="17"/>
      <c r="AP230" s="28" t="str">
        <f t="shared" si="77"/>
        <v>20213</v>
      </c>
      <c r="AQ230" s="28" t="str">
        <f t="shared" si="78"/>
        <v>20213RMB</v>
      </c>
      <c r="AR230" s="206" t="str">
        <f t="shared" si="79"/>
        <v>YAMAHA_Mounter</v>
      </c>
      <c r="AS230" s="22">
        <f t="shared" si="80"/>
        <v>2</v>
      </c>
      <c r="AT230" s="24" t="str">
        <f t="shared" si="81"/>
        <v>0-3 months</v>
      </c>
      <c r="AU230" s="22" t="s">
        <v>3240</v>
      </c>
    </row>
    <row r="231" spans="1:47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55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2494</v>
      </c>
      <c r="K231" s="155" t="s">
        <v>2495</v>
      </c>
      <c r="L231" s="17" t="s">
        <v>67</v>
      </c>
      <c r="M231" s="13" t="s">
        <v>60</v>
      </c>
      <c r="N231" s="13">
        <v>1</v>
      </c>
      <c r="O231" s="13"/>
      <c r="P231" s="33" t="str">
        <f t="shared" si="71"/>
        <v>MAIN UNIT</v>
      </c>
      <c r="Q231" s="13" t="s">
        <v>68</v>
      </c>
      <c r="R231" s="13" t="s">
        <v>62</v>
      </c>
      <c r="S231" s="13" t="s">
        <v>50</v>
      </c>
      <c r="T231" s="13" t="s">
        <v>101</v>
      </c>
      <c r="U231" s="13" t="s">
        <v>89</v>
      </c>
      <c r="V231" s="13" t="s">
        <v>84</v>
      </c>
      <c r="W231" s="13" t="s">
        <v>64</v>
      </c>
      <c r="X231" s="135">
        <v>560000</v>
      </c>
      <c r="Y231" s="157" t="str">
        <f t="shared" si="84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66"/>
        <v>28177779.013274338</v>
      </c>
      <c r="AJ231" s="19">
        <f t="shared" si="67"/>
        <v>4727216.6376190251</v>
      </c>
      <c r="AK231" s="20">
        <f t="shared" si="76"/>
        <v>0.1677639900359808</v>
      </c>
      <c r="AL231" s="17"/>
      <c r="AM231" s="17"/>
      <c r="AN231" s="17"/>
      <c r="AO231" s="17"/>
      <c r="AP231" s="28" t="str">
        <f t="shared" si="77"/>
        <v>20235</v>
      </c>
      <c r="AQ231" s="28" t="str">
        <f t="shared" si="78"/>
        <v>20235RMB</v>
      </c>
      <c r="AR231" s="206" t="str">
        <f t="shared" si="79"/>
        <v>YAMAHA_Mounter</v>
      </c>
      <c r="AS231" s="22">
        <f t="shared" si="80"/>
        <v>2</v>
      </c>
      <c r="AT231" s="24" t="str">
        <f t="shared" si="81"/>
        <v>0-3 months</v>
      </c>
      <c r="AU231" s="22" t="s">
        <v>3240</v>
      </c>
    </row>
    <row r="232" spans="1:47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55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2494</v>
      </c>
      <c r="K232" s="155" t="s">
        <v>2495</v>
      </c>
      <c r="L232" s="17" t="s">
        <v>67</v>
      </c>
      <c r="M232" s="13" t="s">
        <v>60</v>
      </c>
      <c r="N232" s="13">
        <v>1</v>
      </c>
      <c r="O232" s="13"/>
      <c r="P232" s="33" t="str">
        <f t="shared" si="71"/>
        <v>MAIN UNIT</v>
      </c>
      <c r="Q232" s="13" t="s">
        <v>68</v>
      </c>
      <c r="R232" s="13" t="s">
        <v>62</v>
      </c>
      <c r="S232" s="13" t="s">
        <v>50</v>
      </c>
      <c r="T232" s="13" t="s">
        <v>101</v>
      </c>
      <c r="U232" s="13" t="s">
        <v>89</v>
      </c>
      <c r="V232" s="13" t="s">
        <v>84</v>
      </c>
      <c r="W232" s="13" t="s">
        <v>64</v>
      </c>
      <c r="X232" s="135">
        <v>560000</v>
      </c>
      <c r="Y232" s="157" t="str">
        <f t="shared" si="84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66"/>
        <v>28177779.013274338</v>
      </c>
      <c r="AJ232" s="19">
        <f t="shared" si="67"/>
        <v>4727216.6376190251</v>
      </c>
      <c r="AK232" s="20">
        <f t="shared" si="76"/>
        <v>0.1677639900359808</v>
      </c>
      <c r="AL232" s="17"/>
      <c r="AM232" s="17"/>
      <c r="AN232" s="17"/>
      <c r="AO232" s="17"/>
      <c r="AP232" s="28" t="str">
        <f t="shared" si="77"/>
        <v>20235</v>
      </c>
      <c r="AQ232" s="28" t="str">
        <f t="shared" si="78"/>
        <v>20235RMB</v>
      </c>
      <c r="AR232" s="206" t="str">
        <f t="shared" si="79"/>
        <v>YAMAHA_Mounter</v>
      </c>
      <c r="AS232" s="22">
        <f t="shared" si="80"/>
        <v>2</v>
      </c>
      <c r="AT232" s="24" t="str">
        <f t="shared" si="81"/>
        <v>0-3 months</v>
      </c>
      <c r="AU232" s="22" t="s">
        <v>3240</v>
      </c>
    </row>
    <row r="233" spans="1:47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55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2494</v>
      </c>
      <c r="K233" s="155" t="s">
        <v>2495</v>
      </c>
      <c r="L233" s="17" t="s">
        <v>67</v>
      </c>
      <c r="M233" s="13" t="s">
        <v>60</v>
      </c>
      <c r="N233" s="13">
        <v>1</v>
      </c>
      <c r="O233" s="13"/>
      <c r="P233" s="33" t="str">
        <f t="shared" si="71"/>
        <v>MAIN UNIT</v>
      </c>
      <c r="Q233" s="13" t="s">
        <v>68</v>
      </c>
      <c r="R233" s="13" t="s">
        <v>62</v>
      </c>
      <c r="S233" s="13" t="s">
        <v>50</v>
      </c>
      <c r="T233" s="13" t="s">
        <v>101</v>
      </c>
      <c r="U233" s="13" t="s">
        <v>89</v>
      </c>
      <c r="V233" s="13" t="s">
        <v>84</v>
      </c>
      <c r="W233" s="13" t="s">
        <v>64</v>
      </c>
      <c r="X233" s="135">
        <v>560000</v>
      </c>
      <c r="Y233" s="157" t="str">
        <f t="shared" si="84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66"/>
        <v>28177779.013274338</v>
      </c>
      <c r="AJ233" s="19">
        <f t="shared" si="67"/>
        <v>4727216.6376190251</v>
      </c>
      <c r="AK233" s="20">
        <f t="shared" si="76"/>
        <v>0.1677639900359808</v>
      </c>
      <c r="AL233" s="17"/>
      <c r="AM233" s="17"/>
      <c r="AN233" s="17"/>
      <c r="AO233" s="17"/>
      <c r="AP233" s="28" t="str">
        <f t="shared" si="77"/>
        <v>20235</v>
      </c>
      <c r="AQ233" s="28" t="str">
        <f t="shared" si="78"/>
        <v>20235RMB</v>
      </c>
      <c r="AR233" s="206" t="str">
        <f t="shared" si="79"/>
        <v>YAMAHA_Mounter</v>
      </c>
      <c r="AS233" s="22">
        <f t="shared" si="80"/>
        <v>2</v>
      </c>
      <c r="AT233" s="24" t="str">
        <f t="shared" si="81"/>
        <v>0-3 months</v>
      </c>
      <c r="AU233" s="22" t="s">
        <v>3240</v>
      </c>
    </row>
    <row r="234" spans="1:47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55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2494</v>
      </c>
      <c r="K234" s="155" t="s">
        <v>2495</v>
      </c>
      <c r="L234" s="17" t="s">
        <v>92</v>
      </c>
      <c r="M234" s="13" t="s">
        <v>60</v>
      </c>
      <c r="N234" s="13">
        <v>1</v>
      </c>
      <c r="O234" s="13"/>
      <c r="P234" s="33" t="str">
        <f t="shared" si="71"/>
        <v>MAIN UNIT</v>
      </c>
      <c r="Q234" s="13" t="s">
        <v>68</v>
      </c>
      <c r="R234" s="13" t="s">
        <v>62</v>
      </c>
      <c r="S234" s="13" t="s">
        <v>50</v>
      </c>
      <c r="T234" s="13" t="s">
        <v>101</v>
      </c>
      <c r="U234" s="13" t="s">
        <v>89</v>
      </c>
      <c r="V234" s="13" t="s">
        <v>84</v>
      </c>
      <c r="W234" s="13" t="s">
        <v>64</v>
      </c>
      <c r="X234" s="135">
        <v>800000</v>
      </c>
      <c r="Y234" s="157" t="str">
        <f t="shared" si="84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66"/>
        <v>28177779.013274338</v>
      </c>
      <c r="AJ234" s="19">
        <f t="shared" si="67"/>
        <v>4727216.6376190251</v>
      </c>
      <c r="AK234" s="20">
        <f t="shared" si="76"/>
        <v>0.1677639900359808</v>
      </c>
      <c r="AL234" s="17"/>
      <c r="AM234" s="17"/>
      <c r="AN234" s="17"/>
      <c r="AO234" s="17"/>
      <c r="AP234" s="28" t="str">
        <f t="shared" si="77"/>
        <v>20235</v>
      </c>
      <c r="AQ234" s="28" t="str">
        <f t="shared" si="78"/>
        <v>20235RMB</v>
      </c>
      <c r="AR234" s="206" t="str">
        <f t="shared" si="79"/>
        <v>YAMAHA_Mounter</v>
      </c>
      <c r="AS234" s="22">
        <f t="shared" si="80"/>
        <v>2</v>
      </c>
      <c r="AT234" s="24" t="str">
        <f t="shared" si="81"/>
        <v>0-3 months</v>
      </c>
      <c r="AU234" s="22" t="s">
        <v>3240</v>
      </c>
    </row>
    <row r="235" spans="1:47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54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2142</v>
      </c>
      <c r="K235" s="155" t="s">
        <v>2143</v>
      </c>
      <c r="L235" s="17" t="s">
        <v>67</v>
      </c>
      <c r="M235" s="13" t="s">
        <v>60</v>
      </c>
      <c r="N235" s="13">
        <v>1</v>
      </c>
      <c r="O235" s="13"/>
      <c r="P235" s="33" t="str">
        <f t="shared" si="71"/>
        <v>MAIN UNIT</v>
      </c>
      <c r="Q235" s="13" t="s">
        <v>68</v>
      </c>
      <c r="R235" s="13" t="s">
        <v>62</v>
      </c>
      <c r="S235" s="13" t="s">
        <v>50</v>
      </c>
      <c r="T235" s="13" t="s">
        <v>101</v>
      </c>
      <c r="U235" s="13" t="s">
        <v>70</v>
      </c>
      <c r="V235" s="13" t="s">
        <v>71</v>
      </c>
      <c r="W235" s="13" t="s">
        <v>64</v>
      </c>
      <c r="X235" s="135">
        <v>515000</v>
      </c>
      <c r="Y235" s="157" t="str">
        <f t="shared" si="84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66"/>
        <v>33543315.897345133</v>
      </c>
      <c r="AJ235" s="19">
        <f t="shared" si="67"/>
        <v>4706169.3252984071</v>
      </c>
      <c r="AK235" s="20">
        <f t="shared" si="76"/>
        <v>0.14030125523967318</v>
      </c>
      <c r="AL235" s="17"/>
      <c r="AM235" s="17"/>
      <c r="AN235" s="17"/>
      <c r="AO235" s="17"/>
      <c r="AP235" s="28" t="str">
        <f t="shared" si="77"/>
        <v>20233</v>
      </c>
      <c r="AQ235" s="28" t="str">
        <f t="shared" si="78"/>
        <v>20233RMB</v>
      </c>
      <c r="AR235" s="206" t="str">
        <f t="shared" si="79"/>
        <v>YAMAHA_Mounter</v>
      </c>
      <c r="AS235" s="22">
        <f t="shared" si="80"/>
        <v>3</v>
      </c>
      <c r="AT235" s="24" t="str">
        <f t="shared" si="81"/>
        <v>0-3 months</v>
      </c>
      <c r="AU235" s="22" t="s">
        <v>3240</v>
      </c>
    </row>
    <row r="236" spans="1:47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54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2142</v>
      </c>
      <c r="K236" s="155" t="s">
        <v>2143</v>
      </c>
      <c r="L236" s="17" t="s">
        <v>67</v>
      </c>
      <c r="M236" s="13" t="s">
        <v>60</v>
      </c>
      <c r="N236" s="13">
        <v>1</v>
      </c>
      <c r="O236" s="13"/>
      <c r="P236" s="33" t="str">
        <f t="shared" si="71"/>
        <v>MAIN UNIT</v>
      </c>
      <c r="Q236" s="13" t="s">
        <v>68</v>
      </c>
      <c r="R236" s="13" t="s">
        <v>62</v>
      </c>
      <c r="S236" s="13" t="s">
        <v>50</v>
      </c>
      <c r="T236" s="13" t="s">
        <v>101</v>
      </c>
      <c r="U236" s="13" t="s">
        <v>70</v>
      </c>
      <c r="V236" s="13" t="s">
        <v>71</v>
      </c>
      <c r="W236" s="13" t="s">
        <v>64</v>
      </c>
      <c r="X236" s="135">
        <v>515000</v>
      </c>
      <c r="Y236" s="157" t="str">
        <f t="shared" si="84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66"/>
        <v>33543315.897345133</v>
      </c>
      <c r="AJ236" s="19">
        <f t="shared" si="67"/>
        <v>4706169.3252984071</v>
      </c>
      <c r="AK236" s="20">
        <f t="shared" si="76"/>
        <v>0.14030125523967318</v>
      </c>
      <c r="AL236" s="17"/>
      <c r="AM236" s="17"/>
      <c r="AN236" s="17"/>
      <c r="AO236" s="17"/>
      <c r="AP236" s="28" t="str">
        <f t="shared" si="77"/>
        <v>20233</v>
      </c>
      <c r="AQ236" s="28" t="str">
        <f t="shared" si="78"/>
        <v>20233RMB</v>
      </c>
      <c r="AR236" s="206" t="str">
        <f t="shared" si="79"/>
        <v>YAMAHA_Mounter</v>
      </c>
      <c r="AS236" s="22">
        <f t="shared" si="80"/>
        <v>3</v>
      </c>
      <c r="AT236" s="24" t="str">
        <f t="shared" si="81"/>
        <v>0-3 months</v>
      </c>
      <c r="AU236" s="22" t="s">
        <v>3240</v>
      </c>
    </row>
    <row r="237" spans="1:47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53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2977</v>
      </c>
      <c r="K237" s="155" t="s">
        <v>2978</v>
      </c>
      <c r="L237" s="17" t="s">
        <v>2979</v>
      </c>
      <c r="M237" s="13" t="s">
        <v>2607</v>
      </c>
      <c r="N237" s="13">
        <v>1</v>
      </c>
      <c r="O237" s="13"/>
      <c r="P237" s="33" t="str">
        <f t="shared" si="71"/>
        <v>MAIN UNIT</v>
      </c>
      <c r="Q237" s="13" t="s">
        <v>68</v>
      </c>
      <c r="R237" s="13" t="s">
        <v>2055</v>
      </c>
      <c r="S237" s="13" t="s">
        <v>50</v>
      </c>
      <c r="T237" s="13" t="s">
        <v>101</v>
      </c>
      <c r="U237" s="13" t="s">
        <v>70</v>
      </c>
      <c r="V237" s="13" t="s">
        <v>102</v>
      </c>
      <c r="W237" s="13" t="s">
        <v>64</v>
      </c>
      <c r="X237" s="135">
        <v>325000</v>
      </c>
      <c r="Y237" s="157" t="str">
        <f t="shared" si="84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66"/>
        <v>26407088.359292038</v>
      </c>
      <c r="AJ237" s="19">
        <f t="shared" si="67"/>
        <v>3424510.6998470789</v>
      </c>
      <c r="AK237" s="20">
        <f t="shared" si="76"/>
        <v>0.12968149510667554</v>
      </c>
      <c r="AL237" s="17"/>
      <c r="AM237" s="17"/>
      <c r="AN237" s="17"/>
      <c r="AO237" s="17"/>
      <c r="AP237" s="28" t="str">
        <f t="shared" si="77"/>
        <v>20221</v>
      </c>
      <c r="AQ237" s="28" t="str">
        <f t="shared" si="78"/>
        <v>20221RMB</v>
      </c>
      <c r="AR237" s="206" t="str">
        <f t="shared" si="79"/>
        <v>HELLER</v>
      </c>
      <c r="AS237" s="22">
        <f t="shared" si="80"/>
        <v>2</v>
      </c>
      <c r="AT237" s="24" t="str">
        <f t="shared" si="81"/>
        <v>0-3 months</v>
      </c>
      <c r="AU237" s="22" t="s">
        <v>3240</v>
      </c>
    </row>
    <row r="238" spans="1:47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41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253</v>
      </c>
      <c r="K238" s="155" t="s">
        <v>254</v>
      </c>
      <c r="L238" s="17" t="s">
        <v>67</v>
      </c>
      <c r="M238" s="13" t="s">
        <v>60</v>
      </c>
      <c r="N238" s="13">
        <v>1</v>
      </c>
      <c r="O238" s="13"/>
      <c r="P238" s="33" t="str">
        <f t="shared" si="71"/>
        <v>MAIN UNIT</v>
      </c>
      <c r="Q238" s="13" t="s">
        <v>68</v>
      </c>
      <c r="R238" s="13" t="s">
        <v>62</v>
      </c>
      <c r="S238" s="13" t="s">
        <v>49</v>
      </c>
      <c r="T238" s="13" t="s">
        <v>78</v>
      </c>
      <c r="U238" s="13" t="s">
        <v>79</v>
      </c>
      <c r="V238" s="13" t="s">
        <v>134</v>
      </c>
      <c r="W238" s="13" t="s">
        <v>109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66"/>
        <v>26492741.106427077</v>
      </c>
      <c r="AJ238" s="19">
        <f t="shared" si="67"/>
        <v>3348032.1325698122</v>
      </c>
      <c r="AK238" s="20">
        <f t="shared" si="76"/>
        <v>0.12637545201985867</v>
      </c>
      <c r="AL238" s="17"/>
      <c r="AM238" s="17"/>
      <c r="AN238" s="17"/>
      <c r="AO238" s="17"/>
      <c r="AP238" s="28" t="str">
        <f t="shared" si="77"/>
        <v>20189</v>
      </c>
      <c r="AQ238" s="28" t="str">
        <f t="shared" si="78"/>
        <v>20189JPY</v>
      </c>
      <c r="AR238" s="206" t="str">
        <f t="shared" si="79"/>
        <v>YAMAHA_Mounter</v>
      </c>
      <c r="AS238" s="22">
        <f t="shared" si="80"/>
        <v>5</v>
      </c>
      <c r="AT238" s="24" t="str">
        <f t="shared" si="81"/>
        <v>4-6 months</v>
      </c>
      <c r="AU238" s="22" t="s">
        <v>3745</v>
      </c>
    </row>
    <row r="239" spans="1:47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41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253</v>
      </c>
      <c r="K239" s="155" t="s">
        <v>254</v>
      </c>
      <c r="L239" s="17" t="s">
        <v>92</v>
      </c>
      <c r="M239" s="13" t="s">
        <v>60</v>
      </c>
      <c r="N239" s="13">
        <v>2</v>
      </c>
      <c r="O239" s="13"/>
      <c r="P239" s="33" t="str">
        <f t="shared" si="71"/>
        <v>MAIN UNIT</v>
      </c>
      <c r="Q239" s="13" t="s">
        <v>68</v>
      </c>
      <c r="R239" s="13" t="s">
        <v>62</v>
      </c>
      <c r="S239" s="13" t="s">
        <v>49</v>
      </c>
      <c r="T239" s="13" t="s">
        <v>78</v>
      </c>
      <c r="U239" s="13" t="s">
        <v>79</v>
      </c>
      <c r="V239" s="13" t="s">
        <v>134</v>
      </c>
      <c r="W239" s="13" t="s">
        <v>109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66"/>
        <v>26492741.106427077</v>
      </c>
      <c r="AJ239" s="19">
        <f t="shared" si="67"/>
        <v>3348032.1325698122</v>
      </c>
      <c r="AK239" s="20">
        <f t="shared" si="76"/>
        <v>0.12637545201985867</v>
      </c>
      <c r="AL239" s="17"/>
      <c r="AM239" s="17"/>
      <c r="AN239" s="17"/>
      <c r="AO239" s="17"/>
      <c r="AP239" s="28" t="str">
        <f t="shared" si="77"/>
        <v>20189</v>
      </c>
      <c r="AQ239" s="28" t="str">
        <f t="shared" si="78"/>
        <v>20189JPY</v>
      </c>
      <c r="AR239" s="206" t="str">
        <f t="shared" si="79"/>
        <v>YAMAHA_Mounter</v>
      </c>
      <c r="AS239" s="22">
        <f t="shared" si="80"/>
        <v>5</v>
      </c>
      <c r="AT239" s="24" t="str">
        <f t="shared" si="81"/>
        <v>4-6 months</v>
      </c>
      <c r="AU239" s="22" t="s">
        <v>3745</v>
      </c>
    </row>
    <row r="240" spans="1:47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185</v>
      </c>
      <c r="F240" s="13" t="s">
        <v>185</v>
      </c>
      <c r="G240" s="152" t="s">
        <v>185</v>
      </c>
      <c r="H240" s="155"/>
      <c r="I240" s="33" t="str">
        <f t="shared" si="70"/>
        <v>Cancel</v>
      </c>
      <c r="J240" s="186" t="s">
        <v>588</v>
      </c>
      <c r="K240" s="155" t="s">
        <v>254</v>
      </c>
      <c r="L240" s="17" t="s">
        <v>67</v>
      </c>
      <c r="M240" s="13" t="s">
        <v>60</v>
      </c>
      <c r="N240" s="13">
        <v>2</v>
      </c>
      <c r="O240" s="13"/>
      <c r="P240" s="33" t="str">
        <f t="shared" si="71"/>
        <v>MAIN UNIT</v>
      </c>
      <c r="Q240" s="13" t="s">
        <v>61</v>
      </c>
      <c r="R240" s="13" t="s">
        <v>62</v>
      </c>
      <c r="S240" s="13" t="s">
        <v>49</v>
      </c>
      <c r="T240" s="13" t="s">
        <v>78</v>
      </c>
      <c r="U240" s="13" t="s">
        <v>79</v>
      </c>
      <c r="V240" s="13" t="s">
        <v>134</v>
      </c>
      <c r="W240" s="13" t="s">
        <v>109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66"/>
        <v>499582152.5142017</v>
      </c>
      <c r="AJ240" s="19">
        <f t="shared" si="67"/>
        <v>59520528.679470733</v>
      </c>
      <c r="AK240" s="20">
        <f t="shared" si="76"/>
        <v>0.11914062257814291</v>
      </c>
      <c r="AL240" s="17"/>
      <c r="AM240" s="17"/>
      <c r="AN240" s="17"/>
      <c r="AO240" s="17"/>
      <c r="AP240" s="28" t="str">
        <f t="shared" si="77"/>
        <v>CancelCancel</v>
      </c>
      <c r="AQ240" s="28" t="str">
        <f t="shared" si="78"/>
        <v>CancelCancelJPY</v>
      </c>
      <c r="AR240" s="206" t="str">
        <f t="shared" si="79"/>
        <v>YAMAHA_Mounter</v>
      </c>
      <c r="AS240" s="22" t="str">
        <f t="shared" si="80"/>
        <v/>
      </c>
      <c r="AT240" s="24" t="str">
        <f t="shared" si="81"/>
        <v/>
      </c>
      <c r="AU240" s="22" t="s">
        <v>3745</v>
      </c>
    </row>
    <row r="241" spans="1:47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185</v>
      </c>
      <c r="F241" s="13" t="s">
        <v>185</v>
      </c>
      <c r="G241" s="152" t="s">
        <v>185</v>
      </c>
      <c r="H241" s="155"/>
      <c r="I241" s="33" t="str">
        <f t="shared" si="70"/>
        <v>Cancel</v>
      </c>
      <c r="J241" s="186" t="s">
        <v>588</v>
      </c>
      <c r="K241" s="155" t="s">
        <v>254</v>
      </c>
      <c r="L241" s="17" t="s">
        <v>92</v>
      </c>
      <c r="M241" s="13" t="s">
        <v>60</v>
      </c>
      <c r="N241" s="13">
        <v>4</v>
      </c>
      <c r="O241" s="13"/>
      <c r="P241" s="33" t="str">
        <f t="shared" si="71"/>
        <v>MAIN UNIT</v>
      </c>
      <c r="Q241" s="13" t="s">
        <v>61</v>
      </c>
      <c r="R241" s="13" t="s">
        <v>62</v>
      </c>
      <c r="S241" s="13" t="s">
        <v>49</v>
      </c>
      <c r="T241" s="13" t="s">
        <v>78</v>
      </c>
      <c r="U241" s="13" t="s">
        <v>79</v>
      </c>
      <c r="V241" s="13" t="s">
        <v>134</v>
      </c>
      <c r="W241" s="13" t="s">
        <v>109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66"/>
        <v>499582152.5142017</v>
      </c>
      <c r="AJ241" s="19">
        <f t="shared" si="67"/>
        <v>59520528.679470733</v>
      </c>
      <c r="AK241" s="20">
        <f t="shared" si="76"/>
        <v>0.11914062257814291</v>
      </c>
      <c r="AL241" s="17"/>
      <c r="AM241" s="17"/>
      <c r="AN241" s="17"/>
      <c r="AO241" s="17"/>
      <c r="AP241" s="28" t="str">
        <f t="shared" si="77"/>
        <v>CancelCancel</v>
      </c>
      <c r="AQ241" s="28" t="str">
        <f t="shared" si="78"/>
        <v>CancelCancelJPY</v>
      </c>
      <c r="AR241" s="206" t="str">
        <f t="shared" si="79"/>
        <v>YAMAHA_Mounter</v>
      </c>
      <c r="AS241" s="22" t="str">
        <f t="shared" si="80"/>
        <v/>
      </c>
      <c r="AT241" s="24" t="str">
        <f t="shared" si="81"/>
        <v/>
      </c>
      <c r="AU241" s="22" t="s">
        <v>3745</v>
      </c>
    </row>
    <row r="242" spans="1:47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48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1458</v>
      </c>
      <c r="K242" s="155" t="s">
        <v>1459</v>
      </c>
      <c r="L242" s="17" t="s">
        <v>67</v>
      </c>
      <c r="M242" s="13" t="s">
        <v>60</v>
      </c>
      <c r="N242" s="13">
        <v>1</v>
      </c>
      <c r="O242" s="13"/>
      <c r="P242" s="33" t="str">
        <f t="shared" si="71"/>
        <v>MAIN UNIT</v>
      </c>
      <c r="Q242" s="13" t="s">
        <v>68</v>
      </c>
      <c r="R242" s="13" t="s">
        <v>62</v>
      </c>
      <c r="S242" s="13" t="s">
        <v>49</v>
      </c>
      <c r="T242" s="13" t="s">
        <v>78</v>
      </c>
      <c r="U242" s="13" t="s">
        <v>79</v>
      </c>
      <c r="V242" s="13" t="s">
        <v>112</v>
      </c>
      <c r="W242" s="13" t="s">
        <v>64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66"/>
        <v>48763143.537654862</v>
      </c>
      <c r="AJ242" s="19">
        <f t="shared" si="67"/>
        <v>5924029.9702154724</v>
      </c>
      <c r="AK242" s="20">
        <f t="shared" si="76"/>
        <v>0.1214858095774925</v>
      </c>
      <c r="AL242" s="17"/>
      <c r="AM242" s="17"/>
      <c r="AN242" s="17"/>
      <c r="AO242" s="17"/>
      <c r="AP242" s="28" t="str">
        <f t="shared" si="77"/>
        <v>202012</v>
      </c>
      <c r="AQ242" s="28" t="str">
        <f t="shared" si="78"/>
        <v>202012RMB</v>
      </c>
      <c r="AR242" s="206" t="str">
        <f t="shared" si="79"/>
        <v>YAMAHA_Mounter</v>
      </c>
      <c r="AS242" s="22">
        <f t="shared" si="80"/>
        <v>2</v>
      </c>
      <c r="AT242" s="24" t="str">
        <f t="shared" si="81"/>
        <v>0-3 months</v>
      </c>
      <c r="AU242" s="22" t="s">
        <v>3744</v>
      </c>
    </row>
    <row r="243" spans="1:47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48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1458</v>
      </c>
      <c r="K243" s="155" t="s">
        <v>1459</v>
      </c>
      <c r="L243" s="17" t="s">
        <v>67</v>
      </c>
      <c r="M243" s="13" t="s">
        <v>60</v>
      </c>
      <c r="N243" s="13">
        <v>1</v>
      </c>
      <c r="O243" s="13"/>
      <c r="P243" s="33" t="str">
        <f t="shared" si="71"/>
        <v>MAIN UNIT</v>
      </c>
      <c r="Q243" s="13" t="s">
        <v>68</v>
      </c>
      <c r="R243" s="13" t="s">
        <v>62</v>
      </c>
      <c r="S243" s="13" t="s">
        <v>49</v>
      </c>
      <c r="T243" s="13" t="s">
        <v>78</v>
      </c>
      <c r="U243" s="13" t="s">
        <v>79</v>
      </c>
      <c r="V243" s="13" t="s">
        <v>112</v>
      </c>
      <c r="W243" s="13" t="s">
        <v>64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66"/>
        <v>48763143.537654862</v>
      </c>
      <c r="AJ243" s="19">
        <f t="shared" si="67"/>
        <v>5924029.9702154724</v>
      </c>
      <c r="AK243" s="20">
        <f t="shared" si="76"/>
        <v>0.1214858095774925</v>
      </c>
      <c r="AL243" s="17"/>
      <c r="AM243" s="17"/>
      <c r="AN243" s="17"/>
      <c r="AO243" s="17"/>
      <c r="AP243" s="28" t="str">
        <f t="shared" si="77"/>
        <v>202012</v>
      </c>
      <c r="AQ243" s="28" t="str">
        <f t="shared" si="78"/>
        <v>202012RMB</v>
      </c>
      <c r="AR243" s="206" t="str">
        <f t="shared" si="79"/>
        <v>YAMAHA_Mounter</v>
      </c>
      <c r="AS243" s="22">
        <f t="shared" si="80"/>
        <v>2</v>
      </c>
      <c r="AT243" s="24" t="str">
        <f t="shared" si="81"/>
        <v>0-3 months</v>
      </c>
      <c r="AU243" s="22" t="s">
        <v>3744</v>
      </c>
    </row>
    <row r="244" spans="1:47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48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1458</v>
      </c>
      <c r="K244" s="155" t="s">
        <v>1459</v>
      </c>
      <c r="L244" s="17" t="s">
        <v>92</v>
      </c>
      <c r="M244" s="13" t="s">
        <v>60</v>
      </c>
      <c r="N244" s="13">
        <v>1</v>
      </c>
      <c r="O244" s="13"/>
      <c r="P244" s="33" t="str">
        <f t="shared" si="71"/>
        <v>MAIN UNIT</v>
      </c>
      <c r="Q244" s="13" t="s">
        <v>68</v>
      </c>
      <c r="R244" s="13" t="s">
        <v>62</v>
      </c>
      <c r="S244" s="13" t="s">
        <v>49</v>
      </c>
      <c r="T244" s="13" t="s">
        <v>78</v>
      </c>
      <c r="U244" s="13" t="s">
        <v>79</v>
      </c>
      <c r="V244" s="13" t="s">
        <v>112</v>
      </c>
      <c r="W244" s="13" t="s">
        <v>64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66"/>
        <v>48763143.537654862</v>
      </c>
      <c r="AJ244" s="19">
        <f t="shared" si="67"/>
        <v>5924029.9702154724</v>
      </c>
      <c r="AK244" s="20">
        <f t="shared" si="76"/>
        <v>0.1214858095774925</v>
      </c>
      <c r="AL244" s="17"/>
      <c r="AM244" s="17"/>
      <c r="AN244" s="17"/>
      <c r="AO244" s="17"/>
      <c r="AP244" s="28" t="str">
        <f t="shared" si="77"/>
        <v>202012</v>
      </c>
      <c r="AQ244" s="28" t="str">
        <f t="shared" si="78"/>
        <v>202012RMB</v>
      </c>
      <c r="AR244" s="206" t="str">
        <f t="shared" si="79"/>
        <v>YAMAHA_Mounter</v>
      </c>
      <c r="AS244" s="22">
        <f t="shared" si="80"/>
        <v>2</v>
      </c>
      <c r="AT244" s="24" t="str">
        <f t="shared" si="81"/>
        <v>0-3 months</v>
      </c>
      <c r="AU244" s="22" t="s">
        <v>3744</v>
      </c>
    </row>
    <row r="245" spans="1:47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185</v>
      </c>
      <c r="F245" s="13" t="s">
        <v>185</v>
      </c>
      <c r="G245" s="152" t="s">
        <v>185</v>
      </c>
      <c r="H245" s="155" t="s">
        <v>1617</v>
      </c>
      <c r="I245" s="33" t="str">
        <f t="shared" si="70"/>
        <v>Cancel</v>
      </c>
      <c r="J245" s="186" t="s">
        <v>1618</v>
      </c>
      <c r="K245" s="155" t="s">
        <v>1619</v>
      </c>
      <c r="L245" s="17" t="s">
        <v>92</v>
      </c>
      <c r="M245" s="13" t="s">
        <v>60</v>
      </c>
      <c r="N245" s="13">
        <v>1</v>
      </c>
      <c r="O245" s="13"/>
      <c r="P245" s="33" t="str">
        <f t="shared" si="71"/>
        <v>MAIN UNIT</v>
      </c>
      <c r="Q245" s="13" t="s">
        <v>68</v>
      </c>
      <c r="R245" s="13" t="s">
        <v>62</v>
      </c>
      <c r="S245" s="13" t="s">
        <v>49</v>
      </c>
      <c r="T245" s="13" t="s">
        <v>78</v>
      </c>
      <c r="U245" s="13" t="s">
        <v>79</v>
      </c>
      <c r="V245" s="13" t="s">
        <v>1140</v>
      </c>
      <c r="W245" s="13" t="s">
        <v>1101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66"/>
        <v>499582152.5142017</v>
      </c>
      <c r="AJ245" s="19">
        <f t="shared" si="67"/>
        <v>59520528.679470733</v>
      </c>
      <c r="AK245" s="20">
        <f t="shared" si="76"/>
        <v>0.11914062257814291</v>
      </c>
      <c r="AL245" s="17"/>
      <c r="AM245" s="17"/>
      <c r="AN245" s="17"/>
      <c r="AO245" s="17"/>
      <c r="AP245" s="28" t="str">
        <f t="shared" si="77"/>
        <v>CancelCancel</v>
      </c>
      <c r="AQ245" s="28" t="str">
        <f t="shared" si="78"/>
        <v>CancelCancelRMB</v>
      </c>
      <c r="AR245" s="206" t="str">
        <f t="shared" si="79"/>
        <v>YAMAHA_Mounter</v>
      </c>
      <c r="AS245" s="22" t="str">
        <f t="shared" si="80"/>
        <v/>
      </c>
      <c r="AT245" s="24" t="str">
        <f t="shared" si="81"/>
        <v/>
      </c>
      <c r="AU245" s="22" t="s">
        <v>3744</v>
      </c>
    </row>
    <row r="246" spans="1:47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185</v>
      </c>
      <c r="F246" s="13" t="s">
        <v>185</v>
      </c>
      <c r="G246" s="152" t="s">
        <v>185</v>
      </c>
      <c r="H246" s="155" t="s">
        <v>1617</v>
      </c>
      <c r="I246" s="33" t="str">
        <f t="shared" si="70"/>
        <v>Cancel</v>
      </c>
      <c r="J246" s="186" t="s">
        <v>1618</v>
      </c>
      <c r="K246" s="155" t="s">
        <v>1619</v>
      </c>
      <c r="L246" s="17" t="s">
        <v>67</v>
      </c>
      <c r="M246" s="13" t="s">
        <v>60</v>
      </c>
      <c r="N246" s="13">
        <v>1</v>
      </c>
      <c r="O246" s="13"/>
      <c r="P246" s="33" t="str">
        <f t="shared" si="71"/>
        <v>MAIN UNIT</v>
      </c>
      <c r="Q246" s="13" t="s">
        <v>68</v>
      </c>
      <c r="R246" s="13" t="s">
        <v>62</v>
      </c>
      <c r="S246" s="13" t="s">
        <v>49</v>
      </c>
      <c r="T246" s="13" t="s">
        <v>78</v>
      </c>
      <c r="U246" s="13" t="s">
        <v>79</v>
      </c>
      <c r="V246" s="13" t="s">
        <v>1140</v>
      </c>
      <c r="W246" s="13" t="s">
        <v>1101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66"/>
        <v>499582152.5142017</v>
      </c>
      <c r="AJ246" s="19">
        <f t="shared" si="67"/>
        <v>59520528.679470733</v>
      </c>
      <c r="AK246" s="20">
        <f t="shared" si="76"/>
        <v>0.11914062257814291</v>
      </c>
      <c r="AL246" s="17"/>
      <c r="AM246" s="17"/>
      <c r="AN246" s="17"/>
      <c r="AO246" s="17"/>
      <c r="AP246" s="28" t="str">
        <f t="shared" si="77"/>
        <v>CancelCancel</v>
      </c>
      <c r="AQ246" s="28" t="str">
        <f t="shared" si="78"/>
        <v>CancelCancelRMB</v>
      </c>
      <c r="AR246" s="206" t="str">
        <f t="shared" si="79"/>
        <v>YAMAHA_Mounter</v>
      </c>
      <c r="AS246" s="22" t="str">
        <f t="shared" si="80"/>
        <v/>
      </c>
      <c r="AT246" s="24" t="str">
        <f t="shared" si="81"/>
        <v/>
      </c>
      <c r="AU246" s="22" t="s">
        <v>3744</v>
      </c>
    </row>
    <row r="247" spans="1:47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41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552</v>
      </c>
      <c r="K247" s="155" t="s">
        <v>553</v>
      </c>
      <c r="L247" s="17" t="s">
        <v>92</v>
      </c>
      <c r="M247" s="13" t="s">
        <v>60</v>
      </c>
      <c r="N247" s="13">
        <v>1</v>
      </c>
      <c r="O247" s="13"/>
      <c r="P247" s="33" t="str">
        <f t="shared" si="71"/>
        <v>MAIN UNIT</v>
      </c>
      <c r="Q247" s="13" t="s">
        <v>61</v>
      </c>
      <c r="R247" s="13" t="s">
        <v>62</v>
      </c>
      <c r="S247" s="13" t="s">
        <v>49</v>
      </c>
      <c r="T247" s="13" t="s">
        <v>120</v>
      </c>
      <c r="U247" s="13" t="s">
        <v>79</v>
      </c>
      <c r="V247" s="13" t="s">
        <v>121</v>
      </c>
      <c r="W247" s="13" t="s">
        <v>109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66"/>
        <v>16455710.386637932</v>
      </c>
      <c r="AJ247" s="19">
        <f t="shared" si="67"/>
        <v>2150644.6466930606</v>
      </c>
      <c r="AK247" s="20">
        <f t="shared" si="76"/>
        <v>0.13069290818580451</v>
      </c>
      <c r="AL247" s="17"/>
      <c r="AM247" s="17"/>
      <c r="AN247" s="17"/>
      <c r="AO247" s="17"/>
      <c r="AP247" s="28" t="str">
        <f t="shared" si="77"/>
        <v>20192</v>
      </c>
      <c r="AQ247" s="28" t="str">
        <f t="shared" si="78"/>
        <v>20192JPY</v>
      </c>
      <c r="AR247" s="206" t="str">
        <f t="shared" si="79"/>
        <v>YAMAHA_Mounter</v>
      </c>
      <c r="AS247" s="22">
        <f t="shared" si="80"/>
        <v>8</v>
      </c>
      <c r="AT247" s="24" t="str">
        <f t="shared" si="81"/>
        <v>&gt; 6 months</v>
      </c>
      <c r="AU247" s="22" t="s">
        <v>3745</v>
      </c>
    </row>
    <row r="248" spans="1:47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53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1797</v>
      </c>
      <c r="K248" s="155" t="s">
        <v>1798</v>
      </c>
      <c r="L248" s="17" t="s">
        <v>67</v>
      </c>
      <c r="M248" s="13" t="s">
        <v>60</v>
      </c>
      <c r="N248" s="13">
        <v>1</v>
      </c>
      <c r="O248" s="13"/>
      <c r="P248" s="33" t="str">
        <f t="shared" si="71"/>
        <v>MAIN UNIT</v>
      </c>
      <c r="Q248" s="13" t="s">
        <v>68</v>
      </c>
      <c r="R248" s="13" t="s">
        <v>62</v>
      </c>
      <c r="S248" s="13" t="s">
        <v>49</v>
      </c>
      <c r="T248" s="13" t="s">
        <v>78</v>
      </c>
      <c r="U248" s="13" t="s">
        <v>79</v>
      </c>
      <c r="V248" s="13" t="s">
        <v>80</v>
      </c>
      <c r="W248" s="13" t="s">
        <v>109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66"/>
        <v>54700260.692079648</v>
      </c>
      <c r="AJ248" s="19">
        <f t="shared" si="67"/>
        <v>7482899.5749188727</v>
      </c>
      <c r="AK248" s="20">
        <f t="shared" si="76"/>
        <v>0.13679824337660537</v>
      </c>
      <c r="AL248" s="17"/>
      <c r="AM248" s="17"/>
      <c r="AN248" s="17"/>
      <c r="AO248" s="17"/>
      <c r="AP248" s="28" t="str">
        <f t="shared" si="77"/>
        <v>20216</v>
      </c>
      <c r="AQ248" s="28" t="str">
        <f t="shared" si="78"/>
        <v>20216JPY</v>
      </c>
      <c r="AR248" s="206" t="str">
        <f t="shared" si="79"/>
        <v>YAMAHA_Mounter</v>
      </c>
      <c r="AS248" s="22">
        <f t="shared" si="80"/>
        <v>2</v>
      </c>
      <c r="AT248" s="24" t="str">
        <f t="shared" si="81"/>
        <v>0-3 months</v>
      </c>
      <c r="AU248" s="22" t="s">
        <v>3745</v>
      </c>
    </row>
    <row r="249" spans="1:47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53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2963</v>
      </c>
      <c r="K249" s="155" t="s">
        <v>1798</v>
      </c>
      <c r="L249" s="17" t="s">
        <v>2060</v>
      </c>
      <c r="M249" s="13" t="s">
        <v>2054</v>
      </c>
      <c r="N249" s="13">
        <v>1</v>
      </c>
      <c r="O249" s="13"/>
      <c r="P249" s="33" t="str">
        <f t="shared" si="71"/>
        <v>MAIN UNIT</v>
      </c>
      <c r="Q249" s="13" t="s">
        <v>61</v>
      </c>
      <c r="R249" s="13" t="s">
        <v>2055</v>
      </c>
      <c r="S249" s="13" t="s">
        <v>49</v>
      </c>
      <c r="T249" s="13" t="s">
        <v>78</v>
      </c>
      <c r="U249" s="13" t="s">
        <v>79</v>
      </c>
      <c r="V249" s="13" t="s">
        <v>2856</v>
      </c>
      <c r="W249" s="13" t="s">
        <v>64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66"/>
        <v>10844605.840707963</v>
      </c>
      <c r="AJ249" s="19">
        <f t="shared" si="67"/>
        <v>1523130.9860707966</v>
      </c>
      <c r="AK249" s="20">
        <f t="shared" si="76"/>
        <v>0.14045056209911663</v>
      </c>
      <c r="AL249" s="17"/>
      <c r="AM249" s="17"/>
      <c r="AN249" s="17"/>
      <c r="AO249" s="17"/>
      <c r="AP249" s="28" t="str">
        <f t="shared" si="77"/>
        <v>20219</v>
      </c>
      <c r="AQ249" s="28" t="str">
        <f t="shared" si="78"/>
        <v>20219RMB</v>
      </c>
      <c r="AR249" s="206" t="str">
        <f t="shared" si="79"/>
        <v>SOLDERSTAR</v>
      </c>
      <c r="AS249" s="22">
        <f t="shared" si="80"/>
        <v>0</v>
      </c>
      <c r="AT249" s="24" t="str">
        <f t="shared" si="81"/>
        <v>0-3 months</v>
      </c>
      <c r="AU249" s="22" t="s">
        <v>3744</v>
      </c>
    </row>
    <row r="250" spans="1:47" s="12" customFormat="1">
      <c r="A250" s="33" t="str">
        <f t="shared" si="68"/>
        <v/>
      </c>
      <c r="B250" s="152" t="s">
        <v>2584</v>
      </c>
      <c r="C250" s="152" t="s">
        <v>2584</v>
      </c>
      <c r="D250" s="33" t="b">
        <f t="shared" si="69"/>
        <v>0</v>
      </c>
      <c r="E250" s="33" t="s">
        <v>2584</v>
      </c>
      <c r="F250" s="152" t="s">
        <v>2584</v>
      </c>
      <c r="G250" s="152" t="s">
        <v>2584</v>
      </c>
      <c r="H250" s="155"/>
      <c r="I250" s="33" t="str">
        <f t="shared" si="70"/>
        <v>TBA</v>
      </c>
      <c r="J250" s="186" t="s">
        <v>2584</v>
      </c>
      <c r="K250" s="155" t="s">
        <v>2593</v>
      </c>
      <c r="L250" s="17" t="s">
        <v>92</v>
      </c>
      <c r="M250" s="13" t="s">
        <v>60</v>
      </c>
      <c r="N250" s="13">
        <v>2</v>
      </c>
      <c r="O250" s="13"/>
      <c r="P250" s="33" t="str">
        <f t="shared" si="71"/>
        <v>MAIN UNIT</v>
      </c>
      <c r="Q250" s="13" t="s">
        <v>68</v>
      </c>
      <c r="R250" s="13" t="s">
        <v>62</v>
      </c>
      <c r="S250" s="13" t="s">
        <v>51</v>
      </c>
      <c r="T250" s="13" t="s">
        <v>148</v>
      </c>
      <c r="U250" s="13" t="s">
        <v>149</v>
      </c>
      <c r="V250" s="13" t="s">
        <v>507</v>
      </c>
      <c r="W250" s="13" t="s">
        <v>64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66"/>
        <v>30033846.584070798</v>
      </c>
      <c r="AJ250" s="19">
        <f t="shared" si="67"/>
        <v>3534936.4750884958</v>
      </c>
      <c r="AK250" s="20">
        <f t="shared" si="76"/>
        <v>0.11769842618039268</v>
      </c>
      <c r="AL250" s="17"/>
      <c r="AM250" s="17"/>
      <c r="AN250" s="17"/>
      <c r="AO250" s="17"/>
      <c r="AP250" s="28" t="str">
        <f t="shared" si="77"/>
        <v>TBATBA</v>
      </c>
      <c r="AQ250" s="28" t="str">
        <f t="shared" si="78"/>
        <v>TBATBARMB</v>
      </c>
      <c r="AR250" s="206" t="str">
        <f t="shared" si="79"/>
        <v>YAMAHA_Mounter</v>
      </c>
      <c r="AS250" s="22" t="str">
        <f t="shared" si="80"/>
        <v/>
      </c>
      <c r="AT250" s="24" t="str">
        <f t="shared" si="81"/>
        <v/>
      </c>
      <c r="AU250" s="22" t="s">
        <v>3240</v>
      </c>
    </row>
    <row r="251" spans="1:47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53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1859</v>
      </c>
      <c r="K251" s="155" t="s">
        <v>1860</v>
      </c>
      <c r="L251" s="17" t="s">
        <v>92</v>
      </c>
      <c r="M251" s="13" t="s">
        <v>60</v>
      </c>
      <c r="N251" s="13">
        <v>1</v>
      </c>
      <c r="O251" s="13"/>
      <c r="P251" s="33" t="str">
        <f t="shared" si="71"/>
        <v>MAIN UNIT</v>
      </c>
      <c r="Q251" s="13" t="s">
        <v>61</v>
      </c>
      <c r="R251" s="13" t="s">
        <v>62</v>
      </c>
      <c r="S251" s="13" t="s">
        <v>51</v>
      </c>
      <c r="T251" s="13" t="s">
        <v>1394</v>
      </c>
      <c r="U251" s="13" t="s">
        <v>149</v>
      </c>
      <c r="V251" s="13" t="s">
        <v>507</v>
      </c>
      <c r="W251" s="13" t="s">
        <v>64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66"/>
        <v>47458373.787610628</v>
      </c>
      <c r="AJ251" s="19">
        <f t="shared" si="67"/>
        <v>7436880.1411522133</v>
      </c>
      <c r="AK251" s="20">
        <f t="shared" si="76"/>
        <v>0.15670322321692506</v>
      </c>
      <c r="AL251" s="17"/>
      <c r="AM251" s="17"/>
      <c r="AN251" s="17"/>
      <c r="AO251" s="17"/>
      <c r="AP251" s="28" t="str">
        <f t="shared" si="77"/>
        <v>20218</v>
      </c>
      <c r="AQ251" s="28" t="str">
        <f t="shared" si="78"/>
        <v>20218RMB</v>
      </c>
      <c r="AR251" s="206" t="str">
        <f t="shared" si="79"/>
        <v>YAMAHA_Mounter</v>
      </c>
      <c r="AS251" s="22">
        <f t="shared" si="80"/>
        <v>3</v>
      </c>
      <c r="AT251" s="24" t="str">
        <f t="shared" si="81"/>
        <v>0-3 months</v>
      </c>
      <c r="AU251" s="22" t="s">
        <v>3240</v>
      </c>
    </row>
    <row r="252" spans="1:47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53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1859</v>
      </c>
      <c r="K252" s="155" t="s">
        <v>1860</v>
      </c>
      <c r="L252" s="17" t="s">
        <v>92</v>
      </c>
      <c r="M252" s="13" t="s">
        <v>60</v>
      </c>
      <c r="N252" s="13">
        <v>1</v>
      </c>
      <c r="O252" s="13"/>
      <c r="P252" s="33" t="str">
        <f t="shared" si="71"/>
        <v>MAIN UNIT</v>
      </c>
      <c r="Q252" s="13" t="s">
        <v>61</v>
      </c>
      <c r="R252" s="13" t="s">
        <v>62</v>
      </c>
      <c r="S252" s="13" t="s">
        <v>51</v>
      </c>
      <c r="T252" s="13" t="s">
        <v>1394</v>
      </c>
      <c r="U252" s="13" t="s">
        <v>149</v>
      </c>
      <c r="V252" s="13" t="s">
        <v>507</v>
      </c>
      <c r="W252" s="13" t="s">
        <v>64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66"/>
        <v>47458373.787610628</v>
      </c>
      <c r="AJ252" s="19">
        <f t="shared" si="67"/>
        <v>7436880.1411522133</v>
      </c>
      <c r="AK252" s="20">
        <f t="shared" si="76"/>
        <v>0.15670322321692506</v>
      </c>
      <c r="AL252" s="17"/>
      <c r="AM252" s="17"/>
      <c r="AN252" s="17"/>
      <c r="AO252" s="17"/>
      <c r="AP252" s="28" t="str">
        <f t="shared" si="77"/>
        <v>20218</v>
      </c>
      <c r="AQ252" s="28" t="str">
        <f t="shared" si="78"/>
        <v>20218RMB</v>
      </c>
      <c r="AR252" s="206" t="str">
        <f t="shared" si="79"/>
        <v>YAMAHA_Mounter</v>
      </c>
      <c r="AS252" s="22">
        <f t="shared" si="80"/>
        <v>3</v>
      </c>
      <c r="AT252" s="24" t="str">
        <f t="shared" si="81"/>
        <v>0-3 months</v>
      </c>
      <c r="AU252" s="22" t="s">
        <v>3240</v>
      </c>
    </row>
    <row r="253" spans="1:47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53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1859</v>
      </c>
      <c r="K253" s="155" t="s">
        <v>1860</v>
      </c>
      <c r="L253" s="17" t="s">
        <v>67</v>
      </c>
      <c r="M253" s="13" t="s">
        <v>60</v>
      </c>
      <c r="N253" s="13">
        <v>1</v>
      </c>
      <c r="O253" s="13"/>
      <c r="P253" s="33" t="str">
        <f t="shared" si="71"/>
        <v>MAIN UNIT</v>
      </c>
      <c r="Q253" s="13" t="s">
        <v>61</v>
      </c>
      <c r="R253" s="13" t="s">
        <v>62</v>
      </c>
      <c r="S253" s="13" t="s">
        <v>51</v>
      </c>
      <c r="T253" s="13" t="s">
        <v>1394</v>
      </c>
      <c r="U253" s="13" t="s">
        <v>149</v>
      </c>
      <c r="V253" s="13" t="s">
        <v>507</v>
      </c>
      <c r="W253" s="13" t="s">
        <v>64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66"/>
        <v>47458373.787610628</v>
      </c>
      <c r="AJ253" s="19">
        <f t="shared" si="67"/>
        <v>7436880.1411522133</v>
      </c>
      <c r="AK253" s="20">
        <f t="shared" si="76"/>
        <v>0.15670322321692506</v>
      </c>
      <c r="AL253" s="17"/>
      <c r="AM253" s="17"/>
      <c r="AN253" s="17"/>
      <c r="AO253" s="17"/>
      <c r="AP253" s="28" t="str">
        <f t="shared" si="77"/>
        <v>20218</v>
      </c>
      <c r="AQ253" s="28" t="str">
        <f t="shared" si="78"/>
        <v>20218RMB</v>
      </c>
      <c r="AR253" s="206" t="str">
        <f t="shared" si="79"/>
        <v>YAMAHA_Mounter</v>
      </c>
      <c r="AS253" s="22">
        <f t="shared" si="80"/>
        <v>3</v>
      </c>
      <c r="AT253" s="24" t="str">
        <f t="shared" si="81"/>
        <v>0-3 months</v>
      </c>
      <c r="AU253" s="22" t="s">
        <v>3240</v>
      </c>
    </row>
    <row r="254" spans="1:47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48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1392</v>
      </c>
      <c r="K254" s="155" t="s">
        <v>1393</v>
      </c>
      <c r="L254" s="17" t="s">
        <v>67</v>
      </c>
      <c r="M254" s="13" t="s">
        <v>60</v>
      </c>
      <c r="N254" s="13">
        <v>1</v>
      </c>
      <c r="O254" s="13"/>
      <c r="P254" s="33" t="str">
        <f t="shared" si="71"/>
        <v>MAIN UNIT</v>
      </c>
      <c r="Q254" s="13" t="s">
        <v>68</v>
      </c>
      <c r="R254" s="13" t="s">
        <v>62</v>
      </c>
      <c r="S254" s="13" t="s">
        <v>51</v>
      </c>
      <c r="T254" s="13" t="s">
        <v>1394</v>
      </c>
      <c r="U254" s="13" t="s">
        <v>149</v>
      </c>
      <c r="V254" s="13" t="s">
        <v>507</v>
      </c>
      <c r="W254" s="13" t="s">
        <v>64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66"/>
        <v>47907808.356810622</v>
      </c>
      <c r="AJ254" s="19">
        <f t="shared" si="67"/>
        <v>6027384.8806384448</v>
      </c>
      <c r="AK254" s="20">
        <f t="shared" si="76"/>
        <v>0.12581216063459488</v>
      </c>
      <c r="AL254" s="17"/>
      <c r="AM254" s="17"/>
      <c r="AN254" s="17"/>
      <c r="AO254" s="17"/>
      <c r="AP254" s="28" t="str">
        <f t="shared" si="77"/>
        <v>20209</v>
      </c>
      <c r="AQ254" s="28" t="str">
        <f t="shared" si="78"/>
        <v>20209RMB</v>
      </c>
      <c r="AR254" s="206" t="str">
        <f t="shared" si="79"/>
        <v>YAMAHA_Mounter</v>
      </c>
      <c r="AS254" s="22">
        <f t="shared" si="80"/>
        <v>1</v>
      </c>
      <c r="AT254" s="24" t="str">
        <f t="shared" si="81"/>
        <v>0-3 months</v>
      </c>
      <c r="AU254" s="22" t="s">
        <v>3240</v>
      </c>
    </row>
    <row r="255" spans="1:47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48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1060</v>
      </c>
      <c r="K255" s="155" t="s">
        <v>1061</v>
      </c>
      <c r="L255" s="17" t="s">
        <v>67</v>
      </c>
      <c r="M255" s="13" t="s">
        <v>60</v>
      </c>
      <c r="N255" s="13">
        <v>1</v>
      </c>
      <c r="O255" s="13"/>
      <c r="P255" s="33" t="str">
        <f t="shared" si="71"/>
        <v>MAIN UNIT</v>
      </c>
      <c r="Q255" s="13" t="s">
        <v>68</v>
      </c>
      <c r="R255" s="13" t="s">
        <v>62</v>
      </c>
      <c r="S255" s="13" t="s">
        <v>51</v>
      </c>
      <c r="T255" s="13" t="s">
        <v>1062</v>
      </c>
      <c r="U255" s="13" t="s">
        <v>149</v>
      </c>
      <c r="V255" s="13" t="s">
        <v>507</v>
      </c>
      <c r="W255" s="13" t="s">
        <v>64</v>
      </c>
      <c r="X255" s="135">
        <v>507500</v>
      </c>
      <c r="Y255" s="156" t="s">
        <v>1058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66"/>
        <v>33477255.428389374</v>
      </c>
      <c r="AJ255" s="19">
        <f t="shared" si="67"/>
        <v>4578663.362915583</v>
      </c>
      <c r="AK255" s="20">
        <f t="shared" si="76"/>
        <v>0.13676937682988152</v>
      </c>
      <c r="AL255" s="17"/>
      <c r="AM255" s="17"/>
      <c r="AN255" s="17"/>
      <c r="AO255" s="17"/>
      <c r="AP255" s="28" t="str">
        <f t="shared" si="77"/>
        <v>20204</v>
      </c>
      <c r="AQ255" s="28" t="str">
        <f t="shared" si="78"/>
        <v>20204RMB</v>
      </c>
      <c r="AR255" s="206" t="str">
        <f t="shared" si="79"/>
        <v>YAMAHA_Mounter</v>
      </c>
      <c r="AS255" s="22">
        <f t="shared" si="80"/>
        <v>0</v>
      </c>
      <c r="AT255" s="24" t="str">
        <f t="shared" si="81"/>
        <v>0-3 months</v>
      </c>
      <c r="AU255" s="22" t="s">
        <v>3240</v>
      </c>
    </row>
    <row r="256" spans="1:47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48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1060</v>
      </c>
      <c r="K256" s="155" t="s">
        <v>1061</v>
      </c>
      <c r="L256" s="17" t="s">
        <v>67</v>
      </c>
      <c r="M256" s="13" t="s">
        <v>60</v>
      </c>
      <c r="N256" s="13">
        <v>1</v>
      </c>
      <c r="O256" s="13"/>
      <c r="P256" s="33" t="str">
        <f t="shared" si="71"/>
        <v>MAIN UNIT</v>
      </c>
      <c r="Q256" s="13" t="s">
        <v>68</v>
      </c>
      <c r="R256" s="13" t="s">
        <v>62</v>
      </c>
      <c r="S256" s="13" t="s">
        <v>51</v>
      </c>
      <c r="T256" s="13" t="s">
        <v>1062</v>
      </c>
      <c r="U256" s="13" t="s">
        <v>149</v>
      </c>
      <c r="V256" s="13" t="s">
        <v>507</v>
      </c>
      <c r="W256" s="13" t="s">
        <v>64</v>
      </c>
      <c r="X256" s="135">
        <v>507500</v>
      </c>
      <c r="Y256" s="156" t="s">
        <v>1058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66"/>
        <v>33477255.428389374</v>
      </c>
      <c r="AJ256" s="19">
        <f t="shared" si="67"/>
        <v>4578663.362915583</v>
      </c>
      <c r="AK256" s="20">
        <f t="shared" si="76"/>
        <v>0.13676937682988152</v>
      </c>
      <c r="AL256" s="17"/>
      <c r="AM256" s="17"/>
      <c r="AN256" s="17"/>
      <c r="AO256" s="17"/>
      <c r="AP256" s="28" t="str">
        <f t="shared" si="77"/>
        <v>20204</v>
      </c>
      <c r="AQ256" s="28" t="str">
        <f t="shared" si="78"/>
        <v>20204RMB</v>
      </c>
      <c r="AR256" s="206" t="str">
        <f t="shared" si="79"/>
        <v>YAMAHA_Mounter</v>
      </c>
      <c r="AS256" s="22">
        <f t="shared" si="80"/>
        <v>0</v>
      </c>
      <c r="AT256" s="24" t="str">
        <f t="shared" si="81"/>
        <v>0-3 months</v>
      </c>
      <c r="AU256" s="22" t="s">
        <v>3240</v>
      </c>
    </row>
    <row r="257" spans="1:47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53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2969</v>
      </c>
      <c r="K257" s="155" t="s">
        <v>2970</v>
      </c>
      <c r="L257" s="17" t="s">
        <v>2786</v>
      </c>
      <c r="M257" s="13" t="s">
        <v>60</v>
      </c>
      <c r="N257" s="13">
        <v>1</v>
      </c>
      <c r="O257" s="13"/>
      <c r="P257" s="33" t="str">
        <f t="shared" si="71"/>
        <v>MAIN UNIT</v>
      </c>
      <c r="Q257" s="13" t="s">
        <v>61</v>
      </c>
      <c r="R257" s="13" t="s">
        <v>2055</v>
      </c>
      <c r="S257" s="13" t="s">
        <v>49</v>
      </c>
      <c r="T257" s="13" t="s">
        <v>120</v>
      </c>
      <c r="U257" s="13" t="s">
        <v>2370</v>
      </c>
      <c r="V257" s="13" t="s">
        <v>2856</v>
      </c>
      <c r="W257" s="13" t="s">
        <v>64</v>
      </c>
      <c r="X257" s="135">
        <v>630000</v>
      </c>
      <c r="Y257" s="157" t="str">
        <f t="shared" ref="Y257:Y269" si="85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66"/>
        <v>25380121.402654871</v>
      </c>
      <c r="AJ257" s="19">
        <f t="shared" si="67"/>
        <v>3850343.1237796471</v>
      </c>
      <c r="AK257" s="20">
        <f t="shared" si="76"/>
        <v>0.1517070412191521</v>
      </c>
      <c r="AL257" s="17"/>
      <c r="AM257" s="17"/>
      <c r="AN257" s="17"/>
      <c r="AO257" s="17"/>
      <c r="AP257" s="28" t="str">
        <f t="shared" si="77"/>
        <v>202112</v>
      </c>
      <c r="AQ257" s="28" t="str">
        <f t="shared" si="78"/>
        <v>202112RMB</v>
      </c>
      <c r="AR257" s="206" t="str">
        <f t="shared" si="79"/>
        <v>YAMAHA_Non_Mounter</v>
      </c>
      <c r="AS257" s="22">
        <f t="shared" si="80"/>
        <v>6</v>
      </c>
      <c r="AT257" s="24" t="str">
        <f t="shared" si="81"/>
        <v>4-6 months</v>
      </c>
      <c r="AU257" s="22" t="s">
        <v>3751</v>
      </c>
    </row>
    <row r="258" spans="1:47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53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2969</v>
      </c>
      <c r="K258" s="155" t="s">
        <v>2970</v>
      </c>
      <c r="L258" s="17" t="s">
        <v>2786</v>
      </c>
      <c r="M258" s="13" t="s">
        <v>60</v>
      </c>
      <c r="N258" s="13">
        <v>1</v>
      </c>
      <c r="O258" s="13"/>
      <c r="P258" s="33" t="str">
        <f t="shared" si="71"/>
        <v>MAIN UNIT</v>
      </c>
      <c r="Q258" s="13" t="s">
        <v>61</v>
      </c>
      <c r="R258" s="13" t="s">
        <v>2055</v>
      </c>
      <c r="S258" s="13" t="s">
        <v>49</v>
      </c>
      <c r="T258" s="13" t="s">
        <v>120</v>
      </c>
      <c r="U258" s="13" t="s">
        <v>2370</v>
      </c>
      <c r="V258" s="13" t="s">
        <v>2856</v>
      </c>
      <c r="W258" s="13" t="s">
        <v>64</v>
      </c>
      <c r="X258" s="135">
        <v>630000</v>
      </c>
      <c r="Y258" s="157" t="str">
        <f t="shared" si="85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ref="AI258:AI321" si="86">IF(P258="C66 SERVICE","",SUMIFS(AB:AB,F:F,F258,G:G,G258,E:E,E258))</f>
        <v>25380121.402654871</v>
      </c>
      <c r="AJ258" s="19">
        <f t="shared" ref="AJ258:AJ321" si="87">IF(P258="C66 SERVICE","",SUMIFS(AC:AC,F:F,F258,G:G,G258,E:E,E258))</f>
        <v>3850343.1237796471</v>
      </c>
      <c r="AK258" s="20">
        <f t="shared" si="76"/>
        <v>0.1517070412191521</v>
      </c>
      <c r="AL258" s="17"/>
      <c r="AM258" s="17"/>
      <c r="AN258" s="17"/>
      <c r="AO258" s="17"/>
      <c r="AP258" s="28" t="str">
        <f t="shared" si="77"/>
        <v>202112</v>
      </c>
      <c r="AQ258" s="28" t="str">
        <f t="shared" si="78"/>
        <v>202112RMB</v>
      </c>
      <c r="AR258" s="206" t="str">
        <f t="shared" si="79"/>
        <v>YAMAHA_Non_Mounter</v>
      </c>
      <c r="AS258" s="22">
        <f t="shared" si="80"/>
        <v>6</v>
      </c>
      <c r="AT258" s="24" t="str">
        <f t="shared" si="81"/>
        <v>4-6 months</v>
      </c>
      <c r="AU258" s="22" t="s">
        <v>3751</v>
      </c>
    </row>
    <row r="259" spans="1:47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48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2891</v>
      </c>
      <c r="K259" s="155" t="s">
        <v>2892</v>
      </c>
      <c r="L259" s="17" t="s">
        <v>2802</v>
      </c>
      <c r="M259" s="13" t="s">
        <v>2607</v>
      </c>
      <c r="N259" s="13">
        <v>1</v>
      </c>
      <c r="O259" s="13"/>
      <c r="P259" s="33" t="str">
        <f t="shared" si="71"/>
        <v>MAIN UNIT</v>
      </c>
      <c r="Q259" s="13" t="s">
        <v>61</v>
      </c>
      <c r="R259" s="13" t="s">
        <v>2055</v>
      </c>
      <c r="S259" s="13" t="s">
        <v>49</v>
      </c>
      <c r="T259" s="13" t="s">
        <v>396</v>
      </c>
      <c r="U259" s="13" t="s">
        <v>79</v>
      </c>
      <c r="V259" s="13" t="s">
        <v>2779</v>
      </c>
      <c r="W259" s="13" t="s">
        <v>64</v>
      </c>
      <c r="X259" s="135">
        <v>303000</v>
      </c>
      <c r="Y259" s="157" t="str">
        <f t="shared" si="85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86"/>
        <v>33477255.428389374</v>
      </c>
      <c r="AJ259" s="19">
        <f t="shared" si="87"/>
        <v>4578663.362915583</v>
      </c>
      <c r="AK259" s="20">
        <f t="shared" si="76"/>
        <v>0.13676937682988152</v>
      </c>
      <c r="AL259" s="17"/>
      <c r="AM259" s="17"/>
      <c r="AN259" s="17"/>
      <c r="AO259" s="17"/>
      <c r="AP259" s="28" t="str">
        <f t="shared" si="77"/>
        <v>20204</v>
      </c>
      <c r="AQ259" s="28" t="str">
        <f t="shared" si="78"/>
        <v>20204RMB</v>
      </c>
      <c r="AR259" s="206" t="str">
        <f t="shared" si="79"/>
        <v>HELLER</v>
      </c>
      <c r="AS259" s="22">
        <f t="shared" si="80"/>
        <v>1</v>
      </c>
      <c r="AT259" s="24" t="str">
        <f t="shared" si="81"/>
        <v>0-3 months</v>
      </c>
      <c r="AU259" s="22" t="s">
        <v>3744</v>
      </c>
    </row>
    <row r="260" spans="1:47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53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2948</v>
      </c>
      <c r="L260" s="17" t="s">
        <v>2802</v>
      </c>
      <c r="M260" s="13" t="s">
        <v>2607</v>
      </c>
      <c r="N260" s="13">
        <v>1</v>
      </c>
      <c r="O260" s="13"/>
      <c r="P260" s="33" t="str">
        <f t="shared" si="71"/>
        <v>MAIN UNIT</v>
      </c>
      <c r="Q260" s="13" t="s">
        <v>61</v>
      </c>
      <c r="R260" s="13" t="s">
        <v>2055</v>
      </c>
      <c r="S260" s="13" t="s">
        <v>49</v>
      </c>
      <c r="T260" s="13" t="s">
        <v>396</v>
      </c>
      <c r="U260" s="13" t="s">
        <v>1768</v>
      </c>
      <c r="V260" s="13" t="s">
        <v>2856</v>
      </c>
      <c r="W260" s="13" t="s">
        <v>64</v>
      </c>
      <c r="X260" s="135">
        <v>354000</v>
      </c>
      <c r="Y260" s="157" t="str">
        <f t="shared" si="85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86"/>
        <v>43684091.636631854</v>
      </c>
      <c r="AJ260" s="19">
        <f t="shared" si="87"/>
        <v>6483951.8242071122</v>
      </c>
      <c r="AK260" s="20">
        <f t="shared" si="76"/>
        <v>0.14842821680123736</v>
      </c>
      <c r="AL260" s="17"/>
      <c r="AM260" s="17"/>
      <c r="AN260" s="17"/>
      <c r="AO260" s="17"/>
      <c r="AP260" s="28" t="str">
        <f t="shared" si="77"/>
        <v>20214</v>
      </c>
      <c r="AQ260" s="28" t="str">
        <f t="shared" si="78"/>
        <v>20214RMB</v>
      </c>
      <c r="AR260" s="206" t="str">
        <f t="shared" si="79"/>
        <v>HELLER</v>
      </c>
      <c r="AS260" s="22">
        <f t="shared" si="80"/>
        <v>3</v>
      </c>
      <c r="AT260" s="24" t="str">
        <f t="shared" si="81"/>
        <v>0-3 months</v>
      </c>
      <c r="AU260" s="22" t="s">
        <v>3744</v>
      </c>
    </row>
    <row r="261" spans="1:47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53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2948</v>
      </c>
      <c r="L261" s="17" t="s">
        <v>2802</v>
      </c>
      <c r="M261" s="13" t="s">
        <v>2607</v>
      </c>
      <c r="N261" s="13">
        <v>1</v>
      </c>
      <c r="O261" s="13"/>
      <c r="P261" s="33" t="str">
        <f t="shared" si="71"/>
        <v>MAIN UNIT</v>
      </c>
      <c r="Q261" s="13" t="s">
        <v>61</v>
      </c>
      <c r="R261" s="13" t="s">
        <v>2055</v>
      </c>
      <c r="S261" s="13" t="s">
        <v>49</v>
      </c>
      <c r="T261" s="13" t="s">
        <v>78</v>
      </c>
      <c r="U261" s="13" t="s">
        <v>79</v>
      </c>
      <c r="V261" s="13" t="s">
        <v>2856</v>
      </c>
      <c r="W261" s="13" t="s">
        <v>64</v>
      </c>
      <c r="X261" s="135">
        <v>350000</v>
      </c>
      <c r="Y261" s="157" t="str">
        <f t="shared" si="85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86"/>
        <v>25380121.402654871</v>
      </c>
      <c r="AJ261" s="19">
        <f t="shared" si="87"/>
        <v>3850343.1237796471</v>
      </c>
      <c r="AK261" s="20">
        <f t="shared" si="76"/>
        <v>0.1517070412191521</v>
      </c>
      <c r="AL261" s="17"/>
      <c r="AM261" s="17"/>
      <c r="AN261" s="17"/>
      <c r="AO261" s="17"/>
      <c r="AP261" s="28" t="str">
        <f t="shared" si="77"/>
        <v>202112</v>
      </c>
      <c r="AQ261" s="28" t="str">
        <f t="shared" si="78"/>
        <v>202112RMB</v>
      </c>
      <c r="AR261" s="206" t="str">
        <f t="shared" si="79"/>
        <v>HELLER</v>
      </c>
      <c r="AS261" s="22">
        <f t="shared" si="80"/>
        <v>1</v>
      </c>
      <c r="AT261" s="24" t="str">
        <f t="shared" si="81"/>
        <v>0-3 months</v>
      </c>
      <c r="AU261" s="22" t="s">
        <v>3744</v>
      </c>
    </row>
    <row r="262" spans="1:47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53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2948</v>
      </c>
      <c r="L262" s="17" t="s">
        <v>2802</v>
      </c>
      <c r="M262" s="13" t="s">
        <v>2607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61</v>
      </c>
      <c r="R262" s="13" t="s">
        <v>2055</v>
      </c>
      <c r="S262" s="13" t="s">
        <v>49</v>
      </c>
      <c r="T262" s="13" t="s">
        <v>78</v>
      </c>
      <c r="U262" s="13" t="s">
        <v>79</v>
      </c>
      <c r="V262" s="13" t="s">
        <v>2856</v>
      </c>
      <c r="W262" s="13" t="s">
        <v>64</v>
      </c>
      <c r="X262" s="135">
        <v>350000</v>
      </c>
      <c r="Y262" s="157" t="str">
        <f t="shared" si="85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si="86"/>
        <v>25380121.402654871</v>
      </c>
      <c r="AJ262" s="19">
        <f t="shared" si="87"/>
        <v>3850343.1237796471</v>
      </c>
      <c r="AK262" s="20">
        <f t="shared" ref="AK262:AK325" si="96">IF(AJ262&gt;0,AJ262/AI262,"")</f>
        <v>0.1517070412191521</v>
      </c>
      <c r="AL262" s="17"/>
      <c r="AM262" s="17"/>
      <c r="AN262" s="17"/>
      <c r="AO262" s="17"/>
      <c r="AP262" s="28" t="str">
        <f t="shared" ref="AP262:AP325" si="97">IF(F262="","",F262&amp;G262)</f>
        <v>202112</v>
      </c>
      <c r="AQ262" s="28" t="str">
        <f t="shared" ref="AQ262:AQ325" si="98">IF(W262="","",F262&amp;G262&amp;W262)</f>
        <v>202112RMB</v>
      </c>
      <c r="AR262" s="206" t="str">
        <f t="shared" ref="AR262:AR325" si="99">IFERROR(IF(AND(M262="YAMAHA", R262="C28"), "YAMAHA_Non_Mounter", IF(AND(M262="YAMAHA", R262="C49"), "YAMAHA_Mounter", M262)),"")</f>
        <v>HELLER</v>
      </c>
      <c r="AS262" s="22">
        <f t="shared" ref="AS262:AS325" si="100">IFERROR(IF(OR(G262="TBA", G262=""), "", DATEDIF(DATE(B262, C262, 1), DATE(F262, G262, 1), "M")),"")</f>
        <v>1</v>
      </c>
      <c r="AT262" s="24" t="str">
        <f t="shared" ref="AT262:AT325" si="101">IF(ISNUMBER(AS262), IF(AS262&gt;=0, IF(AS262&lt;=3, "0-3 months", IF(AS262&lt;=6, "4-6 months", "&gt; 6 months"))), "")</f>
        <v>0-3 months</v>
      </c>
      <c r="AU262" s="22" t="s">
        <v>3744</v>
      </c>
    </row>
    <row r="263" spans="1:47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53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1837</v>
      </c>
      <c r="K263" s="155" t="s">
        <v>1838</v>
      </c>
      <c r="L263" s="17" t="s">
        <v>67</v>
      </c>
      <c r="M263" s="13" t="s">
        <v>60</v>
      </c>
      <c r="N263" s="13">
        <v>1</v>
      </c>
      <c r="O263" s="13"/>
      <c r="P263" s="33" t="str">
        <f t="shared" si="91"/>
        <v>MAIN UNIT</v>
      </c>
      <c r="Q263" s="13" t="s">
        <v>68</v>
      </c>
      <c r="R263" s="13" t="s">
        <v>62</v>
      </c>
      <c r="S263" s="13" t="s">
        <v>49</v>
      </c>
      <c r="T263" s="13" t="s">
        <v>78</v>
      </c>
      <c r="U263" s="13" t="s">
        <v>79</v>
      </c>
      <c r="V263" s="13" t="s">
        <v>131</v>
      </c>
      <c r="W263" s="13" t="s">
        <v>109</v>
      </c>
      <c r="X263" s="135">
        <v>6750000</v>
      </c>
      <c r="Y263" s="157" t="str">
        <f t="shared" si="85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86"/>
        <v>41443303.53761062</v>
      </c>
      <c r="AJ263" s="19">
        <f t="shared" si="87"/>
        <v>6194988.76643031</v>
      </c>
      <c r="AK263" s="20">
        <f t="shared" si="96"/>
        <v>0.1494810557466355</v>
      </c>
      <c r="AL263" s="17"/>
      <c r="AM263" s="17"/>
      <c r="AN263" s="17"/>
      <c r="AO263" s="17"/>
      <c r="AP263" s="28" t="str">
        <f t="shared" si="97"/>
        <v>20217</v>
      </c>
      <c r="AQ263" s="28" t="str">
        <f t="shared" si="98"/>
        <v>20217JPY</v>
      </c>
      <c r="AR263" s="206" t="str">
        <f t="shared" si="99"/>
        <v>YAMAHA_Mounter</v>
      </c>
      <c r="AS263" s="22">
        <f t="shared" si="100"/>
        <v>2</v>
      </c>
      <c r="AT263" s="24" t="str">
        <f t="shared" si="101"/>
        <v>0-3 months</v>
      </c>
      <c r="AU263" s="22" t="s">
        <v>3240</v>
      </c>
    </row>
    <row r="264" spans="1:47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53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1837</v>
      </c>
      <c r="K264" s="155" t="s">
        <v>1838</v>
      </c>
      <c r="L264" s="17" t="s">
        <v>67</v>
      </c>
      <c r="M264" s="13" t="s">
        <v>60</v>
      </c>
      <c r="N264" s="13">
        <v>1</v>
      </c>
      <c r="O264" s="13"/>
      <c r="P264" s="33" t="str">
        <f t="shared" si="91"/>
        <v>MAIN UNIT</v>
      </c>
      <c r="Q264" s="13" t="s">
        <v>68</v>
      </c>
      <c r="R264" s="13" t="s">
        <v>62</v>
      </c>
      <c r="S264" s="13" t="s">
        <v>49</v>
      </c>
      <c r="T264" s="13" t="s">
        <v>78</v>
      </c>
      <c r="U264" s="13" t="s">
        <v>79</v>
      </c>
      <c r="V264" s="13" t="s">
        <v>131</v>
      </c>
      <c r="W264" s="13" t="s">
        <v>109</v>
      </c>
      <c r="X264" s="135">
        <v>6750000</v>
      </c>
      <c r="Y264" s="157" t="str">
        <f t="shared" si="85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86"/>
        <v>41443303.53761062</v>
      </c>
      <c r="AJ264" s="19">
        <f t="shared" si="87"/>
        <v>6194988.76643031</v>
      </c>
      <c r="AK264" s="20">
        <f t="shared" si="96"/>
        <v>0.1494810557466355</v>
      </c>
      <c r="AL264" s="17"/>
      <c r="AM264" s="17"/>
      <c r="AN264" s="17"/>
      <c r="AO264" s="17"/>
      <c r="AP264" s="28" t="str">
        <f t="shared" si="97"/>
        <v>20217</v>
      </c>
      <c r="AQ264" s="28" t="str">
        <f t="shared" si="98"/>
        <v>20217JPY</v>
      </c>
      <c r="AR264" s="206" t="str">
        <f t="shared" si="99"/>
        <v>YAMAHA_Mounter</v>
      </c>
      <c r="AS264" s="22">
        <f t="shared" si="100"/>
        <v>2</v>
      </c>
      <c r="AT264" s="24" t="str">
        <f t="shared" si="101"/>
        <v>0-3 months</v>
      </c>
      <c r="AU264" s="22" t="s">
        <v>3240</v>
      </c>
    </row>
    <row r="265" spans="1:47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53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1837</v>
      </c>
      <c r="K265" s="155" t="s">
        <v>1838</v>
      </c>
      <c r="L265" s="17" t="s">
        <v>67</v>
      </c>
      <c r="M265" s="13" t="s">
        <v>60</v>
      </c>
      <c r="N265" s="13">
        <v>1</v>
      </c>
      <c r="O265" s="13"/>
      <c r="P265" s="33" t="str">
        <f t="shared" si="91"/>
        <v>MAIN UNIT</v>
      </c>
      <c r="Q265" s="13" t="s">
        <v>68</v>
      </c>
      <c r="R265" s="13" t="s">
        <v>62</v>
      </c>
      <c r="S265" s="13" t="s">
        <v>49</v>
      </c>
      <c r="T265" s="13" t="s">
        <v>78</v>
      </c>
      <c r="U265" s="13" t="s">
        <v>79</v>
      </c>
      <c r="V265" s="13" t="s">
        <v>131</v>
      </c>
      <c r="W265" s="13" t="s">
        <v>109</v>
      </c>
      <c r="X265" s="135">
        <v>6750000</v>
      </c>
      <c r="Y265" s="157" t="str">
        <f t="shared" si="85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86"/>
        <v>41443303.53761062</v>
      </c>
      <c r="AJ265" s="19">
        <f t="shared" si="87"/>
        <v>6194988.76643031</v>
      </c>
      <c r="AK265" s="20">
        <f t="shared" si="96"/>
        <v>0.1494810557466355</v>
      </c>
      <c r="AL265" s="17"/>
      <c r="AM265" s="17"/>
      <c r="AN265" s="17"/>
      <c r="AO265" s="17"/>
      <c r="AP265" s="28" t="str">
        <f t="shared" si="97"/>
        <v>20217</v>
      </c>
      <c r="AQ265" s="28" t="str">
        <f t="shared" si="98"/>
        <v>20217JPY</v>
      </c>
      <c r="AR265" s="206" t="str">
        <f t="shared" si="99"/>
        <v>YAMAHA_Mounter</v>
      </c>
      <c r="AS265" s="22">
        <f t="shared" si="100"/>
        <v>2</v>
      </c>
      <c r="AT265" s="24" t="str">
        <f t="shared" si="101"/>
        <v>0-3 months</v>
      </c>
      <c r="AU265" s="22" t="s">
        <v>3240</v>
      </c>
    </row>
    <row r="266" spans="1:47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54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2016</v>
      </c>
      <c r="K266" s="155" t="s">
        <v>1838</v>
      </c>
      <c r="L266" s="17" t="s">
        <v>67</v>
      </c>
      <c r="M266" s="13" t="s">
        <v>60</v>
      </c>
      <c r="N266" s="13">
        <v>1</v>
      </c>
      <c r="O266" s="13"/>
      <c r="P266" s="33" t="str">
        <f t="shared" si="91"/>
        <v>MAIN UNIT</v>
      </c>
      <c r="Q266" s="13" t="s">
        <v>68</v>
      </c>
      <c r="R266" s="13" t="s">
        <v>62</v>
      </c>
      <c r="S266" s="13" t="s">
        <v>49</v>
      </c>
      <c r="T266" s="13" t="s">
        <v>78</v>
      </c>
      <c r="U266" s="13" t="s">
        <v>79</v>
      </c>
      <c r="V266" s="13" t="s">
        <v>131</v>
      </c>
      <c r="W266" s="13" t="s">
        <v>109</v>
      </c>
      <c r="X266" s="135">
        <v>6750000</v>
      </c>
      <c r="Y266" s="157" t="str">
        <f t="shared" si="85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86"/>
        <v>44014086.982070789</v>
      </c>
      <c r="AJ266" s="19">
        <f t="shared" si="87"/>
        <v>6419974.0221889298</v>
      </c>
      <c r="AK266" s="20">
        <f t="shared" si="96"/>
        <v>0.14586180158193709</v>
      </c>
      <c r="AL266" s="17"/>
      <c r="AM266" s="17"/>
      <c r="AN266" s="17"/>
      <c r="AO266" s="17"/>
      <c r="AP266" s="28" t="str">
        <f t="shared" si="97"/>
        <v>20225</v>
      </c>
      <c r="AQ266" s="28" t="str">
        <f t="shared" si="98"/>
        <v>20225JPY</v>
      </c>
      <c r="AR266" s="206" t="str">
        <f t="shared" si="99"/>
        <v>YAMAHA_Mounter</v>
      </c>
      <c r="AS266" s="22">
        <f t="shared" si="100"/>
        <v>12</v>
      </c>
      <c r="AT266" s="24" t="str">
        <f t="shared" si="101"/>
        <v>&gt; 6 months</v>
      </c>
      <c r="AU266" s="22" t="s">
        <v>3746</v>
      </c>
    </row>
    <row r="267" spans="1:47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54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2016</v>
      </c>
      <c r="K267" s="155" t="s">
        <v>1838</v>
      </c>
      <c r="L267" s="17" t="s">
        <v>67</v>
      </c>
      <c r="M267" s="13" t="s">
        <v>60</v>
      </c>
      <c r="N267" s="13">
        <v>1</v>
      </c>
      <c r="O267" s="13"/>
      <c r="P267" s="33" t="str">
        <f t="shared" si="91"/>
        <v>MAIN UNIT</v>
      </c>
      <c r="Q267" s="13" t="s">
        <v>68</v>
      </c>
      <c r="R267" s="13" t="s">
        <v>62</v>
      </c>
      <c r="S267" s="13" t="s">
        <v>49</v>
      </c>
      <c r="T267" s="13" t="s">
        <v>78</v>
      </c>
      <c r="U267" s="13" t="s">
        <v>79</v>
      </c>
      <c r="V267" s="13" t="s">
        <v>131</v>
      </c>
      <c r="W267" s="13" t="s">
        <v>109</v>
      </c>
      <c r="X267" s="135">
        <v>6750000</v>
      </c>
      <c r="Y267" s="157" t="str">
        <f t="shared" si="85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86"/>
        <v>44014086.982070789</v>
      </c>
      <c r="AJ267" s="19">
        <f t="shared" si="87"/>
        <v>6419974.0221889298</v>
      </c>
      <c r="AK267" s="20">
        <f t="shared" si="96"/>
        <v>0.14586180158193709</v>
      </c>
      <c r="AL267" s="17"/>
      <c r="AM267" s="17"/>
      <c r="AN267" s="17"/>
      <c r="AO267" s="17"/>
      <c r="AP267" s="28" t="str">
        <f t="shared" si="97"/>
        <v>20225</v>
      </c>
      <c r="AQ267" s="28" t="str">
        <f t="shared" si="98"/>
        <v>20225JPY</v>
      </c>
      <c r="AR267" s="206" t="str">
        <f t="shared" si="99"/>
        <v>YAMAHA_Mounter</v>
      </c>
      <c r="AS267" s="22">
        <f t="shared" si="100"/>
        <v>12</v>
      </c>
      <c r="AT267" s="24" t="str">
        <f t="shared" si="101"/>
        <v>&gt; 6 months</v>
      </c>
      <c r="AU267" s="22" t="s">
        <v>3746</v>
      </c>
    </row>
    <row r="268" spans="1:47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48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1465</v>
      </c>
      <c r="K268" s="155" t="s">
        <v>1466</v>
      </c>
      <c r="L268" s="17" t="s">
        <v>92</v>
      </c>
      <c r="M268" s="13" t="s">
        <v>60</v>
      </c>
      <c r="N268" s="13">
        <v>1</v>
      </c>
      <c r="O268" s="13"/>
      <c r="P268" s="33" t="str">
        <f t="shared" si="91"/>
        <v>MAIN UNIT</v>
      </c>
      <c r="Q268" s="13" t="s">
        <v>68</v>
      </c>
      <c r="R268" s="13" t="s">
        <v>62</v>
      </c>
      <c r="S268" s="13" t="s">
        <v>49</v>
      </c>
      <c r="T268" s="13" t="s">
        <v>78</v>
      </c>
      <c r="U268" s="13" t="s">
        <v>79</v>
      </c>
      <c r="V268" s="13" t="s">
        <v>1407</v>
      </c>
      <c r="W268" s="13" t="s">
        <v>64</v>
      </c>
      <c r="X268" s="135">
        <v>790000</v>
      </c>
      <c r="Y268" s="157" t="str">
        <f t="shared" si="85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86"/>
        <v>48763143.537654862</v>
      </c>
      <c r="AJ268" s="19">
        <f t="shared" si="87"/>
        <v>5924029.9702154724</v>
      </c>
      <c r="AK268" s="20">
        <f t="shared" si="96"/>
        <v>0.1214858095774925</v>
      </c>
      <c r="AL268" s="17"/>
      <c r="AM268" s="17"/>
      <c r="AN268" s="17"/>
      <c r="AO268" s="17"/>
      <c r="AP268" s="28" t="str">
        <f t="shared" si="97"/>
        <v>202012</v>
      </c>
      <c r="AQ268" s="28" t="str">
        <f t="shared" si="98"/>
        <v>202012RMB</v>
      </c>
      <c r="AR268" s="206" t="str">
        <f t="shared" si="99"/>
        <v>YAMAHA_Mounter</v>
      </c>
      <c r="AS268" s="22">
        <f t="shared" si="100"/>
        <v>2</v>
      </c>
      <c r="AT268" s="24" t="str">
        <f t="shared" si="101"/>
        <v>0-3 months</v>
      </c>
      <c r="AU268" s="22" t="s">
        <v>3744</v>
      </c>
    </row>
    <row r="269" spans="1:47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48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1465</v>
      </c>
      <c r="K269" s="155" t="s">
        <v>1466</v>
      </c>
      <c r="L269" s="17" t="s">
        <v>92</v>
      </c>
      <c r="M269" s="13" t="s">
        <v>60</v>
      </c>
      <c r="N269" s="13">
        <v>1</v>
      </c>
      <c r="O269" s="13"/>
      <c r="P269" s="33" t="str">
        <f t="shared" si="91"/>
        <v>MAIN UNIT</v>
      </c>
      <c r="Q269" s="13" t="s">
        <v>68</v>
      </c>
      <c r="R269" s="13" t="s">
        <v>62</v>
      </c>
      <c r="S269" s="13" t="s">
        <v>49</v>
      </c>
      <c r="T269" s="13" t="s">
        <v>78</v>
      </c>
      <c r="U269" s="13" t="s">
        <v>79</v>
      </c>
      <c r="V269" s="13" t="s">
        <v>1407</v>
      </c>
      <c r="W269" s="13" t="s">
        <v>64</v>
      </c>
      <c r="X269" s="135">
        <v>790000</v>
      </c>
      <c r="Y269" s="157" t="str">
        <f t="shared" si="85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86"/>
        <v>48763143.537654862</v>
      </c>
      <c r="AJ269" s="19">
        <f t="shared" si="87"/>
        <v>5924029.9702154724</v>
      </c>
      <c r="AK269" s="20">
        <f t="shared" si="96"/>
        <v>0.1214858095774925</v>
      </c>
      <c r="AL269" s="17"/>
      <c r="AM269" s="17"/>
      <c r="AN269" s="17"/>
      <c r="AO269" s="17"/>
      <c r="AP269" s="28" t="str">
        <f t="shared" si="97"/>
        <v>202012</v>
      </c>
      <c r="AQ269" s="28" t="str">
        <f t="shared" si="98"/>
        <v>202012RMB</v>
      </c>
      <c r="AR269" s="206" t="str">
        <f t="shared" si="99"/>
        <v>YAMAHA_Mounter</v>
      </c>
      <c r="AS269" s="22">
        <f t="shared" si="100"/>
        <v>2</v>
      </c>
      <c r="AT269" s="24" t="str">
        <f t="shared" si="101"/>
        <v>0-3 months</v>
      </c>
      <c r="AU269" s="22" t="s">
        <v>3744</v>
      </c>
    </row>
    <row r="270" spans="1:47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3329</v>
      </c>
      <c r="K270" s="29" t="s">
        <v>3328</v>
      </c>
      <c r="L270" s="17" t="s">
        <v>67</v>
      </c>
      <c r="M270" s="22" t="s">
        <v>60</v>
      </c>
      <c r="N270" s="22">
        <v>1</v>
      </c>
      <c r="O270" s="22"/>
      <c r="P270" s="33" t="str">
        <f t="shared" si="91"/>
        <v>MAIN UNIT</v>
      </c>
      <c r="Q270" s="13" t="s">
        <v>68</v>
      </c>
      <c r="R270" s="22" t="s">
        <v>62</v>
      </c>
      <c r="S270" s="22" t="s">
        <v>49</v>
      </c>
      <c r="T270" s="22" t="s">
        <v>78</v>
      </c>
      <c r="U270" s="22" t="s">
        <v>3330</v>
      </c>
      <c r="V270" s="22" t="s">
        <v>121</v>
      </c>
      <c r="W270" s="22" t="s">
        <v>109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86"/>
        <v>20319282.700884953</v>
      </c>
      <c r="AJ270" s="27">
        <f t="shared" si="87"/>
        <v>2408851.9638623013</v>
      </c>
      <c r="AK270" s="28">
        <f t="shared" si="96"/>
        <v>0.11855004919821259</v>
      </c>
      <c r="AL270" s="24"/>
      <c r="AM270" s="24"/>
      <c r="AN270" s="24"/>
      <c r="AO270" s="24"/>
      <c r="AP270" s="28" t="str">
        <f t="shared" si="97"/>
        <v>20244</v>
      </c>
      <c r="AQ270" s="28" t="str">
        <f t="shared" si="98"/>
        <v>20244JPY</v>
      </c>
      <c r="AR270" s="206" t="str">
        <f t="shared" si="99"/>
        <v>YAMAHA_Mounter</v>
      </c>
      <c r="AS270" s="22">
        <f t="shared" si="100"/>
        <v>1</v>
      </c>
      <c r="AT270" s="24" t="str">
        <f t="shared" si="101"/>
        <v>0-3 months</v>
      </c>
      <c r="AU270" s="22" t="s">
        <v>3745</v>
      </c>
    </row>
    <row r="271" spans="1:47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3172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3164</v>
      </c>
      <c r="K271" s="29" t="s">
        <v>3190</v>
      </c>
      <c r="L271" s="17" t="s">
        <v>92</v>
      </c>
      <c r="M271" s="13" t="s">
        <v>60</v>
      </c>
      <c r="N271" s="22">
        <v>1</v>
      </c>
      <c r="O271" s="22"/>
      <c r="P271" s="33" t="str">
        <f t="shared" si="91"/>
        <v>MAIN UNIT</v>
      </c>
      <c r="Q271" s="13" t="s">
        <v>68</v>
      </c>
      <c r="R271" s="22" t="s">
        <v>62</v>
      </c>
      <c r="S271" s="22" t="s">
        <v>50</v>
      </c>
      <c r="T271" s="22" t="s">
        <v>88</v>
      </c>
      <c r="U271" s="22" t="s">
        <v>70</v>
      </c>
      <c r="V271" s="22" t="s">
        <v>1010</v>
      </c>
      <c r="W271" s="22" t="s">
        <v>64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86"/>
        <v>20319282.700884953</v>
      </c>
      <c r="AJ271" s="27">
        <f t="shared" si="87"/>
        <v>2408851.9638623013</v>
      </c>
      <c r="AK271" s="28">
        <f t="shared" si="96"/>
        <v>0.11855004919821259</v>
      </c>
      <c r="AL271" s="24"/>
      <c r="AM271" s="24"/>
      <c r="AN271" s="24"/>
      <c r="AO271" s="24"/>
      <c r="AP271" s="28" t="str">
        <f t="shared" si="97"/>
        <v>20244</v>
      </c>
      <c r="AQ271" s="28" t="str">
        <f t="shared" si="98"/>
        <v>20244RMB</v>
      </c>
      <c r="AR271" s="206" t="str">
        <f t="shared" si="99"/>
        <v>YAMAHA_Mounter</v>
      </c>
      <c r="AS271" s="22">
        <f t="shared" si="100"/>
        <v>2</v>
      </c>
      <c r="AT271" s="24" t="str">
        <f t="shared" si="101"/>
        <v>0-3 months</v>
      </c>
      <c r="AU271" s="22" t="s">
        <v>3240</v>
      </c>
    </row>
    <row r="272" spans="1:47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47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785</v>
      </c>
      <c r="K272" s="155" t="s">
        <v>786</v>
      </c>
      <c r="L272" s="17" t="s">
        <v>67</v>
      </c>
      <c r="M272" s="13" t="s">
        <v>60</v>
      </c>
      <c r="N272" s="13">
        <v>1</v>
      </c>
      <c r="O272" s="13"/>
      <c r="P272" s="33" t="str">
        <f t="shared" si="91"/>
        <v>MAIN UNIT</v>
      </c>
      <c r="Q272" s="13" t="s">
        <v>68</v>
      </c>
      <c r="R272" s="13" t="s">
        <v>62</v>
      </c>
      <c r="S272" s="13" t="s">
        <v>49</v>
      </c>
      <c r="T272" s="13" t="s">
        <v>787</v>
      </c>
      <c r="U272" s="13" t="s">
        <v>70</v>
      </c>
      <c r="V272" s="13" t="s">
        <v>169</v>
      </c>
      <c r="W272" s="13" t="s">
        <v>64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86"/>
        <v>34015877.71150443</v>
      </c>
      <c r="AJ272" s="19">
        <f t="shared" si="87"/>
        <v>4446292.375441948</v>
      </c>
      <c r="AK272" s="20">
        <f t="shared" si="96"/>
        <v>0.13071226364205143</v>
      </c>
      <c r="AL272" s="17"/>
      <c r="AM272" s="17"/>
      <c r="AN272" s="17"/>
      <c r="AO272" s="17"/>
      <c r="AP272" s="28" t="str">
        <f t="shared" si="97"/>
        <v>20197</v>
      </c>
      <c r="AQ272" s="28" t="str">
        <f t="shared" si="98"/>
        <v>20197RMB</v>
      </c>
      <c r="AR272" s="206" t="str">
        <f t="shared" si="99"/>
        <v>YAMAHA_Mounter</v>
      </c>
      <c r="AS272" s="22">
        <f t="shared" si="100"/>
        <v>2</v>
      </c>
      <c r="AT272" s="24" t="str">
        <f t="shared" si="101"/>
        <v>0-3 months</v>
      </c>
      <c r="AU272" s="22" t="s">
        <v>3240</v>
      </c>
    </row>
    <row r="273" spans="1:47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48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1397</v>
      </c>
      <c r="K273" s="155" t="s">
        <v>786</v>
      </c>
      <c r="L273" s="17" t="s">
        <v>67</v>
      </c>
      <c r="M273" s="13" t="s">
        <v>60</v>
      </c>
      <c r="N273" s="13">
        <v>1</v>
      </c>
      <c r="O273" s="13"/>
      <c r="P273" s="33" t="str">
        <f t="shared" si="91"/>
        <v>MAIN UNIT</v>
      </c>
      <c r="Q273" s="13" t="s">
        <v>61</v>
      </c>
      <c r="R273" s="13" t="s">
        <v>62</v>
      </c>
      <c r="S273" s="13" t="s">
        <v>50</v>
      </c>
      <c r="T273" s="13" t="s">
        <v>787</v>
      </c>
      <c r="U273" s="13" t="s">
        <v>70</v>
      </c>
      <c r="V273" s="13" t="s">
        <v>169</v>
      </c>
      <c r="W273" s="13" t="s">
        <v>64</v>
      </c>
      <c r="X273" s="135">
        <v>560000</v>
      </c>
      <c r="Y273" s="156" t="s">
        <v>1110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86"/>
        <v>47907808.356810622</v>
      </c>
      <c r="AJ273" s="19">
        <f t="shared" si="87"/>
        <v>6027384.8806384448</v>
      </c>
      <c r="AK273" s="20">
        <f t="shared" si="96"/>
        <v>0.12581216063459488</v>
      </c>
      <c r="AL273" s="17"/>
      <c r="AM273" s="17"/>
      <c r="AN273" s="17"/>
      <c r="AO273" s="17"/>
      <c r="AP273" s="28" t="str">
        <f t="shared" si="97"/>
        <v>20209</v>
      </c>
      <c r="AQ273" s="28" t="str">
        <f t="shared" si="98"/>
        <v>20209RMB</v>
      </c>
      <c r="AR273" s="206" t="str">
        <f t="shared" si="99"/>
        <v>YAMAHA_Mounter</v>
      </c>
      <c r="AS273" s="22">
        <f t="shared" si="100"/>
        <v>1</v>
      </c>
      <c r="AT273" s="24" t="str">
        <f t="shared" si="101"/>
        <v>0-3 months</v>
      </c>
      <c r="AU273" s="22" t="s">
        <v>3240</v>
      </c>
    </row>
    <row r="274" spans="1:47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41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401</v>
      </c>
      <c r="K274" s="155" t="s">
        <v>402</v>
      </c>
      <c r="L274" s="17" t="s">
        <v>67</v>
      </c>
      <c r="M274" s="13" t="s">
        <v>60</v>
      </c>
      <c r="N274" s="13">
        <v>1</v>
      </c>
      <c r="O274" s="13"/>
      <c r="P274" s="33" t="str">
        <f t="shared" si="91"/>
        <v>MAIN UNIT</v>
      </c>
      <c r="Q274" s="13" t="s">
        <v>68</v>
      </c>
      <c r="R274" s="13" t="s">
        <v>62</v>
      </c>
      <c r="S274" s="13" t="s">
        <v>49</v>
      </c>
      <c r="T274" s="13" t="s">
        <v>78</v>
      </c>
      <c r="U274" s="13" t="s">
        <v>79</v>
      </c>
      <c r="V274" s="13" t="s">
        <v>311</v>
      </c>
      <c r="W274" s="13" t="s">
        <v>109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86"/>
        <v>29946107.503386207</v>
      </c>
      <c r="AJ274" s="19">
        <f t="shared" si="87"/>
        <v>3987206.4954923098</v>
      </c>
      <c r="AK274" s="20">
        <f t="shared" si="96"/>
        <v>0.13314606898547499</v>
      </c>
      <c r="AL274" s="17"/>
      <c r="AM274" s="17"/>
      <c r="AN274" s="17"/>
      <c r="AO274" s="17"/>
      <c r="AP274" s="28" t="str">
        <f t="shared" si="97"/>
        <v>20187</v>
      </c>
      <c r="AQ274" s="28" t="str">
        <f t="shared" si="98"/>
        <v>20187JPY</v>
      </c>
      <c r="AR274" s="206" t="str">
        <f t="shared" si="99"/>
        <v>YAMAHA_Mounter</v>
      </c>
      <c r="AS274" s="22">
        <f t="shared" si="100"/>
        <v>1</v>
      </c>
      <c r="AT274" s="24" t="str">
        <f t="shared" si="101"/>
        <v>0-3 months</v>
      </c>
      <c r="AU274" s="22" t="s">
        <v>3745</v>
      </c>
    </row>
    <row r="275" spans="1:47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55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2511</v>
      </c>
      <c r="K275" s="155" t="s">
        <v>2512</v>
      </c>
      <c r="L275" s="17" t="s">
        <v>92</v>
      </c>
      <c r="M275" s="13" t="s">
        <v>60</v>
      </c>
      <c r="N275" s="13">
        <v>1</v>
      </c>
      <c r="O275" s="13"/>
      <c r="P275" s="33" t="str">
        <f t="shared" si="91"/>
        <v>MAIN UNIT</v>
      </c>
      <c r="Q275" s="13" t="s">
        <v>68</v>
      </c>
      <c r="R275" s="13" t="s">
        <v>62</v>
      </c>
      <c r="S275" s="13" t="s">
        <v>51</v>
      </c>
      <c r="T275" s="13" t="s">
        <v>2513</v>
      </c>
      <c r="U275" s="13" t="s">
        <v>149</v>
      </c>
      <c r="V275" s="13" t="s">
        <v>507</v>
      </c>
      <c r="W275" s="13" t="s">
        <v>64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86"/>
        <v>13640480.497522123</v>
      </c>
      <c r="AJ275" s="19">
        <f t="shared" si="87"/>
        <v>1928605.8020906283</v>
      </c>
      <c r="AK275" s="20">
        <f t="shared" si="96"/>
        <v>0.1413884065477731</v>
      </c>
      <c r="AL275" s="17"/>
      <c r="AM275" s="17"/>
      <c r="AN275" s="17"/>
      <c r="AO275" s="17"/>
      <c r="AP275" s="28" t="str">
        <f t="shared" si="97"/>
        <v>20236</v>
      </c>
      <c r="AQ275" s="28" t="str">
        <f t="shared" si="98"/>
        <v>20236RMB</v>
      </c>
      <c r="AR275" s="206" t="str">
        <f t="shared" si="99"/>
        <v>YAMAHA_Mounter</v>
      </c>
      <c r="AS275" s="22">
        <f t="shared" si="100"/>
        <v>1</v>
      </c>
      <c r="AT275" s="24" t="str">
        <f t="shared" si="101"/>
        <v>0-3 months</v>
      </c>
      <c r="AU275" s="22" t="s">
        <v>3240</v>
      </c>
    </row>
    <row r="276" spans="1:47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55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2511</v>
      </c>
      <c r="K276" s="155" t="s">
        <v>2512</v>
      </c>
      <c r="L276" s="17" t="s">
        <v>67</v>
      </c>
      <c r="M276" s="13" t="s">
        <v>60</v>
      </c>
      <c r="N276" s="13">
        <v>1</v>
      </c>
      <c r="O276" s="13"/>
      <c r="P276" s="33" t="str">
        <f t="shared" si="91"/>
        <v>MAIN UNIT</v>
      </c>
      <c r="Q276" s="13" t="s">
        <v>68</v>
      </c>
      <c r="R276" s="13" t="s">
        <v>62</v>
      </c>
      <c r="S276" s="13" t="s">
        <v>51</v>
      </c>
      <c r="T276" s="13" t="s">
        <v>2513</v>
      </c>
      <c r="U276" s="13" t="s">
        <v>149</v>
      </c>
      <c r="V276" s="13" t="s">
        <v>507</v>
      </c>
      <c r="W276" s="13" t="s">
        <v>64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86"/>
        <v>13640480.497522123</v>
      </c>
      <c r="AJ276" s="19">
        <f t="shared" si="87"/>
        <v>1928605.8020906283</v>
      </c>
      <c r="AK276" s="20">
        <f t="shared" si="96"/>
        <v>0.1413884065477731</v>
      </c>
      <c r="AL276" s="17"/>
      <c r="AM276" s="17"/>
      <c r="AN276" s="17"/>
      <c r="AO276" s="17"/>
      <c r="AP276" s="28" t="str">
        <f t="shared" si="97"/>
        <v>20236</v>
      </c>
      <c r="AQ276" s="28" t="str">
        <f t="shared" si="98"/>
        <v>20236RMB</v>
      </c>
      <c r="AR276" s="206" t="str">
        <f t="shared" si="99"/>
        <v>YAMAHA_Mounter</v>
      </c>
      <c r="AS276" s="22">
        <f t="shared" si="100"/>
        <v>1</v>
      </c>
      <c r="AT276" s="24" t="str">
        <f t="shared" si="101"/>
        <v>0-3 months</v>
      </c>
      <c r="AU276" s="22" t="s">
        <v>3240</v>
      </c>
    </row>
    <row r="277" spans="1:47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55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2578</v>
      </c>
      <c r="K277" s="155" t="s">
        <v>2512</v>
      </c>
      <c r="L277" s="17" t="s">
        <v>2579</v>
      </c>
      <c r="M277" s="13" t="s">
        <v>60</v>
      </c>
      <c r="N277" s="13">
        <v>0</v>
      </c>
      <c r="O277" s="13">
        <v>1</v>
      </c>
      <c r="P277" s="33" t="str">
        <f t="shared" si="91"/>
        <v>SERVICE/ PARTS</v>
      </c>
      <c r="Q277" s="13" t="s">
        <v>61</v>
      </c>
      <c r="R277" s="13" t="s">
        <v>62</v>
      </c>
      <c r="S277" s="13" t="s">
        <v>51</v>
      </c>
      <c r="T277" s="13" t="s">
        <v>2513</v>
      </c>
      <c r="U277" s="13" t="s">
        <v>149</v>
      </c>
      <c r="V277" s="13" t="s">
        <v>507</v>
      </c>
      <c r="W277" s="13" t="s">
        <v>64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86"/>
        <v>26078226.463097349</v>
      </c>
      <c r="AJ277" s="19">
        <f t="shared" si="87"/>
        <v>3137870.4427774516</v>
      </c>
      <c r="AK277" s="20">
        <f t="shared" si="96"/>
        <v>0.12032530077218917</v>
      </c>
      <c r="AL277" s="17"/>
      <c r="AM277" s="17"/>
      <c r="AN277" s="17"/>
      <c r="AO277" s="17"/>
      <c r="AP277" s="28" t="str">
        <f t="shared" si="97"/>
        <v>20239</v>
      </c>
      <c r="AQ277" s="28" t="str">
        <f t="shared" si="98"/>
        <v>20239RMB</v>
      </c>
      <c r="AR277" s="206" t="str">
        <f t="shared" si="99"/>
        <v>YAMAHA_Mounter</v>
      </c>
      <c r="AS277" s="22">
        <f t="shared" si="100"/>
        <v>0</v>
      </c>
      <c r="AT277" s="24" t="str">
        <f t="shared" si="101"/>
        <v>0-3 months</v>
      </c>
      <c r="AU277" s="22" t="s">
        <v>3240</v>
      </c>
    </row>
    <row r="278" spans="1:47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48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2902</v>
      </c>
      <c r="K278" s="155" t="s">
        <v>2903</v>
      </c>
      <c r="L278" s="17" t="s">
        <v>2788</v>
      </c>
      <c r="M278" s="13" t="s">
        <v>2607</v>
      </c>
      <c r="N278" s="13">
        <v>1</v>
      </c>
      <c r="O278" s="13"/>
      <c r="P278" s="33" t="str">
        <f t="shared" si="91"/>
        <v>MAIN UNIT</v>
      </c>
      <c r="Q278" s="13" t="s">
        <v>68</v>
      </c>
      <c r="R278" s="13" t="s">
        <v>2055</v>
      </c>
      <c r="S278" s="13" t="s">
        <v>51</v>
      </c>
      <c r="T278" s="13" t="s">
        <v>349</v>
      </c>
      <c r="U278" s="13" t="s">
        <v>149</v>
      </c>
      <c r="V278" s="13" t="s">
        <v>2828</v>
      </c>
      <c r="W278" s="13" t="s">
        <v>64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86"/>
        <v>35384300.169380538</v>
      </c>
      <c r="AJ278" s="19">
        <f t="shared" si="87"/>
        <v>5044538.8896988509</v>
      </c>
      <c r="AK278" s="20">
        <f t="shared" si="96"/>
        <v>0.14256432557804533</v>
      </c>
      <c r="AL278" s="17"/>
      <c r="AM278" s="17"/>
      <c r="AN278" s="17"/>
      <c r="AO278" s="17"/>
      <c r="AP278" s="28" t="str">
        <f t="shared" si="97"/>
        <v>20207</v>
      </c>
      <c r="AQ278" s="28" t="str">
        <f t="shared" si="98"/>
        <v>20207RMB</v>
      </c>
      <c r="AR278" s="206" t="str">
        <f t="shared" si="99"/>
        <v>HELLER</v>
      </c>
      <c r="AS278" s="22">
        <f t="shared" si="100"/>
        <v>2</v>
      </c>
      <c r="AT278" s="24" t="str">
        <f t="shared" si="101"/>
        <v>0-3 months</v>
      </c>
      <c r="AU278" s="22" t="s">
        <v>3240</v>
      </c>
    </row>
    <row r="279" spans="1:47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41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276</v>
      </c>
      <c r="K279" s="155" t="s">
        <v>277</v>
      </c>
      <c r="L279" s="17" t="s">
        <v>67</v>
      </c>
      <c r="M279" s="13" t="s">
        <v>60</v>
      </c>
      <c r="N279" s="13">
        <v>1</v>
      </c>
      <c r="O279" s="13"/>
      <c r="P279" s="33" t="str">
        <f t="shared" si="91"/>
        <v>MAIN UNIT</v>
      </c>
      <c r="Q279" s="13" t="s">
        <v>68</v>
      </c>
      <c r="R279" s="13" t="s">
        <v>62</v>
      </c>
      <c r="S279" s="13" t="s">
        <v>50</v>
      </c>
      <c r="T279" s="13" t="s">
        <v>101</v>
      </c>
      <c r="U279" s="13" t="s">
        <v>70</v>
      </c>
      <c r="V279" s="13" t="s">
        <v>169</v>
      </c>
      <c r="W279" s="13" t="s">
        <v>64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86"/>
        <v>29840797.698275864</v>
      </c>
      <c r="AJ279" s="19">
        <f t="shared" si="87"/>
        <v>3940167.6555448272</v>
      </c>
      <c r="AK279" s="20">
        <f t="shared" si="96"/>
        <v>0.13203962224416277</v>
      </c>
      <c r="AL279" s="17"/>
      <c r="AM279" s="17"/>
      <c r="AN279" s="17"/>
      <c r="AO279" s="17"/>
      <c r="AP279" s="28" t="str">
        <f t="shared" si="97"/>
        <v>201812</v>
      </c>
      <c r="AQ279" s="28" t="str">
        <f t="shared" si="98"/>
        <v>201812RMB</v>
      </c>
      <c r="AR279" s="206" t="str">
        <f t="shared" si="99"/>
        <v>YAMAHA_Mounter</v>
      </c>
      <c r="AS279" s="22">
        <f t="shared" si="100"/>
        <v>4</v>
      </c>
      <c r="AT279" s="24" t="str">
        <f t="shared" si="101"/>
        <v>4-6 months</v>
      </c>
      <c r="AU279" s="22" t="s">
        <v>3240</v>
      </c>
    </row>
    <row r="280" spans="1:47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41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864</v>
      </c>
      <c r="K280" s="155" t="s">
        <v>277</v>
      </c>
      <c r="L280" s="17" t="s">
        <v>865</v>
      </c>
      <c r="M280" s="13" t="s">
        <v>377</v>
      </c>
      <c r="N280" s="13">
        <v>1</v>
      </c>
      <c r="O280" s="13"/>
      <c r="P280" s="33" t="str">
        <f t="shared" si="91"/>
        <v>MAIN UNIT</v>
      </c>
      <c r="Q280" s="13" t="s">
        <v>68</v>
      </c>
      <c r="R280" s="13" t="s">
        <v>62</v>
      </c>
      <c r="S280" s="13" t="s">
        <v>50</v>
      </c>
      <c r="T280" s="13" t="s">
        <v>101</v>
      </c>
      <c r="U280" s="13" t="s">
        <v>70</v>
      </c>
      <c r="V280" s="13" t="s">
        <v>169</v>
      </c>
      <c r="W280" s="13" t="s">
        <v>64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86"/>
        <v>47416008.333399981</v>
      </c>
      <c r="AJ280" s="19">
        <f t="shared" si="87"/>
        <v>6981738.4465290187</v>
      </c>
      <c r="AK280" s="20">
        <f t="shared" si="96"/>
        <v>0.14724433143839863</v>
      </c>
      <c r="AL280" s="17"/>
      <c r="AM280" s="17"/>
      <c r="AN280" s="17"/>
      <c r="AO280" s="17"/>
      <c r="AP280" s="28" t="str">
        <f t="shared" si="97"/>
        <v>20193</v>
      </c>
      <c r="AQ280" s="28" t="str">
        <f t="shared" si="98"/>
        <v>20193RMB</v>
      </c>
      <c r="AR280" s="206" t="str">
        <f t="shared" si="99"/>
        <v>LOCAL SUPPLIER</v>
      </c>
      <c r="AS280" s="22">
        <f t="shared" si="100"/>
        <v>0</v>
      </c>
      <c r="AT280" s="24" t="str">
        <f t="shared" si="101"/>
        <v>0-3 months</v>
      </c>
      <c r="AU280" s="22" t="s">
        <v>3240</v>
      </c>
    </row>
    <row r="281" spans="1:47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41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866</v>
      </c>
      <c r="K281" s="155" t="s">
        <v>277</v>
      </c>
      <c r="L281" s="17" t="s">
        <v>865</v>
      </c>
      <c r="M281" s="13" t="s">
        <v>377</v>
      </c>
      <c r="N281" s="13">
        <v>1</v>
      </c>
      <c r="O281" s="13"/>
      <c r="P281" s="33" t="str">
        <f t="shared" si="91"/>
        <v>MAIN UNIT</v>
      </c>
      <c r="Q281" s="13" t="s">
        <v>61</v>
      </c>
      <c r="R281" s="13" t="s">
        <v>62</v>
      </c>
      <c r="S281" s="13" t="s">
        <v>50</v>
      </c>
      <c r="T281" s="13" t="s">
        <v>101</v>
      </c>
      <c r="U281" s="13" t="s">
        <v>70</v>
      </c>
      <c r="V281" s="13" t="s">
        <v>169</v>
      </c>
      <c r="W281" s="13" t="s">
        <v>64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86"/>
        <v>47416008.333399981</v>
      </c>
      <c r="AJ281" s="19">
        <f t="shared" si="87"/>
        <v>6981738.4465290187</v>
      </c>
      <c r="AK281" s="20">
        <f t="shared" si="96"/>
        <v>0.14724433143839863</v>
      </c>
      <c r="AL281" s="17"/>
      <c r="AM281" s="17"/>
      <c r="AN281" s="17"/>
      <c r="AO281" s="17"/>
      <c r="AP281" s="28" t="str">
        <f t="shared" si="97"/>
        <v>20193</v>
      </c>
      <c r="AQ281" s="28" t="str">
        <f t="shared" si="98"/>
        <v>20193RMB</v>
      </c>
      <c r="AR281" s="206" t="str">
        <f t="shared" si="99"/>
        <v>LOCAL SUPPLIER</v>
      </c>
      <c r="AS281" s="22">
        <f t="shared" si="100"/>
        <v>0</v>
      </c>
      <c r="AT281" s="24" t="str">
        <f t="shared" si="101"/>
        <v>0-3 months</v>
      </c>
      <c r="AU281" s="22" t="s">
        <v>3240</v>
      </c>
    </row>
    <row r="282" spans="1:47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185</v>
      </c>
      <c r="F282" s="13" t="s">
        <v>185</v>
      </c>
      <c r="G282" s="152" t="s">
        <v>1616</v>
      </c>
      <c r="H282" s="155"/>
      <c r="I282" s="33" t="str">
        <f t="shared" si="90"/>
        <v>Cancel</v>
      </c>
      <c r="J282" s="186" t="s">
        <v>2087</v>
      </c>
      <c r="K282" s="155" t="s">
        <v>2088</v>
      </c>
      <c r="L282" s="17" t="s">
        <v>92</v>
      </c>
      <c r="M282" s="13" t="s">
        <v>60</v>
      </c>
      <c r="N282" s="13">
        <v>1</v>
      </c>
      <c r="O282" s="13"/>
      <c r="P282" s="33" t="str">
        <f t="shared" si="91"/>
        <v>MAIN UNIT</v>
      </c>
      <c r="Q282" s="13" t="s">
        <v>61</v>
      </c>
      <c r="R282" s="13" t="s">
        <v>62</v>
      </c>
      <c r="S282" s="13" t="s">
        <v>50</v>
      </c>
      <c r="T282" s="13" t="s">
        <v>168</v>
      </c>
      <c r="U282" s="13" t="s">
        <v>70</v>
      </c>
      <c r="V282" s="13" t="s">
        <v>102</v>
      </c>
      <c r="W282" s="13" t="s">
        <v>64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86"/>
        <v>499582152.5142017</v>
      </c>
      <c r="AJ282" s="19">
        <f t="shared" si="87"/>
        <v>59520528.679470733</v>
      </c>
      <c r="AK282" s="20">
        <f t="shared" si="96"/>
        <v>0.11914062257814291</v>
      </c>
      <c r="AL282" s="17"/>
      <c r="AM282" s="17"/>
      <c r="AN282" s="17"/>
      <c r="AO282" s="17"/>
      <c r="AP282" s="28" t="str">
        <f t="shared" si="97"/>
        <v>CancelCANCEL</v>
      </c>
      <c r="AQ282" s="28" t="str">
        <f t="shared" si="98"/>
        <v>CancelCANCELRMB</v>
      </c>
      <c r="AR282" s="206" t="str">
        <f t="shared" si="99"/>
        <v>YAMAHA_Mounter</v>
      </c>
      <c r="AS282" s="22" t="str">
        <f t="shared" si="100"/>
        <v/>
      </c>
      <c r="AT282" s="24" t="str">
        <f t="shared" si="101"/>
        <v/>
      </c>
      <c r="AU282" s="22" t="s">
        <v>3240</v>
      </c>
    </row>
    <row r="283" spans="1:47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185</v>
      </c>
      <c r="F283" s="13" t="s">
        <v>185</v>
      </c>
      <c r="G283" s="152" t="s">
        <v>1616</v>
      </c>
      <c r="H283" s="155"/>
      <c r="I283" s="33" t="str">
        <f t="shared" si="90"/>
        <v>Cancel</v>
      </c>
      <c r="J283" s="186" t="s">
        <v>2087</v>
      </c>
      <c r="K283" s="155" t="s">
        <v>2088</v>
      </c>
      <c r="L283" s="17" t="s">
        <v>67</v>
      </c>
      <c r="M283" s="13" t="s">
        <v>60</v>
      </c>
      <c r="N283" s="13">
        <v>1</v>
      </c>
      <c r="O283" s="13"/>
      <c r="P283" s="33" t="str">
        <f t="shared" si="91"/>
        <v>MAIN UNIT</v>
      </c>
      <c r="Q283" s="13" t="s">
        <v>61</v>
      </c>
      <c r="R283" s="13" t="s">
        <v>62</v>
      </c>
      <c r="S283" s="13" t="s">
        <v>50</v>
      </c>
      <c r="T283" s="13" t="s">
        <v>168</v>
      </c>
      <c r="U283" s="13" t="s">
        <v>70</v>
      </c>
      <c r="V283" s="13" t="s">
        <v>102</v>
      </c>
      <c r="W283" s="13" t="s">
        <v>64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86"/>
        <v>499582152.5142017</v>
      </c>
      <c r="AJ283" s="19">
        <f t="shared" si="87"/>
        <v>59520528.679470733</v>
      </c>
      <c r="AK283" s="20">
        <f t="shared" si="96"/>
        <v>0.11914062257814291</v>
      </c>
      <c r="AL283" s="17"/>
      <c r="AM283" s="17"/>
      <c r="AN283" s="17"/>
      <c r="AO283" s="17"/>
      <c r="AP283" s="28" t="str">
        <f t="shared" si="97"/>
        <v>CancelCANCEL</v>
      </c>
      <c r="AQ283" s="28" t="str">
        <f t="shared" si="98"/>
        <v>CancelCANCELRMB</v>
      </c>
      <c r="AR283" s="206" t="str">
        <f t="shared" si="99"/>
        <v>YAMAHA_Mounter</v>
      </c>
      <c r="AS283" s="22" t="str">
        <f t="shared" si="100"/>
        <v/>
      </c>
      <c r="AT283" s="24" t="str">
        <f t="shared" si="101"/>
        <v/>
      </c>
      <c r="AU283" s="22" t="s">
        <v>3240</v>
      </c>
    </row>
    <row r="284" spans="1:47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53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1799</v>
      </c>
      <c r="K284" s="155" t="s">
        <v>1800</v>
      </c>
      <c r="L284" s="17" t="s">
        <v>92</v>
      </c>
      <c r="M284" s="13" t="s">
        <v>60</v>
      </c>
      <c r="N284" s="13">
        <v>1</v>
      </c>
      <c r="O284" s="13"/>
      <c r="P284" s="33" t="str">
        <f t="shared" si="91"/>
        <v>MAIN UNIT</v>
      </c>
      <c r="Q284" s="13" t="s">
        <v>68</v>
      </c>
      <c r="R284" s="13" t="s">
        <v>62</v>
      </c>
      <c r="S284" s="13" t="s">
        <v>50</v>
      </c>
      <c r="T284" s="13" t="s">
        <v>168</v>
      </c>
      <c r="U284" s="13" t="s">
        <v>70</v>
      </c>
      <c r="V284" s="13" t="s">
        <v>102</v>
      </c>
      <c r="W284" s="13" t="s">
        <v>64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86"/>
        <v>54700260.692079648</v>
      </c>
      <c r="AJ284" s="19">
        <f t="shared" si="87"/>
        <v>7482899.5749188727</v>
      </c>
      <c r="AK284" s="20">
        <f t="shared" si="96"/>
        <v>0.13679824337660537</v>
      </c>
      <c r="AL284" s="17"/>
      <c r="AM284" s="17"/>
      <c r="AN284" s="17"/>
      <c r="AO284" s="17"/>
      <c r="AP284" s="28" t="str">
        <f t="shared" si="97"/>
        <v>20216</v>
      </c>
      <c r="AQ284" s="28" t="str">
        <f t="shared" si="98"/>
        <v>20216RMB</v>
      </c>
      <c r="AR284" s="206" t="str">
        <f t="shared" si="99"/>
        <v>YAMAHA_Mounter</v>
      </c>
      <c r="AS284" s="22">
        <f t="shared" si="100"/>
        <v>2</v>
      </c>
      <c r="AT284" s="24" t="str">
        <f t="shared" si="101"/>
        <v>0-3 months</v>
      </c>
      <c r="AU284" s="22" t="s">
        <v>3240</v>
      </c>
    </row>
    <row r="285" spans="1:47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53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1799</v>
      </c>
      <c r="K285" s="155" t="s">
        <v>1800</v>
      </c>
      <c r="L285" s="17" t="s">
        <v>92</v>
      </c>
      <c r="M285" s="13" t="s">
        <v>60</v>
      </c>
      <c r="N285" s="13">
        <v>1</v>
      </c>
      <c r="O285" s="13"/>
      <c r="P285" s="33" t="str">
        <f t="shared" si="91"/>
        <v>MAIN UNIT</v>
      </c>
      <c r="Q285" s="13" t="s">
        <v>68</v>
      </c>
      <c r="R285" s="13" t="s">
        <v>62</v>
      </c>
      <c r="S285" s="13" t="s">
        <v>50</v>
      </c>
      <c r="T285" s="13" t="s">
        <v>168</v>
      </c>
      <c r="U285" s="13" t="s">
        <v>70</v>
      </c>
      <c r="V285" s="13" t="s">
        <v>102</v>
      </c>
      <c r="W285" s="13" t="s">
        <v>64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86"/>
        <v>54700260.692079648</v>
      </c>
      <c r="AJ285" s="19">
        <f t="shared" si="87"/>
        <v>7482899.5749188727</v>
      </c>
      <c r="AK285" s="20">
        <f t="shared" si="96"/>
        <v>0.13679824337660537</v>
      </c>
      <c r="AL285" s="17"/>
      <c r="AM285" s="17"/>
      <c r="AN285" s="17"/>
      <c r="AO285" s="17"/>
      <c r="AP285" s="28" t="str">
        <f t="shared" si="97"/>
        <v>20216</v>
      </c>
      <c r="AQ285" s="28" t="str">
        <f t="shared" si="98"/>
        <v>20216RMB</v>
      </c>
      <c r="AR285" s="206" t="str">
        <f t="shared" si="99"/>
        <v>YAMAHA_Mounter</v>
      </c>
      <c r="AS285" s="22">
        <f t="shared" si="100"/>
        <v>2</v>
      </c>
      <c r="AT285" s="24" t="str">
        <f t="shared" si="101"/>
        <v>0-3 months</v>
      </c>
      <c r="AU285" s="22" t="s">
        <v>3240</v>
      </c>
    </row>
    <row r="286" spans="1:47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48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1066</v>
      </c>
      <c r="K286" s="155" t="s">
        <v>1067</v>
      </c>
      <c r="L286" s="17" t="s">
        <v>67</v>
      </c>
      <c r="M286" s="13" t="s">
        <v>60</v>
      </c>
      <c r="N286" s="13">
        <v>1</v>
      </c>
      <c r="O286" s="13"/>
      <c r="P286" s="33" t="str">
        <f t="shared" si="91"/>
        <v>MAIN UNIT</v>
      </c>
      <c r="Q286" s="13" t="s">
        <v>61</v>
      </c>
      <c r="R286" s="13" t="s">
        <v>62</v>
      </c>
      <c r="S286" s="13" t="s">
        <v>49</v>
      </c>
      <c r="T286" s="13" t="s">
        <v>249</v>
      </c>
      <c r="U286" s="13" t="s">
        <v>79</v>
      </c>
      <c r="V286" s="13" t="s">
        <v>112</v>
      </c>
      <c r="W286" s="13" t="s">
        <v>109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86"/>
        <v>33477255.428389374</v>
      </c>
      <c r="AJ286" s="19">
        <f t="shared" si="87"/>
        <v>4578663.362915583</v>
      </c>
      <c r="AK286" s="20">
        <f t="shared" si="96"/>
        <v>0.13676937682988152</v>
      </c>
      <c r="AL286" s="17"/>
      <c r="AM286" s="17"/>
      <c r="AN286" s="17"/>
      <c r="AO286" s="17"/>
      <c r="AP286" s="28" t="str">
        <f t="shared" si="97"/>
        <v>20204</v>
      </c>
      <c r="AQ286" s="28" t="str">
        <f t="shared" si="98"/>
        <v>20204JPY</v>
      </c>
      <c r="AR286" s="206" t="str">
        <f t="shared" si="99"/>
        <v>YAMAHA_Mounter</v>
      </c>
      <c r="AS286" s="22">
        <f t="shared" si="100"/>
        <v>0</v>
      </c>
      <c r="AT286" s="24" t="str">
        <f t="shared" si="101"/>
        <v>0-3 months</v>
      </c>
      <c r="AU286" s="22" t="s">
        <v>3745</v>
      </c>
    </row>
    <row r="287" spans="1:47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48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1068</v>
      </c>
      <c r="K287" s="155" t="s">
        <v>1067</v>
      </c>
      <c r="L287" s="17" t="s">
        <v>92</v>
      </c>
      <c r="M287" s="13" t="s">
        <v>60</v>
      </c>
      <c r="N287" s="13">
        <v>1</v>
      </c>
      <c r="O287" s="13"/>
      <c r="P287" s="33" t="str">
        <f t="shared" si="91"/>
        <v>MAIN UNIT</v>
      </c>
      <c r="Q287" s="13" t="s">
        <v>61</v>
      </c>
      <c r="R287" s="13" t="s">
        <v>62</v>
      </c>
      <c r="S287" s="13" t="s">
        <v>49</v>
      </c>
      <c r="T287" s="13" t="s">
        <v>78</v>
      </c>
      <c r="U287" s="13" t="s">
        <v>79</v>
      </c>
      <c r="V287" s="13" t="s">
        <v>112</v>
      </c>
      <c r="W287" s="13" t="s">
        <v>64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86"/>
        <v>33477255.428389374</v>
      </c>
      <c r="AJ287" s="19">
        <f t="shared" si="87"/>
        <v>4578663.362915583</v>
      </c>
      <c r="AK287" s="20">
        <f t="shared" si="96"/>
        <v>0.13676937682988152</v>
      </c>
      <c r="AL287" s="17"/>
      <c r="AM287" s="17"/>
      <c r="AN287" s="17"/>
      <c r="AO287" s="17"/>
      <c r="AP287" s="28" t="str">
        <f t="shared" si="97"/>
        <v>20204</v>
      </c>
      <c r="AQ287" s="28" t="str">
        <f t="shared" si="98"/>
        <v>20204RMB</v>
      </c>
      <c r="AR287" s="206" t="str">
        <f t="shared" si="99"/>
        <v>YAMAHA_Mounter</v>
      </c>
      <c r="AS287" s="22">
        <f t="shared" si="100"/>
        <v>0</v>
      </c>
      <c r="AT287" s="24" t="str">
        <f t="shared" si="101"/>
        <v>0-3 months</v>
      </c>
      <c r="AU287" s="22" t="s">
        <v>3744</v>
      </c>
    </row>
    <row r="288" spans="1:47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48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1278</v>
      </c>
      <c r="K288" s="155" t="s">
        <v>1279</v>
      </c>
      <c r="L288" s="17" t="s">
        <v>67</v>
      </c>
      <c r="M288" s="13" t="s">
        <v>60</v>
      </c>
      <c r="N288" s="13">
        <v>1</v>
      </c>
      <c r="O288" s="13"/>
      <c r="P288" s="33" t="str">
        <f t="shared" si="91"/>
        <v>MAIN UNIT</v>
      </c>
      <c r="Q288" s="13" t="s">
        <v>68</v>
      </c>
      <c r="R288" s="13" t="s">
        <v>62</v>
      </c>
      <c r="S288" s="13" t="s">
        <v>49</v>
      </c>
      <c r="T288" s="13" t="s">
        <v>1280</v>
      </c>
      <c r="U288" s="13" t="s">
        <v>79</v>
      </c>
      <c r="V288" s="13" t="s">
        <v>112</v>
      </c>
      <c r="W288" s="13" t="s">
        <v>64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86"/>
        <v>28065694.408805311</v>
      </c>
      <c r="AJ288" s="19">
        <f t="shared" si="87"/>
        <v>4157433.2906989697</v>
      </c>
      <c r="AK288" s="20">
        <f t="shared" si="96"/>
        <v>0.14813220831602228</v>
      </c>
      <c r="AL288" s="17"/>
      <c r="AM288" s="17"/>
      <c r="AN288" s="17"/>
      <c r="AO288" s="17"/>
      <c r="AP288" s="28" t="str">
        <f t="shared" si="97"/>
        <v>20205</v>
      </c>
      <c r="AQ288" s="28" t="str">
        <f t="shared" si="98"/>
        <v>20205RMB</v>
      </c>
      <c r="AR288" s="206" t="str">
        <f t="shared" si="99"/>
        <v>YAMAHA_Mounter</v>
      </c>
      <c r="AS288" s="22">
        <f t="shared" si="100"/>
        <v>1</v>
      </c>
      <c r="AT288" s="24" t="str">
        <f t="shared" si="101"/>
        <v>0-3 months</v>
      </c>
      <c r="AU288" s="22" t="s">
        <v>3744</v>
      </c>
    </row>
    <row r="289" spans="1:47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48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1278</v>
      </c>
      <c r="K289" s="155" t="s">
        <v>1279</v>
      </c>
      <c r="L289" s="17" t="s">
        <v>92</v>
      </c>
      <c r="M289" s="13" t="s">
        <v>60</v>
      </c>
      <c r="N289" s="13">
        <v>1</v>
      </c>
      <c r="O289" s="13"/>
      <c r="P289" s="33" t="str">
        <f t="shared" si="91"/>
        <v>MAIN UNIT</v>
      </c>
      <c r="Q289" s="13" t="s">
        <v>68</v>
      </c>
      <c r="R289" s="13" t="s">
        <v>62</v>
      </c>
      <c r="S289" s="13" t="s">
        <v>49</v>
      </c>
      <c r="T289" s="13" t="s">
        <v>1280</v>
      </c>
      <c r="U289" s="13" t="s">
        <v>79</v>
      </c>
      <c r="V289" s="13" t="s">
        <v>112</v>
      </c>
      <c r="W289" s="13" t="s">
        <v>64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86"/>
        <v>28065694.408805311</v>
      </c>
      <c r="AJ289" s="19">
        <f t="shared" si="87"/>
        <v>4157433.2906989697</v>
      </c>
      <c r="AK289" s="20">
        <f t="shared" si="96"/>
        <v>0.14813220831602228</v>
      </c>
      <c r="AL289" s="17"/>
      <c r="AM289" s="17"/>
      <c r="AN289" s="17"/>
      <c r="AO289" s="17"/>
      <c r="AP289" s="28" t="str">
        <f t="shared" si="97"/>
        <v>20205</v>
      </c>
      <c r="AQ289" s="28" t="str">
        <f t="shared" si="98"/>
        <v>20205RMB</v>
      </c>
      <c r="AR289" s="206" t="str">
        <f t="shared" si="99"/>
        <v>YAMAHA_Mounter</v>
      </c>
      <c r="AS289" s="22">
        <f t="shared" si="100"/>
        <v>1</v>
      </c>
      <c r="AT289" s="24" t="str">
        <f t="shared" si="101"/>
        <v>0-3 months</v>
      </c>
      <c r="AU289" s="22" t="s">
        <v>3744</v>
      </c>
    </row>
    <row r="290" spans="1:47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53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1950</v>
      </c>
      <c r="K290" s="155" t="s">
        <v>1951</v>
      </c>
      <c r="L290" s="17" t="s">
        <v>92</v>
      </c>
      <c r="M290" s="13" t="s">
        <v>60</v>
      </c>
      <c r="N290" s="13">
        <v>1</v>
      </c>
      <c r="O290" s="13"/>
      <c r="P290" s="33" t="str">
        <f t="shared" si="91"/>
        <v>MAIN UNIT</v>
      </c>
      <c r="Q290" s="13" t="s">
        <v>61</v>
      </c>
      <c r="R290" s="13" t="s">
        <v>62</v>
      </c>
      <c r="S290" s="13" t="s">
        <v>50</v>
      </c>
      <c r="T290" s="13" t="s">
        <v>93</v>
      </c>
      <c r="U290" s="13" t="s">
        <v>70</v>
      </c>
      <c r="V290" s="13" t="s">
        <v>169</v>
      </c>
      <c r="W290" s="13" t="s">
        <v>64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86"/>
        <v>26407088.359292038</v>
      </c>
      <c r="AJ290" s="19">
        <f t="shared" si="87"/>
        <v>3424510.6998470789</v>
      </c>
      <c r="AK290" s="20">
        <f t="shared" si="96"/>
        <v>0.12968149510667554</v>
      </c>
      <c r="AL290" s="17"/>
      <c r="AM290" s="17"/>
      <c r="AN290" s="17"/>
      <c r="AO290" s="17"/>
      <c r="AP290" s="28" t="str">
        <f t="shared" si="97"/>
        <v>20221</v>
      </c>
      <c r="AQ290" s="28" t="str">
        <f t="shared" si="98"/>
        <v>20221RMB</v>
      </c>
      <c r="AR290" s="206" t="str">
        <f t="shared" si="99"/>
        <v>YAMAHA_Mounter</v>
      </c>
      <c r="AS290" s="22">
        <f t="shared" si="100"/>
        <v>1</v>
      </c>
      <c r="AT290" s="24" t="str">
        <f t="shared" si="101"/>
        <v>0-3 months</v>
      </c>
      <c r="AU290" s="22" t="s">
        <v>3240</v>
      </c>
    </row>
    <row r="291" spans="1:47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41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342</v>
      </c>
      <c r="K291" s="155" t="s">
        <v>343</v>
      </c>
      <c r="L291" s="17" t="s">
        <v>92</v>
      </c>
      <c r="M291" s="13" t="s">
        <v>60</v>
      </c>
      <c r="N291" s="13">
        <v>1</v>
      </c>
      <c r="O291" s="13"/>
      <c r="P291" s="33" t="str">
        <f t="shared" si="91"/>
        <v>MAIN UNIT</v>
      </c>
      <c r="Q291" s="13" t="s">
        <v>61</v>
      </c>
      <c r="R291" s="13" t="s">
        <v>62</v>
      </c>
      <c r="S291" s="13" t="s">
        <v>49</v>
      </c>
      <c r="T291" s="13" t="s">
        <v>78</v>
      </c>
      <c r="U291" s="13" t="s">
        <v>79</v>
      </c>
      <c r="V291" s="13" t="s">
        <v>311</v>
      </c>
      <c r="W291" s="13" t="s">
        <v>109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86"/>
        <v>24398045.86045352</v>
      </c>
      <c r="AJ291" s="19">
        <f t="shared" si="87"/>
        <v>3478417.4064663448</v>
      </c>
      <c r="AK291" s="20">
        <f t="shared" si="96"/>
        <v>0.14256950849102498</v>
      </c>
      <c r="AL291" s="17"/>
      <c r="AM291" s="17"/>
      <c r="AN291" s="17"/>
      <c r="AO291" s="17" t="s">
        <v>221</v>
      </c>
      <c r="AP291" s="28" t="str">
        <f t="shared" si="97"/>
        <v>20186</v>
      </c>
      <c r="AQ291" s="28" t="str">
        <f t="shared" si="98"/>
        <v>20186JPY</v>
      </c>
      <c r="AR291" s="206" t="str">
        <f t="shared" si="99"/>
        <v>YAMAHA_Mounter</v>
      </c>
      <c r="AS291" s="22">
        <f t="shared" si="100"/>
        <v>5</v>
      </c>
      <c r="AT291" s="24" t="str">
        <f t="shared" si="101"/>
        <v>4-6 months</v>
      </c>
      <c r="AU291" s="22" t="s">
        <v>3745</v>
      </c>
    </row>
    <row r="292" spans="1:47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41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342</v>
      </c>
      <c r="K292" s="155" t="s">
        <v>343</v>
      </c>
      <c r="L292" s="17" t="s">
        <v>92</v>
      </c>
      <c r="M292" s="13" t="s">
        <v>60</v>
      </c>
      <c r="N292" s="13">
        <v>2</v>
      </c>
      <c r="O292" s="13"/>
      <c r="P292" s="33" t="str">
        <f t="shared" si="91"/>
        <v>MAIN UNIT</v>
      </c>
      <c r="Q292" s="13" t="s">
        <v>61</v>
      </c>
      <c r="R292" s="13" t="s">
        <v>62</v>
      </c>
      <c r="S292" s="13" t="s">
        <v>49</v>
      </c>
      <c r="T292" s="13" t="s">
        <v>78</v>
      </c>
      <c r="U292" s="13" t="s">
        <v>79</v>
      </c>
      <c r="V292" s="13" t="s">
        <v>311</v>
      </c>
      <c r="W292" s="13" t="s">
        <v>109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86"/>
        <v>26492741.106427077</v>
      </c>
      <c r="AJ292" s="19">
        <f t="shared" si="87"/>
        <v>3348032.1325698122</v>
      </c>
      <c r="AK292" s="20">
        <f t="shared" si="96"/>
        <v>0.12637545201985867</v>
      </c>
      <c r="AL292" s="17"/>
      <c r="AM292" s="17"/>
      <c r="AN292" s="17"/>
      <c r="AO292" s="17"/>
      <c r="AP292" s="28" t="str">
        <f t="shared" si="97"/>
        <v>20189</v>
      </c>
      <c r="AQ292" s="28" t="str">
        <f t="shared" si="98"/>
        <v>20189JPY</v>
      </c>
      <c r="AR292" s="206" t="str">
        <f t="shared" si="99"/>
        <v>YAMAHA_Mounter</v>
      </c>
      <c r="AS292" s="22">
        <f t="shared" si="100"/>
        <v>8</v>
      </c>
      <c r="AT292" s="24" t="str">
        <f t="shared" si="101"/>
        <v>&gt; 6 months</v>
      </c>
      <c r="AU292" s="22" t="s">
        <v>3745</v>
      </c>
    </row>
    <row r="293" spans="1:47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185</v>
      </c>
      <c r="F293" s="13" t="s">
        <v>185</v>
      </c>
      <c r="G293" s="152" t="s">
        <v>185</v>
      </c>
      <c r="H293" s="155"/>
      <c r="I293" s="33" t="str">
        <f t="shared" si="90"/>
        <v>Cancel</v>
      </c>
      <c r="J293" s="186" t="s">
        <v>595</v>
      </c>
      <c r="K293" s="155" t="s">
        <v>596</v>
      </c>
      <c r="L293" s="17" t="s">
        <v>92</v>
      </c>
      <c r="M293" s="13" t="s">
        <v>60</v>
      </c>
      <c r="N293" s="13">
        <v>1</v>
      </c>
      <c r="O293" s="13"/>
      <c r="P293" s="33" t="str">
        <f t="shared" si="91"/>
        <v>MAIN UNIT</v>
      </c>
      <c r="Q293" s="13" t="s">
        <v>61</v>
      </c>
      <c r="R293" s="13" t="s">
        <v>62</v>
      </c>
      <c r="S293" s="13" t="s">
        <v>49</v>
      </c>
      <c r="T293" s="13" t="s">
        <v>78</v>
      </c>
      <c r="U293" s="13" t="s">
        <v>79</v>
      </c>
      <c r="V293" s="13" t="s">
        <v>597</v>
      </c>
      <c r="W293" s="13" t="s">
        <v>109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86"/>
        <v>499582152.5142017</v>
      </c>
      <c r="AJ293" s="19">
        <f t="shared" si="87"/>
        <v>59520528.679470733</v>
      </c>
      <c r="AK293" s="20">
        <f t="shared" si="96"/>
        <v>0.11914062257814291</v>
      </c>
      <c r="AL293" s="17"/>
      <c r="AM293" s="17"/>
      <c r="AN293" s="17"/>
      <c r="AO293" s="17"/>
      <c r="AP293" s="28" t="str">
        <f t="shared" si="97"/>
        <v>CancelCancel</v>
      </c>
      <c r="AQ293" s="28" t="str">
        <f t="shared" si="98"/>
        <v>CancelCancelJPY</v>
      </c>
      <c r="AR293" s="206" t="str">
        <f t="shared" si="99"/>
        <v>YAMAHA_Mounter</v>
      </c>
      <c r="AS293" s="22" t="str">
        <f t="shared" si="100"/>
        <v/>
      </c>
      <c r="AT293" s="24" t="str">
        <f t="shared" si="101"/>
        <v/>
      </c>
      <c r="AU293" s="22" t="s">
        <v>3745</v>
      </c>
    </row>
    <row r="294" spans="1:47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185</v>
      </c>
      <c r="F294" s="13" t="s">
        <v>185</v>
      </c>
      <c r="G294" s="152" t="s">
        <v>185</v>
      </c>
      <c r="H294" s="155"/>
      <c r="I294" s="33" t="str">
        <f t="shared" si="90"/>
        <v>Cancel</v>
      </c>
      <c r="J294" s="186" t="s">
        <v>595</v>
      </c>
      <c r="K294" s="155" t="s">
        <v>596</v>
      </c>
      <c r="L294" s="17" t="s">
        <v>92</v>
      </c>
      <c r="M294" s="13" t="s">
        <v>60</v>
      </c>
      <c r="N294" s="13">
        <v>1</v>
      </c>
      <c r="O294" s="13"/>
      <c r="P294" s="33" t="str">
        <f t="shared" si="91"/>
        <v>MAIN UNIT</v>
      </c>
      <c r="Q294" s="13" t="s">
        <v>61</v>
      </c>
      <c r="R294" s="13" t="s">
        <v>62</v>
      </c>
      <c r="S294" s="13" t="s">
        <v>49</v>
      </c>
      <c r="T294" s="13" t="s">
        <v>78</v>
      </c>
      <c r="U294" s="13" t="s">
        <v>79</v>
      </c>
      <c r="V294" s="13" t="s">
        <v>597</v>
      </c>
      <c r="W294" s="13" t="s">
        <v>109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86"/>
        <v>499582152.5142017</v>
      </c>
      <c r="AJ294" s="19">
        <f t="shared" si="87"/>
        <v>59520528.679470733</v>
      </c>
      <c r="AK294" s="20">
        <f t="shared" si="96"/>
        <v>0.11914062257814291</v>
      </c>
      <c r="AL294" s="17"/>
      <c r="AM294" s="17"/>
      <c r="AN294" s="17"/>
      <c r="AO294" s="17"/>
      <c r="AP294" s="28" t="str">
        <f t="shared" si="97"/>
        <v>CancelCancel</v>
      </c>
      <c r="AQ294" s="28" t="str">
        <f t="shared" si="98"/>
        <v>CancelCancelJPY</v>
      </c>
      <c r="AR294" s="206" t="str">
        <f t="shared" si="99"/>
        <v>YAMAHA_Mounter</v>
      </c>
      <c r="AS294" s="22" t="str">
        <f t="shared" si="100"/>
        <v/>
      </c>
      <c r="AT294" s="24" t="str">
        <f t="shared" si="101"/>
        <v/>
      </c>
      <c r="AU294" s="22" t="s">
        <v>3745</v>
      </c>
    </row>
    <row r="295" spans="1:47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47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946</v>
      </c>
      <c r="K295" s="155" t="s">
        <v>343</v>
      </c>
      <c r="L295" s="17" t="s">
        <v>67</v>
      </c>
      <c r="M295" s="13" t="s">
        <v>60</v>
      </c>
      <c r="N295" s="13">
        <v>1</v>
      </c>
      <c r="O295" s="13"/>
      <c r="P295" s="33" t="str">
        <f t="shared" si="91"/>
        <v>MAIN UNIT</v>
      </c>
      <c r="Q295" s="13" t="s">
        <v>61</v>
      </c>
      <c r="R295" s="13" t="s">
        <v>62</v>
      </c>
      <c r="S295" s="13" t="s">
        <v>49</v>
      </c>
      <c r="T295" s="13" t="s">
        <v>78</v>
      </c>
      <c r="U295" s="13" t="s">
        <v>79</v>
      </c>
      <c r="V295" s="13" t="s">
        <v>311</v>
      </c>
      <c r="W295" s="13" t="s">
        <v>64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86"/>
        <v>28647263.974455759</v>
      </c>
      <c r="AJ295" s="19">
        <f t="shared" si="87"/>
        <v>3219855.6912513468</v>
      </c>
      <c r="AK295" s="20">
        <f t="shared" si="96"/>
        <v>0.11239662168514358</v>
      </c>
      <c r="AL295" s="17"/>
      <c r="AM295" s="17"/>
      <c r="AN295" s="17"/>
      <c r="AO295" s="17"/>
      <c r="AP295" s="28" t="str">
        <f t="shared" si="97"/>
        <v>201910</v>
      </c>
      <c r="AQ295" s="28" t="str">
        <f t="shared" si="98"/>
        <v>201910RMB</v>
      </c>
      <c r="AR295" s="206" t="str">
        <f t="shared" si="99"/>
        <v>YAMAHA_Mounter</v>
      </c>
      <c r="AS295" s="22">
        <f t="shared" si="100"/>
        <v>1</v>
      </c>
      <c r="AT295" s="24" t="str">
        <f t="shared" si="101"/>
        <v>0-3 months</v>
      </c>
      <c r="AU295" s="22" t="s">
        <v>3744</v>
      </c>
    </row>
    <row r="296" spans="1:47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48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1165</v>
      </c>
      <c r="K296" s="155" t="s">
        <v>343</v>
      </c>
      <c r="L296" s="17" t="s">
        <v>67</v>
      </c>
      <c r="M296" s="13" t="s">
        <v>60</v>
      </c>
      <c r="N296" s="13">
        <v>1</v>
      </c>
      <c r="O296" s="13"/>
      <c r="P296" s="33" t="str">
        <f t="shared" si="91"/>
        <v>MAIN UNIT</v>
      </c>
      <c r="Q296" s="13" t="s">
        <v>61</v>
      </c>
      <c r="R296" s="13" t="s">
        <v>62</v>
      </c>
      <c r="S296" s="13" t="s">
        <v>49</v>
      </c>
      <c r="T296" s="13" t="s">
        <v>78</v>
      </c>
      <c r="U296" s="13" t="s">
        <v>79</v>
      </c>
      <c r="V296" s="13" t="s">
        <v>311</v>
      </c>
      <c r="W296" s="13" t="s">
        <v>64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86"/>
        <v>35384300.169380538</v>
      </c>
      <c r="AJ296" s="19">
        <f t="shared" si="87"/>
        <v>5044538.8896988509</v>
      </c>
      <c r="AK296" s="20">
        <f t="shared" si="96"/>
        <v>0.14256432557804533</v>
      </c>
      <c r="AL296" s="17"/>
      <c r="AM296" s="17"/>
      <c r="AN296" s="17"/>
      <c r="AO296" s="17"/>
      <c r="AP296" s="28" t="str">
        <f t="shared" si="97"/>
        <v>20207</v>
      </c>
      <c r="AQ296" s="28" t="str">
        <f t="shared" si="98"/>
        <v>20207RMB</v>
      </c>
      <c r="AR296" s="206" t="str">
        <f t="shared" si="99"/>
        <v>YAMAHA_Mounter</v>
      </c>
      <c r="AS296" s="22">
        <f t="shared" si="100"/>
        <v>1</v>
      </c>
      <c r="AT296" s="24" t="str">
        <f t="shared" si="101"/>
        <v>0-3 months</v>
      </c>
      <c r="AU296" s="22" t="s">
        <v>3744</v>
      </c>
    </row>
    <row r="297" spans="1:47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48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1165</v>
      </c>
      <c r="K297" s="155" t="s">
        <v>343</v>
      </c>
      <c r="L297" s="17" t="s">
        <v>92</v>
      </c>
      <c r="M297" s="13" t="s">
        <v>60</v>
      </c>
      <c r="N297" s="13">
        <v>1</v>
      </c>
      <c r="O297" s="13"/>
      <c r="P297" s="33" t="str">
        <f t="shared" si="91"/>
        <v>MAIN UNIT</v>
      </c>
      <c r="Q297" s="13" t="s">
        <v>61</v>
      </c>
      <c r="R297" s="13" t="s">
        <v>62</v>
      </c>
      <c r="S297" s="13" t="s">
        <v>49</v>
      </c>
      <c r="T297" s="13" t="s">
        <v>78</v>
      </c>
      <c r="U297" s="13" t="s">
        <v>79</v>
      </c>
      <c r="V297" s="13" t="s">
        <v>311</v>
      </c>
      <c r="W297" s="13" t="s">
        <v>64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86"/>
        <v>35384300.169380538</v>
      </c>
      <c r="AJ297" s="19">
        <f t="shared" si="87"/>
        <v>5044538.8896988509</v>
      </c>
      <c r="AK297" s="20">
        <f t="shared" si="96"/>
        <v>0.14256432557804533</v>
      </c>
      <c r="AL297" s="17"/>
      <c r="AM297" s="17"/>
      <c r="AN297" s="17"/>
      <c r="AO297" s="17"/>
      <c r="AP297" s="28" t="str">
        <f t="shared" si="97"/>
        <v>20207</v>
      </c>
      <c r="AQ297" s="28" t="str">
        <f t="shared" si="98"/>
        <v>20207RMB</v>
      </c>
      <c r="AR297" s="206" t="str">
        <f t="shared" si="99"/>
        <v>YAMAHA_Mounter</v>
      </c>
      <c r="AS297" s="22">
        <f t="shared" si="100"/>
        <v>1</v>
      </c>
      <c r="AT297" s="24" t="str">
        <f t="shared" si="101"/>
        <v>0-3 months</v>
      </c>
      <c r="AU297" s="22" t="s">
        <v>3744</v>
      </c>
    </row>
    <row r="298" spans="1:47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48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1165</v>
      </c>
      <c r="K298" s="155" t="s">
        <v>343</v>
      </c>
      <c r="L298" s="17" t="s">
        <v>92</v>
      </c>
      <c r="M298" s="13" t="s">
        <v>60</v>
      </c>
      <c r="N298" s="13">
        <v>1</v>
      </c>
      <c r="O298" s="13"/>
      <c r="P298" s="33" t="str">
        <f t="shared" si="91"/>
        <v>MAIN UNIT</v>
      </c>
      <c r="Q298" s="13" t="s">
        <v>61</v>
      </c>
      <c r="R298" s="13" t="s">
        <v>62</v>
      </c>
      <c r="S298" s="13" t="s">
        <v>49</v>
      </c>
      <c r="T298" s="13" t="s">
        <v>78</v>
      </c>
      <c r="U298" s="13" t="s">
        <v>79</v>
      </c>
      <c r="V298" s="13" t="s">
        <v>311</v>
      </c>
      <c r="W298" s="13" t="s">
        <v>64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86"/>
        <v>35384300.169380538</v>
      </c>
      <c r="AJ298" s="19">
        <f t="shared" si="87"/>
        <v>5044538.8896988509</v>
      </c>
      <c r="AK298" s="20">
        <f t="shared" si="96"/>
        <v>0.14256432557804533</v>
      </c>
      <c r="AL298" s="17"/>
      <c r="AM298" s="17"/>
      <c r="AN298" s="17"/>
      <c r="AO298" s="17"/>
      <c r="AP298" s="28" t="str">
        <f t="shared" si="97"/>
        <v>20207</v>
      </c>
      <c r="AQ298" s="28" t="str">
        <f t="shared" si="98"/>
        <v>20207RMB</v>
      </c>
      <c r="AR298" s="206" t="str">
        <f t="shared" si="99"/>
        <v>YAMAHA_Mounter</v>
      </c>
      <c r="AS298" s="22">
        <f t="shared" si="100"/>
        <v>1</v>
      </c>
      <c r="AT298" s="24" t="str">
        <f t="shared" si="101"/>
        <v>0-3 months</v>
      </c>
      <c r="AU298" s="22" t="s">
        <v>3744</v>
      </c>
    </row>
    <row r="299" spans="1:47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48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1168</v>
      </c>
      <c r="K299" s="155" t="s">
        <v>343</v>
      </c>
      <c r="L299" s="17" t="s">
        <v>67</v>
      </c>
      <c r="M299" s="13" t="s">
        <v>60</v>
      </c>
      <c r="N299" s="13">
        <v>1</v>
      </c>
      <c r="O299" s="13"/>
      <c r="P299" s="33" t="str">
        <f t="shared" si="91"/>
        <v>MAIN UNIT</v>
      </c>
      <c r="Q299" s="13" t="s">
        <v>61</v>
      </c>
      <c r="R299" s="13" t="s">
        <v>62</v>
      </c>
      <c r="S299" s="13" t="s">
        <v>49</v>
      </c>
      <c r="T299" s="13" t="s">
        <v>78</v>
      </c>
      <c r="U299" s="13" t="s">
        <v>79</v>
      </c>
      <c r="V299" s="13" t="s">
        <v>311</v>
      </c>
      <c r="W299" s="13" t="s">
        <v>64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86"/>
        <v>35384300.169380538</v>
      </c>
      <c r="AJ299" s="19">
        <f t="shared" si="87"/>
        <v>5044538.8896988509</v>
      </c>
      <c r="AK299" s="20">
        <f t="shared" si="96"/>
        <v>0.14256432557804533</v>
      </c>
      <c r="AL299" s="17"/>
      <c r="AM299" s="17"/>
      <c r="AN299" s="17"/>
      <c r="AO299" s="17"/>
      <c r="AP299" s="28" t="str">
        <f t="shared" si="97"/>
        <v>20207</v>
      </c>
      <c r="AQ299" s="28" t="str">
        <f t="shared" si="98"/>
        <v>20207RMB</v>
      </c>
      <c r="AR299" s="206" t="str">
        <f t="shared" si="99"/>
        <v>YAMAHA_Mounter</v>
      </c>
      <c r="AS299" s="22">
        <f t="shared" si="100"/>
        <v>1</v>
      </c>
      <c r="AT299" s="24" t="str">
        <f t="shared" si="101"/>
        <v>0-3 months</v>
      </c>
      <c r="AU299" s="22" t="s">
        <v>3744</v>
      </c>
    </row>
    <row r="300" spans="1:47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53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1724</v>
      </c>
      <c r="K300" s="155" t="s">
        <v>343</v>
      </c>
      <c r="L300" s="17" t="s">
        <v>67</v>
      </c>
      <c r="M300" s="13" t="s">
        <v>60</v>
      </c>
      <c r="N300" s="13">
        <v>1</v>
      </c>
      <c r="O300" s="13"/>
      <c r="P300" s="33" t="str">
        <f t="shared" si="91"/>
        <v>MAIN UNIT</v>
      </c>
      <c r="Q300" s="13" t="s">
        <v>61</v>
      </c>
      <c r="R300" s="13" t="s">
        <v>62</v>
      </c>
      <c r="S300" s="13" t="s">
        <v>49</v>
      </c>
      <c r="T300" s="13" t="s">
        <v>78</v>
      </c>
      <c r="U300" s="13" t="s">
        <v>79</v>
      </c>
      <c r="V300" s="13" t="s">
        <v>311</v>
      </c>
      <c r="W300" s="13" t="s">
        <v>64</v>
      </c>
      <c r="X300" s="135">
        <v>620000</v>
      </c>
      <c r="Y300" s="157" t="str">
        <f t="shared" ref="Y300:Y308" si="102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86"/>
        <v>63006605.696460173</v>
      </c>
      <c r="AJ300" s="19">
        <f t="shared" si="87"/>
        <v>8897485.660753984</v>
      </c>
      <c r="AK300" s="20">
        <f t="shared" si="96"/>
        <v>0.141215124388995</v>
      </c>
      <c r="AL300" s="17"/>
      <c r="AM300" s="17"/>
      <c r="AN300" s="17"/>
      <c r="AO300" s="17"/>
      <c r="AP300" s="28" t="str">
        <f t="shared" si="97"/>
        <v>20215</v>
      </c>
      <c r="AQ300" s="28" t="str">
        <f t="shared" si="98"/>
        <v>20215RMB</v>
      </c>
      <c r="AR300" s="206" t="str">
        <f t="shared" si="99"/>
        <v>YAMAHA_Mounter</v>
      </c>
      <c r="AS300" s="22">
        <f t="shared" si="100"/>
        <v>3</v>
      </c>
      <c r="AT300" s="24" t="str">
        <f t="shared" si="101"/>
        <v>0-3 months</v>
      </c>
      <c r="AU300" s="22" t="s">
        <v>3744</v>
      </c>
    </row>
    <row r="301" spans="1:47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53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1724</v>
      </c>
      <c r="K301" s="155" t="s">
        <v>343</v>
      </c>
      <c r="L301" s="17" t="s">
        <v>67</v>
      </c>
      <c r="M301" s="13" t="s">
        <v>60</v>
      </c>
      <c r="N301" s="13">
        <v>1</v>
      </c>
      <c r="O301" s="13"/>
      <c r="P301" s="33" t="str">
        <f t="shared" si="91"/>
        <v>MAIN UNIT</v>
      </c>
      <c r="Q301" s="13" t="s">
        <v>61</v>
      </c>
      <c r="R301" s="13" t="s">
        <v>62</v>
      </c>
      <c r="S301" s="13" t="s">
        <v>49</v>
      </c>
      <c r="T301" s="13" t="s">
        <v>78</v>
      </c>
      <c r="U301" s="13" t="s">
        <v>79</v>
      </c>
      <c r="V301" s="13" t="s">
        <v>311</v>
      </c>
      <c r="W301" s="13" t="s">
        <v>64</v>
      </c>
      <c r="X301" s="135">
        <v>620000</v>
      </c>
      <c r="Y301" s="157" t="str">
        <f t="shared" si="102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86"/>
        <v>63006605.696460173</v>
      </c>
      <c r="AJ301" s="19">
        <f t="shared" si="87"/>
        <v>8897485.660753984</v>
      </c>
      <c r="AK301" s="20">
        <f t="shared" si="96"/>
        <v>0.141215124388995</v>
      </c>
      <c r="AL301" s="17"/>
      <c r="AM301" s="17"/>
      <c r="AN301" s="17"/>
      <c r="AO301" s="17"/>
      <c r="AP301" s="28" t="str">
        <f t="shared" si="97"/>
        <v>20215</v>
      </c>
      <c r="AQ301" s="28" t="str">
        <f t="shared" si="98"/>
        <v>20215RMB</v>
      </c>
      <c r="AR301" s="206" t="str">
        <f t="shared" si="99"/>
        <v>YAMAHA_Mounter</v>
      </c>
      <c r="AS301" s="22">
        <f t="shared" si="100"/>
        <v>3</v>
      </c>
      <c r="AT301" s="24" t="str">
        <f t="shared" si="101"/>
        <v>0-3 months</v>
      </c>
      <c r="AU301" s="22" t="s">
        <v>3744</v>
      </c>
    </row>
    <row r="302" spans="1:47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53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1724</v>
      </c>
      <c r="K302" s="155" t="s">
        <v>343</v>
      </c>
      <c r="L302" s="17" t="s">
        <v>92</v>
      </c>
      <c r="M302" s="13" t="s">
        <v>60</v>
      </c>
      <c r="N302" s="13">
        <v>1</v>
      </c>
      <c r="O302" s="13"/>
      <c r="P302" s="33" t="str">
        <f t="shared" si="91"/>
        <v>MAIN UNIT</v>
      </c>
      <c r="Q302" s="13" t="s">
        <v>61</v>
      </c>
      <c r="R302" s="13" t="s">
        <v>62</v>
      </c>
      <c r="S302" s="13" t="s">
        <v>49</v>
      </c>
      <c r="T302" s="13" t="s">
        <v>78</v>
      </c>
      <c r="U302" s="13" t="s">
        <v>79</v>
      </c>
      <c r="V302" s="13" t="s">
        <v>311</v>
      </c>
      <c r="W302" s="13" t="s">
        <v>64</v>
      </c>
      <c r="X302" s="135">
        <v>805000</v>
      </c>
      <c r="Y302" s="157" t="str">
        <f t="shared" si="102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86"/>
        <v>63006605.696460173</v>
      </c>
      <c r="AJ302" s="19">
        <f t="shared" si="87"/>
        <v>8897485.660753984</v>
      </c>
      <c r="AK302" s="20">
        <f t="shared" si="96"/>
        <v>0.141215124388995</v>
      </c>
      <c r="AL302" s="17"/>
      <c r="AM302" s="17"/>
      <c r="AN302" s="17"/>
      <c r="AO302" s="17"/>
      <c r="AP302" s="28" t="str">
        <f t="shared" si="97"/>
        <v>20215</v>
      </c>
      <c r="AQ302" s="28" t="str">
        <f t="shared" si="98"/>
        <v>20215RMB</v>
      </c>
      <c r="AR302" s="206" t="str">
        <f t="shared" si="99"/>
        <v>YAMAHA_Mounter</v>
      </c>
      <c r="AS302" s="22">
        <f t="shared" si="100"/>
        <v>3</v>
      </c>
      <c r="AT302" s="24" t="str">
        <f t="shared" si="101"/>
        <v>0-3 months</v>
      </c>
      <c r="AU302" s="22" t="s">
        <v>3744</v>
      </c>
    </row>
    <row r="303" spans="1:47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53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1724</v>
      </c>
      <c r="K303" s="155" t="s">
        <v>343</v>
      </c>
      <c r="L303" s="17" t="s">
        <v>92</v>
      </c>
      <c r="M303" s="13" t="s">
        <v>60</v>
      </c>
      <c r="N303" s="13">
        <v>1</v>
      </c>
      <c r="O303" s="13"/>
      <c r="P303" s="33" t="str">
        <f t="shared" si="91"/>
        <v>MAIN UNIT</v>
      </c>
      <c r="Q303" s="13" t="s">
        <v>61</v>
      </c>
      <c r="R303" s="13" t="s">
        <v>62</v>
      </c>
      <c r="S303" s="13" t="s">
        <v>49</v>
      </c>
      <c r="T303" s="13" t="s">
        <v>78</v>
      </c>
      <c r="U303" s="13" t="s">
        <v>79</v>
      </c>
      <c r="V303" s="13" t="s">
        <v>311</v>
      </c>
      <c r="W303" s="13" t="s">
        <v>64</v>
      </c>
      <c r="X303" s="135">
        <v>805000</v>
      </c>
      <c r="Y303" s="157" t="str">
        <f t="shared" si="102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86"/>
        <v>63006605.696460173</v>
      </c>
      <c r="AJ303" s="19">
        <f t="shared" si="87"/>
        <v>8897485.660753984</v>
      </c>
      <c r="AK303" s="20">
        <f t="shared" si="96"/>
        <v>0.141215124388995</v>
      </c>
      <c r="AL303" s="17"/>
      <c r="AM303" s="17"/>
      <c r="AN303" s="17"/>
      <c r="AO303" s="17"/>
      <c r="AP303" s="28" t="str">
        <f t="shared" si="97"/>
        <v>20215</v>
      </c>
      <c r="AQ303" s="28" t="str">
        <f t="shared" si="98"/>
        <v>20215RMB</v>
      </c>
      <c r="AR303" s="206" t="str">
        <f t="shared" si="99"/>
        <v>YAMAHA_Mounter</v>
      </c>
      <c r="AS303" s="22">
        <f t="shared" si="100"/>
        <v>3</v>
      </c>
      <c r="AT303" s="24" t="str">
        <f t="shared" si="101"/>
        <v>0-3 months</v>
      </c>
      <c r="AU303" s="22" t="s">
        <v>3744</v>
      </c>
    </row>
    <row r="304" spans="1:47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54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2216</v>
      </c>
      <c r="K304" s="155" t="s">
        <v>343</v>
      </c>
      <c r="L304" s="17" t="s">
        <v>92</v>
      </c>
      <c r="M304" s="13" t="s">
        <v>60</v>
      </c>
      <c r="N304" s="13">
        <v>1</v>
      </c>
      <c r="O304" s="13"/>
      <c r="P304" s="33" t="str">
        <f t="shared" si="91"/>
        <v>MAIN UNIT</v>
      </c>
      <c r="Q304" s="13" t="s">
        <v>61</v>
      </c>
      <c r="R304" s="13" t="s">
        <v>62</v>
      </c>
      <c r="S304" s="13" t="s">
        <v>49</v>
      </c>
      <c r="T304" s="13" t="s">
        <v>78</v>
      </c>
      <c r="U304" s="13" t="s">
        <v>79</v>
      </c>
      <c r="V304" s="13" t="s">
        <v>311</v>
      </c>
      <c r="W304" s="13" t="s">
        <v>109</v>
      </c>
      <c r="X304" s="135">
        <v>15786000</v>
      </c>
      <c r="Y304" s="157" t="str">
        <f t="shared" si="102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86"/>
        <v>36480247.665929198</v>
      </c>
      <c r="AJ304" s="19">
        <f t="shared" si="87"/>
        <v>5330996.6372757526</v>
      </c>
      <c r="AK304" s="20">
        <f t="shared" si="96"/>
        <v>0.14613378412599562</v>
      </c>
      <c r="AL304" s="17"/>
      <c r="AM304" s="17"/>
      <c r="AN304" s="17"/>
      <c r="AO304" s="17"/>
      <c r="AP304" s="28" t="str">
        <f t="shared" si="97"/>
        <v>20227</v>
      </c>
      <c r="AQ304" s="28" t="str">
        <f t="shared" si="98"/>
        <v>20227JPY</v>
      </c>
      <c r="AR304" s="206" t="str">
        <f t="shared" si="99"/>
        <v>YAMAHA_Mounter</v>
      </c>
      <c r="AS304" s="22">
        <f t="shared" si="100"/>
        <v>4</v>
      </c>
      <c r="AT304" s="24" t="str">
        <f t="shared" si="101"/>
        <v>4-6 months</v>
      </c>
      <c r="AU304" s="22" t="s">
        <v>3751</v>
      </c>
    </row>
    <row r="305" spans="1:47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54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2216</v>
      </c>
      <c r="K305" s="155" t="s">
        <v>343</v>
      </c>
      <c r="L305" s="17" t="s">
        <v>92</v>
      </c>
      <c r="M305" s="13" t="s">
        <v>60</v>
      </c>
      <c r="N305" s="13">
        <v>1</v>
      </c>
      <c r="O305" s="13"/>
      <c r="P305" s="33" t="str">
        <f t="shared" si="91"/>
        <v>MAIN UNIT</v>
      </c>
      <c r="Q305" s="13" t="s">
        <v>61</v>
      </c>
      <c r="R305" s="13" t="s">
        <v>62</v>
      </c>
      <c r="S305" s="13" t="s">
        <v>49</v>
      </c>
      <c r="T305" s="13" t="s">
        <v>78</v>
      </c>
      <c r="U305" s="13" t="s">
        <v>79</v>
      </c>
      <c r="V305" s="13" t="s">
        <v>311</v>
      </c>
      <c r="W305" s="13" t="s">
        <v>109</v>
      </c>
      <c r="X305" s="135">
        <v>15786000</v>
      </c>
      <c r="Y305" s="157" t="str">
        <f t="shared" si="102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86"/>
        <v>36480247.665929198</v>
      </c>
      <c r="AJ305" s="19">
        <f t="shared" si="87"/>
        <v>5330996.6372757526</v>
      </c>
      <c r="AK305" s="20">
        <f t="shared" si="96"/>
        <v>0.14613378412599562</v>
      </c>
      <c r="AL305" s="17"/>
      <c r="AM305" s="17"/>
      <c r="AN305" s="17"/>
      <c r="AO305" s="17"/>
      <c r="AP305" s="28" t="str">
        <f t="shared" si="97"/>
        <v>20227</v>
      </c>
      <c r="AQ305" s="28" t="str">
        <f t="shared" si="98"/>
        <v>20227JPY</v>
      </c>
      <c r="AR305" s="206" t="str">
        <f t="shared" si="99"/>
        <v>YAMAHA_Mounter</v>
      </c>
      <c r="AS305" s="22">
        <f t="shared" si="100"/>
        <v>4</v>
      </c>
      <c r="AT305" s="24" t="str">
        <f t="shared" si="101"/>
        <v>4-6 months</v>
      </c>
      <c r="AU305" s="22" t="s">
        <v>3751</v>
      </c>
    </row>
    <row r="306" spans="1:47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54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2216</v>
      </c>
      <c r="K306" s="155" t="s">
        <v>343</v>
      </c>
      <c r="L306" s="17" t="s">
        <v>92</v>
      </c>
      <c r="M306" s="13" t="s">
        <v>60</v>
      </c>
      <c r="N306" s="13">
        <v>1</v>
      </c>
      <c r="O306" s="13"/>
      <c r="P306" s="33" t="str">
        <f t="shared" si="91"/>
        <v>MAIN UNIT</v>
      </c>
      <c r="Q306" s="13" t="s">
        <v>61</v>
      </c>
      <c r="R306" s="13" t="s">
        <v>62</v>
      </c>
      <c r="S306" s="13" t="s">
        <v>49</v>
      </c>
      <c r="T306" s="13" t="s">
        <v>78</v>
      </c>
      <c r="U306" s="13" t="s">
        <v>79</v>
      </c>
      <c r="V306" s="13" t="s">
        <v>311</v>
      </c>
      <c r="W306" s="13" t="s">
        <v>109</v>
      </c>
      <c r="X306" s="135">
        <v>15786000</v>
      </c>
      <c r="Y306" s="157" t="str">
        <f t="shared" si="102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86"/>
        <v>36480247.665929198</v>
      </c>
      <c r="AJ306" s="19">
        <f t="shared" si="87"/>
        <v>5330996.6372757526</v>
      </c>
      <c r="AK306" s="20">
        <f t="shared" si="96"/>
        <v>0.14613378412599562</v>
      </c>
      <c r="AL306" s="17"/>
      <c r="AM306" s="17"/>
      <c r="AN306" s="17"/>
      <c r="AO306" s="17"/>
      <c r="AP306" s="28" t="str">
        <f t="shared" si="97"/>
        <v>20227</v>
      </c>
      <c r="AQ306" s="28" t="str">
        <f t="shared" si="98"/>
        <v>20227JPY</v>
      </c>
      <c r="AR306" s="206" t="str">
        <f t="shared" si="99"/>
        <v>YAMAHA_Mounter</v>
      </c>
      <c r="AS306" s="22">
        <f t="shared" si="100"/>
        <v>4</v>
      </c>
      <c r="AT306" s="24" t="str">
        <f t="shared" si="101"/>
        <v>4-6 months</v>
      </c>
      <c r="AU306" s="22" t="s">
        <v>3751</v>
      </c>
    </row>
    <row r="307" spans="1:47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54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2216</v>
      </c>
      <c r="K307" s="155" t="s">
        <v>343</v>
      </c>
      <c r="L307" s="17" t="s">
        <v>67</v>
      </c>
      <c r="M307" s="13" t="s">
        <v>60</v>
      </c>
      <c r="N307" s="13">
        <v>1</v>
      </c>
      <c r="O307" s="13"/>
      <c r="P307" s="33" t="str">
        <f t="shared" si="91"/>
        <v>MAIN UNIT</v>
      </c>
      <c r="Q307" s="13" t="s">
        <v>61</v>
      </c>
      <c r="R307" s="13" t="s">
        <v>62</v>
      </c>
      <c r="S307" s="13" t="s">
        <v>49</v>
      </c>
      <c r="T307" s="13" t="s">
        <v>78</v>
      </c>
      <c r="U307" s="13" t="s">
        <v>79</v>
      </c>
      <c r="V307" s="13" t="s">
        <v>311</v>
      </c>
      <c r="W307" s="13" t="s">
        <v>109</v>
      </c>
      <c r="X307" s="135">
        <v>8700000</v>
      </c>
      <c r="Y307" s="157" t="str">
        <f t="shared" si="102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86"/>
        <v>36480247.665929198</v>
      </c>
      <c r="AJ307" s="19">
        <f t="shared" si="87"/>
        <v>5330996.6372757526</v>
      </c>
      <c r="AK307" s="20">
        <f t="shared" si="96"/>
        <v>0.14613378412599562</v>
      </c>
      <c r="AL307" s="17"/>
      <c r="AM307" s="17"/>
      <c r="AN307" s="17"/>
      <c r="AO307" s="17"/>
      <c r="AP307" s="28" t="str">
        <f t="shared" si="97"/>
        <v>20227</v>
      </c>
      <c r="AQ307" s="28" t="str">
        <f t="shared" si="98"/>
        <v>20227JPY</v>
      </c>
      <c r="AR307" s="206" t="str">
        <f t="shared" si="99"/>
        <v>YAMAHA_Mounter</v>
      </c>
      <c r="AS307" s="22">
        <f t="shared" si="100"/>
        <v>4</v>
      </c>
      <c r="AT307" s="24" t="str">
        <f t="shared" si="101"/>
        <v>4-6 months</v>
      </c>
      <c r="AU307" s="22" t="s">
        <v>3745</v>
      </c>
    </row>
    <row r="308" spans="1:47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54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2216</v>
      </c>
      <c r="K308" s="155" t="s">
        <v>343</v>
      </c>
      <c r="L308" s="17" t="s">
        <v>67</v>
      </c>
      <c r="M308" s="13" t="s">
        <v>60</v>
      </c>
      <c r="N308" s="13">
        <v>1</v>
      </c>
      <c r="O308" s="13"/>
      <c r="P308" s="33" t="str">
        <f t="shared" si="91"/>
        <v>MAIN UNIT</v>
      </c>
      <c r="Q308" s="13" t="s">
        <v>61</v>
      </c>
      <c r="R308" s="13" t="s">
        <v>62</v>
      </c>
      <c r="S308" s="13" t="s">
        <v>49</v>
      </c>
      <c r="T308" s="13" t="s">
        <v>78</v>
      </c>
      <c r="U308" s="13" t="s">
        <v>79</v>
      </c>
      <c r="V308" s="13" t="s">
        <v>311</v>
      </c>
      <c r="W308" s="13" t="s">
        <v>109</v>
      </c>
      <c r="X308" s="135">
        <v>8700000</v>
      </c>
      <c r="Y308" s="157" t="str">
        <f t="shared" si="102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86"/>
        <v>36480247.665929198</v>
      </c>
      <c r="AJ308" s="19">
        <f t="shared" si="87"/>
        <v>5330996.6372757526</v>
      </c>
      <c r="AK308" s="20">
        <f t="shared" si="96"/>
        <v>0.14613378412599562</v>
      </c>
      <c r="AL308" s="17"/>
      <c r="AM308" s="17"/>
      <c r="AN308" s="17"/>
      <c r="AO308" s="17"/>
      <c r="AP308" s="28" t="str">
        <f t="shared" si="97"/>
        <v>20227</v>
      </c>
      <c r="AQ308" s="28" t="str">
        <f t="shared" si="98"/>
        <v>20227JPY</v>
      </c>
      <c r="AR308" s="206" t="str">
        <f t="shared" si="99"/>
        <v>YAMAHA_Mounter</v>
      </c>
      <c r="AS308" s="22">
        <f t="shared" si="100"/>
        <v>4</v>
      </c>
      <c r="AT308" s="24" t="str">
        <f t="shared" si="101"/>
        <v>4-6 months</v>
      </c>
      <c r="AU308" s="22" t="s">
        <v>3745</v>
      </c>
    </row>
    <row r="309" spans="1:47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47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2857</v>
      </c>
      <c r="K309" s="155" t="s">
        <v>2858</v>
      </c>
      <c r="L309" s="17" t="s">
        <v>2788</v>
      </c>
      <c r="M309" s="13" t="s">
        <v>2607</v>
      </c>
      <c r="N309" s="13">
        <v>1</v>
      </c>
      <c r="O309" s="13"/>
      <c r="P309" s="33" t="str">
        <f t="shared" si="91"/>
        <v>MAIN UNIT</v>
      </c>
      <c r="Q309" s="13" t="s">
        <v>61</v>
      </c>
      <c r="R309" s="13" t="s">
        <v>2055</v>
      </c>
      <c r="S309" s="13" t="s">
        <v>49</v>
      </c>
      <c r="T309" s="13" t="s">
        <v>78</v>
      </c>
      <c r="U309" s="13" t="s">
        <v>79</v>
      </c>
      <c r="V309" s="13" t="s">
        <v>2794</v>
      </c>
      <c r="W309" s="13" t="s">
        <v>64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86"/>
        <v>27318180.088495575</v>
      </c>
      <c r="AJ309" s="19">
        <f t="shared" si="87"/>
        <v>3014099.212353982</v>
      </c>
      <c r="AK309" s="20">
        <f t="shared" si="96"/>
        <v>0.11033308963444827</v>
      </c>
      <c r="AL309" s="17"/>
      <c r="AM309" s="17"/>
      <c r="AN309" s="17"/>
      <c r="AO309" s="17"/>
      <c r="AP309" s="28" t="str">
        <f t="shared" si="97"/>
        <v>201912</v>
      </c>
      <c r="AQ309" s="28" t="str">
        <f t="shared" si="98"/>
        <v>201912RMB</v>
      </c>
      <c r="AR309" s="206" t="str">
        <f t="shared" si="99"/>
        <v>HELLER</v>
      </c>
      <c r="AS309" s="22">
        <f t="shared" si="100"/>
        <v>1</v>
      </c>
      <c r="AT309" s="24" t="str">
        <f t="shared" si="101"/>
        <v>0-3 months</v>
      </c>
      <c r="AU309" s="22" t="s">
        <v>3744</v>
      </c>
    </row>
    <row r="310" spans="1:47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2584</v>
      </c>
      <c r="F310" s="152" t="s">
        <v>2584</v>
      </c>
      <c r="G310" s="152" t="s">
        <v>2584</v>
      </c>
      <c r="H310" s="155"/>
      <c r="I310" s="33" t="str">
        <f t="shared" si="90"/>
        <v>TBA</v>
      </c>
      <c r="J310" s="186" t="s">
        <v>2585</v>
      </c>
      <c r="K310" s="155" t="s">
        <v>2586</v>
      </c>
      <c r="L310" s="17" t="s">
        <v>92</v>
      </c>
      <c r="M310" s="13" t="s">
        <v>60</v>
      </c>
      <c r="N310" s="13">
        <v>1</v>
      </c>
      <c r="O310" s="13"/>
      <c r="P310" s="33" t="str">
        <f t="shared" si="91"/>
        <v>MAIN UNIT</v>
      </c>
      <c r="Q310" s="13" t="s">
        <v>68</v>
      </c>
      <c r="R310" s="13" t="s">
        <v>62</v>
      </c>
      <c r="S310" s="13" t="s">
        <v>51</v>
      </c>
      <c r="T310" s="13" t="s">
        <v>2168</v>
      </c>
      <c r="U310" s="13" t="s">
        <v>149</v>
      </c>
      <c r="V310" s="13" t="s">
        <v>134</v>
      </c>
      <c r="W310" s="13" t="s">
        <v>64</v>
      </c>
      <c r="X310" s="135">
        <v>700000</v>
      </c>
      <c r="Y310" s="157" t="str">
        <f t="shared" ref="Y310:Y317" si="103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86"/>
        <v>30033846.584070798</v>
      </c>
      <c r="AJ310" s="19">
        <f t="shared" si="87"/>
        <v>3534936.4750884958</v>
      </c>
      <c r="AK310" s="20">
        <f t="shared" si="96"/>
        <v>0.11769842618039268</v>
      </c>
      <c r="AL310" s="17"/>
      <c r="AM310" s="17"/>
      <c r="AN310" s="17"/>
      <c r="AO310" s="17"/>
      <c r="AP310" s="28" t="str">
        <f t="shared" si="97"/>
        <v>TBATBA</v>
      </c>
      <c r="AQ310" s="28" t="str">
        <f t="shared" si="98"/>
        <v>TBATBARMB</v>
      </c>
      <c r="AR310" s="206" t="str">
        <f t="shared" si="99"/>
        <v>YAMAHA_Mounter</v>
      </c>
      <c r="AS310" s="22" t="str">
        <f t="shared" si="100"/>
        <v/>
      </c>
      <c r="AT310" s="24" t="str">
        <f t="shared" si="101"/>
        <v/>
      </c>
      <c r="AU310" s="22" t="s">
        <v>3240</v>
      </c>
    </row>
    <row r="311" spans="1:47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2584</v>
      </c>
      <c r="F311" s="152" t="s">
        <v>2584</v>
      </c>
      <c r="G311" s="152" t="s">
        <v>2584</v>
      </c>
      <c r="H311" s="155"/>
      <c r="I311" s="33" t="str">
        <f t="shared" si="90"/>
        <v>TBA</v>
      </c>
      <c r="J311" s="186" t="s">
        <v>2585</v>
      </c>
      <c r="K311" s="155" t="s">
        <v>2586</v>
      </c>
      <c r="L311" s="17" t="s">
        <v>67</v>
      </c>
      <c r="M311" s="13" t="s">
        <v>60</v>
      </c>
      <c r="N311" s="13">
        <v>1</v>
      </c>
      <c r="O311" s="13"/>
      <c r="P311" s="33" t="str">
        <f t="shared" si="91"/>
        <v>MAIN UNIT</v>
      </c>
      <c r="Q311" s="13" t="s">
        <v>68</v>
      </c>
      <c r="R311" s="13" t="s">
        <v>62</v>
      </c>
      <c r="S311" s="13" t="s">
        <v>51</v>
      </c>
      <c r="T311" s="13" t="s">
        <v>2168</v>
      </c>
      <c r="U311" s="13" t="s">
        <v>149</v>
      </c>
      <c r="V311" s="13" t="s">
        <v>134</v>
      </c>
      <c r="W311" s="13" t="s">
        <v>64</v>
      </c>
      <c r="X311" s="135">
        <v>680000</v>
      </c>
      <c r="Y311" s="157" t="str">
        <f t="shared" si="103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86"/>
        <v>30033846.584070798</v>
      </c>
      <c r="AJ311" s="19">
        <f t="shared" si="87"/>
        <v>3534936.4750884958</v>
      </c>
      <c r="AK311" s="20">
        <f t="shared" si="96"/>
        <v>0.11769842618039268</v>
      </c>
      <c r="AL311" s="17"/>
      <c r="AM311" s="17"/>
      <c r="AN311" s="17"/>
      <c r="AO311" s="17"/>
      <c r="AP311" s="28" t="str">
        <f t="shared" si="97"/>
        <v>TBATBA</v>
      </c>
      <c r="AQ311" s="28" t="str">
        <f t="shared" si="98"/>
        <v>TBATBARMB</v>
      </c>
      <c r="AR311" s="206" t="str">
        <f t="shared" si="99"/>
        <v>YAMAHA_Mounter</v>
      </c>
      <c r="AS311" s="22" t="str">
        <f t="shared" si="100"/>
        <v/>
      </c>
      <c r="AT311" s="24" t="str">
        <f t="shared" si="101"/>
        <v/>
      </c>
      <c r="AU311" s="22" t="s">
        <v>3240</v>
      </c>
    </row>
    <row r="312" spans="1:47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53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1693</v>
      </c>
      <c r="K312" s="155" t="s">
        <v>1694</v>
      </c>
      <c r="L312" s="17" t="s">
        <v>67</v>
      </c>
      <c r="M312" s="13" t="s">
        <v>60</v>
      </c>
      <c r="N312" s="13">
        <v>1</v>
      </c>
      <c r="O312" s="13"/>
      <c r="P312" s="33" t="str">
        <f t="shared" si="91"/>
        <v>MAIN UNIT</v>
      </c>
      <c r="Q312" s="13" t="s">
        <v>68</v>
      </c>
      <c r="R312" s="13" t="s">
        <v>62</v>
      </c>
      <c r="S312" s="13" t="s">
        <v>51</v>
      </c>
      <c r="T312" s="13" t="s">
        <v>949</v>
      </c>
      <c r="U312" s="13" t="s">
        <v>149</v>
      </c>
      <c r="V312" s="13" t="s">
        <v>564</v>
      </c>
      <c r="W312" s="13" t="s">
        <v>64</v>
      </c>
      <c r="X312" s="135">
        <v>744200</v>
      </c>
      <c r="Y312" s="157" t="str">
        <f t="shared" si="103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86"/>
        <v>43684091.636631854</v>
      </c>
      <c r="AJ312" s="19">
        <f t="shared" si="87"/>
        <v>6483951.8242071122</v>
      </c>
      <c r="AK312" s="20">
        <f t="shared" si="96"/>
        <v>0.14842821680123736</v>
      </c>
      <c r="AL312" s="17"/>
      <c r="AM312" s="17"/>
      <c r="AN312" s="17"/>
      <c r="AO312" s="17"/>
      <c r="AP312" s="28" t="str">
        <f t="shared" si="97"/>
        <v>20214</v>
      </c>
      <c r="AQ312" s="28" t="str">
        <f t="shared" si="98"/>
        <v>20214RMB</v>
      </c>
      <c r="AR312" s="206" t="str">
        <f t="shared" si="99"/>
        <v>YAMAHA_Mounter</v>
      </c>
      <c r="AS312" s="22">
        <f t="shared" si="100"/>
        <v>1</v>
      </c>
      <c r="AT312" s="24" t="str">
        <f t="shared" si="101"/>
        <v>0-3 months</v>
      </c>
      <c r="AU312" s="22" t="s">
        <v>3240</v>
      </c>
    </row>
    <row r="313" spans="1:47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55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2335</v>
      </c>
      <c r="K313" s="155" t="s">
        <v>1694</v>
      </c>
      <c r="L313" s="17" t="s">
        <v>92</v>
      </c>
      <c r="M313" s="13" t="s">
        <v>60</v>
      </c>
      <c r="N313" s="13">
        <v>1</v>
      </c>
      <c r="O313" s="13"/>
      <c r="P313" s="33" t="str">
        <f t="shared" si="91"/>
        <v>MAIN UNIT</v>
      </c>
      <c r="Q313" s="13" t="s">
        <v>61</v>
      </c>
      <c r="R313" s="13" t="s">
        <v>62</v>
      </c>
      <c r="S313" s="13" t="s">
        <v>51</v>
      </c>
      <c r="T313" s="13" t="s">
        <v>949</v>
      </c>
      <c r="U313" s="13" t="s">
        <v>149</v>
      </c>
      <c r="V313" s="13" t="s">
        <v>954</v>
      </c>
      <c r="W313" s="13" t="s">
        <v>64</v>
      </c>
      <c r="X313" s="135">
        <v>900000</v>
      </c>
      <c r="Y313" s="157" t="str">
        <f t="shared" si="103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86"/>
        <v>13640480.497522123</v>
      </c>
      <c r="AJ313" s="19">
        <f t="shared" si="87"/>
        <v>1928605.8020906283</v>
      </c>
      <c r="AK313" s="20">
        <f t="shared" si="96"/>
        <v>0.1413884065477731</v>
      </c>
      <c r="AL313" s="17"/>
      <c r="AM313" s="17"/>
      <c r="AN313" s="17"/>
      <c r="AO313" s="17"/>
      <c r="AP313" s="28" t="str">
        <f t="shared" si="97"/>
        <v>20236</v>
      </c>
      <c r="AQ313" s="28" t="str">
        <f t="shared" si="98"/>
        <v>20236RMB</v>
      </c>
      <c r="AR313" s="206" t="str">
        <f t="shared" si="99"/>
        <v>YAMAHA_Mounter</v>
      </c>
      <c r="AS313" s="22">
        <f t="shared" si="100"/>
        <v>7</v>
      </c>
      <c r="AT313" s="24" t="str">
        <f t="shared" si="101"/>
        <v>&gt; 6 months</v>
      </c>
      <c r="AU313" s="22" t="s">
        <v>3240</v>
      </c>
    </row>
    <row r="314" spans="1:47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55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2335</v>
      </c>
      <c r="K314" s="155" t="s">
        <v>1694</v>
      </c>
      <c r="L314" s="17" t="s">
        <v>67</v>
      </c>
      <c r="M314" s="13" t="s">
        <v>60</v>
      </c>
      <c r="N314" s="13">
        <v>1</v>
      </c>
      <c r="O314" s="13"/>
      <c r="P314" s="33" t="str">
        <f t="shared" si="91"/>
        <v>MAIN UNIT</v>
      </c>
      <c r="Q314" s="13" t="s">
        <v>61</v>
      </c>
      <c r="R314" s="13" t="s">
        <v>62</v>
      </c>
      <c r="S314" s="13" t="s">
        <v>51</v>
      </c>
      <c r="T314" s="13" t="s">
        <v>949</v>
      </c>
      <c r="U314" s="13" t="s">
        <v>149</v>
      </c>
      <c r="V314" s="13" t="s">
        <v>954</v>
      </c>
      <c r="W314" s="13" t="s">
        <v>64</v>
      </c>
      <c r="X314" s="135">
        <v>787000</v>
      </c>
      <c r="Y314" s="157" t="str">
        <f t="shared" si="103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86"/>
        <v>13640480.497522123</v>
      </c>
      <c r="AJ314" s="19">
        <f t="shared" si="87"/>
        <v>1928605.8020906283</v>
      </c>
      <c r="AK314" s="20">
        <f t="shared" si="96"/>
        <v>0.1413884065477731</v>
      </c>
      <c r="AL314" s="17"/>
      <c r="AM314" s="17"/>
      <c r="AN314" s="17"/>
      <c r="AO314" s="17"/>
      <c r="AP314" s="28" t="str">
        <f t="shared" si="97"/>
        <v>20236</v>
      </c>
      <c r="AQ314" s="28" t="str">
        <f t="shared" si="98"/>
        <v>20236RMB</v>
      </c>
      <c r="AR314" s="206" t="str">
        <f t="shared" si="99"/>
        <v>YAMAHA_Mounter</v>
      </c>
      <c r="AS314" s="22">
        <f t="shared" si="100"/>
        <v>7</v>
      </c>
      <c r="AT314" s="24" t="str">
        <f t="shared" si="101"/>
        <v>&gt; 6 months</v>
      </c>
      <c r="AU314" s="22" t="s">
        <v>3240</v>
      </c>
    </row>
    <row r="315" spans="1:47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54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2389</v>
      </c>
      <c r="K315" s="155" t="s">
        <v>2390</v>
      </c>
      <c r="L315" s="17" t="s">
        <v>92</v>
      </c>
      <c r="M315" s="13" t="s">
        <v>60</v>
      </c>
      <c r="N315" s="13">
        <v>1</v>
      </c>
      <c r="O315" s="13"/>
      <c r="P315" s="33" t="str">
        <f t="shared" si="91"/>
        <v>MAIN UNIT</v>
      </c>
      <c r="Q315" s="13" t="s">
        <v>68</v>
      </c>
      <c r="R315" s="13" t="s">
        <v>62</v>
      </c>
      <c r="S315" s="13" t="s">
        <v>51</v>
      </c>
      <c r="T315" s="13" t="s">
        <v>1910</v>
      </c>
      <c r="U315" s="13" t="s">
        <v>149</v>
      </c>
      <c r="V315" s="13" t="s">
        <v>954</v>
      </c>
      <c r="W315" s="13" t="s">
        <v>64</v>
      </c>
      <c r="X315" s="135">
        <v>660000</v>
      </c>
      <c r="Y315" s="157" t="str">
        <f t="shared" si="103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86"/>
        <v>17329060.066371687</v>
      </c>
      <c r="AJ315" s="19">
        <f t="shared" si="87"/>
        <v>2472600.2142256643</v>
      </c>
      <c r="AK315" s="20">
        <f t="shared" si="96"/>
        <v>0.14268518919984163</v>
      </c>
      <c r="AL315" s="17"/>
      <c r="AM315" s="17"/>
      <c r="AN315" s="17"/>
      <c r="AO315" s="17"/>
      <c r="AP315" s="28" t="str">
        <f t="shared" si="97"/>
        <v>202212</v>
      </c>
      <c r="AQ315" s="28" t="str">
        <f t="shared" si="98"/>
        <v>202212RMB</v>
      </c>
      <c r="AR315" s="206" t="str">
        <f t="shared" si="99"/>
        <v>YAMAHA_Mounter</v>
      </c>
      <c r="AS315" s="22">
        <f t="shared" si="100"/>
        <v>2</v>
      </c>
      <c r="AT315" s="24" t="str">
        <f t="shared" si="101"/>
        <v>0-3 months</v>
      </c>
      <c r="AU315" s="22" t="s">
        <v>3240</v>
      </c>
    </row>
    <row r="316" spans="1:47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54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2389</v>
      </c>
      <c r="K316" s="155" t="s">
        <v>2390</v>
      </c>
      <c r="L316" s="17" t="s">
        <v>92</v>
      </c>
      <c r="M316" s="13" t="s">
        <v>60</v>
      </c>
      <c r="N316" s="13">
        <v>1</v>
      </c>
      <c r="O316" s="13"/>
      <c r="P316" s="33" t="str">
        <f t="shared" si="91"/>
        <v>MAIN UNIT</v>
      </c>
      <c r="Q316" s="13" t="s">
        <v>68</v>
      </c>
      <c r="R316" s="13" t="s">
        <v>62</v>
      </c>
      <c r="S316" s="13" t="s">
        <v>51</v>
      </c>
      <c r="T316" s="13" t="s">
        <v>1910</v>
      </c>
      <c r="U316" s="13" t="s">
        <v>149</v>
      </c>
      <c r="V316" s="13" t="s">
        <v>954</v>
      </c>
      <c r="W316" s="13" t="s">
        <v>64</v>
      </c>
      <c r="X316" s="135">
        <v>660000</v>
      </c>
      <c r="Y316" s="157" t="str">
        <f t="shared" si="103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86"/>
        <v>17329060.066371687</v>
      </c>
      <c r="AJ316" s="19">
        <f t="shared" si="87"/>
        <v>2472600.2142256643</v>
      </c>
      <c r="AK316" s="20">
        <f t="shared" si="96"/>
        <v>0.14268518919984163</v>
      </c>
      <c r="AL316" s="17"/>
      <c r="AM316" s="17"/>
      <c r="AN316" s="17"/>
      <c r="AO316" s="17"/>
      <c r="AP316" s="28" t="str">
        <f t="shared" si="97"/>
        <v>202212</v>
      </c>
      <c r="AQ316" s="28" t="str">
        <f t="shared" si="98"/>
        <v>202212RMB</v>
      </c>
      <c r="AR316" s="206" t="str">
        <f t="shared" si="99"/>
        <v>YAMAHA_Mounter</v>
      </c>
      <c r="AS316" s="22">
        <f t="shared" si="100"/>
        <v>2</v>
      </c>
      <c r="AT316" s="24" t="str">
        <f t="shared" si="101"/>
        <v>0-3 months</v>
      </c>
      <c r="AU316" s="22" t="s">
        <v>3240</v>
      </c>
    </row>
    <row r="317" spans="1:47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54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2262</v>
      </c>
      <c r="L317" s="17" t="s">
        <v>67</v>
      </c>
      <c r="M317" s="13" t="s">
        <v>60</v>
      </c>
      <c r="N317" s="13">
        <v>1</v>
      </c>
      <c r="O317" s="13"/>
      <c r="P317" s="33" t="str">
        <f t="shared" si="91"/>
        <v>MAIN UNIT</v>
      </c>
      <c r="Q317" s="13" t="s">
        <v>68</v>
      </c>
      <c r="R317" s="13" t="s">
        <v>62</v>
      </c>
      <c r="S317" s="13" t="s">
        <v>50</v>
      </c>
      <c r="T317" s="13" t="s">
        <v>101</v>
      </c>
      <c r="U317" s="13" t="s">
        <v>70</v>
      </c>
      <c r="V317" s="13" t="s">
        <v>1010</v>
      </c>
      <c r="W317" s="13" t="s">
        <v>64</v>
      </c>
      <c r="X317" s="135">
        <v>543315</v>
      </c>
      <c r="Y317" s="157" t="str">
        <f t="shared" si="103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86"/>
        <v>35073581.838938057</v>
      </c>
      <c r="AJ317" s="19">
        <f t="shared" si="87"/>
        <v>5034113.9728989396</v>
      </c>
      <c r="AK317" s="20">
        <f t="shared" si="96"/>
        <v>0.14353007902118958</v>
      </c>
      <c r="AL317" s="17"/>
      <c r="AM317" s="17"/>
      <c r="AN317" s="17"/>
      <c r="AO317" s="17"/>
      <c r="AP317" s="28" t="str">
        <f t="shared" si="97"/>
        <v>20228</v>
      </c>
      <c r="AQ317" s="28" t="str">
        <f t="shared" si="98"/>
        <v>20228RMB</v>
      </c>
      <c r="AR317" s="206" t="str">
        <f t="shared" si="99"/>
        <v>YAMAHA_Mounter</v>
      </c>
      <c r="AS317" s="22">
        <f t="shared" si="100"/>
        <v>1</v>
      </c>
      <c r="AT317" s="24" t="str">
        <f t="shared" si="101"/>
        <v>0-3 months</v>
      </c>
      <c r="AU317" s="22" t="s">
        <v>3240</v>
      </c>
    </row>
    <row r="318" spans="1:47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41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344</v>
      </c>
      <c r="K318" s="155" t="s">
        <v>345</v>
      </c>
      <c r="L318" s="17" t="s">
        <v>92</v>
      </c>
      <c r="M318" s="13" t="s">
        <v>60</v>
      </c>
      <c r="N318" s="13">
        <v>1</v>
      </c>
      <c r="O318" s="13"/>
      <c r="P318" s="33" t="str">
        <f t="shared" si="91"/>
        <v>MAIN UNIT</v>
      </c>
      <c r="Q318" s="13" t="s">
        <v>68</v>
      </c>
      <c r="R318" s="13" t="s">
        <v>62</v>
      </c>
      <c r="S318" s="13" t="s">
        <v>49</v>
      </c>
      <c r="T318" s="13" t="s">
        <v>346</v>
      </c>
      <c r="U318" s="13" t="s">
        <v>79</v>
      </c>
      <c r="V318" s="13" t="s">
        <v>112</v>
      </c>
      <c r="W318" s="13" t="s">
        <v>109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86"/>
        <v>24398045.86045352</v>
      </c>
      <c r="AJ318" s="19">
        <f t="shared" si="87"/>
        <v>3478417.4064663448</v>
      </c>
      <c r="AK318" s="20">
        <f t="shared" si="96"/>
        <v>0.14256950849102498</v>
      </c>
      <c r="AL318" s="17"/>
      <c r="AM318" s="17"/>
      <c r="AN318" s="17"/>
      <c r="AO318" s="17" t="s">
        <v>221</v>
      </c>
      <c r="AP318" s="28" t="str">
        <f t="shared" si="97"/>
        <v>20186</v>
      </c>
      <c r="AQ318" s="28" t="str">
        <f t="shared" si="98"/>
        <v>20186JPY</v>
      </c>
      <c r="AR318" s="206" t="str">
        <f t="shared" si="99"/>
        <v>YAMAHA_Mounter</v>
      </c>
      <c r="AS318" s="22">
        <f t="shared" si="100"/>
        <v>5</v>
      </c>
      <c r="AT318" s="24" t="str">
        <f t="shared" si="101"/>
        <v>4-6 months</v>
      </c>
      <c r="AU318" s="22" t="s">
        <v>3745</v>
      </c>
    </row>
    <row r="319" spans="1:47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185</v>
      </c>
      <c r="F319" s="13" t="s">
        <v>185</v>
      </c>
      <c r="G319" s="152" t="s">
        <v>185</v>
      </c>
      <c r="H319" s="155"/>
      <c r="I319" s="33" t="str">
        <f t="shared" si="90"/>
        <v>Cancel</v>
      </c>
      <c r="J319" s="186" t="s">
        <v>607</v>
      </c>
      <c r="K319" s="155" t="s">
        <v>345</v>
      </c>
      <c r="L319" s="17" t="s">
        <v>92</v>
      </c>
      <c r="M319" s="13" t="s">
        <v>60</v>
      </c>
      <c r="N319" s="13">
        <v>2</v>
      </c>
      <c r="O319" s="13"/>
      <c r="P319" s="33" t="str">
        <f t="shared" si="91"/>
        <v>MAIN UNIT</v>
      </c>
      <c r="Q319" s="13" t="s">
        <v>68</v>
      </c>
      <c r="R319" s="13" t="s">
        <v>62</v>
      </c>
      <c r="S319" s="13" t="s">
        <v>49</v>
      </c>
      <c r="T319" s="13" t="s">
        <v>346</v>
      </c>
      <c r="U319" s="13" t="s">
        <v>79</v>
      </c>
      <c r="V319" s="13" t="s">
        <v>112</v>
      </c>
      <c r="W319" s="13" t="s">
        <v>109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86"/>
        <v>499582152.5142017</v>
      </c>
      <c r="AJ319" s="19">
        <f t="shared" si="87"/>
        <v>59520528.679470733</v>
      </c>
      <c r="AK319" s="20">
        <f t="shared" si="96"/>
        <v>0.11914062257814291</v>
      </c>
      <c r="AL319" s="17"/>
      <c r="AM319" s="17"/>
      <c r="AN319" s="17"/>
      <c r="AO319" s="17"/>
      <c r="AP319" s="28" t="str">
        <f t="shared" si="97"/>
        <v>CancelCancel</v>
      </c>
      <c r="AQ319" s="28" t="str">
        <f t="shared" si="98"/>
        <v>CancelCancelJPY</v>
      </c>
      <c r="AR319" s="206" t="str">
        <f t="shared" si="99"/>
        <v>YAMAHA_Mounter</v>
      </c>
      <c r="AS319" s="22" t="str">
        <f t="shared" si="100"/>
        <v/>
      </c>
      <c r="AT319" s="24" t="str">
        <f t="shared" si="101"/>
        <v/>
      </c>
      <c r="AU319" s="22" t="s">
        <v>3745</v>
      </c>
    </row>
    <row r="320" spans="1:47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47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802</v>
      </c>
      <c r="K320" s="155" t="s">
        <v>803</v>
      </c>
      <c r="L320" s="17" t="s">
        <v>92</v>
      </c>
      <c r="M320" s="13" t="s">
        <v>60</v>
      </c>
      <c r="N320" s="13">
        <v>1</v>
      </c>
      <c r="O320" s="13"/>
      <c r="P320" s="33" t="str">
        <f t="shared" si="91"/>
        <v>MAIN UNIT</v>
      </c>
      <c r="Q320" s="13" t="s">
        <v>61</v>
      </c>
      <c r="R320" s="13" t="s">
        <v>62</v>
      </c>
      <c r="S320" s="13" t="s">
        <v>49</v>
      </c>
      <c r="T320" s="13" t="s">
        <v>346</v>
      </c>
      <c r="U320" s="13" t="s">
        <v>79</v>
      </c>
      <c r="V320" s="13" t="s">
        <v>112</v>
      </c>
      <c r="W320" s="13" t="s">
        <v>109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86"/>
        <v>31296887.037898075</v>
      </c>
      <c r="AJ320" s="19">
        <f t="shared" si="87"/>
        <v>3588873.9502021763</v>
      </c>
      <c r="AK320" s="20">
        <f t="shared" si="96"/>
        <v>0.11467191436184473</v>
      </c>
      <c r="AL320" s="17"/>
      <c r="AM320" s="17"/>
      <c r="AN320" s="17"/>
      <c r="AO320" s="17"/>
      <c r="AP320" s="28" t="str">
        <f t="shared" si="97"/>
        <v>20196</v>
      </c>
      <c r="AQ320" s="28" t="str">
        <f t="shared" si="98"/>
        <v>20196JPY</v>
      </c>
      <c r="AR320" s="206" t="str">
        <f t="shared" si="99"/>
        <v>YAMAHA_Mounter</v>
      </c>
      <c r="AS320" s="22">
        <f t="shared" si="100"/>
        <v>2</v>
      </c>
      <c r="AT320" s="24" t="str">
        <f t="shared" si="101"/>
        <v>0-3 months</v>
      </c>
      <c r="AU320" s="22" t="s">
        <v>3745</v>
      </c>
    </row>
    <row r="321" spans="1:47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47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835</v>
      </c>
      <c r="K321" s="155" t="s">
        <v>836</v>
      </c>
      <c r="L321" s="17" t="s">
        <v>67</v>
      </c>
      <c r="M321" s="13" t="s">
        <v>60</v>
      </c>
      <c r="N321" s="13">
        <v>1</v>
      </c>
      <c r="O321" s="13"/>
      <c r="P321" s="33" t="str">
        <f t="shared" si="91"/>
        <v>MAIN UNIT</v>
      </c>
      <c r="Q321" s="13" t="s">
        <v>61</v>
      </c>
      <c r="R321" s="13" t="s">
        <v>701</v>
      </c>
      <c r="S321" s="13" t="s">
        <v>750</v>
      </c>
      <c r="T321" s="13" t="s">
        <v>78</v>
      </c>
      <c r="U321" s="13" t="s">
        <v>79</v>
      </c>
      <c r="V321" s="13" t="s">
        <v>770</v>
      </c>
      <c r="W321" s="13" t="s">
        <v>777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86"/>
        <v>31296887.037898075</v>
      </c>
      <c r="AJ321" s="19">
        <f t="shared" si="87"/>
        <v>3588873.9502021763</v>
      </c>
      <c r="AK321" s="20">
        <f t="shared" si="96"/>
        <v>0.11467191436184473</v>
      </c>
      <c r="AL321" s="17"/>
      <c r="AM321" s="17"/>
      <c r="AN321" s="17"/>
      <c r="AO321" s="17"/>
      <c r="AP321" s="28" t="str">
        <f t="shared" si="97"/>
        <v>20196</v>
      </c>
      <c r="AQ321" s="28" t="str">
        <f t="shared" si="98"/>
        <v>20196JPY</v>
      </c>
      <c r="AR321" s="206" t="str">
        <f t="shared" si="99"/>
        <v>YAMAHA_Mounter</v>
      </c>
      <c r="AS321" s="22">
        <f t="shared" si="100"/>
        <v>1</v>
      </c>
      <c r="AT321" s="24" t="str">
        <f t="shared" si="101"/>
        <v>0-3 months</v>
      </c>
      <c r="AU321" s="22" t="s">
        <v>3745</v>
      </c>
    </row>
    <row r="322" spans="1:47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48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1111</v>
      </c>
      <c r="K322" s="155" t="s">
        <v>1112</v>
      </c>
      <c r="L322" s="17" t="s">
        <v>67</v>
      </c>
      <c r="M322" s="13" t="s">
        <v>60</v>
      </c>
      <c r="N322" s="13">
        <v>1</v>
      </c>
      <c r="O322" s="13"/>
      <c r="P322" s="33" t="str">
        <f t="shared" si="91"/>
        <v>MAIN UNIT</v>
      </c>
      <c r="Q322" s="13" t="s">
        <v>68</v>
      </c>
      <c r="R322" s="13" t="s">
        <v>62</v>
      </c>
      <c r="S322" s="13" t="s">
        <v>50</v>
      </c>
      <c r="T322" s="13" t="s">
        <v>93</v>
      </c>
      <c r="U322" s="13" t="s">
        <v>70</v>
      </c>
      <c r="V322" s="13" t="s">
        <v>1113</v>
      </c>
      <c r="W322" s="13" t="s">
        <v>703</v>
      </c>
      <c r="X322" s="135">
        <v>720000</v>
      </c>
      <c r="Y322" s="156" t="s">
        <v>1110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ref="AI322:AI385" si="104">IF(P322="C66 SERVICE","",SUMIFS(AB:AB,F:F,F322,G:G,G322,E:E,E322))</f>
        <v>37969334.083628319</v>
      </c>
      <c r="AJ322" s="19">
        <f t="shared" ref="AJ322:AJ385" si="105">IF(P322="C66 SERVICE","",SUMIFS(AC:AC,F:F,F322,G:G,G322,E:E,E322))</f>
        <v>5097226.4551657084</v>
      </c>
      <c r="AK322" s="20">
        <f t="shared" si="96"/>
        <v>0.13424587441904964</v>
      </c>
      <c r="AL322" s="17"/>
      <c r="AM322" s="17"/>
      <c r="AN322" s="17"/>
      <c r="AO322" s="17"/>
      <c r="AP322" s="28" t="str">
        <f t="shared" si="97"/>
        <v>20208</v>
      </c>
      <c r="AQ322" s="28" t="str">
        <f t="shared" si="98"/>
        <v>20208RMB</v>
      </c>
      <c r="AR322" s="206" t="str">
        <f t="shared" si="99"/>
        <v>YAMAHA_Mounter</v>
      </c>
      <c r="AS322" s="22">
        <f t="shared" si="100"/>
        <v>1</v>
      </c>
      <c r="AT322" s="24" t="str">
        <f t="shared" si="101"/>
        <v>0-3 months</v>
      </c>
      <c r="AU322" s="22" t="s">
        <v>3240</v>
      </c>
    </row>
    <row r="323" spans="1:47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185</v>
      </c>
      <c r="F323" s="13" t="s">
        <v>185</v>
      </c>
      <c r="G323" s="152" t="s">
        <v>185</v>
      </c>
      <c r="H323" s="155"/>
      <c r="I323" s="33" t="str">
        <f t="shared" si="90"/>
        <v>Cancel</v>
      </c>
      <c r="J323" s="186" t="s">
        <v>2587</v>
      </c>
      <c r="K323" s="155" t="s">
        <v>2588</v>
      </c>
      <c r="L323" s="17" t="s">
        <v>67</v>
      </c>
      <c r="M323" s="13" t="s">
        <v>60</v>
      </c>
      <c r="N323" s="13">
        <v>1</v>
      </c>
      <c r="O323" s="13"/>
      <c r="P323" s="33" t="str">
        <f t="shared" si="91"/>
        <v>MAIN UNIT</v>
      </c>
      <c r="Q323" s="13" t="s">
        <v>68</v>
      </c>
      <c r="R323" s="13" t="s">
        <v>62</v>
      </c>
      <c r="S323" s="13" t="s">
        <v>49</v>
      </c>
      <c r="T323" s="13" t="s">
        <v>78</v>
      </c>
      <c r="U323" s="13" t="s">
        <v>2589</v>
      </c>
      <c r="V323" s="13" t="s">
        <v>2534</v>
      </c>
      <c r="W323" s="13" t="s">
        <v>64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104"/>
        <v>499582152.5142017</v>
      </c>
      <c r="AJ323" s="19">
        <f t="shared" si="105"/>
        <v>59520528.679470733</v>
      </c>
      <c r="AK323" s="20">
        <f t="shared" si="96"/>
        <v>0.11914062257814291</v>
      </c>
      <c r="AL323" s="17"/>
      <c r="AM323" s="17"/>
      <c r="AN323" s="17"/>
      <c r="AO323" s="17"/>
      <c r="AP323" s="28" t="str">
        <f t="shared" si="97"/>
        <v>CancelCancel</v>
      </c>
      <c r="AQ323" s="28" t="str">
        <f t="shared" si="98"/>
        <v>CancelCancelRMB</v>
      </c>
      <c r="AR323" s="206" t="str">
        <f t="shared" si="99"/>
        <v>YAMAHA_Mounter</v>
      </c>
      <c r="AS323" s="22" t="str">
        <f t="shared" si="100"/>
        <v/>
      </c>
      <c r="AT323" s="24" t="str">
        <f t="shared" si="101"/>
        <v/>
      </c>
      <c r="AU323" s="22" t="s">
        <v>3751</v>
      </c>
    </row>
    <row r="324" spans="1:47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185</v>
      </c>
      <c r="F324" s="13" t="s">
        <v>185</v>
      </c>
      <c r="G324" s="152" t="s">
        <v>185</v>
      </c>
      <c r="H324" s="155"/>
      <c r="I324" s="33" t="str">
        <f t="shared" si="90"/>
        <v>Cancel</v>
      </c>
      <c r="J324" s="186" t="s">
        <v>2587</v>
      </c>
      <c r="K324" s="155" t="s">
        <v>2588</v>
      </c>
      <c r="L324" s="17" t="s">
        <v>67</v>
      </c>
      <c r="M324" s="13" t="s">
        <v>60</v>
      </c>
      <c r="N324" s="13">
        <v>1</v>
      </c>
      <c r="O324" s="13"/>
      <c r="P324" s="33" t="str">
        <f t="shared" si="91"/>
        <v>MAIN UNIT</v>
      </c>
      <c r="Q324" s="13" t="s">
        <v>68</v>
      </c>
      <c r="R324" s="13" t="s">
        <v>62</v>
      </c>
      <c r="S324" s="13" t="s">
        <v>49</v>
      </c>
      <c r="T324" s="13" t="s">
        <v>78</v>
      </c>
      <c r="U324" s="13" t="s">
        <v>2589</v>
      </c>
      <c r="V324" s="13" t="s">
        <v>2534</v>
      </c>
      <c r="W324" s="13" t="s">
        <v>64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104"/>
        <v>499582152.5142017</v>
      </c>
      <c r="AJ324" s="19">
        <f t="shared" si="105"/>
        <v>59520528.679470733</v>
      </c>
      <c r="AK324" s="20">
        <f t="shared" si="96"/>
        <v>0.11914062257814291</v>
      </c>
      <c r="AL324" s="17"/>
      <c r="AM324" s="17"/>
      <c r="AN324" s="17"/>
      <c r="AO324" s="17"/>
      <c r="AP324" s="28" t="str">
        <f t="shared" si="97"/>
        <v>CancelCancel</v>
      </c>
      <c r="AQ324" s="28" t="str">
        <f t="shared" si="98"/>
        <v>CancelCancelRMB</v>
      </c>
      <c r="AR324" s="206" t="str">
        <f t="shared" si="99"/>
        <v>YAMAHA_Mounter</v>
      </c>
      <c r="AS324" s="22" t="str">
        <f t="shared" si="100"/>
        <v/>
      </c>
      <c r="AT324" s="24" t="str">
        <f t="shared" si="101"/>
        <v/>
      </c>
      <c r="AU324" s="22" t="s">
        <v>3751</v>
      </c>
    </row>
    <row r="325" spans="1:47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185</v>
      </c>
      <c r="F325" s="13" t="s">
        <v>185</v>
      </c>
      <c r="G325" s="152" t="s">
        <v>185</v>
      </c>
      <c r="H325" s="155"/>
      <c r="I325" s="33" t="str">
        <f t="shared" si="90"/>
        <v>Cancel</v>
      </c>
      <c r="J325" s="186" t="s">
        <v>2587</v>
      </c>
      <c r="K325" s="155" t="s">
        <v>2588</v>
      </c>
      <c r="L325" s="17" t="s">
        <v>92</v>
      </c>
      <c r="M325" s="13" t="s">
        <v>60</v>
      </c>
      <c r="N325" s="13">
        <v>1</v>
      </c>
      <c r="O325" s="13"/>
      <c r="P325" s="33" t="str">
        <f t="shared" si="91"/>
        <v>MAIN UNIT</v>
      </c>
      <c r="Q325" s="13" t="s">
        <v>68</v>
      </c>
      <c r="R325" s="13" t="s">
        <v>62</v>
      </c>
      <c r="S325" s="13" t="s">
        <v>49</v>
      </c>
      <c r="T325" s="13" t="s">
        <v>78</v>
      </c>
      <c r="U325" s="13" t="s">
        <v>2589</v>
      </c>
      <c r="V325" s="13" t="s">
        <v>2534</v>
      </c>
      <c r="W325" s="13" t="s">
        <v>64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104"/>
        <v>499582152.5142017</v>
      </c>
      <c r="AJ325" s="19">
        <f t="shared" si="105"/>
        <v>59520528.679470733</v>
      </c>
      <c r="AK325" s="20">
        <f t="shared" si="96"/>
        <v>0.11914062257814291</v>
      </c>
      <c r="AL325" s="17"/>
      <c r="AM325" s="17"/>
      <c r="AN325" s="17"/>
      <c r="AO325" s="17"/>
      <c r="AP325" s="28" t="str">
        <f t="shared" si="97"/>
        <v>CancelCancel</v>
      </c>
      <c r="AQ325" s="28" t="str">
        <f t="shared" si="98"/>
        <v>CancelCancelRMB</v>
      </c>
      <c r="AR325" s="206" t="str">
        <f t="shared" si="99"/>
        <v>YAMAHA_Mounter</v>
      </c>
      <c r="AS325" s="22" t="str">
        <f t="shared" si="100"/>
        <v/>
      </c>
      <c r="AT325" s="24" t="str">
        <f t="shared" si="101"/>
        <v/>
      </c>
      <c r="AU325" s="22" t="s">
        <v>3751</v>
      </c>
    </row>
    <row r="326" spans="1:47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185</v>
      </c>
      <c r="F326" s="13" t="s">
        <v>185</v>
      </c>
      <c r="G326" s="152" t="s">
        <v>185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2587</v>
      </c>
      <c r="K326" s="155" t="s">
        <v>2588</v>
      </c>
      <c r="L326" s="17" t="s">
        <v>92</v>
      </c>
      <c r="M326" s="13" t="s">
        <v>60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68</v>
      </c>
      <c r="R326" s="13" t="s">
        <v>62</v>
      </c>
      <c r="S326" s="13" t="s">
        <v>49</v>
      </c>
      <c r="T326" s="13" t="s">
        <v>78</v>
      </c>
      <c r="U326" s="13" t="s">
        <v>2589</v>
      </c>
      <c r="V326" s="13" t="s">
        <v>2534</v>
      </c>
      <c r="W326" s="13" t="s">
        <v>64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si="104"/>
        <v>499582152.5142017</v>
      </c>
      <c r="AJ326" s="19">
        <f t="shared" si="105"/>
        <v>59520528.679470733</v>
      </c>
      <c r="AK326" s="20">
        <f t="shared" ref="AK326:AK389" si="115">IF(AJ326&gt;0,AJ326/AI326,"")</f>
        <v>0.11914062257814291</v>
      </c>
      <c r="AL326" s="17"/>
      <c r="AM326" s="17"/>
      <c r="AN326" s="17"/>
      <c r="AO326" s="17"/>
      <c r="AP326" s="28" t="str">
        <f t="shared" ref="AP326:AP389" si="116">IF(F326="","",F326&amp;G326)</f>
        <v>CancelCancel</v>
      </c>
      <c r="AQ326" s="28" t="str">
        <f t="shared" ref="AQ326:AQ389" si="117">IF(W326="","",F326&amp;G326&amp;W326)</f>
        <v>CancelCancelRMB</v>
      </c>
      <c r="AR326" s="206" t="str">
        <f t="shared" ref="AR326:AR389" si="118">IFERROR(IF(AND(M326="YAMAHA", R326="C28"), "YAMAHA_Non_Mounter", IF(AND(M326="YAMAHA", R326="C49"), "YAMAHA_Mounter", M326)),"")</f>
        <v>YAMAHA_Mounter</v>
      </c>
      <c r="AS326" s="22" t="str">
        <f t="shared" ref="AS326:AS389" si="119">IFERROR(IF(OR(G326="TBA", G326=""), "", DATEDIF(DATE(B326, C326, 1), DATE(F326, G326, 1), "M")),"")</f>
        <v/>
      </c>
      <c r="AT326" s="24" t="str">
        <f t="shared" ref="AT326:AT389" si="120">IF(ISNUMBER(AS326), IF(AS326&gt;=0, IF(AS326&lt;=3, "0-3 months", IF(AS326&lt;=6, "4-6 months", "&gt; 6 months"))), "")</f>
        <v/>
      </c>
      <c r="AU326" s="22" t="s">
        <v>3751</v>
      </c>
    </row>
    <row r="327" spans="1:47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53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1942</v>
      </c>
      <c r="K327" s="155" t="s">
        <v>1943</v>
      </c>
      <c r="L327" s="17" t="s">
        <v>92</v>
      </c>
      <c r="M327" s="13" t="s">
        <v>60</v>
      </c>
      <c r="N327" s="13">
        <v>1</v>
      </c>
      <c r="O327" s="13"/>
      <c r="P327" s="33" t="str">
        <f t="shared" si="110"/>
        <v>MAIN UNIT</v>
      </c>
      <c r="Q327" s="13" t="s">
        <v>61</v>
      </c>
      <c r="R327" s="13" t="s">
        <v>62</v>
      </c>
      <c r="S327" s="13" t="s">
        <v>49</v>
      </c>
      <c r="T327" s="13" t="s">
        <v>78</v>
      </c>
      <c r="U327" s="13" t="s">
        <v>79</v>
      </c>
      <c r="V327" s="13" t="s">
        <v>715</v>
      </c>
      <c r="W327" s="13" t="s">
        <v>109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04"/>
        <v>26407088.359292038</v>
      </c>
      <c r="AJ327" s="19">
        <f t="shared" si="105"/>
        <v>3424510.6998470789</v>
      </c>
      <c r="AK327" s="20">
        <f t="shared" si="115"/>
        <v>0.12968149510667554</v>
      </c>
      <c r="AL327" s="17"/>
      <c r="AM327" s="17"/>
      <c r="AN327" s="17"/>
      <c r="AO327" s="17"/>
      <c r="AP327" s="28" t="str">
        <f t="shared" si="116"/>
        <v>20221</v>
      </c>
      <c r="AQ327" s="28" t="str">
        <f t="shared" si="117"/>
        <v>20221JPY</v>
      </c>
      <c r="AR327" s="206" t="str">
        <f t="shared" si="118"/>
        <v>YAMAHA_Mounter</v>
      </c>
      <c r="AS327" s="22">
        <f t="shared" si="119"/>
        <v>4</v>
      </c>
      <c r="AT327" s="24" t="str">
        <f t="shared" si="120"/>
        <v>4-6 months</v>
      </c>
      <c r="AU327" s="22" t="s">
        <v>3746</v>
      </c>
    </row>
    <row r="328" spans="1:47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48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1560</v>
      </c>
      <c r="K328" s="155" t="s">
        <v>1561</v>
      </c>
      <c r="L328" s="17" t="s">
        <v>92</v>
      </c>
      <c r="M328" s="13" t="s">
        <v>60</v>
      </c>
      <c r="N328" s="13">
        <v>1</v>
      </c>
      <c r="O328" s="13"/>
      <c r="P328" s="33" t="str">
        <f t="shared" si="110"/>
        <v>MAIN UNIT</v>
      </c>
      <c r="Q328" s="13" t="s">
        <v>68</v>
      </c>
      <c r="R328" s="13" t="s">
        <v>62</v>
      </c>
      <c r="S328" s="13" t="s">
        <v>52</v>
      </c>
      <c r="T328" s="13" t="s">
        <v>176</v>
      </c>
      <c r="U328" s="13" t="s">
        <v>177</v>
      </c>
      <c r="V328" s="13" t="s">
        <v>178</v>
      </c>
      <c r="W328" s="13" t="s">
        <v>64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04"/>
        <v>31097187.02948761</v>
      </c>
      <c r="AJ328" s="19">
        <f t="shared" si="105"/>
        <v>3892353.6644401965</v>
      </c>
      <c r="AK328" s="20">
        <f t="shared" si="115"/>
        <v>0.12516738767237401</v>
      </c>
      <c r="AL328" s="17"/>
      <c r="AM328" s="17"/>
      <c r="AN328" s="17"/>
      <c r="AO328" s="17"/>
      <c r="AP328" s="28" t="str">
        <f t="shared" si="116"/>
        <v>20212</v>
      </c>
      <c r="AQ328" s="28" t="str">
        <f t="shared" si="117"/>
        <v>20212RMB</v>
      </c>
      <c r="AR328" s="206" t="str">
        <f t="shared" si="118"/>
        <v>YAMAHA_Mounter</v>
      </c>
      <c r="AS328" s="22">
        <f t="shared" si="119"/>
        <v>2</v>
      </c>
      <c r="AT328" s="24" t="str">
        <f t="shared" si="120"/>
        <v>0-3 months</v>
      </c>
      <c r="AU328" s="22" t="s">
        <v>3240</v>
      </c>
    </row>
    <row r="329" spans="1:47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48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1560</v>
      </c>
      <c r="K329" s="155" t="s">
        <v>1561</v>
      </c>
      <c r="L329" s="17" t="s">
        <v>92</v>
      </c>
      <c r="M329" s="13" t="s">
        <v>60</v>
      </c>
      <c r="N329" s="13">
        <v>1</v>
      </c>
      <c r="O329" s="13"/>
      <c r="P329" s="33" t="str">
        <f t="shared" si="110"/>
        <v>MAIN UNIT</v>
      </c>
      <c r="Q329" s="13" t="s">
        <v>68</v>
      </c>
      <c r="R329" s="13" t="s">
        <v>62</v>
      </c>
      <c r="S329" s="13" t="s">
        <v>52</v>
      </c>
      <c r="T329" s="13" t="s">
        <v>176</v>
      </c>
      <c r="U329" s="13" t="s">
        <v>177</v>
      </c>
      <c r="V329" s="13" t="s">
        <v>178</v>
      </c>
      <c r="W329" s="13" t="s">
        <v>64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04"/>
        <v>31097187.02948761</v>
      </c>
      <c r="AJ329" s="19">
        <f t="shared" si="105"/>
        <v>3892353.6644401965</v>
      </c>
      <c r="AK329" s="20">
        <f t="shared" si="115"/>
        <v>0.12516738767237401</v>
      </c>
      <c r="AL329" s="17"/>
      <c r="AM329" s="17"/>
      <c r="AN329" s="17"/>
      <c r="AO329" s="17"/>
      <c r="AP329" s="28" t="str">
        <f t="shared" si="116"/>
        <v>20212</v>
      </c>
      <c r="AQ329" s="28" t="str">
        <f t="shared" si="117"/>
        <v>20212RMB</v>
      </c>
      <c r="AR329" s="206" t="str">
        <f t="shared" si="118"/>
        <v>YAMAHA_Mounter</v>
      </c>
      <c r="AS329" s="22">
        <f t="shared" si="119"/>
        <v>2</v>
      </c>
      <c r="AT329" s="24" t="str">
        <f t="shared" si="120"/>
        <v>0-3 months</v>
      </c>
      <c r="AU329" s="22" t="s">
        <v>3240</v>
      </c>
    </row>
    <row r="330" spans="1:47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48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1560</v>
      </c>
      <c r="K330" s="155" t="s">
        <v>1561</v>
      </c>
      <c r="L330" s="17" t="s">
        <v>92</v>
      </c>
      <c r="M330" s="13" t="s">
        <v>60</v>
      </c>
      <c r="N330" s="13">
        <v>1</v>
      </c>
      <c r="O330" s="13"/>
      <c r="P330" s="33" t="str">
        <f t="shared" si="110"/>
        <v>MAIN UNIT</v>
      </c>
      <c r="Q330" s="13" t="s">
        <v>68</v>
      </c>
      <c r="R330" s="13" t="s">
        <v>62</v>
      </c>
      <c r="S330" s="13" t="s">
        <v>52</v>
      </c>
      <c r="T330" s="13" t="s">
        <v>176</v>
      </c>
      <c r="U330" s="13" t="s">
        <v>177</v>
      </c>
      <c r="V330" s="13" t="s">
        <v>178</v>
      </c>
      <c r="W330" s="13" t="s">
        <v>64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04"/>
        <v>31097187.02948761</v>
      </c>
      <c r="AJ330" s="19">
        <f t="shared" si="105"/>
        <v>3892353.6644401965</v>
      </c>
      <c r="AK330" s="20">
        <f t="shared" si="115"/>
        <v>0.12516738767237401</v>
      </c>
      <c r="AL330" s="17"/>
      <c r="AM330" s="17"/>
      <c r="AN330" s="17"/>
      <c r="AO330" s="17"/>
      <c r="AP330" s="28" t="str">
        <f t="shared" si="116"/>
        <v>20212</v>
      </c>
      <c r="AQ330" s="28" t="str">
        <f t="shared" si="117"/>
        <v>20212RMB</v>
      </c>
      <c r="AR330" s="206" t="str">
        <f t="shared" si="118"/>
        <v>YAMAHA_Mounter</v>
      </c>
      <c r="AS330" s="22">
        <f t="shared" si="119"/>
        <v>2</v>
      </c>
      <c r="AT330" s="24" t="str">
        <f t="shared" si="120"/>
        <v>0-3 months</v>
      </c>
      <c r="AU330" s="22" t="s">
        <v>3240</v>
      </c>
    </row>
    <row r="331" spans="1:47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48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1560</v>
      </c>
      <c r="K331" s="155" t="s">
        <v>1561</v>
      </c>
      <c r="L331" s="17" t="s">
        <v>92</v>
      </c>
      <c r="M331" s="13" t="s">
        <v>60</v>
      </c>
      <c r="N331" s="13">
        <v>1</v>
      </c>
      <c r="O331" s="13"/>
      <c r="P331" s="33" t="str">
        <f t="shared" si="110"/>
        <v>MAIN UNIT</v>
      </c>
      <c r="Q331" s="13" t="s">
        <v>68</v>
      </c>
      <c r="R331" s="13" t="s">
        <v>62</v>
      </c>
      <c r="S331" s="13" t="s">
        <v>52</v>
      </c>
      <c r="T331" s="13" t="s">
        <v>176</v>
      </c>
      <c r="U331" s="13" t="s">
        <v>177</v>
      </c>
      <c r="V331" s="13" t="s">
        <v>178</v>
      </c>
      <c r="W331" s="13" t="s">
        <v>64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04"/>
        <v>31097187.02948761</v>
      </c>
      <c r="AJ331" s="19">
        <f t="shared" si="105"/>
        <v>3892353.6644401965</v>
      </c>
      <c r="AK331" s="20">
        <f t="shared" si="115"/>
        <v>0.12516738767237401</v>
      </c>
      <c r="AL331" s="17"/>
      <c r="AM331" s="17"/>
      <c r="AN331" s="17"/>
      <c r="AO331" s="17"/>
      <c r="AP331" s="28" t="str">
        <f t="shared" si="116"/>
        <v>20212</v>
      </c>
      <c r="AQ331" s="28" t="str">
        <f t="shared" si="117"/>
        <v>20212RMB</v>
      </c>
      <c r="AR331" s="206" t="str">
        <f t="shared" si="118"/>
        <v>YAMAHA_Mounter</v>
      </c>
      <c r="AS331" s="22">
        <f t="shared" si="119"/>
        <v>2</v>
      </c>
      <c r="AT331" s="24" t="str">
        <f t="shared" si="120"/>
        <v>0-3 months</v>
      </c>
      <c r="AU331" s="22" t="s">
        <v>3240</v>
      </c>
    </row>
    <row r="332" spans="1:47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48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1560</v>
      </c>
      <c r="K332" s="155" t="s">
        <v>1561</v>
      </c>
      <c r="L332" s="17" t="s">
        <v>92</v>
      </c>
      <c r="M332" s="13" t="s">
        <v>60</v>
      </c>
      <c r="N332" s="13">
        <v>1</v>
      </c>
      <c r="O332" s="13"/>
      <c r="P332" s="33" t="str">
        <f t="shared" si="110"/>
        <v>MAIN UNIT</v>
      </c>
      <c r="Q332" s="13" t="s">
        <v>68</v>
      </c>
      <c r="R332" s="13" t="s">
        <v>62</v>
      </c>
      <c r="S332" s="13" t="s">
        <v>52</v>
      </c>
      <c r="T332" s="13" t="s">
        <v>176</v>
      </c>
      <c r="U332" s="13" t="s">
        <v>177</v>
      </c>
      <c r="V332" s="13" t="s">
        <v>178</v>
      </c>
      <c r="W332" s="13" t="s">
        <v>64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04"/>
        <v>31097187.02948761</v>
      </c>
      <c r="AJ332" s="19">
        <f t="shared" si="105"/>
        <v>3892353.6644401965</v>
      </c>
      <c r="AK332" s="20">
        <f t="shared" si="115"/>
        <v>0.12516738767237401</v>
      </c>
      <c r="AL332" s="17"/>
      <c r="AM332" s="17"/>
      <c r="AN332" s="17"/>
      <c r="AO332" s="17"/>
      <c r="AP332" s="28" t="str">
        <f t="shared" si="116"/>
        <v>20212</v>
      </c>
      <c r="AQ332" s="28" t="str">
        <f t="shared" si="117"/>
        <v>20212RMB</v>
      </c>
      <c r="AR332" s="206" t="str">
        <f t="shared" si="118"/>
        <v>YAMAHA_Mounter</v>
      </c>
      <c r="AS332" s="22">
        <f t="shared" si="119"/>
        <v>2</v>
      </c>
      <c r="AT332" s="24" t="str">
        <f t="shared" si="120"/>
        <v>0-3 months</v>
      </c>
      <c r="AU332" s="22" t="s">
        <v>3240</v>
      </c>
    </row>
    <row r="333" spans="1:47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48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1562</v>
      </c>
      <c r="K333" s="155" t="s">
        <v>1561</v>
      </c>
      <c r="L333" s="17" t="s">
        <v>92</v>
      </c>
      <c r="M333" s="13" t="s">
        <v>60</v>
      </c>
      <c r="N333" s="13">
        <v>1</v>
      </c>
      <c r="O333" s="13"/>
      <c r="P333" s="33" t="str">
        <f t="shared" si="110"/>
        <v>MAIN UNIT</v>
      </c>
      <c r="Q333" s="13" t="s">
        <v>61</v>
      </c>
      <c r="R333" s="13" t="s">
        <v>62</v>
      </c>
      <c r="S333" s="13" t="s">
        <v>52</v>
      </c>
      <c r="T333" s="13" t="s">
        <v>176</v>
      </c>
      <c r="U333" s="13" t="s">
        <v>177</v>
      </c>
      <c r="V333" s="13" t="s">
        <v>178</v>
      </c>
      <c r="W333" s="13" t="s">
        <v>64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04"/>
        <v>57778307.282035396</v>
      </c>
      <c r="AJ333" s="19">
        <f t="shared" si="105"/>
        <v>7259860.7225420559</v>
      </c>
      <c r="AK333" s="20">
        <f t="shared" si="115"/>
        <v>0.12565028406083667</v>
      </c>
      <c r="AL333" s="17"/>
      <c r="AM333" s="17"/>
      <c r="AN333" s="17"/>
      <c r="AO333" s="17"/>
      <c r="AP333" s="28" t="str">
        <f t="shared" si="116"/>
        <v>20213</v>
      </c>
      <c r="AQ333" s="28" t="str">
        <f t="shared" si="117"/>
        <v>20213RMB</v>
      </c>
      <c r="AR333" s="206" t="str">
        <f t="shared" si="118"/>
        <v>YAMAHA_Mounter</v>
      </c>
      <c r="AS333" s="22">
        <f t="shared" si="119"/>
        <v>3</v>
      </c>
      <c r="AT333" s="24" t="str">
        <f t="shared" si="120"/>
        <v>0-3 months</v>
      </c>
      <c r="AU333" s="22" t="s">
        <v>3240</v>
      </c>
    </row>
    <row r="334" spans="1:47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54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2212</v>
      </c>
      <c r="K334" s="155" t="s">
        <v>2213</v>
      </c>
      <c r="L334" s="17" t="s">
        <v>92</v>
      </c>
      <c r="M334" s="13" t="s">
        <v>60</v>
      </c>
      <c r="N334" s="13">
        <v>1</v>
      </c>
      <c r="O334" s="13"/>
      <c r="P334" s="33" t="str">
        <f t="shared" si="110"/>
        <v>MAIN UNIT</v>
      </c>
      <c r="Q334" s="13" t="s">
        <v>68</v>
      </c>
      <c r="R334" s="13" t="s">
        <v>62</v>
      </c>
      <c r="S334" s="13" t="s">
        <v>49</v>
      </c>
      <c r="T334" s="13" t="s">
        <v>78</v>
      </c>
      <c r="U334" s="13" t="s">
        <v>79</v>
      </c>
      <c r="V334" s="13" t="s">
        <v>1713</v>
      </c>
      <c r="W334" s="13" t="s">
        <v>109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04"/>
        <v>36480247.665929198</v>
      </c>
      <c r="AJ334" s="19">
        <f t="shared" si="105"/>
        <v>5330996.6372757526</v>
      </c>
      <c r="AK334" s="20">
        <f t="shared" si="115"/>
        <v>0.14613378412599562</v>
      </c>
      <c r="AL334" s="17"/>
      <c r="AM334" s="17"/>
      <c r="AN334" s="17"/>
      <c r="AO334" s="17"/>
      <c r="AP334" s="28" t="str">
        <f t="shared" si="116"/>
        <v>20227</v>
      </c>
      <c r="AQ334" s="28" t="str">
        <f t="shared" si="117"/>
        <v>20227JPY</v>
      </c>
      <c r="AR334" s="206" t="str">
        <f t="shared" si="118"/>
        <v>YAMAHA_Mounter</v>
      </c>
      <c r="AS334" s="22">
        <f t="shared" si="119"/>
        <v>4</v>
      </c>
      <c r="AT334" s="24" t="str">
        <f t="shared" si="120"/>
        <v>4-6 months</v>
      </c>
      <c r="AU334" s="22" t="s">
        <v>3745</v>
      </c>
    </row>
    <row r="335" spans="1:47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55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2538</v>
      </c>
      <c r="K335" s="155" t="s">
        <v>2213</v>
      </c>
      <c r="L335" s="17" t="s">
        <v>67</v>
      </c>
      <c r="M335" s="13" t="s">
        <v>60</v>
      </c>
      <c r="N335" s="13">
        <v>1</v>
      </c>
      <c r="O335" s="13"/>
      <c r="P335" s="33" t="str">
        <f t="shared" si="110"/>
        <v>MAIN UNIT</v>
      </c>
      <c r="Q335" s="13" t="s">
        <v>61</v>
      </c>
      <c r="R335" s="13" t="s">
        <v>62</v>
      </c>
      <c r="S335" s="13" t="s">
        <v>49</v>
      </c>
      <c r="T335" s="13" t="s">
        <v>78</v>
      </c>
      <c r="U335" s="13" t="s">
        <v>79</v>
      </c>
      <c r="V335" s="13" t="s">
        <v>80</v>
      </c>
      <c r="W335" s="13" t="s">
        <v>109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04"/>
        <v>15951056.41591504</v>
      </c>
      <c r="AJ335" s="19">
        <f t="shared" si="105"/>
        <v>1966354.6022462982</v>
      </c>
      <c r="AK335" s="20">
        <f t="shared" si="115"/>
        <v>0.12327425538313459</v>
      </c>
      <c r="AL335" s="17"/>
      <c r="AM335" s="17"/>
      <c r="AN335" s="17"/>
      <c r="AO335" s="17"/>
      <c r="AP335" s="28" t="str">
        <f t="shared" si="116"/>
        <v>20237</v>
      </c>
      <c r="AQ335" s="28" t="str">
        <f t="shared" si="117"/>
        <v>20237JPY</v>
      </c>
      <c r="AR335" s="206" t="str">
        <f t="shared" si="118"/>
        <v>YAMAHA_Mounter</v>
      </c>
      <c r="AS335" s="22">
        <f t="shared" si="119"/>
        <v>1</v>
      </c>
      <c r="AT335" s="24" t="str">
        <f t="shared" si="120"/>
        <v>0-3 months</v>
      </c>
      <c r="AU335" s="22" t="s">
        <v>3745</v>
      </c>
    </row>
    <row r="336" spans="1:47" s="12" customFormat="1">
      <c r="A336" s="33" t="str">
        <f t="shared" si="107"/>
        <v>cancel</v>
      </c>
      <c r="B336" s="152"/>
      <c r="C336" s="152" t="s">
        <v>185</v>
      </c>
      <c r="D336" s="33" t="str">
        <f t="shared" si="108"/>
        <v/>
      </c>
      <c r="E336" s="33" t="s">
        <v>185</v>
      </c>
      <c r="F336" s="13" t="s">
        <v>185</v>
      </c>
      <c r="G336" s="152" t="s">
        <v>185</v>
      </c>
      <c r="H336" s="155" t="s">
        <v>2758</v>
      </c>
      <c r="I336" s="33" t="str">
        <f t="shared" si="109"/>
        <v>Cancel</v>
      </c>
      <c r="J336" s="186" t="s">
        <v>2772</v>
      </c>
      <c r="K336" s="155" t="s">
        <v>2213</v>
      </c>
      <c r="L336" s="17" t="s">
        <v>67</v>
      </c>
      <c r="M336" s="13" t="s">
        <v>60</v>
      </c>
      <c r="N336" s="13">
        <v>1</v>
      </c>
      <c r="O336" s="13"/>
      <c r="P336" s="33" t="str">
        <f t="shared" si="110"/>
        <v>MAIN UNIT</v>
      </c>
      <c r="Q336" s="13" t="s">
        <v>61</v>
      </c>
      <c r="R336" s="13" t="s">
        <v>62</v>
      </c>
      <c r="S336" s="13" t="s">
        <v>49</v>
      </c>
      <c r="T336" s="13" t="s">
        <v>78</v>
      </c>
      <c r="U336" s="13" t="s">
        <v>79</v>
      </c>
      <c r="V336" s="13" t="s">
        <v>1713</v>
      </c>
      <c r="W336" s="13" t="s">
        <v>64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04"/>
        <v>499582152.5142017</v>
      </c>
      <c r="AJ336" s="19">
        <f t="shared" si="105"/>
        <v>59520528.679470733</v>
      </c>
      <c r="AK336" s="20">
        <f t="shared" si="115"/>
        <v>0.11914062257814291</v>
      </c>
      <c r="AL336" s="17"/>
      <c r="AM336" s="17"/>
      <c r="AN336" s="17"/>
      <c r="AO336" s="17"/>
      <c r="AP336" s="28" t="str">
        <f t="shared" si="116"/>
        <v>CancelCancel</v>
      </c>
      <c r="AQ336" s="28" t="str">
        <f t="shared" si="117"/>
        <v>CancelCancelRMB</v>
      </c>
      <c r="AR336" s="206" t="str">
        <f t="shared" si="118"/>
        <v>YAMAHA_Mounter</v>
      </c>
      <c r="AS336" s="22" t="str">
        <f t="shared" si="119"/>
        <v/>
      </c>
      <c r="AT336" s="24" t="str">
        <f t="shared" si="120"/>
        <v/>
      </c>
      <c r="AU336" s="22" t="s">
        <v>3751</v>
      </c>
    </row>
    <row r="337" spans="1:47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41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338</v>
      </c>
      <c r="K337" s="155" t="s">
        <v>339</v>
      </c>
      <c r="L337" s="17" t="s">
        <v>77</v>
      </c>
      <c r="M337" s="13" t="s">
        <v>60</v>
      </c>
      <c r="N337" s="13">
        <v>1</v>
      </c>
      <c r="O337" s="13"/>
      <c r="P337" s="33" t="str">
        <f t="shared" si="110"/>
        <v>MAIN UNIT</v>
      </c>
      <c r="Q337" s="13" t="s">
        <v>61</v>
      </c>
      <c r="R337" s="13" t="s">
        <v>62</v>
      </c>
      <c r="S337" s="13" t="s">
        <v>49</v>
      </c>
      <c r="T337" s="13" t="s">
        <v>78</v>
      </c>
      <c r="U337" s="13" t="s">
        <v>79</v>
      </c>
      <c r="V337" s="13" t="s">
        <v>121</v>
      </c>
      <c r="W337" s="13" t="s">
        <v>109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04"/>
        <v>26754147.763010349</v>
      </c>
      <c r="AJ337" s="19">
        <f t="shared" si="105"/>
        <v>3429137.9965357962</v>
      </c>
      <c r="AK337" s="20">
        <f t="shared" si="115"/>
        <v>0.12817220069617921</v>
      </c>
      <c r="AL337" s="17"/>
      <c r="AM337" s="17"/>
      <c r="AN337" s="17"/>
      <c r="AO337" s="17"/>
      <c r="AP337" s="28" t="str">
        <f t="shared" si="116"/>
        <v>20188</v>
      </c>
      <c r="AQ337" s="28" t="str">
        <f t="shared" si="117"/>
        <v>20188JPY</v>
      </c>
      <c r="AR337" s="206" t="str">
        <f t="shared" si="118"/>
        <v>YAMAHA_Mounter</v>
      </c>
      <c r="AS337" s="22">
        <f t="shared" si="119"/>
        <v>7</v>
      </c>
      <c r="AT337" s="24" t="str">
        <f t="shared" si="120"/>
        <v>&gt; 6 months</v>
      </c>
      <c r="AU337" s="22" t="s">
        <v>3746</v>
      </c>
    </row>
    <row r="338" spans="1:47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47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674</v>
      </c>
      <c r="K338" s="155" t="s">
        <v>339</v>
      </c>
      <c r="L338" s="17" t="s">
        <v>92</v>
      </c>
      <c r="M338" s="13" t="s">
        <v>60</v>
      </c>
      <c r="N338" s="13">
        <v>1</v>
      </c>
      <c r="O338" s="13"/>
      <c r="P338" s="33" t="str">
        <f t="shared" si="110"/>
        <v>MAIN UNIT</v>
      </c>
      <c r="Q338" s="13" t="s">
        <v>61</v>
      </c>
      <c r="R338" s="13" t="s">
        <v>62</v>
      </c>
      <c r="S338" s="13" t="s">
        <v>49</v>
      </c>
      <c r="T338" s="13" t="s">
        <v>78</v>
      </c>
      <c r="U338" s="13" t="s">
        <v>79</v>
      </c>
      <c r="V338" s="13" t="s">
        <v>121</v>
      </c>
      <c r="W338" s="13" t="s">
        <v>64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04"/>
        <v>21386017.707964607</v>
      </c>
      <c r="AJ338" s="19">
        <f t="shared" si="105"/>
        <v>2238764.3265707968</v>
      </c>
      <c r="AK338" s="20">
        <f t="shared" si="115"/>
        <v>0.10468355339185161</v>
      </c>
      <c r="AL338" s="17"/>
      <c r="AM338" s="17"/>
      <c r="AN338" s="17"/>
      <c r="AO338" s="17"/>
      <c r="AP338" s="28" t="str">
        <f t="shared" si="116"/>
        <v>20198</v>
      </c>
      <c r="AQ338" s="28" t="str">
        <f t="shared" si="117"/>
        <v>20198RMB</v>
      </c>
      <c r="AR338" s="206" t="str">
        <f t="shared" si="118"/>
        <v>YAMAHA_Mounter</v>
      </c>
      <c r="AS338" s="22">
        <f t="shared" si="119"/>
        <v>0</v>
      </c>
      <c r="AT338" s="24" t="str">
        <f t="shared" si="120"/>
        <v>0-3 months</v>
      </c>
      <c r="AU338" s="22" t="s">
        <v>3744</v>
      </c>
    </row>
    <row r="339" spans="1:47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48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1114</v>
      </c>
      <c r="K339" s="155" t="s">
        <v>1115</v>
      </c>
      <c r="L339" s="17" t="s">
        <v>92</v>
      </c>
      <c r="M339" s="13" t="s">
        <v>60</v>
      </c>
      <c r="N339" s="13">
        <v>1</v>
      </c>
      <c r="O339" s="13"/>
      <c r="P339" s="33" t="str">
        <f t="shared" si="110"/>
        <v>MAIN UNIT</v>
      </c>
      <c r="Q339" s="13" t="s">
        <v>61</v>
      </c>
      <c r="R339" s="13" t="s">
        <v>62</v>
      </c>
      <c r="S339" s="13" t="s">
        <v>49</v>
      </c>
      <c r="T339" s="13" t="s">
        <v>78</v>
      </c>
      <c r="U339" s="13" t="s">
        <v>79</v>
      </c>
      <c r="V339" s="13" t="s">
        <v>1116</v>
      </c>
      <c r="W339" s="13" t="s">
        <v>1105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04"/>
        <v>37969334.083628319</v>
      </c>
      <c r="AJ339" s="19">
        <f t="shared" si="105"/>
        <v>5097226.4551657084</v>
      </c>
      <c r="AK339" s="20">
        <f t="shared" si="115"/>
        <v>0.13424587441904964</v>
      </c>
      <c r="AL339" s="17"/>
      <c r="AM339" s="17"/>
      <c r="AN339" s="17"/>
      <c r="AO339" s="17"/>
      <c r="AP339" s="28" t="str">
        <f t="shared" si="116"/>
        <v>20208</v>
      </c>
      <c r="AQ339" s="28" t="str">
        <f t="shared" si="117"/>
        <v>20208JPY</v>
      </c>
      <c r="AR339" s="206" t="str">
        <f t="shared" si="118"/>
        <v>YAMAHA_Mounter</v>
      </c>
      <c r="AS339" s="22">
        <f t="shared" si="119"/>
        <v>1</v>
      </c>
      <c r="AT339" s="24" t="str">
        <f t="shared" si="120"/>
        <v>0-3 months</v>
      </c>
      <c r="AU339" s="22" t="s">
        <v>3745</v>
      </c>
    </row>
    <row r="340" spans="1:47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48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1269</v>
      </c>
      <c r="K340" s="155" t="s">
        <v>339</v>
      </c>
      <c r="L340" s="17" t="s">
        <v>92</v>
      </c>
      <c r="M340" s="13" t="s">
        <v>60</v>
      </c>
      <c r="N340" s="13">
        <v>1</v>
      </c>
      <c r="O340" s="13"/>
      <c r="P340" s="33" t="str">
        <f t="shared" si="110"/>
        <v>MAIN UNIT</v>
      </c>
      <c r="Q340" s="13" t="s">
        <v>61</v>
      </c>
      <c r="R340" s="13" t="s">
        <v>62</v>
      </c>
      <c r="S340" s="13" t="s">
        <v>49</v>
      </c>
      <c r="T340" s="13" t="s">
        <v>78</v>
      </c>
      <c r="U340" s="13" t="s">
        <v>79</v>
      </c>
      <c r="V340" s="13" t="s">
        <v>121</v>
      </c>
      <c r="W340" s="13" t="s">
        <v>109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04"/>
        <v>28065694.408805311</v>
      </c>
      <c r="AJ340" s="19">
        <f t="shared" si="105"/>
        <v>4157433.2906989697</v>
      </c>
      <c r="AK340" s="20">
        <f t="shared" si="115"/>
        <v>0.14813220831602228</v>
      </c>
      <c r="AL340" s="17"/>
      <c r="AM340" s="17"/>
      <c r="AN340" s="17"/>
      <c r="AO340" s="17"/>
      <c r="AP340" s="28" t="str">
        <f t="shared" si="116"/>
        <v>20205</v>
      </c>
      <c r="AQ340" s="28" t="str">
        <f t="shared" si="117"/>
        <v>20205JPY</v>
      </c>
      <c r="AR340" s="206" t="str">
        <f t="shared" si="118"/>
        <v>YAMAHA_Mounter</v>
      </c>
      <c r="AS340" s="22">
        <f t="shared" si="119"/>
        <v>1</v>
      </c>
      <c r="AT340" s="24" t="str">
        <f t="shared" si="120"/>
        <v>0-3 months</v>
      </c>
      <c r="AU340" s="22" t="s">
        <v>3745</v>
      </c>
    </row>
    <row r="341" spans="1:47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54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2320</v>
      </c>
      <c r="K341" s="155" t="s">
        <v>339</v>
      </c>
      <c r="L341" s="17" t="s">
        <v>67</v>
      </c>
      <c r="M341" s="13" t="s">
        <v>60</v>
      </c>
      <c r="N341" s="13">
        <v>1</v>
      </c>
      <c r="O341" s="13"/>
      <c r="P341" s="33" t="str">
        <f t="shared" si="110"/>
        <v>MAIN UNIT</v>
      </c>
      <c r="Q341" s="13" t="s">
        <v>61</v>
      </c>
      <c r="R341" s="13" t="s">
        <v>62</v>
      </c>
      <c r="S341" s="13" t="s">
        <v>49</v>
      </c>
      <c r="T341" s="13" t="s">
        <v>78</v>
      </c>
      <c r="U341" s="13" t="s">
        <v>79</v>
      </c>
      <c r="V341" s="13" t="s">
        <v>121</v>
      </c>
      <c r="W341" s="13" t="s">
        <v>64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04"/>
        <v>31017966.201968137</v>
      </c>
      <c r="AJ341" s="19">
        <f t="shared" si="105"/>
        <v>4704250.3347305888</v>
      </c>
      <c r="AK341" s="20">
        <f t="shared" si="115"/>
        <v>0.15166211427595458</v>
      </c>
      <c r="AL341" s="17"/>
      <c r="AM341" s="17"/>
      <c r="AN341" s="17"/>
      <c r="AO341" s="17"/>
      <c r="AP341" s="28" t="str">
        <f t="shared" si="116"/>
        <v>202211</v>
      </c>
      <c r="AQ341" s="28" t="str">
        <f t="shared" si="117"/>
        <v>202211RMB</v>
      </c>
      <c r="AR341" s="206" t="str">
        <f t="shared" si="118"/>
        <v>YAMAHA_Mounter</v>
      </c>
      <c r="AS341" s="22">
        <f t="shared" si="119"/>
        <v>1</v>
      </c>
      <c r="AT341" s="24" t="str">
        <f t="shared" si="120"/>
        <v>0-3 months</v>
      </c>
      <c r="AU341" s="22" t="s">
        <v>3751</v>
      </c>
    </row>
    <row r="342" spans="1:47" s="12" customFormat="1">
      <c r="A342" s="33" t="str">
        <f t="shared" si="107"/>
        <v/>
      </c>
      <c r="B342" s="152" t="s">
        <v>2584</v>
      </c>
      <c r="C342" s="152" t="s">
        <v>2584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2584</v>
      </c>
      <c r="G342" s="152" t="s">
        <v>2584</v>
      </c>
      <c r="H342" s="155"/>
      <c r="I342" s="33" t="str">
        <f t="shared" si="109"/>
        <v>TBA</v>
      </c>
      <c r="J342" s="186" t="s">
        <v>2584</v>
      </c>
      <c r="K342" s="155" t="s">
        <v>2602</v>
      </c>
      <c r="L342" s="17" t="s">
        <v>67</v>
      </c>
      <c r="M342" s="13" t="s">
        <v>60</v>
      </c>
      <c r="N342" s="13">
        <v>1</v>
      </c>
      <c r="O342" s="13"/>
      <c r="P342" s="33" t="str">
        <f t="shared" si="110"/>
        <v>MAIN UNIT</v>
      </c>
      <c r="Q342" s="13" t="s">
        <v>68</v>
      </c>
      <c r="R342" s="13" t="s">
        <v>62</v>
      </c>
      <c r="S342" s="13" t="s">
        <v>51</v>
      </c>
      <c r="T342" s="13" t="s">
        <v>949</v>
      </c>
      <c r="U342" s="13" t="s">
        <v>149</v>
      </c>
      <c r="V342" s="13" t="s">
        <v>134</v>
      </c>
      <c r="W342" s="13" t="s">
        <v>64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04"/>
        <v>30033846.584070798</v>
      </c>
      <c r="AJ342" s="19">
        <f t="shared" si="105"/>
        <v>3534936.4750884958</v>
      </c>
      <c r="AK342" s="20">
        <f t="shared" si="115"/>
        <v>0.11769842618039268</v>
      </c>
      <c r="AL342" s="17"/>
      <c r="AM342" s="17"/>
      <c r="AN342" s="17"/>
      <c r="AO342" s="17"/>
      <c r="AP342" s="28" t="str">
        <f t="shared" si="116"/>
        <v>TBATBA</v>
      </c>
      <c r="AQ342" s="28" t="str">
        <f t="shared" si="117"/>
        <v>TBATBARMB</v>
      </c>
      <c r="AR342" s="206" t="str">
        <f t="shared" si="118"/>
        <v>YAMAHA_Mounter</v>
      </c>
      <c r="AS342" s="22" t="str">
        <f t="shared" si="119"/>
        <v/>
      </c>
      <c r="AT342" s="24" t="str">
        <f t="shared" si="120"/>
        <v/>
      </c>
      <c r="AU342" s="22" t="s">
        <v>3240</v>
      </c>
    </row>
    <row r="343" spans="1:47" s="12" customFormat="1">
      <c r="A343" s="33" t="str">
        <f t="shared" si="107"/>
        <v/>
      </c>
      <c r="B343" s="152" t="s">
        <v>2584</v>
      </c>
      <c r="C343" s="152" t="s">
        <v>2584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2584</v>
      </c>
      <c r="G343" s="152" t="s">
        <v>2584</v>
      </c>
      <c r="H343" s="155"/>
      <c r="I343" s="33" t="str">
        <f t="shared" si="109"/>
        <v>TBA</v>
      </c>
      <c r="J343" s="186" t="s">
        <v>2584</v>
      </c>
      <c r="K343" s="155" t="s">
        <v>2602</v>
      </c>
      <c r="L343" s="17" t="s">
        <v>67</v>
      </c>
      <c r="M343" s="13" t="s">
        <v>60</v>
      </c>
      <c r="N343" s="13">
        <v>1</v>
      </c>
      <c r="O343" s="13"/>
      <c r="P343" s="33" t="str">
        <f t="shared" si="110"/>
        <v>MAIN UNIT</v>
      </c>
      <c r="Q343" s="13" t="s">
        <v>68</v>
      </c>
      <c r="R343" s="13" t="s">
        <v>62</v>
      </c>
      <c r="S343" s="13" t="s">
        <v>51</v>
      </c>
      <c r="T343" s="13" t="s">
        <v>949</v>
      </c>
      <c r="U343" s="13" t="s">
        <v>149</v>
      </c>
      <c r="V343" s="13" t="s">
        <v>134</v>
      </c>
      <c r="W343" s="13" t="s">
        <v>64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04"/>
        <v>30033846.584070798</v>
      </c>
      <c r="AJ343" s="19">
        <f t="shared" si="105"/>
        <v>3534936.4750884958</v>
      </c>
      <c r="AK343" s="20">
        <f t="shared" si="115"/>
        <v>0.11769842618039268</v>
      </c>
      <c r="AL343" s="17"/>
      <c r="AM343" s="17"/>
      <c r="AN343" s="17"/>
      <c r="AO343" s="17"/>
      <c r="AP343" s="28" t="str">
        <f t="shared" si="116"/>
        <v>TBATBA</v>
      </c>
      <c r="AQ343" s="28" t="str">
        <f t="shared" si="117"/>
        <v>TBATBARMB</v>
      </c>
      <c r="AR343" s="206" t="str">
        <f t="shared" si="118"/>
        <v>YAMAHA_Mounter</v>
      </c>
      <c r="AS343" s="22" t="str">
        <f t="shared" si="119"/>
        <v/>
      </c>
      <c r="AT343" s="24" t="str">
        <f t="shared" si="120"/>
        <v/>
      </c>
      <c r="AU343" s="22" t="s">
        <v>3240</v>
      </c>
    </row>
    <row r="344" spans="1:47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47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2884</v>
      </c>
      <c r="K344" s="155" t="s">
        <v>2885</v>
      </c>
      <c r="L344" s="17" t="s">
        <v>2802</v>
      </c>
      <c r="M344" s="13" t="s">
        <v>2607</v>
      </c>
      <c r="N344" s="13">
        <v>1</v>
      </c>
      <c r="O344" s="13"/>
      <c r="P344" s="33" t="str">
        <f t="shared" si="110"/>
        <v>MAIN UNIT</v>
      </c>
      <c r="Q344" s="13" t="s">
        <v>61</v>
      </c>
      <c r="R344" s="13" t="s">
        <v>2055</v>
      </c>
      <c r="S344" s="13" t="s">
        <v>51</v>
      </c>
      <c r="T344" s="13" t="s">
        <v>949</v>
      </c>
      <c r="U344" s="13" t="s">
        <v>149</v>
      </c>
      <c r="V344" s="13" t="s">
        <v>564</v>
      </c>
      <c r="W344" s="13" t="s">
        <v>64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04"/>
        <v>37599388.802345134</v>
      </c>
      <c r="AJ344" s="19">
        <f t="shared" si="105"/>
        <v>4866784.3630338367</v>
      </c>
      <c r="AK344" s="20">
        <f t="shared" si="115"/>
        <v>0.12943785838163113</v>
      </c>
      <c r="AL344" s="17"/>
      <c r="AM344" s="17"/>
      <c r="AN344" s="17"/>
      <c r="AO344" s="17"/>
      <c r="AP344" s="28" t="str">
        <f t="shared" si="116"/>
        <v>20199</v>
      </c>
      <c r="AQ344" s="28" t="str">
        <f t="shared" si="117"/>
        <v>20199RMB</v>
      </c>
      <c r="AR344" s="206" t="str">
        <f t="shared" si="118"/>
        <v>HELLER</v>
      </c>
      <c r="AS344" s="22">
        <f t="shared" si="119"/>
        <v>2</v>
      </c>
      <c r="AT344" s="24" t="str">
        <f t="shared" si="120"/>
        <v>0-3 months</v>
      </c>
      <c r="AU344" s="22" t="s">
        <v>3240</v>
      </c>
    </row>
    <row r="345" spans="1:47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47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947</v>
      </c>
      <c r="K345" s="155" t="s">
        <v>948</v>
      </c>
      <c r="L345" s="17" t="s">
        <v>92</v>
      </c>
      <c r="M345" s="13" t="s">
        <v>60</v>
      </c>
      <c r="N345" s="13">
        <v>1</v>
      </c>
      <c r="O345" s="13"/>
      <c r="P345" s="33" t="str">
        <f t="shared" si="110"/>
        <v>MAIN UNIT</v>
      </c>
      <c r="Q345" s="13" t="s">
        <v>61</v>
      </c>
      <c r="R345" s="13" t="s">
        <v>62</v>
      </c>
      <c r="S345" s="13" t="s">
        <v>51</v>
      </c>
      <c r="T345" s="13" t="s">
        <v>949</v>
      </c>
      <c r="U345" s="13" t="s">
        <v>149</v>
      </c>
      <c r="V345" s="13" t="s">
        <v>564</v>
      </c>
      <c r="W345" s="13" t="s">
        <v>64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04"/>
        <v>28647263.974455759</v>
      </c>
      <c r="AJ345" s="19">
        <f t="shared" si="105"/>
        <v>3219855.6912513468</v>
      </c>
      <c r="AK345" s="20">
        <f t="shared" si="115"/>
        <v>0.11239662168514358</v>
      </c>
      <c r="AL345" s="17"/>
      <c r="AM345" s="17"/>
      <c r="AN345" s="17"/>
      <c r="AO345" s="17"/>
      <c r="AP345" s="28" t="str">
        <f t="shared" si="116"/>
        <v>201910</v>
      </c>
      <c r="AQ345" s="28" t="str">
        <f t="shared" si="117"/>
        <v>201910RMB</v>
      </c>
      <c r="AR345" s="206" t="str">
        <f t="shared" si="118"/>
        <v>YAMAHA_Mounter</v>
      </c>
      <c r="AS345" s="22">
        <f t="shared" si="119"/>
        <v>1</v>
      </c>
      <c r="AT345" s="24" t="str">
        <f t="shared" si="120"/>
        <v>0-3 months</v>
      </c>
      <c r="AU345" s="22" t="s">
        <v>3240</v>
      </c>
    </row>
    <row r="346" spans="1:47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47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947</v>
      </c>
      <c r="K346" s="155" t="s">
        <v>948</v>
      </c>
      <c r="L346" s="17" t="s">
        <v>92</v>
      </c>
      <c r="M346" s="13" t="s">
        <v>60</v>
      </c>
      <c r="N346" s="13">
        <v>1</v>
      </c>
      <c r="O346" s="13"/>
      <c r="P346" s="33" t="str">
        <f t="shared" si="110"/>
        <v>MAIN UNIT</v>
      </c>
      <c r="Q346" s="13" t="s">
        <v>61</v>
      </c>
      <c r="R346" s="13" t="s">
        <v>62</v>
      </c>
      <c r="S346" s="13" t="s">
        <v>51</v>
      </c>
      <c r="T346" s="13" t="s">
        <v>949</v>
      </c>
      <c r="U346" s="13" t="s">
        <v>149</v>
      </c>
      <c r="V346" s="13" t="s">
        <v>564</v>
      </c>
      <c r="W346" s="13" t="s">
        <v>64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04"/>
        <v>28647263.974455759</v>
      </c>
      <c r="AJ346" s="19">
        <f t="shared" si="105"/>
        <v>3219855.6912513468</v>
      </c>
      <c r="AK346" s="20">
        <f t="shared" si="115"/>
        <v>0.11239662168514358</v>
      </c>
      <c r="AL346" s="17"/>
      <c r="AM346" s="17"/>
      <c r="AN346" s="17"/>
      <c r="AO346" s="17"/>
      <c r="AP346" s="28" t="str">
        <f t="shared" si="116"/>
        <v>201910</v>
      </c>
      <c r="AQ346" s="28" t="str">
        <f t="shared" si="117"/>
        <v>201910RMB</v>
      </c>
      <c r="AR346" s="206" t="str">
        <f t="shared" si="118"/>
        <v>YAMAHA_Mounter</v>
      </c>
      <c r="AS346" s="22">
        <f t="shared" si="119"/>
        <v>1</v>
      </c>
      <c r="AT346" s="24" t="str">
        <f t="shared" si="120"/>
        <v>0-3 months</v>
      </c>
      <c r="AU346" s="22" t="s">
        <v>3240</v>
      </c>
    </row>
    <row r="347" spans="1:47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47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947</v>
      </c>
      <c r="K347" s="155" t="s">
        <v>948</v>
      </c>
      <c r="L347" s="17" t="s">
        <v>67</v>
      </c>
      <c r="M347" s="13" t="s">
        <v>60</v>
      </c>
      <c r="N347" s="13">
        <v>1</v>
      </c>
      <c r="O347" s="13"/>
      <c r="P347" s="33" t="str">
        <f t="shared" si="110"/>
        <v>MAIN UNIT</v>
      </c>
      <c r="Q347" s="13" t="s">
        <v>61</v>
      </c>
      <c r="R347" s="13" t="s">
        <v>62</v>
      </c>
      <c r="S347" s="13" t="s">
        <v>51</v>
      </c>
      <c r="T347" s="13" t="s">
        <v>949</v>
      </c>
      <c r="U347" s="13" t="s">
        <v>149</v>
      </c>
      <c r="V347" s="13" t="s">
        <v>564</v>
      </c>
      <c r="W347" s="13" t="s">
        <v>64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04"/>
        <v>28647263.974455759</v>
      </c>
      <c r="AJ347" s="19">
        <f t="shared" si="105"/>
        <v>3219855.6912513468</v>
      </c>
      <c r="AK347" s="20">
        <f t="shared" si="115"/>
        <v>0.11239662168514358</v>
      </c>
      <c r="AL347" s="17"/>
      <c r="AM347" s="17"/>
      <c r="AN347" s="17"/>
      <c r="AO347" s="17"/>
      <c r="AP347" s="28" t="str">
        <f t="shared" si="116"/>
        <v>201910</v>
      </c>
      <c r="AQ347" s="28" t="str">
        <f t="shared" si="117"/>
        <v>201910RMB</v>
      </c>
      <c r="AR347" s="206" t="str">
        <f t="shared" si="118"/>
        <v>YAMAHA_Mounter</v>
      </c>
      <c r="AS347" s="22">
        <f t="shared" si="119"/>
        <v>1</v>
      </c>
      <c r="AT347" s="24" t="str">
        <f t="shared" si="120"/>
        <v>0-3 months</v>
      </c>
      <c r="AU347" s="22" t="s">
        <v>3240</v>
      </c>
    </row>
    <row r="348" spans="1:47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47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955</v>
      </c>
      <c r="K348" s="155" t="s">
        <v>948</v>
      </c>
      <c r="L348" s="17" t="s">
        <v>92</v>
      </c>
      <c r="M348" s="13" t="s">
        <v>60</v>
      </c>
      <c r="N348" s="13">
        <v>1</v>
      </c>
      <c r="O348" s="13"/>
      <c r="P348" s="33" t="str">
        <f t="shared" si="110"/>
        <v>MAIN UNIT</v>
      </c>
      <c r="Q348" s="13" t="s">
        <v>61</v>
      </c>
      <c r="R348" s="13" t="s">
        <v>62</v>
      </c>
      <c r="S348" s="13" t="s">
        <v>51</v>
      </c>
      <c r="T348" s="13" t="s">
        <v>949</v>
      </c>
      <c r="U348" s="13" t="s">
        <v>149</v>
      </c>
      <c r="V348" s="13" t="s">
        <v>564</v>
      </c>
      <c r="W348" s="13" t="s">
        <v>64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04"/>
        <v>37599388.802345134</v>
      </c>
      <c r="AJ348" s="19">
        <f t="shared" si="105"/>
        <v>4866784.3630338367</v>
      </c>
      <c r="AK348" s="20">
        <f t="shared" si="115"/>
        <v>0.12943785838163113</v>
      </c>
      <c r="AL348" s="17"/>
      <c r="AM348" s="17"/>
      <c r="AN348" s="17"/>
      <c r="AO348" s="17"/>
      <c r="AP348" s="28" t="str">
        <f t="shared" si="116"/>
        <v>20199</v>
      </c>
      <c r="AQ348" s="28" t="str">
        <f t="shared" si="117"/>
        <v>20199RMB</v>
      </c>
      <c r="AR348" s="206" t="str">
        <f t="shared" si="118"/>
        <v>YAMAHA_Mounter</v>
      </c>
      <c r="AS348" s="22">
        <f t="shared" si="119"/>
        <v>1</v>
      </c>
      <c r="AT348" s="24" t="str">
        <f t="shared" si="120"/>
        <v>0-3 months</v>
      </c>
      <c r="AU348" s="22" t="s">
        <v>3240</v>
      </c>
    </row>
    <row r="349" spans="1:47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47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955</v>
      </c>
      <c r="K349" s="155" t="s">
        <v>948</v>
      </c>
      <c r="L349" s="17" t="s">
        <v>92</v>
      </c>
      <c r="M349" s="13" t="s">
        <v>60</v>
      </c>
      <c r="N349" s="13">
        <v>1</v>
      </c>
      <c r="O349" s="13"/>
      <c r="P349" s="33" t="str">
        <f t="shared" si="110"/>
        <v>MAIN UNIT</v>
      </c>
      <c r="Q349" s="13" t="s">
        <v>61</v>
      </c>
      <c r="R349" s="13" t="s">
        <v>62</v>
      </c>
      <c r="S349" s="13" t="s">
        <v>51</v>
      </c>
      <c r="T349" s="13" t="s">
        <v>949</v>
      </c>
      <c r="U349" s="13" t="s">
        <v>149</v>
      </c>
      <c r="V349" s="13" t="s">
        <v>564</v>
      </c>
      <c r="W349" s="13" t="s">
        <v>64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04"/>
        <v>37599388.802345134</v>
      </c>
      <c r="AJ349" s="19">
        <f t="shared" si="105"/>
        <v>4866784.3630338367</v>
      </c>
      <c r="AK349" s="20">
        <f t="shared" si="115"/>
        <v>0.12943785838163113</v>
      </c>
      <c r="AL349" s="17"/>
      <c r="AM349" s="17"/>
      <c r="AN349" s="17"/>
      <c r="AO349" s="17"/>
      <c r="AP349" s="28" t="str">
        <f t="shared" si="116"/>
        <v>20199</v>
      </c>
      <c r="AQ349" s="28" t="str">
        <f t="shared" si="117"/>
        <v>20199RMB</v>
      </c>
      <c r="AR349" s="206" t="str">
        <f t="shared" si="118"/>
        <v>YAMAHA_Mounter</v>
      </c>
      <c r="AS349" s="22">
        <f t="shared" si="119"/>
        <v>1</v>
      </c>
      <c r="AT349" s="24" t="str">
        <f t="shared" si="120"/>
        <v>0-3 months</v>
      </c>
      <c r="AU349" s="22" t="s">
        <v>3240</v>
      </c>
    </row>
    <row r="350" spans="1:47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47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955</v>
      </c>
      <c r="K350" s="155" t="s">
        <v>948</v>
      </c>
      <c r="L350" s="17" t="s">
        <v>67</v>
      </c>
      <c r="M350" s="13" t="s">
        <v>60</v>
      </c>
      <c r="N350" s="13">
        <v>1</v>
      </c>
      <c r="O350" s="13"/>
      <c r="P350" s="33" t="str">
        <f t="shared" si="110"/>
        <v>MAIN UNIT</v>
      </c>
      <c r="Q350" s="13" t="s">
        <v>61</v>
      </c>
      <c r="R350" s="13" t="s">
        <v>62</v>
      </c>
      <c r="S350" s="13" t="s">
        <v>51</v>
      </c>
      <c r="T350" s="13" t="s">
        <v>949</v>
      </c>
      <c r="U350" s="13" t="s">
        <v>149</v>
      </c>
      <c r="V350" s="13" t="s">
        <v>564</v>
      </c>
      <c r="W350" s="13" t="s">
        <v>64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04"/>
        <v>37599388.802345134</v>
      </c>
      <c r="AJ350" s="19">
        <f t="shared" si="105"/>
        <v>4866784.3630338367</v>
      </c>
      <c r="AK350" s="20">
        <f t="shared" si="115"/>
        <v>0.12943785838163113</v>
      </c>
      <c r="AL350" s="17"/>
      <c r="AM350" s="17"/>
      <c r="AN350" s="17"/>
      <c r="AO350" s="17"/>
      <c r="AP350" s="28" t="str">
        <f t="shared" si="116"/>
        <v>20199</v>
      </c>
      <c r="AQ350" s="28" t="str">
        <f t="shared" si="117"/>
        <v>20199RMB</v>
      </c>
      <c r="AR350" s="206" t="str">
        <f t="shared" si="118"/>
        <v>YAMAHA_Mounter</v>
      </c>
      <c r="AS350" s="22">
        <f t="shared" si="119"/>
        <v>1</v>
      </c>
      <c r="AT350" s="24" t="str">
        <f t="shared" si="120"/>
        <v>0-3 months</v>
      </c>
      <c r="AU350" s="22" t="s">
        <v>3240</v>
      </c>
    </row>
    <row r="351" spans="1:47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185</v>
      </c>
      <c r="F351" s="13" t="s">
        <v>185</v>
      </c>
      <c r="G351" s="152" t="s">
        <v>1616</v>
      </c>
      <c r="H351" s="155"/>
      <c r="I351" s="33" t="str">
        <f t="shared" si="109"/>
        <v>Cancel</v>
      </c>
      <c r="J351" s="186" t="s">
        <v>2079</v>
      </c>
      <c r="K351" s="155" t="s">
        <v>2080</v>
      </c>
      <c r="L351" s="17" t="s">
        <v>92</v>
      </c>
      <c r="M351" s="13" t="s">
        <v>60</v>
      </c>
      <c r="N351" s="13">
        <v>1</v>
      </c>
      <c r="O351" s="13"/>
      <c r="P351" s="33" t="str">
        <f t="shared" si="110"/>
        <v>MAIN UNIT</v>
      </c>
      <c r="Q351" s="13" t="s">
        <v>61</v>
      </c>
      <c r="R351" s="13" t="s">
        <v>62</v>
      </c>
      <c r="S351" s="13" t="s">
        <v>51</v>
      </c>
      <c r="T351" s="13" t="s">
        <v>949</v>
      </c>
      <c r="U351" s="13" t="s">
        <v>149</v>
      </c>
      <c r="V351" s="13" t="s">
        <v>564</v>
      </c>
      <c r="W351" s="13" t="s">
        <v>64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04"/>
        <v>499582152.5142017</v>
      </c>
      <c r="AJ351" s="19">
        <f t="shared" si="105"/>
        <v>59520528.679470733</v>
      </c>
      <c r="AK351" s="20">
        <f t="shared" si="115"/>
        <v>0.11914062257814291</v>
      </c>
      <c r="AL351" s="17"/>
      <c r="AM351" s="17"/>
      <c r="AN351" s="17"/>
      <c r="AO351" s="17"/>
      <c r="AP351" s="28" t="str">
        <f t="shared" si="116"/>
        <v>CancelCANCEL</v>
      </c>
      <c r="AQ351" s="28" t="str">
        <f t="shared" si="117"/>
        <v>CancelCANCELRMB</v>
      </c>
      <c r="AR351" s="206" t="str">
        <f t="shared" si="118"/>
        <v>YAMAHA_Mounter</v>
      </c>
      <c r="AS351" s="22" t="str">
        <f t="shared" si="119"/>
        <v/>
      </c>
      <c r="AT351" s="24" t="str">
        <f t="shared" si="120"/>
        <v/>
      </c>
      <c r="AU351" s="22" t="s">
        <v>3240</v>
      </c>
    </row>
    <row r="352" spans="1:47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54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2155</v>
      </c>
      <c r="K352" s="155" t="s">
        <v>2080</v>
      </c>
      <c r="L352" s="17" t="s">
        <v>67</v>
      </c>
      <c r="M352" s="13" t="s">
        <v>60</v>
      </c>
      <c r="N352" s="13">
        <v>1</v>
      </c>
      <c r="O352" s="13"/>
      <c r="P352" s="33" t="str">
        <f t="shared" si="110"/>
        <v>MAIN UNIT</v>
      </c>
      <c r="Q352" s="13" t="s">
        <v>61</v>
      </c>
      <c r="R352" s="13" t="s">
        <v>62</v>
      </c>
      <c r="S352" s="13" t="s">
        <v>51</v>
      </c>
      <c r="T352" s="13" t="s">
        <v>949</v>
      </c>
      <c r="U352" s="13" t="s">
        <v>149</v>
      </c>
      <c r="V352" s="13" t="s">
        <v>507</v>
      </c>
      <c r="W352" s="13" t="s">
        <v>64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04"/>
        <v>44014086.982070789</v>
      </c>
      <c r="AJ352" s="19">
        <f t="shared" si="105"/>
        <v>6419974.0221889298</v>
      </c>
      <c r="AK352" s="20">
        <f t="shared" si="115"/>
        <v>0.14586180158193709</v>
      </c>
      <c r="AL352" s="17"/>
      <c r="AM352" s="17"/>
      <c r="AN352" s="17"/>
      <c r="AO352" s="17"/>
      <c r="AP352" s="28" t="str">
        <f t="shared" si="116"/>
        <v>20225</v>
      </c>
      <c r="AQ352" s="28" t="str">
        <f t="shared" si="117"/>
        <v>20225RMB</v>
      </c>
      <c r="AR352" s="206" t="str">
        <f t="shared" si="118"/>
        <v>YAMAHA_Mounter</v>
      </c>
      <c r="AS352" s="22">
        <f t="shared" si="119"/>
        <v>4</v>
      </c>
      <c r="AT352" s="24" t="str">
        <f t="shared" si="120"/>
        <v>4-6 months</v>
      </c>
      <c r="AU352" s="22" t="s">
        <v>3240</v>
      </c>
    </row>
    <row r="353" spans="1:47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185</v>
      </c>
      <c r="F353" s="13" t="s">
        <v>185</v>
      </c>
      <c r="G353" s="152" t="s">
        <v>1616</v>
      </c>
      <c r="H353" s="155" t="s">
        <v>2070</v>
      </c>
      <c r="I353" s="33" t="str">
        <f t="shared" si="109"/>
        <v>Cancel</v>
      </c>
      <c r="J353" s="186" t="s">
        <v>2099</v>
      </c>
      <c r="K353" s="155" t="s">
        <v>2100</v>
      </c>
      <c r="L353" s="17" t="s">
        <v>67</v>
      </c>
      <c r="M353" s="13" t="s">
        <v>60</v>
      </c>
      <c r="N353" s="13">
        <v>1</v>
      </c>
      <c r="O353" s="13"/>
      <c r="P353" s="33" t="str">
        <f t="shared" si="110"/>
        <v>MAIN UNIT</v>
      </c>
      <c r="Q353" s="13" t="s">
        <v>68</v>
      </c>
      <c r="R353" s="13" t="s">
        <v>62</v>
      </c>
      <c r="S353" s="13" t="s">
        <v>50</v>
      </c>
      <c r="T353" s="13" t="s">
        <v>93</v>
      </c>
      <c r="U353" s="13" t="s">
        <v>89</v>
      </c>
      <c r="V353" s="13" t="s">
        <v>84</v>
      </c>
      <c r="W353" s="13" t="s">
        <v>64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04"/>
        <v>499582152.5142017</v>
      </c>
      <c r="AJ353" s="19">
        <f t="shared" si="105"/>
        <v>59520528.679470733</v>
      </c>
      <c r="AK353" s="20">
        <f t="shared" si="115"/>
        <v>0.11914062257814291</v>
      </c>
      <c r="AL353" s="17"/>
      <c r="AM353" s="17"/>
      <c r="AN353" s="17"/>
      <c r="AO353" s="17"/>
      <c r="AP353" s="28" t="str">
        <f t="shared" si="116"/>
        <v>CancelCANCEL</v>
      </c>
      <c r="AQ353" s="28" t="str">
        <f t="shared" si="117"/>
        <v>CancelCANCELRMB</v>
      </c>
      <c r="AR353" s="206" t="str">
        <f t="shared" si="118"/>
        <v>YAMAHA_Mounter</v>
      </c>
      <c r="AS353" s="22" t="str">
        <f t="shared" si="119"/>
        <v/>
      </c>
      <c r="AT353" s="24" t="str">
        <f t="shared" si="120"/>
        <v/>
      </c>
      <c r="AU353" s="22" t="s">
        <v>3240</v>
      </c>
    </row>
    <row r="354" spans="1:47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185</v>
      </c>
      <c r="F354" s="13" t="s">
        <v>185</v>
      </c>
      <c r="G354" s="152" t="s">
        <v>1616</v>
      </c>
      <c r="H354" s="155" t="s">
        <v>2070</v>
      </c>
      <c r="I354" s="33" t="str">
        <f t="shared" si="109"/>
        <v>Cancel</v>
      </c>
      <c r="J354" s="186" t="s">
        <v>2099</v>
      </c>
      <c r="K354" s="155" t="s">
        <v>2100</v>
      </c>
      <c r="L354" s="17" t="s">
        <v>516</v>
      </c>
      <c r="M354" s="13" t="s">
        <v>60</v>
      </c>
      <c r="N354" s="13">
        <v>0</v>
      </c>
      <c r="O354" s="13">
        <v>41</v>
      </c>
      <c r="P354" s="33" t="str">
        <f t="shared" si="110"/>
        <v>SERVICE/ PARTS</v>
      </c>
      <c r="Q354" s="13" t="s">
        <v>68</v>
      </c>
      <c r="R354" s="13" t="s">
        <v>62</v>
      </c>
      <c r="S354" s="13" t="s">
        <v>50</v>
      </c>
      <c r="T354" s="13" t="s">
        <v>93</v>
      </c>
      <c r="U354" s="13" t="s">
        <v>89</v>
      </c>
      <c r="V354" s="13" t="s">
        <v>84</v>
      </c>
      <c r="W354" s="13" t="s">
        <v>64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04"/>
        <v>499582152.5142017</v>
      </c>
      <c r="AJ354" s="19">
        <f t="shared" si="105"/>
        <v>59520528.679470733</v>
      </c>
      <c r="AK354" s="20">
        <f t="shared" si="115"/>
        <v>0.11914062257814291</v>
      </c>
      <c r="AL354" s="17"/>
      <c r="AM354" s="17"/>
      <c r="AN354" s="17"/>
      <c r="AO354" s="17"/>
      <c r="AP354" s="28" t="str">
        <f t="shared" si="116"/>
        <v>CancelCANCEL</v>
      </c>
      <c r="AQ354" s="28" t="str">
        <f t="shared" si="117"/>
        <v>CancelCANCELRMB</v>
      </c>
      <c r="AR354" s="206" t="str">
        <f t="shared" si="118"/>
        <v>YAMAHA_Mounter</v>
      </c>
      <c r="AS354" s="22" t="str">
        <f t="shared" si="119"/>
        <v/>
      </c>
      <c r="AT354" s="24" t="str">
        <f t="shared" si="120"/>
        <v/>
      </c>
      <c r="AU354" s="22" t="s">
        <v>3240</v>
      </c>
    </row>
    <row r="355" spans="1:47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47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941</v>
      </c>
      <c r="K355" s="155" t="s">
        <v>942</v>
      </c>
      <c r="L355" s="17" t="s">
        <v>92</v>
      </c>
      <c r="M355" s="13" t="s">
        <v>60</v>
      </c>
      <c r="N355" s="13">
        <v>1</v>
      </c>
      <c r="O355" s="13"/>
      <c r="P355" s="33" t="str">
        <f t="shared" si="110"/>
        <v>MAIN UNIT</v>
      </c>
      <c r="Q355" s="13" t="s">
        <v>61</v>
      </c>
      <c r="R355" s="13" t="s">
        <v>62</v>
      </c>
      <c r="S355" s="13" t="s">
        <v>49</v>
      </c>
      <c r="T355" s="13" t="s">
        <v>78</v>
      </c>
      <c r="U355" s="13" t="s">
        <v>79</v>
      </c>
      <c r="V355" s="13" t="s">
        <v>112</v>
      </c>
      <c r="W355" s="13" t="s">
        <v>64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04"/>
        <v>28647263.974455759</v>
      </c>
      <c r="AJ355" s="19">
        <f t="shared" si="105"/>
        <v>3219855.6912513468</v>
      </c>
      <c r="AK355" s="20">
        <f t="shared" si="115"/>
        <v>0.11239662168514358</v>
      </c>
      <c r="AL355" s="17"/>
      <c r="AM355" s="17"/>
      <c r="AN355" s="17"/>
      <c r="AO355" s="17"/>
      <c r="AP355" s="28" t="str">
        <f t="shared" si="116"/>
        <v>201910</v>
      </c>
      <c r="AQ355" s="28" t="str">
        <f t="shared" si="117"/>
        <v>201910RMB</v>
      </c>
      <c r="AR355" s="206" t="str">
        <f t="shared" si="118"/>
        <v>YAMAHA_Mounter</v>
      </c>
      <c r="AS355" s="22">
        <f t="shared" si="119"/>
        <v>1</v>
      </c>
      <c r="AT355" s="24" t="str">
        <f t="shared" si="120"/>
        <v>0-3 months</v>
      </c>
      <c r="AU355" s="22" t="s">
        <v>3744</v>
      </c>
    </row>
    <row r="356" spans="1:47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47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941</v>
      </c>
      <c r="K356" s="155" t="s">
        <v>942</v>
      </c>
      <c r="L356" s="17" t="s">
        <v>92</v>
      </c>
      <c r="M356" s="13" t="s">
        <v>60</v>
      </c>
      <c r="N356" s="13">
        <v>1</v>
      </c>
      <c r="O356" s="13"/>
      <c r="P356" s="33" t="str">
        <f t="shared" si="110"/>
        <v>MAIN UNIT</v>
      </c>
      <c r="Q356" s="13" t="s">
        <v>61</v>
      </c>
      <c r="R356" s="13" t="s">
        <v>62</v>
      </c>
      <c r="S356" s="13" t="s">
        <v>49</v>
      </c>
      <c r="T356" s="13" t="s">
        <v>78</v>
      </c>
      <c r="U356" s="13" t="s">
        <v>79</v>
      </c>
      <c r="V356" s="13" t="s">
        <v>112</v>
      </c>
      <c r="W356" s="13" t="s">
        <v>64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04"/>
        <v>28647263.974455759</v>
      </c>
      <c r="AJ356" s="19">
        <f t="shared" si="105"/>
        <v>3219855.6912513468</v>
      </c>
      <c r="AK356" s="20">
        <f t="shared" si="115"/>
        <v>0.11239662168514358</v>
      </c>
      <c r="AL356" s="17"/>
      <c r="AM356" s="17"/>
      <c r="AN356" s="17"/>
      <c r="AO356" s="17"/>
      <c r="AP356" s="28" t="str">
        <f t="shared" si="116"/>
        <v>201910</v>
      </c>
      <c r="AQ356" s="28" t="str">
        <f t="shared" si="117"/>
        <v>201910RMB</v>
      </c>
      <c r="AR356" s="206" t="str">
        <f t="shared" si="118"/>
        <v>YAMAHA_Mounter</v>
      </c>
      <c r="AS356" s="22">
        <f t="shared" si="119"/>
        <v>1</v>
      </c>
      <c r="AT356" s="24" t="str">
        <f t="shared" si="120"/>
        <v>0-3 months</v>
      </c>
      <c r="AU356" s="22" t="s">
        <v>3744</v>
      </c>
    </row>
    <row r="357" spans="1:47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47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958</v>
      </c>
      <c r="K357" s="155" t="s">
        <v>942</v>
      </c>
      <c r="L357" s="17" t="s">
        <v>92</v>
      </c>
      <c r="M357" s="13" t="s">
        <v>60</v>
      </c>
      <c r="N357" s="13">
        <v>1</v>
      </c>
      <c r="O357" s="13"/>
      <c r="P357" s="33" t="str">
        <f t="shared" si="110"/>
        <v>MAIN UNIT</v>
      </c>
      <c r="Q357" s="13" t="s">
        <v>68</v>
      </c>
      <c r="R357" s="13" t="s">
        <v>62</v>
      </c>
      <c r="S357" s="13" t="s">
        <v>49</v>
      </c>
      <c r="T357" s="13" t="s">
        <v>78</v>
      </c>
      <c r="U357" s="13" t="s">
        <v>79</v>
      </c>
      <c r="V357" s="13" t="s">
        <v>112</v>
      </c>
      <c r="W357" s="13" t="s">
        <v>64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04"/>
        <v>37599388.802345134</v>
      </c>
      <c r="AJ357" s="19">
        <f t="shared" si="105"/>
        <v>4866784.3630338367</v>
      </c>
      <c r="AK357" s="20">
        <f t="shared" si="115"/>
        <v>0.12943785838163113</v>
      </c>
      <c r="AL357" s="17"/>
      <c r="AM357" s="17"/>
      <c r="AN357" s="17"/>
      <c r="AO357" s="17"/>
      <c r="AP357" s="28" t="str">
        <f t="shared" si="116"/>
        <v>20199</v>
      </c>
      <c r="AQ357" s="28" t="str">
        <f t="shared" si="117"/>
        <v>20199RMB</v>
      </c>
      <c r="AR357" s="206" t="str">
        <f t="shared" si="118"/>
        <v>YAMAHA_Mounter</v>
      </c>
      <c r="AS357" s="22">
        <f t="shared" si="119"/>
        <v>1</v>
      </c>
      <c r="AT357" s="24" t="str">
        <f t="shared" si="120"/>
        <v>0-3 months</v>
      </c>
      <c r="AU357" s="22" t="s">
        <v>3744</v>
      </c>
    </row>
    <row r="358" spans="1:47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47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958</v>
      </c>
      <c r="K358" s="155" t="s">
        <v>942</v>
      </c>
      <c r="L358" s="17" t="s">
        <v>92</v>
      </c>
      <c r="M358" s="13" t="s">
        <v>60</v>
      </c>
      <c r="N358" s="13">
        <v>1</v>
      </c>
      <c r="O358" s="13"/>
      <c r="P358" s="33" t="str">
        <f t="shared" si="110"/>
        <v>MAIN UNIT</v>
      </c>
      <c r="Q358" s="13" t="s">
        <v>68</v>
      </c>
      <c r="R358" s="13" t="s">
        <v>62</v>
      </c>
      <c r="S358" s="13" t="s">
        <v>49</v>
      </c>
      <c r="T358" s="13" t="s">
        <v>78</v>
      </c>
      <c r="U358" s="13" t="s">
        <v>79</v>
      </c>
      <c r="V358" s="13" t="s">
        <v>112</v>
      </c>
      <c r="W358" s="13" t="s">
        <v>64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04"/>
        <v>37599388.802345134</v>
      </c>
      <c r="AJ358" s="19">
        <f t="shared" si="105"/>
        <v>4866784.3630338367</v>
      </c>
      <c r="AK358" s="20">
        <f t="shared" si="115"/>
        <v>0.12943785838163113</v>
      </c>
      <c r="AL358" s="17"/>
      <c r="AM358" s="17"/>
      <c r="AN358" s="17"/>
      <c r="AO358" s="17"/>
      <c r="AP358" s="28" t="str">
        <f t="shared" si="116"/>
        <v>20199</v>
      </c>
      <c r="AQ358" s="28" t="str">
        <f t="shared" si="117"/>
        <v>20199RMB</v>
      </c>
      <c r="AR358" s="206" t="str">
        <f t="shared" si="118"/>
        <v>YAMAHA_Mounter</v>
      </c>
      <c r="AS358" s="22">
        <f t="shared" si="119"/>
        <v>1</v>
      </c>
      <c r="AT358" s="24" t="str">
        <f t="shared" si="120"/>
        <v>0-3 months</v>
      </c>
      <c r="AU358" s="22" t="s">
        <v>3744</v>
      </c>
    </row>
    <row r="359" spans="1:47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47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958</v>
      </c>
      <c r="K359" s="155" t="s">
        <v>942</v>
      </c>
      <c r="L359" s="17" t="s">
        <v>92</v>
      </c>
      <c r="M359" s="13" t="s">
        <v>60</v>
      </c>
      <c r="N359" s="13">
        <v>1</v>
      </c>
      <c r="O359" s="13"/>
      <c r="P359" s="33" t="str">
        <f t="shared" si="110"/>
        <v>MAIN UNIT</v>
      </c>
      <c r="Q359" s="13" t="s">
        <v>68</v>
      </c>
      <c r="R359" s="13" t="s">
        <v>62</v>
      </c>
      <c r="S359" s="13" t="s">
        <v>49</v>
      </c>
      <c r="T359" s="13" t="s">
        <v>78</v>
      </c>
      <c r="U359" s="13" t="s">
        <v>79</v>
      </c>
      <c r="V359" s="13" t="s">
        <v>112</v>
      </c>
      <c r="W359" s="13" t="s">
        <v>64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04"/>
        <v>37599388.802345134</v>
      </c>
      <c r="AJ359" s="19">
        <f t="shared" si="105"/>
        <v>4866784.3630338367</v>
      </c>
      <c r="AK359" s="20">
        <f t="shared" si="115"/>
        <v>0.12943785838163113</v>
      </c>
      <c r="AL359" s="17"/>
      <c r="AM359" s="17"/>
      <c r="AN359" s="17"/>
      <c r="AO359" s="17"/>
      <c r="AP359" s="28" t="str">
        <f t="shared" si="116"/>
        <v>20199</v>
      </c>
      <c r="AQ359" s="28" t="str">
        <f t="shared" si="117"/>
        <v>20199RMB</v>
      </c>
      <c r="AR359" s="206" t="str">
        <f t="shared" si="118"/>
        <v>YAMAHA_Mounter</v>
      </c>
      <c r="AS359" s="22">
        <f t="shared" si="119"/>
        <v>1</v>
      </c>
      <c r="AT359" s="24" t="str">
        <f t="shared" si="120"/>
        <v>0-3 months</v>
      </c>
      <c r="AU359" s="22" t="s">
        <v>3744</v>
      </c>
    </row>
    <row r="360" spans="1:47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47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958</v>
      </c>
      <c r="K360" s="155" t="s">
        <v>942</v>
      </c>
      <c r="L360" s="17" t="s">
        <v>67</v>
      </c>
      <c r="M360" s="13" t="s">
        <v>60</v>
      </c>
      <c r="N360" s="13">
        <v>1</v>
      </c>
      <c r="O360" s="13"/>
      <c r="P360" s="33" t="str">
        <f t="shared" si="110"/>
        <v>MAIN UNIT</v>
      </c>
      <c r="Q360" s="13" t="s">
        <v>68</v>
      </c>
      <c r="R360" s="13" t="s">
        <v>62</v>
      </c>
      <c r="S360" s="13" t="s">
        <v>49</v>
      </c>
      <c r="T360" s="13" t="s">
        <v>78</v>
      </c>
      <c r="U360" s="13" t="s">
        <v>79</v>
      </c>
      <c r="V360" s="13" t="s">
        <v>112</v>
      </c>
      <c r="W360" s="13" t="s">
        <v>64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04"/>
        <v>37599388.802345134</v>
      </c>
      <c r="AJ360" s="19">
        <f t="shared" si="105"/>
        <v>4866784.3630338367</v>
      </c>
      <c r="AK360" s="20">
        <f t="shared" si="115"/>
        <v>0.12943785838163113</v>
      </c>
      <c r="AL360" s="17"/>
      <c r="AM360" s="17"/>
      <c r="AN360" s="17"/>
      <c r="AO360" s="17"/>
      <c r="AP360" s="28" t="str">
        <f t="shared" si="116"/>
        <v>20199</v>
      </c>
      <c r="AQ360" s="28" t="str">
        <f t="shared" si="117"/>
        <v>20199RMB</v>
      </c>
      <c r="AR360" s="206" t="str">
        <f t="shared" si="118"/>
        <v>YAMAHA_Mounter</v>
      </c>
      <c r="AS360" s="22">
        <f t="shared" si="119"/>
        <v>1</v>
      </c>
      <c r="AT360" s="24" t="str">
        <f t="shared" si="120"/>
        <v>0-3 months</v>
      </c>
      <c r="AU360" s="22" t="s">
        <v>3744</v>
      </c>
    </row>
    <row r="361" spans="1:47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47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958</v>
      </c>
      <c r="K361" s="155" t="s">
        <v>942</v>
      </c>
      <c r="L361" s="17" t="s">
        <v>67</v>
      </c>
      <c r="M361" s="13" t="s">
        <v>60</v>
      </c>
      <c r="N361" s="13">
        <v>1</v>
      </c>
      <c r="O361" s="13"/>
      <c r="P361" s="33" t="str">
        <f t="shared" si="110"/>
        <v>MAIN UNIT</v>
      </c>
      <c r="Q361" s="13" t="s">
        <v>68</v>
      </c>
      <c r="R361" s="13" t="s">
        <v>62</v>
      </c>
      <c r="S361" s="13" t="s">
        <v>49</v>
      </c>
      <c r="T361" s="13" t="s">
        <v>78</v>
      </c>
      <c r="U361" s="13" t="s">
        <v>79</v>
      </c>
      <c r="V361" s="13" t="s">
        <v>112</v>
      </c>
      <c r="W361" s="13" t="s">
        <v>64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04"/>
        <v>37599388.802345134</v>
      </c>
      <c r="AJ361" s="19">
        <f t="shared" si="105"/>
        <v>4866784.3630338367</v>
      </c>
      <c r="AK361" s="20">
        <f t="shared" si="115"/>
        <v>0.12943785838163113</v>
      </c>
      <c r="AL361" s="17"/>
      <c r="AM361" s="17"/>
      <c r="AN361" s="17"/>
      <c r="AO361" s="17"/>
      <c r="AP361" s="28" t="str">
        <f t="shared" si="116"/>
        <v>20199</v>
      </c>
      <c r="AQ361" s="28" t="str">
        <f t="shared" si="117"/>
        <v>20199RMB</v>
      </c>
      <c r="AR361" s="206" t="str">
        <f t="shared" si="118"/>
        <v>YAMAHA_Mounter</v>
      </c>
      <c r="AS361" s="22">
        <f t="shared" si="119"/>
        <v>1</v>
      </c>
      <c r="AT361" s="24" t="str">
        <f t="shared" si="120"/>
        <v>0-3 months</v>
      </c>
      <c r="AU361" s="22" t="s">
        <v>3744</v>
      </c>
    </row>
    <row r="362" spans="1:47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47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958</v>
      </c>
      <c r="K362" s="155" t="s">
        <v>942</v>
      </c>
      <c r="L362" s="17" t="s">
        <v>67</v>
      </c>
      <c r="M362" s="13" t="s">
        <v>60</v>
      </c>
      <c r="N362" s="13">
        <v>1</v>
      </c>
      <c r="O362" s="13"/>
      <c r="P362" s="33" t="str">
        <f t="shared" si="110"/>
        <v>MAIN UNIT</v>
      </c>
      <c r="Q362" s="13" t="s">
        <v>68</v>
      </c>
      <c r="R362" s="13" t="s">
        <v>62</v>
      </c>
      <c r="S362" s="13" t="s">
        <v>49</v>
      </c>
      <c r="T362" s="13" t="s">
        <v>78</v>
      </c>
      <c r="U362" s="13" t="s">
        <v>79</v>
      </c>
      <c r="V362" s="13" t="s">
        <v>112</v>
      </c>
      <c r="W362" s="13" t="s">
        <v>64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04"/>
        <v>37599388.802345134</v>
      </c>
      <c r="AJ362" s="19">
        <f t="shared" si="105"/>
        <v>4866784.3630338367</v>
      </c>
      <c r="AK362" s="20">
        <f t="shared" si="115"/>
        <v>0.12943785838163113</v>
      </c>
      <c r="AL362" s="17"/>
      <c r="AM362" s="17"/>
      <c r="AN362" s="17"/>
      <c r="AO362" s="17"/>
      <c r="AP362" s="28" t="str">
        <f t="shared" si="116"/>
        <v>20199</v>
      </c>
      <c r="AQ362" s="28" t="str">
        <f t="shared" si="117"/>
        <v>20199RMB</v>
      </c>
      <c r="AR362" s="206" t="str">
        <f t="shared" si="118"/>
        <v>YAMAHA_Mounter</v>
      </c>
      <c r="AS362" s="22">
        <f t="shared" si="119"/>
        <v>1</v>
      </c>
      <c r="AT362" s="24" t="str">
        <f t="shared" si="120"/>
        <v>0-3 months</v>
      </c>
      <c r="AU362" s="22" t="s">
        <v>3744</v>
      </c>
    </row>
    <row r="363" spans="1:47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47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958</v>
      </c>
      <c r="K363" s="155" t="s">
        <v>942</v>
      </c>
      <c r="L363" s="17" t="s">
        <v>67</v>
      </c>
      <c r="M363" s="13" t="s">
        <v>60</v>
      </c>
      <c r="N363" s="13">
        <v>1</v>
      </c>
      <c r="O363" s="13"/>
      <c r="P363" s="33" t="str">
        <f t="shared" si="110"/>
        <v>MAIN UNIT</v>
      </c>
      <c r="Q363" s="13" t="s">
        <v>68</v>
      </c>
      <c r="R363" s="13" t="s">
        <v>62</v>
      </c>
      <c r="S363" s="13" t="s">
        <v>49</v>
      </c>
      <c r="T363" s="13" t="s">
        <v>78</v>
      </c>
      <c r="U363" s="13" t="s">
        <v>79</v>
      </c>
      <c r="V363" s="13" t="s">
        <v>112</v>
      </c>
      <c r="W363" s="13" t="s">
        <v>64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04"/>
        <v>37599388.802345134</v>
      </c>
      <c r="AJ363" s="19">
        <f t="shared" si="105"/>
        <v>4866784.3630338367</v>
      </c>
      <c r="AK363" s="20">
        <f t="shared" si="115"/>
        <v>0.12943785838163113</v>
      </c>
      <c r="AL363" s="17"/>
      <c r="AM363" s="17"/>
      <c r="AN363" s="17"/>
      <c r="AO363" s="17"/>
      <c r="AP363" s="28" t="str">
        <f t="shared" si="116"/>
        <v>20199</v>
      </c>
      <c r="AQ363" s="28" t="str">
        <f t="shared" si="117"/>
        <v>20199RMB</v>
      </c>
      <c r="AR363" s="206" t="str">
        <f t="shared" si="118"/>
        <v>YAMAHA_Mounter</v>
      </c>
      <c r="AS363" s="22">
        <f t="shared" si="119"/>
        <v>1</v>
      </c>
      <c r="AT363" s="24" t="str">
        <f t="shared" si="120"/>
        <v>0-3 months</v>
      </c>
      <c r="AU363" s="22" t="s">
        <v>3744</v>
      </c>
    </row>
    <row r="364" spans="1:47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47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958</v>
      </c>
      <c r="K364" s="155" t="s">
        <v>942</v>
      </c>
      <c r="L364" s="17" t="s">
        <v>67</v>
      </c>
      <c r="M364" s="13" t="s">
        <v>60</v>
      </c>
      <c r="N364" s="13">
        <v>1</v>
      </c>
      <c r="O364" s="13"/>
      <c r="P364" s="33" t="str">
        <f t="shared" si="110"/>
        <v>MAIN UNIT</v>
      </c>
      <c r="Q364" s="13" t="s">
        <v>68</v>
      </c>
      <c r="R364" s="13" t="s">
        <v>62</v>
      </c>
      <c r="S364" s="13" t="s">
        <v>49</v>
      </c>
      <c r="T364" s="13" t="s">
        <v>78</v>
      </c>
      <c r="U364" s="13" t="s">
        <v>79</v>
      </c>
      <c r="V364" s="13" t="s">
        <v>112</v>
      </c>
      <c r="W364" s="13" t="s">
        <v>64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04"/>
        <v>37599388.802345134</v>
      </c>
      <c r="AJ364" s="19">
        <f t="shared" si="105"/>
        <v>4866784.3630338367</v>
      </c>
      <c r="AK364" s="20">
        <f t="shared" si="115"/>
        <v>0.12943785838163113</v>
      </c>
      <c r="AL364" s="17"/>
      <c r="AM364" s="17"/>
      <c r="AN364" s="17"/>
      <c r="AO364" s="17"/>
      <c r="AP364" s="28" t="str">
        <f t="shared" si="116"/>
        <v>20199</v>
      </c>
      <c r="AQ364" s="28" t="str">
        <f t="shared" si="117"/>
        <v>20199RMB</v>
      </c>
      <c r="AR364" s="206" t="str">
        <f t="shared" si="118"/>
        <v>YAMAHA_Mounter</v>
      </c>
      <c r="AS364" s="22">
        <f t="shared" si="119"/>
        <v>1</v>
      </c>
      <c r="AT364" s="24" t="str">
        <f t="shared" si="120"/>
        <v>0-3 months</v>
      </c>
      <c r="AU364" s="22" t="s">
        <v>3744</v>
      </c>
    </row>
    <row r="365" spans="1:47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53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1858</v>
      </c>
      <c r="K365" s="155" t="s">
        <v>942</v>
      </c>
      <c r="L365" s="17" t="s">
        <v>92</v>
      </c>
      <c r="M365" s="13" t="s">
        <v>60</v>
      </c>
      <c r="N365" s="13">
        <v>1</v>
      </c>
      <c r="O365" s="13"/>
      <c r="P365" s="33" t="str">
        <f t="shared" si="110"/>
        <v>MAIN UNIT</v>
      </c>
      <c r="Q365" s="13" t="s">
        <v>61</v>
      </c>
      <c r="R365" s="13" t="s">
        <v>62</v>
      </c>
      <c r="S365" s="13" t="s">
        <v>49</v>
      </c>
      <c r="T365" s="13" t="s">
        <v>78</v>
      </c>
      <c r="U365" s="13" t="s">
        <v>79</v>
      </c>
      <c r="V365" s="13" t="s">
        <v>112</v>
      </c>
      <c r="W365" s="13" t="s">
        <v>109</v>
      </c>
      <c r="X365" s="135">
        <v>12000000</v>
      </c>
      <c r="Y365" s="157" t="str">
        <f t="shared" ref="Y365:Y395" si="121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04"/>
        <v>47458373.787610628</v>
      </c>
      <c r="AJ365" s="19">
        <f t="shared" si="105"/>
        <v>7436880.1411522133</v>
      </c>
      <c r="AK365" s="20">
        <f t="shared" si="115"/>
        <v>0.15670322321692506</v>
      </c>
      <c r="AL365" s="17"/>
      <c r="AM365" s="17"/>
      <c r="AN365" s="17"/>
      <c r="AO365" s="17"/>
      <c r="AP365" s="28" t="str">
        <f t="shared" si="116"/>
        <v>20218</v>
      </c>
      <c r="AQ365" s="28" t="str">
        <f t="shared" si="117"/>
        <v>20218JPY</v>
      </c>
      <c r="AR365" s="206" t="str">
        <f t="shared" si="118"/>
        <v>YAMAHA_Mounter</v>
      </c>
      <c r="AS365" s="22">
        <f t="shared" si="119"/>
        <v>2</v>
      </c>
      <c r="AT365" s="24" t="str">
        <f t="shared" si="120"/>
        <v>0-3 months</v>
      </c>
      <c r="AU365" s="22" t="s">
        <v>3745</v>
      </c>
    </row>
    <row r="366" spans="1:47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53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1858</v>
      </c>
      <c r="K366" s="155" t="s">
        <v>942</v>
      </c>
      <c r="L366" s="17" t="s">
        <v>92</v>
      </c>
      <c r="M366" s="13" t="s">
        <v>60</v>
      </c>
      <c r="N366" s="13">
        <v>1</v>
      </c>
      <c r="O366" s="13"/>
      <c r="P366" s="33" t="str">
        <f t="shared" si="110"/>
        <v>MAIN UNIT</v>
      </c>
      <c r="Q366" s="13" t="s">
        <v>61</v>
      </c>
      <c r="R366" s="13" t="s">
        <v>62</v>
      </c>
      <c r="S366" s="13" t="s">
        <v>49</v>
      </c>
      <c r="T366" s="13" t="s">
        <v>78</v>
      </c>
      <c r="U366" s="13" t="s">
        <v>79</v>
      </c>
      <c r="V366" s="13" t="s">
        <v>112</v>
      </c>
      <c r="W366" s="13" t="s">
        <v>109</v>
      </c>
      <c r="X366" s="135">
        <v>12000000</v>
      </c>
      <c r="Y366" s="157" t="str">
        <f t="shared" si="121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04"/>
        <v>47458373.787610628</v>
      </c>
      <c r="AJ366" s="19">
        <f t="shared" si="105"/>
        <v>7436880.1411522133</v>
      </c>
      <c r="AK366" s="20">
        <f t="shared" si="115"/>
        <v>0.15670322321692506</v>
      </c>
      <c r="AL366" s="17"/>
      <c r="AM366" s="17"/>
      <c r="AN366" s="17"/>
      <c r="AO366" s="17"/>
      <c r="AP366" s="28" t="str">
        <f t="shared" si="116"/>
        <v>20218</v>
      </c>
      <c r="AQ366" s="28" t="str">
        <f t="shared" si="117"/>
        <v>20218JPY</v>
      </c>
      <c r="AR366" s="206" t="str">
        <f t="shared" si="118"/>
        <v>YAMAHA_Mounter</v>
      </c>
      <c r="AS366" s="22">
        <f t="shared" si="119"/>
        <v>2</v>
      </c>
      <c r="AT366" s="24" t="str">
        <f t="shared" si="120"/>
        <v>0-3 months</v>
      </c>
      <c r="AU366" s="22" t="s">
        <v>3745</v>
      </c>
    </row>
    <row r="367" spans="1:47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53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1858</v>
      </c>
      <c r="K367" s="155" t="s">
        <v>942</v>
      </c>
      <c r="L367" s="17" t="s">
        <v>92</v>
      </c>
      <c r="M367" s="13" t="s">
        <v>60</v>
      </c>
      <c r="N367" s="13">
        <v>1</v>
      </c>
      <c r="O367" s="13"/>
      <c r="P367" s="33" t="str">
        <f t="shared" si="110"/>
        <v>MAIN UNIT</v>
      </c>
      <c r="Q367" s="13" t="s">
        <v>61</v>
      </c>
      <c r="R367" s="13" t="s">
        <v>62</v>
      </c>
      <c r="S367" s="13" t="s">
        <v>49</v>
      </c>
      <c r="T367" s="13" t="s">
        <v>78</v>
      </c>
      <c r="U367" s="13" t="s">
        <v>79</v>
      </c>
      <c r="V367" s="13" t="s">
        <v>112</v>
      </c>
      <c r="W367" s="13" t="s">
        <v>109</v>
      </c>
      <c r="X367" s="135">
        <v>12000000</v>
      </c>
      <c r="Y367" s="157" t="str">
        <f t="shared" si="121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04"/>
        <v>47458373.787610628</v>
      </c>
      <c r="AJ367" s="19">
        <f t="shared" si="105"/>
        <v>7436880.1411522133</v>
      </c>
      <c r="AK367" s="20">
        <f t="shared" si="115"/>
        <v>0.15670322321692506</v>
      </c>
      <c r="AL367" s="17"/>
      <c r="AM367" s="17"/>
      <c r="AN367" s="17"/>
      <c r="AO367" s="17"/>
      <c r="AP367" s="28" t="str">
        <f t="shared" si="116"/>
        <v>20218</v>
      </c>
      <c r="AQ367" s="28" t="str">
        <f t="shared" si="117"/>
        <v>20218JPY</v>
      </c>
      <c r="AR367" s="206" t="str">
        <f t="shared" si="118"/>
        <v>YAMAHA_Mounter</v>
      </c>
      <c r="AS367" s="22">
        <f t="shared" si="119"/>
        <v>2</v>
      </c>
      <c r="AT367" s="24" t="str">
        <f t="shared" si="120"/>
        <v>0-3 months</v>
      </c>
      <c r="AU367" s="22" t="s">
        <v>3745</v>
      </c>
    </row>
    <row r="368" spans="1:47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53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1858</v>
      </c>
      <c r="K368" s="155" t="s">
        <v>942</v>
      </c>
      <c r="L368" s="17" t="s">
        <v>67</v>
      </c>
      <c r="M368" s="13" t="s">
        <v>60</v>
      </c>
      <c r="N368" s="13">
        <v>1</v>
      </c>
      <c r="O368" s="13"/>
      <c r="P368" s="33" t="str">
        <f t="shared" si="110"/>
        <v>MAIN UNIT</v>
      </c>
      <c r="Q368" s="13" t="s">
        <v>61</v>
      </c>
      <c r="R368" s="13" t="s">
        <v>62</v>
      </c>
      <c r="S368" s="13" t="s">
        <v>49</v>
      </c>
      <c r="T368" s="13" t="s">
        <v>78</v>
      </c>
      <c r="U368" s="13" t="s">
        <v>79</v>
      </c>
      <c r="V368" s="13" t="s">
        <v>112</v>
      </c>
      <c r="W368" s="13" t="s">
        <v>109</v>
      </c>
      <c r="X368" s="135">
        <v>8980000</v>
      </c>
      <c r="Y368" s="157" t="str">
        <f t="shared" si="121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04"/>
        <v>47458373.787610628</v>
      </c>
      <c r="AJ368" s="19">
        <f t="shared" si="105"/>
        <v>7436880.1411522133</v>
      </c>
      <c r="AK368" s="20">
        <f t="shared" si="115"/>
        <v>0.15670322321692506</v>
      </c>
      <c r="AL368" s="17"/>
      <c r="AM368" s="17"/>
      <c r="AN368" s="17"/>
      <c r="AO368" s="17"/>
      <c r="AP368" s="28" t="str">
        <f t="shared" si="116"/>
        <v>20218</v>
      </c>
      <c r="AQ368" s="28" t="str">
        <f t="shared" si="117"/>
        <v>20218JPY</v>
      </c>
      <c r="AR368" s="206" t="str">
        <f t="shared" si="118"/>
        <v>YAMAHA_Mounter</v>
      </c>
      <c r="AS368" s="22">
        <f t="shared" si="119"/>
        <v>2</v>
      </c>
      <c r="AT368" s="24" t="str">
        <f t="shared" si="120"/>
        <v>0-3 months</v>
      </c>
      <c r="AU368" s="22" t="s">
        <v>3745</v>
      </c>
    </row>
    <row r="369" spans="1:47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53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1858</v>
      </c>
      <c r="K369" s="155" t="s">
        <v>942</v>
      </c>
      <c r="L369" s="17" t="s">
        <v>92</v>
      </c>
      <c r="M369" s="13" t="s">
        <v>60</v>
      </c>
      <c r="N369" s="13">
        <v>1</v>
      </c>
      <c r="O369" s="13"/>
      <c r="P369" s="33" t="str">
        <f t="shared" si="110"/>
        <v>MAIN UNIT</v>
      </c>
      <c r="Q369" s="13" t="s">
        <v>61</v>
      </c>
      <c r="R369" s="13" t="s">
        <v>62</v>
      </c>
      <c r="S369" s="13" t="s">
        <v>49</v>
      </c>
      <c r="T369" s="13" t="s">
        <v>78</v>
      </c>
      <c r="U369" s="13" t="s">
        <v>79</v>
      </c>
      <c r="V369" s="13" t="s">
        <v>112</v>
      </c>
      <c r="W369" s="13" t="s">
        <v>109</v>
      </c>
      <c r="X369" s="135">
        <v>12000000</v>
      </c>
      <c r="Y369" s="157" t="str">
        <f t="shared" si="121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04"/>
        <v>29500529.005044252</v>
      </c>
      <c r="AJ369" s="19">
        <f t="shared" si="105"/>
        <v>3253064.846231177</v>
      </c>
      <c r="AK369" s="20">
        <f t="shared" si="115"/>
        <v>0.11027140718984871</v>
      </c>
      <c r="AL369" s="17"/>
      <c r="AM369" s="17"/>
      <c r="AN369" s="17"/>
      <c r="AO369" s="17"/>
      <c r="AP369" s="28" t="str">
        <f t="shared" si="116"/>
        <v>202111</v>
      </c>
      <c r="AQ369" s="28" t="str">
        <f t="shared" si="117"/>
        <v>202111JPY</v>
      </c>
      <c r="AR369" s="206" t="str">
        <f t="shared" si="118"/>
        <v>YAMAHA_Mounter</v>
      </c>
      <c r="AS369" s="22">
        <f t="shared" si="119"/>
        <v>5</v>
      </c>
      <c r="AT369" s="24" t="str">
        <f t="shared" si="120"/>
        <v>4-6 months</v>
      </c>
      <c r="AU369" s="22" t="s">
        <v>3745</v>
      </c>
    </row>
    <row r="370" spans="1:47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53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1858</v>
      </c>
      <c r="K370" s="155" t="s">
        <v>942</v>
      </c>
      <c r="L370" s="17" t="s">
        <v>92</v>
      </c>
      <c r="M370" s="13" t="s">
        <v>60</v>
      </c>
      <c r="N370" s="13">
        <v>1</v>
      </c>
      <c r="O370" s="13"/>
      <c r="P370" s="33" t="str">
        <f t="shared" si="110"/>
        <v>MAIN UNIT</v>
      </c>
      <c r="Q370" s="13" t="s">
        <v>61</v>
      </c>
      <c r="R370" s="13" t="s">
        <v>62</v>
      </c>
      <c r="S370" s="13" t="s">
        <v>49</v>
      </c>
      <c r="T370" s="13" t="s">
        <v>78</v>
      </c>
      <c r="U370" s="13" t="s">
        <v>79</v>
      </c>
      <c r="V370" s="13" t="s">
        <v>112</v>
      </c>
      <c r="W370" s="13" t="s">
        <v>109</v>
      </c>
      <c r="X370" s="135">
        <v>12000000</v>
      </c>
      <c r="Y370" s="157" t="str">
        <f t="shared" si="121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04"/>
        <v>29500529.005044252</v>
      </c>
      <c r="AJ370" s="19">
        <f t="shared" si="105"/>
        <v>3253064.846231177</v>
      </c>
      <c r="AK370" s="20">
        <f t="shared" si="115"/>
        <v>0.11027140718984871</v>
      </c>
      <c r="AL370" s="17"/>
      <c r="AM370" s="17"/>
      <c r="AN370" s="17"/>
      <c r="AO370" s="17"/>
      <c r="AP370" s="28" t="str">
        <f t="shared" si="116"/>
        <v>202111</v>
      </c>
      <c r="AQ370" s="28" t="str">
        <f t="shared" si="117"/>
        <v>202111JPY</v>
      </c>
      <c r="AR370" s="206" t="str">
        <f t="shared" si="118"/>
        <v>YAMAHA_Mounter</v>
      </c>
      <c r="AS370" s="22">
        <f t="shared" si="119"/>
        <v>5</v>
      </c>
      <c r="AT370" s="24" t="str">
        <f t="shared" si="120"/>
        <v>4-6 months</v>
      </c>
      <c r="AU370" s="22" t="s">
        <v>3745</v>
      </c>
    </row>
    <row r="371" spans="1:47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53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1858</v>
      </c>
      <c r="K371" s="155" t="s">
        <v>942</v>
      </c>
      <c r="L371" s="17" t="s">
        <v>92</v>
      </c>
      <c r="M371" s="13" t="s">
        <v>60</v>
      </c>
      <c r="N371" s="13">
        <v>1</v>
      </c>
      <c r="O371" s="13"/>
      <c r="P371" s="33" t="str">
        <f t="shared" si="110"/>
        <v>MAIN UNIT</v>
      </c>
      <c r="Q371" s="13" t="s">
        <v>61</v>
      </c>
      <c r="R371" s="13" t="s">
        <v>62</v>
      </c>
      <c r="S371" s="13" t="s">
        <v>49</v>
      </c>
      <c r="T371" s="13" t="s">
        <v>78</v>
      </c>
      <c r="U371" s="13" t="s">
        <v>79</v>
      </c>
      <c r="V371" s="13" t="s">
        <v>112</v>
      </c>
      <c r="W371" s="13" t="s">
        <v>109</v>
      </c>
      <c r="X371" s="135">
        <v>12000000</v>
      </c>
      <c r="Y371" s="157" t="str">
        <f t="shared" si="121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04"/>
        <v>25380121.402654871</v>
      </c>
      <c r="AJ371" s="19">
        <f t="shared" si="105"/>
        <v>3850343.1237796471</v>
      </c>
      <c r="AK371" s="20">
        <f t="shared" si="115"/>
        <v>0.1517070412191521</v>
      </c>
      <c r="AL371" s="17"/>
      <c r="AM371" s="17"/>
      <c r="AN371" s="17"/>
      <c r="AO371" s="17"/>
      <c r="AP371" s="28" t="str">
        <f t="shared" si="116"/>
        <v>202112</v>
      </c>
      <c r="AQ371" s="28" t="str">
        <f t="shared" si="117"/>
        <v>202112JPY</v>
      </c>
      <c r="AR371" s="206" t="str">
        <f t="shared" si="118"/>
        <v>YAMAHA_Mounter</v>
      </c>
      <c r="AS371" s="22">
        <f t="shared" si="119"/>
        <v>6</v>
      </c>
      <c r="AT371" s="24" t="str">
        <f t="shared" si="120"/>
        <v>4-6 months</v>
      </c>
      <c r="AU371" s="22" t="s">
        <v>3745</v>
      </c>
    </row>
    <row r="372" spans="1:47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53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1858</v>
      </c>
      <c r="K372" s="155" t="s">
        <v>942</v>
      </c>
      <c r="L372" s="17" t="s">
        <v>92</v>
      </c>
      <c r="M372" s="13" t="s">
        <v>60</v>
      </c>
      <c r="N372" s="13">
        <v>1</v>
      </c>
      <c r="O372" s="13"/>
      <c r="P372" s="33" t="str">
        <f t="shared" si="110"/>
        <v>MAIN UNIT</v>
      </c>
      <c r="Q372" s="13" t="s">
        <v>61</v>
      </c>
      <c r="R372" s="13" t="s">
        <v>62</v>
      </c>
      <c r="S372" s="13" t="s">
        <v>49</v>
      </c>
      <c r="T372" s="13" t="s">
        <v>78</v>
      </c>
      <c r="U372" s="13" t="s">
        <v>79</v>
      </c>
      <c r="V372" s="13" t="s">
        <v>112</v>
      </c>
      <c r="W372" s="13" t="s">
        <v>109</v>
      </c>
      <c r="X372" s="135">
        <v>12000000</v>
      </c>
      <c r="Y372" s="157" t="str">
        <f t="shared" si="121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04"/>
        <v>25380121.402654871</v>
      </c>
      <c r="AJ372" s="19">
        <f t="shared" si="105"/>
        <v>3850343.1237796471</v>
      </c>
      <c r="AK372" s="20">
        <f t="shared" si="115"/>
        <v>0.1517070412191521</v>
      </c>
      <c r="AL372" s="17"/>
      <c r="AM372" s="17"/>
      <c r="AN372" s="17"/>
      <c r="AO372" s="17"/>
      <c r="AP372" s="28" t="str">
        <f t="shared" si="116"/>
        <v>202112</v>
      </c>
      <c r="AQ372" s="28" t="str">
        <f t="shared" si="117"/>
        <v>202112JPY</v>
      </c>
      <c r="AR372" s="206" t="str">
        <f t="shared" si="118"/>
        <v>YAMAHA_Mounter</v>
      </c>
      <c r="AS372" s="22">
        <f t="shared" si="119"/>
        <v>6</v>
      </c>
      <c r="AT372" s="24" t="str">
        <f t="shared" si="120"/>
        <v>4-6 months</v>
      </c>
      <c r="AU372" s="22" t="s">
        <v>3745</v>
      </c>
    </row>
    <row r="373" spans="1:47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55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2575</v>
      </c>
      <c r="K373" s="155" t="s">
        <v>942</v>
      </c>
      <c r="L373" s="17" t="s">
        <v>92</v>
      </c>
      <c r="M373" s="13" t="s">
        <v>60</v>
      </c>
      <c r="N373" s="13">
        <v>1</v>
      </c>
      <c r="O373" s="13"/>
      <c r="P373" s="33" t="str">
        <f t="shared" si="110"/>
        <v>MAIN UNIT</v>
      </c>
      <c r="Q373" s="13" t="s">
        <v>61</v>
      </c>
      <c r="R373" s="13" t="s">
        <v>62</v>
      </c>
      <c r="S373" s="13" t="s">
        <v>50</v>
      </c>
      <c r="T373" s="13" t="s">
        <v>2576</v>
      </c>
      <c r="U373" s="13" t="s">
        <v>2577</v>
      </c>
      <c r="V373" s="13" t="s">
        <v>112</v>
      </c>
      <c r="W373" s="13" t="s">
        <v>109</v>
      </c>
      <c r="X373" s="135">
        <v>20000000</v>
      </c>
      <c r="Y373" s="157" t="str">
        <f t="shared" si="121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04"/>
        <v>26078226.463097349</v>
      </c>
      <c r="AJ373" s="19">
        <f t="shared" si="105"/>
        <v>3137870.4427774516</v>
      </c>
      <c r="AK373" s="20">
        <f t="shared" si="115"/>
        <v>0.12032530077218917</v>
      </c>
      <c r="AL373" s="17"/>
      <c r="AM373" s="17"/>
      <c r="AN373" s="17"/>
      <c r="AO373" s="17"/>
      <c r="AP373" s="28" t="str">
        <f t="shared" si="116"/>
        <v>20239</v>
      </c>
      <c r="AQ373" s="28" t="str">
        <f t="shared" si="117"/>
        <v>20239JPY</v>
      </c>
      <c r="AR373" s="206" t="str">
        <f t="shared" si="118"/>
        <v>YAMAHA_Mounter</v>
      </c>
      <c r="AS373" s="22">
        <f t="shared" si="119"/>
        <v>0</v>
      </c>
      <c r="AT373" s="24" t="str">
        <f t="shared" si="120"/>
        <v>0-3 months</v>
      </c>
      <c r="AU373" s="22" t="s">
        <v>3745</v>
      </c>
    </row>
    <row r="374" spans="1:47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55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2575</v>
      </c>
      <c r="K374" s="155" t="s">
        <v>942</v>
      </c>
      <c r="L374" s="17" t="s">
        <v>92</v>
      </c>
      <c r="M374" s="13" t="s">
        <v>60</v>
      </c>
      <c r="N374" s="13">
        <v>1</v>
      </c>
      <c r="O374" s="13"/>
      <c r="P374" s="33" t="str">
        <f t="shared" si="110"/>
        <v>MAIN UNIT</v>
      </c>
      <c r="Q374" s="13" t="s">
        <v>61</v>
      </c>
      <c r="R374" s="13" t="s">
        <v>62</v>
      </c>
      <c r="S374" s="13" t="s">
        <v>50</v>
      </c>
      <c r="T374" s="13" t="s">
        <v>2576</v>
      </c>
      <c r="U374" s="13" t="s">
        <v>2577</v>
      </c>
      <c r="V374" s="13" t="s">
        <v>112</v>
      </c>
      <c r="W374" s="13" t="s">
        <v>109</v>
      </c>
      <c r="X374" s="135">
        <v>20000000</v>
      </c>
      <c r="Y374" s="157" t="str">
        <f t="shared" si="121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04"/>
        <v>26078226.463097349</v>
      </c>
      <c r="AJ374" s="19">
        <f t="shared" si="105"/>
        <v>3137870.4427774516</v>
      </c>
      <c r="AK374" s="20">
        <f t="shared" si="115"/>
        <v>0.12032530077218917</v>
      </c>
      <c r="AL374" s="17"/>
      <c r="AM374" s="17"/>
      <c r="AN374" s="17"/>
      <c r="AO374" s="17"/>
      <c r="AP374" s="28" t="str">
        <f t="shared" si="116"/>
        <v>20239</v>
      </c>
      <c r="AQ374" s="28" t="str">
        <f t="shared" si="117"/>
        <v>20239JPY</v>
      </c>
      <c r="AR374" s="206" t="str">
        <f t="shared" si="118"/>
        <v>YAMAHA_Mounter</v>
      </c>
      <c r="AS374" s="22">
        <f t="shared" si="119"/>
        <v>0</v>
      </c>
      <c r="AT374" s="24" t="str">
        <f t="shared" si="120"/>
        <v>0-3 months</v>
      </c>
      <c r="AU374" s="22" t="s">
        <v>3745</v>
      </c>
    </row>
    <row r="375" spans="1:47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55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2575</v>
      </c>
      <c r="K375" s="155" t="s">
        <v>942</v>
      </c>
      <c r="L375" s="17" t="s">
        <v>67</v>
      </c>
      <c r="M375" s="13" t="s">
        <v>60</v>
      </c>
      <c r="N375" s="13">
        <v>1</v>
      </c>
      <c r="O375" s="13"/>
      <c r="P375" s="33" t="str">
        <f t="shared" si="110"/>
        <v>MAIN UNIT</v>
      </c>
      <c r="Q375" s="13" t="s">
        <v>61</v>
      </c>
      <c r="R375" s="13" t="s">
        <v>62</v>
      </c>
      <c r="S375" s="13" t="s">
        <v>50</v>
      </c>
      <c r="T375" s="13" t="s">
        <v>2576</v>
      </c>
      <c r="U375" s="13" t="s">
        <v>2577</v>
      </c>
      <c r="V375" s="13" t="s">
        <v>112</v>
      </c>
      <c r="W375" s="13" t="s">
        <v>109</v>
      </c>
      <c r="X375" s="135">
        <v>8800000</v>
      </c>
      <c r="Y375" s="157" t="str">
        <f t="shared" si="121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04"/>
        <v>26078226.463097349</v>
      </c>
      <c r="AJ375" s="19">
        <f t="shared" si="105"/>
        <v>3137870.4427774516</v>
      </c>
      <c r="AK375" s="20">
        <f t="shared" si="115"/>
        <v>0.12032530077218917</v>
      </c>
      <c r="AL375" s="17"/>
      <c r="AM375" s="17"/>
      <c r="AN375" s="17"/>
      <c r="AO375" s="17"/>
      <c r="AP375" s="28" t="str">
        <f t="shared" si="116"/>
        <v>20239</v>
      </c>
      <c r="AQ375" s="28" t="str">
        <f t="shared" si="117"/>
        <v>20239JPY</v>
      </c>
      <c r="AR375" s="206" t="str">
        <f t="shared" si="118"/>
        <v>YAMAHA_Mounter</v>
      </c>
      <c r="AS375" s="22">
        <f t="shared" si="119"/>
        <v>0</v>
      </c>
      <c r="AT375" s="24" t="str">
        <f t="shared" si="120"/>
        <v>0-3 months</v>
      </c>
      <c r="AU375" s="22" t="s">
        <v>3745</v>
      </c>
    </row>
    <row r="376" spans="1:47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55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2575</v>
      </c>
      <c r="K376" s="155" t="s">
        <v>942</v>
      </c>
      <c r="L376" s="17" t="s">
        <v>67</v>
      </c>
      <c r="M376" s="13" t="s">
        <v>60</v>
      </c>
      <c r="N376" s="13">
        <v>1</v>
      </c>
      <c r="O376" s="13"/>
      <c r="P376" s="33" t="str">
        <f t="shared" si="110"/>
        <v>MAIN UNIT</v>
      </c>
      <c r="Q376" s="13" t="s">
        <v>61</v>
      </c>
      <c r="R376" s="13" t="s">
        <v>62</v>
      </c>
      <c r="S376" s="13" t="s">
        <v>50</v>
      </c>
      <c r="T376" s="13" t="s">
        <v>2576</v>
      </c>
      <c r="U376" s="13" t="s">
        <v>2577</v>
      </c>
      <c r="V376" s="13" t="s">
        <v>112</v>
      </c>
      <c r="W376" s="13" t="s">
        <v>109</v>
      </c>
      <c r="X376" s="135">
        <v>8800000</v>
      </c>
      <c r="Y376" s="157" t="str">
        <f t="shared" si="121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04"/>
        <v>26078226.463097349</v>
      </c>
      <c r="AJ376" s="19">
        <f t="shared" si="105"/>
        <v>3137870.4427774516</v>
      </c>
      <c r="AK376" s="20">
        <f t="shared" si="115"/>
        <v>0.12032530077218917</v>
      </c>
      <c r="AL376" s="17"/>
      <c r="AM376" s="17"/>
      <c r="AN376" s="17"/>
      <c r="AO376" s="17"/>
      <c r="AP376" s="28" t="str">
        <f t="shared" si="116"/>
        <v>20239</v>
      </c>
      <c r="AQ376" s="28" t="str">
        <f t="shared" si="117"/>
        <v>20239JPY</v>
      </c>
      <c r="AR376" s="206" t="str">
        <f t="shared" si="118"/>
        <v>YAMAHA_Mounter</v>
      </c>
      <c r="AS376" s="22">
        <f t="shared" si="119"/>
        <v>0</v>
      </c>
      <c r="AT376" s="24" t="str">
        <f t="shared" si="120"/>
        <v>0-3 months</v>
      </c>
      <c r="AU376" s="22" t="s">
        <v>3745</v>
      </c>
    </row>
    <row r="377" spans="1:47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53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1777</v>
      </c>
      <c r="K377" s="155" t="s">
        <v>1778</v>
      </c>
      <c r="L377" s="17" t="s">
        <v>92</v>
      </c>
      <c r="M377" s="13" t="s">
        <v>60</v>
      </c>
      <c r="N377" s="13">
        <v>1</v>
      </c>
      <c r="O377" s="13"/>
      <c r="P377" s="33" t="str">
        <f t="shared" si="110"/>
        <v>MAIN UNIT</v>
      </c>
      <c r="Q377" s="13" t="s">
        <v>68</v>
      </c>
      <c r="R377" s="13" t="s">
        <v>62</v>
      </c>
      <c r="S377" s="13" t="s">
        <v>49</v>
      </c>
      <c r="T377" s="13" t="s">
        <v>78</v>
      </c>
      <c r="U377" s="13" t="s">
        <v>79</v>
      </c>
      <c r="V377" s="13" t="s">
        <v>112</v>
      </c>
      <c r="W377" s="13" t="s">
        <v>109</v>
      </c>
      <c r="X377" s="135">
        <v>11000000</v>
      </c>
      <c r="Y377" s="157" t="str">
        <f t="shared" si="121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04"/>
        <v>54700260.692079648</v>
      </c>
      <c r="AJ377" s="19">
        <f t="shared" si="105"/>
        <v>7482899.5749188727</v>
      </c>
      <c r="AK377" s="20">
        <f t="shared" si="115"/>
        <v>0.13679824337660537</v>
      </c>
      <c r="AL377" s="17"/>
      <c r="AM377" s="17"/>
      <c r="AN377" s="17"/>
      <c r="AO377" s="17"/>
      <c r="AP377" s="28" t="str">
        <f t="shared" si="116"/>
        <v>20216</v>
      </c>
      <c r="AQ377" s="28" t="str">
        <f t="shared" si="117"/>
        <v>20216JPY</v>
      </c>
      <c r="AR377" s="206" t="str">
        <f t="shared" si="118"/>
        <v>YAMAHA_Mounter</v>
      </c>
      <c r="AS377" s="22">
        <f t="shared" si="119"/>
        <v>3</v>
      </c>
      <c r="AT377" s="24" t="str">
        <f t="shared" si="120"/>
        <v>0-3 months</v>
      </c>
      <c r="AU377" s="22" t="s">
        <v>3746</v>
      </c>
    </row>
    <row r="378" spans="1:47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53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1777</v>
      </c>
      <c r="K378" s="155" t="s">
        <v>1778</v>
      </c>
      <c r="L378" s="17" t="s">
        <v>92</v>
      </c>
      <c r="M378" s="13" t="s">
        <v>60</v>
      </c>
      <c r="N378" s="13">
        <v>1</v>
      </c>
      <c r="O378" s="13"/>
      <c r="P378" s="33" t="str">
        <f t="shared" si="110"/>
        <v>MAIN UNIT</v>
      </c>
      <c r="Q378" s="13" t="s">
        <v>68</v>
      </c>
      <c r="R378" s="13" t="s">
        <v>62</v>
      </c>
      <c r="S378" s="13" t="s">
        <v>49</v>
      </c>
      <c r="T378" s="13" t="s">
        <v>78</v>
      </c>
      <c r="U378" s="13" t="s">
        <v>79</v>
      </c>
      <c r="V378" s="13" t="s">
        <v>112</v>
      </c>
      <c r="W378" s="13" t="s">
        <v>109</v>
      </c>
      <c r="X378" s="135">
        <v>11000000</v>
      </c>
      <c r="Y378" s="157" t="str">
        <f t="shared" si="121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04"/>
        <v>54700260.692079648</v>
      </c>
      <c r="AJ378" s="19">
        <f t="shared" si="105"/>
        <v>7482899.5749188727</v>
      </c>
      <c r="AK378" s="20">
        <f t="shared" si="115"/>
        <v>0.13679824337660537</v>
      </c>
      <c r="AL378" s="17"/>
      <c r="AM378" s="17"/>
      <c r="AN378" s="17"/>
      <c r="AO378" s="17"/>
      <c r="AP378" s="28" t="str">
        <f t="shared" si="116"/>
        <v>20216</v>
      </c>
      <c r="AQ378" s="28" t="str">
        <f t="shared" si="117"/>
        <v>20216JPY</v>
      </c>
      <c r="AR378" s="206" t="str">
        <f t="shared" si="118"/>
        <v>YAMAHA_Mounter</v>
      </c>
      <c r="AS378" s="22">
        <f t="shared" si="119"/>
        <v>3</v>
      </c>
      <c r="AT378" s="24" t="str">
        <f t="shared" si="120"/>
        <v>0-3 months</v>
      </c>
      <c r="AU378" s="22" t="s">
        <v>3746</v>
      </c>
    </row>
    <row r="379" spans="1:47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53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1777</v>
      </c>
      <c r="K379" s="155" t="s">
        <v>1778</v>
      </c>
      <c r="L379" s="17" t="s">
        <v>92</v>
      </c>
      <c r="M379" s="13" t="s">
        <v>60</v>
      </c>
      <c r="N379" s="13">
        <v>1</v>
      </c>
      <c r="O379" s="13"/>
      <c r="P379" s="33" t="str">
        <f t="shared" si="110"/>
        <v>MAIN UNIT</v>
      </c>
      <c r="Q379" s="13" t="s">
        <v>68</v>
      </c>
      <c r="R379" s="13" t="s">
        <v>62</v>
      </c>
      <c r="S379" s="13" t="s">
        <v>49</v>
      </c>
      <c r="T379" s="13" t="s">
        <v>78</v>
      </c>
      <c r="U379" s="13" t="s">
        <v>79</v>
      </c>
      <c r="V379" s="13" t="s">
        <v>112</v>
      </c>
      <c r="W379" s="13" t="s">
        <v>109</v>
      </c>
      <c r="X379" s="135">
        <v>11000000</v>
      </c>
      <c r="Y379" s="157" t="str">
        <f t="shared" si="121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04"/>
        <v>54700260.692079648</v>
      </c>
      <c r="AJ379" s="19">
        <f t="shared" si="105"/>
        <v>7482899.5749188727</v>
      </c>
      <c r="AK379" s="20">
        <f t="shared" si="115"/>
        <v>0.13679824337660537</v>
      </c>
      <c r="AL379" s="17"/>
      <c r="AM379" s="17"/>
      <c r="AN379" s="17"/>
      <c r="AO379" s="17"/>
      <c r="AP379" s="28" t="str">
        <f t="shared" si="116"/>
        <v>20216</v>
      </c>
      <c r="AQ379" s="28" t="str">
        <f t="shared" si="117"/>
        <v>20216JPY</v>
      </c>
      <c r="AR379" s="206" t="str">
        <f t="shared" si="118"/>
        <v>YAMAHA_Mounter</v>
      </c>
      <c r="AS379" s="22">
        <f t="shared" si="119"/>
        <v>3</v>
      </c>
      <c r="AT379" s="24" t="str">
        <f t="shared" si="120"/>
        <v>0-3 months</v>
      </c>
      <c r="AU379" s="22" t="s">
        <v>3746</v>
      </c>
    </row>
    <row r="380" spans="1:47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53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1777</v>
      </c>
      <c r="K380" s="155" t="s">
        <v>1778</v>
      </c>
      <c r="L380" s="17" t="s">
        <v>92</v>
      </c>
      <c r="M380" s="13" t="s">
        <v>60</v>
      </c>
      <c r="N380" s="13">
        <v>1</v>
      </c>
      <c r="O380" s="13"/>
      <c r="P380" s="33" t="str">
        <f t="shared" si="110"/>
        <v>MAIN UNIT</v>
      </c>
      <c r="Q380" s="13" t="s">
        <v>68</v>
      </c>
      <c r="R380" s="13" t="s">
        <v>62</v>
      </c>
      <c r="S380" s="13" t="s">
        <v>49</v>
      </c>
      <c r="T380" s="13" t="s">
        <v>78</v>
      </c>
      <c r="U380" s="13" t="s">
        <v>79</v>
      </c>
      <c r="V380" s="13" t="s">
        <v>112</v>
      </c>
      <c r="W380" s="13" t="s">
        <v>109</v>
      </c>
      <c r="X380" s="135">
        <v>11000000</v>
      </c>
      <c r="Y380" s="157" t="str">
        <f t="shared" si="121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04"/>
        <v>54700260.692079648</v>
      </c>
      <c r="AJ380" s="19">
        <f t="shared" si="105"/>
        <v>7482899.5749188727</v>
      </c>
      <c r="AK380" s="20">
        <f t="shared" si="115"/>
        <v>0.13679824337660537</v>
      </c>
      <c r="AL380" s="17"/>
      <c r="AM380" s="17"/>
      <c r="AN380" s="17"/>
      <c r="AO380" s="17"/>
      <c r="AP380" s="28" t="str">
        <f t="shared" si="116"/>
        <v>20216</v>
      </c>
      <c r="AQ380" s="28" t="str">
        <f t="shared" si="117"/>
        <v>20216JPY</v>
      </c>
      <c r="AR380" s="206" t="str">
        <f t="shared" si="118"/>
        <v>YAMAHA_Mounter</v>
      </c>
      <c r="AS380" s="22">
        <f t="shared" si="119"/>
        <v>3</v>
      </c>
      <c r="AT380" s="24" t="str">
        <f t="shared" si="120"/>
        <v>0-3 months</v>
      </c>
      <c r="AU380" s="22" t="s">
        <v>3746</v>
      </c>
    </row>
    <row r="381" spans="1:47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53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1777</v>
      </c>
      <c r="K381" s="155" t="s">
        <v>1778</v>
      </c>
      <c r="L381" s="17" t="s">
        <v>92</v>
      </c>
      <c r="M381" s="13" t="s">
        <v>60</v>
      </c>
      <c r="N381" s="13">
        <v>1</v>
      </c>
      <c r="O381" s="13"/>
      <c r="P381" s="33" t="str">
        <f t="shared" si="110"/>
        <v>MAIN UNIT</v>
      </c>
      <c r="Q381" s="13" t="s">
        <v>68</v>
      </c>
      <c r="R381" s="13" t="s">
        <v>62</v>
      </c>
      <c r="S381" s="13" t="s">
        <v>49</v>
      </c>
      <c r="T381" s="13" t="s">
        <v>78</v>
      </c>
      <c r="U381" s="13" t="s">
        <v>79</v>
      </c>
      <c r="V381" s="13" t="s">
        <v>112</v>
      </c>
      <c r="W381" s="13" t="s">
        <v>109</v>
      </c>
      <c r="X381" s="135">
        <v>11000000</v>
      </c>
      <c r="Y381" s="157" t="str">
        <f t="shared" si="121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04"/>
        <v>54700260.692079648</v>
      </c>
      <c r="AJ381" s="19">
        <f t="shared" si="105"/>
        <v>7482899.5749188727</v>
      </c>
      <c r="AK381" s="20">
        <f t="shared" si="115"/>
        <v>0.13679824337660537</v>
      </c>
      <c r="AL381" s="17"/>
      <c r="AM381" s="17"/>
      <c r="AN381" s="17"/>
      <c r="AO381" s="17"/>
      <c r="AP381" s="28" t="str">
        <f t="shared" si="116"/>
        <v>20216</v>
      </c>
      <c r="AQ381" s="28" t="str">
        <f t="shared" si="117"/>
        <v>20216JPY</v>
      </c>
      <c r="AR381" s="206" t="str">
        <f t="shared" si="118"/>
        <v>YAMAHA_Mounter</v>
      </c>
      <c r="AS381" s="22">
        <f t="shared" si="119"/>
        <v>3</v>
      </c>
      <c r="AT381" s="24" t="str">
        <f t="shared" si="120"/>
        <v>0-3 months</v>
      </c>
      <c r="AU381" s="22" t="s">
        <v>3746</v>
      </c>
    </row>
    <row r="382" spans="1:47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53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1777</v>
      </c>
      <c r="K382" s="155" t="s">
        <v>1778</v>
      </c>
      <c r="L382" s="17" t="s">
        <v>92</v>
      </c>
      <c r="M382" s="13" t="s">
        <v>60</v>
      </c>
      <c r="N382" s="13">
        <v>1</v>
      </c>
      <c r="O382" s="13"/>
      <c r="P382" s="33" t="str">
        <f t="shared" si="110"/>
        <v>MAIN UNIT</v>
      </c>
      <c r="Q382" s="13" t="s">
        <v>68</v>
      </c>
      <c r="R382" s="13" t="s">
        <v>62</v>
      </c>
      <c r="S382" s="13" t="s">
        <v>49</v>
      </c>
      <c r="T382" s="13" t="s">
        <v>78</v>
      </c>
      <c r="U382" s="13" t="s">
        <v>79</v>
      </c>
      <c r="V382" s="13" t="s">
        <v>112</v>
      </c>
      <c r="W382" s="13" t="s">
        <v>109</v>
      </c>
      <c r="X382" s="135">
        <v>11000000</v>
      </c>
      <c r="Y382" s="157" t="str">
        <f t="shared" si="121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04"/>
        <v>54700260.692079648</v>
      </c>
      <c r="AJ382" s="19">
        <f t="shared" si="105"/>
        <v>7482899.5749188727</v>
      </c>
      <c r="AK382" s="20">
        <f t="shared" si="115"/>
        <v>0.13679824337660537</v>
      </c>
      <c r="AL382" s="17"/>
      <c r="AM382" s="17"/>
      <c r="AN382" s="17"/>
      <c r="AO382" s="17"/>
      <c r="AP382" s="28" t="str">
        <f t="shared" si="116"/>
        <v>20216</v>
      </c>
      <c r="AQ382" s="28" t="str">
        <f t="shared" si="117"/>
        <v>20216JPY</v>
      </c>
      <c r="AR382" s="206" t="str">
        <f t="shared" si="118"/>
        <v>YAMAHA_Mounter</v>
      </c>
      <c r="AS382" s="22">
        <f t="shared" si="119"/>
        <v>3</v>
      </c>
      <c r="AT382" s="24" t="str">
        <f t="shared" si="120"/>
        <v>0-3 months</v>
      </c>
      <c r="AU382" s="22" t="s">
        <v>3746</v>
      </c>
    </row>
    <row r="383" spans="1:47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53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1777</v>
      </c>
      <c r="K383" s="155" t="s">
        <v>1778</v>
      </c>
      <c r="L383" s="17" t="s">
        <v>92</v>
      </c>
      <c r="M383" s="13" t="s">
        <v>60</v>
      </c>
      <c r="N383" s="13">
        <v>1</v>
      </c>
      <c r="O383" s="13"/>
      <c r="P383" s="33" t="str">
        <f t="shared" si="110"/>
        <v>MAIN UNIT</v>
      </c>
      <c r="Q383" s="13" t="s">
        <v>68</v>
      </c>
      <c r="R383" s="13" t="s">
        <v>62</v>
      </c>
      <c r="S383" s="13" t="s">
        <v>49</v>
      </c>
      <c r="T383" s="13" t="s">
        <v>78</v>
      </c>
      <c r="U383" s="13" t="s">
        <v>79</v>
      </c>
      <c r="V383" s="13" t="s">
        <v>112</v>
      </c>
      <c r="W383" s="13" t="s">
        <v>109</v>
      </c>
      <c r="X383" s="135">
        <v>11000000</v>
      </c>
      <c r="Y383" s="157" t="str">
        <f t="shared" si="121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04"/>
        <v>54700260.692079648</v>
      </c>
      <c r="AJ383" s="19">
        <f t="shared" si="105"/>
        <v>7482899.5749188727</v>
      </c>
      <c r="AK383" s="20">
        <f t="shared" si="115"/>
        <v>0.13679824337660537</v>
      </c>
      <c r="AL383" s="17"/>
      <c r="AM383" s="17"/>
      <c r="AN383" s="17"/>
      <c r="AO383" s="17"/>
      <c r="AP383" s="28" t="str">
        <f t="shared" si="116"/>
        <v>20216</v>
      </c>
      <c r="AQ383" s="28" t="str">
        <f t="shared" si="117"/>
        <v>20216JPY</v>
      </c>
      <c r="AR383" s="206" t="str">
        <f t="shared" si="118"/>
        <v>YAMAHA_Mounter</v>
      </c>
      <c r="AS383" s="22">
        <f t="shared" si="119"/>
        <v>3</v>
      </c>
      <c r="AT383" s="24" t="str">
        <f t="shared" si="120"/>
        <v>0-3 months</v>
      </c>
      <c r="AU383" s="22" t="s">
        <v>3746</v>
      </c>
    </row>
    <row r="384" spans="1:47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53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1777</v>
      </c>
      <c r="K384" s="155" t="s">
        <v>1778</v>
      </c>
      <c r="L384" s="17" t="s">
        <v>92</v>
      </c>
      <c r="M384" s="13" t="s">
        <v>60</v>
      </c>
      <c r="N384" s="13">
        <v>1</v>
      </c>
      <c r="O384" s="13"/>
      <c r="P384" s="33" t="str">
        <f t="shared" si="110"/>
        <v>MAIN UNIT</v>
      </c>
      <c r="Q384" s="13" t="s">
        <v>68</v>
      </c>
      <c r="R384" s="13" t="s">
        <v>62</v>
      </c>
      <c r="S384" s="13" t="s">
        <v>49</v>
      </c>
      <c r="T384" s="13" t="s">
        <v>78</v>
      </c>
      <c r="U384" s="13" t="s">
        <v>79</v>
      </c>
      <c r="V384" s="13" t="s">
        <v>112</v>
      </c>
      <c r="W384" s="13" t="s">
        <v>109</v>
      </c>
      <c r="X384" s="135">
        <v>11000000</v>
      </c>
      <c r="Y384" s="157" t="str">
        <f t="shared" si="121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04"/>
        <v>54700260.692079648</v>
      </c>
      <c r="AJ384" s="19">
        <f t="shared" si="105"/>
        <v>7482899.5749188727</v>
      </c>
      <c r="AK384" s="20">
        <f t="shared" si="115"/>
        <v>0.13679824337660537</v>
      </c>
      <c r="AL384" s="17"/>
      <c r="AM384" s="17"/>
      <c r="AN384" s="17"/>
      <c r="AO384" s="17"/>
      <c r="AP384" s="28" t="str">
        <f t="shared" si="116"/>
        <v>20216</v>
      </c>
      <c r="AQ384" s="28" t="str">
        <f t="shared" si="117"/>
        <v>20216JPY</v>
      </c>
      <c r="AR384" s="206" t="str">
        <f t="shared" si="118"/>
        <v>YAMAHA_Mounter</v>
      </c>
      <c r="AS384" s="22">
        <f t="shared" si="119"/>
        <v>3</v>
      </c>
      <c r="AT384" s="24" t="str">
        <f t="shared" si="120"/>
        <v>0-3 months</v>
      </c>
      <c r="AU384" s="22" t="s">
        <v>3746</v>
      </c>
    </row>
    <row r="385" spans="1:47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53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1777</v>
      </c>
      <c r="K385" s="155" t="s">
        <v>1778</v>
      </c>
      <c r="L385" s="17" t="s">
        <v>92</v>
      </c>
      <c r="M385" s="13" t="s">
        <v>60</v>
      </c>
      <c r="N385" s="13">
        <v>1</v>
      </c>
      <c r="O385" s="13"/>
      <c r="P385" s="33" t="str">
        <f t="shared" si="110"/>
        <v>MAIN UNIT</v>
      </c>
      <c r="Q385" s="13" t="s">
        <v>68</v>
      </c>
      <c r="R385" s="13" t="s">
        <v>62</v>
      </c>
      <c r="S385" s="13" t="s">
        <v>49</v>
      </c>
      <c r="T385" s="13" t="s">
        <v>78</v>
      </c>
      <c r="U385" s="13" t="s">
        <v>79</v>
      </c>
      <c r="V385" s="13" t="s">
        <v>112</v>
      </c>
      <c r="W385" s="13" t="s">
        <v>109</v>
      </c>
      <c r="X385" s="135">
        <v>11000000</v>
      </c>
      <c r="Y385" s="157" t="str">
        <f t="shared" si="121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04"/>
        <v>54700260.692079648</v>
      </c>
      <c r="AJ385" s="19">
        <f t="shared" si="105"/>
        <v>7482899.5749188727</v>
      </c>
      <c r="AK385" s="20">
        <f t="shared" si="115"/>
        <v>0.13679824337660537</v>
      </c>
      <c r="AL385" s="17"/>
      <c r="AM385" s="17"/>
      <c r="AN385" s="17"/>
      <c r="AO385" s="17"/>
      <c r="AP385" s="28" t="str">
        <f t="shared" si="116"/>
        <v>20216</v>
      </c>
      <c r="AQ385" s="28" t="str">
        <f t="shared" si="117"/>
        <v>20216JPY</v>
      </c>
      <c r="AR385" s="206" t="str">
        <f t="shared" si="118"/>
        <v>YAMAHA_Mounter</v>
      </c>
      <c r="AS385" s="22">
        <f t="shared" si="119"/>
        <v>3</v>
      </c>
      <c r="AT385" s="24" t="str">
        <f t="shared" si="120"/>
        <v>0-3 months</v>
      </c>
      <c r="AU385" s="22" t="s">
        <v>3746</v>
      </c>
    </row>
    <row r="386" spans="1:47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53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1777</v>
      </c>
      <c r="K386" s="155" t="s">
        <v>1778</v>
      </c>
      <c r="L386" s="17" t="s">
        <v>92</v>
      </c>
      <c r="M386" s="13" t="s">
        <v>60</v>
      </c>
      <c r="N386" s="13">
        <v>1</v>
      </c>
      <c r="O386" s="13"/>
      <c r="P386" s="33" t="str">
        <f t="shared" si="110"/>
        <v>MAIN UNIT</v>
      </c>
      <c r="Q386" s="13" t="s">
        <v>68</v>
      </c>
      <c r="R386" s="13" t="s">
        <v>62</v>
      </c>
      <c r="S386" s="13" t="s">
        <v>49</v>
      </c>
      <c r="T386" s="13" t="s">
        <v>78</v>
      </c>
      <c r="U386" s="13" t="s">
        <v>79</v>
      </c>
      <c r="V386" s="13" t="s">
        <v>112</v>
      </c>
      <c r="W386" s="13" t="s">
        <v>109</v>
      </c>
      <c r="X386" s="135">
        <v>11000000</v>
      </c>
      <c r="Y386" s="157" t="str">
        <f t="shared" si="121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ref="AI386:AI449" si="122">IF(P386="C66 SERVICE","",SUMIFS(AB:AB,F:F,F386,G:G,G386,E:E,E386))</f>
        <v>54700260.692079648</v>
      </c>
      <c r="AJ386" s="19">
        <f t="shared" ref="AJ386:AJ449" si="123">IF(P386="C66 SERVICE","",SUMIFS(AC:AC,F:F,F386,G:G,G386,E:E,E386))</f>
        <v>7482899.5749188727</v>
      </c>
      <c r="AK386" s="20">
        <f t="shared" si="115"/>
        <v>0.13679824337660537</v>
      </c>
      <c r="AL386" s="17"/>
      <c r="AM386" s="17"/>
      <c r="AN386" s="17"/>
      <c r="AO386" s="17"/>
      <c r="AP386" s="28" t="str">
        <f t="shared" si="116"/>
        <v>20216</v>
      </c>
      <c r="AQ386" s="28" t="str">
        <f t="shared" si="117"/>
        <v>20216JPY</v>
      </c>
      <c r="AR386" s="206" t="str">
        <f t="shared" si="118"/>
        <v>YAMAHA_Mounter</v>
      </c>
      <c r="AS386" s="22">
        <f t="shared" si="119"/>
        <v>3</v>
      </c>
      <c r="AT386" s="24" t="str">
        <f t="shared" si="120"/>
        <v>0-3 months</v>
      </c>
      <c r="AU386" s="22" t="s">
        <v>3746</v>
      </c>
    </row>
    <row r="387" spans="1:47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53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1777</v>
      </c>
      <c r="K387" s="155" t="s">
        <v>1778</v>
      </c>
      <c r="L387" s="17" t="s">
        <v>92</v>
      </c>
      <c r="M387" s="13" t="s">
        <v>60</v>
      </c>
      <c r="N387" s="13">
        <v>1</v>
      </c>
      <c r="O387" s="13"/>
      <c r="P387" s="33" t="str">
        <f t="shared" si="110"/>
        <v>MAIN UNIT</v>
      </c>
      <c r="Q387" s="13" t="s">
        <v>68</v>
      </c>
      <c r="R387" s="13" t="s">
        <v>62</v>
      </c>
      <c r="S387" s="13" t="s">
        <v>49</v>
      </c>
      <c r="T387" s="13" t="s">
        <v>78</v>
      </c>
      <c r="U387" s="13" t="s">
        <v>79</v>
      </c>
      <c r="V387" s="13" t="s">
        <v>112</v>
      </c>
      <c r="W387" s="13" t="s">
        <v>109</v>
      </c>
      <c r="X387" s="135">
        <v>11000000</v>
      </c>
      <c r="Y387" s="157" t="str">
        <f t="shared" si="121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22"/>
        <v>54700260.692079648</v>
      </c>
      <c r="AJ387" s="19">
        <f t="shared" si="123"/>
        <v>7482899.5749188727</v>
      </c>
      <c r="AK387" s="20">
        <f t="shared" si="115"/>
        <v>0.13679824337660537</v>
      </c>
      <c r="AL387" s="17"/>
      <c r="AM387" s="17"/>
      <c r="AN387" s="17"/>
      <c r="AO387" s="17"/>
      <c r="AP387" s="28" t="str">
        <f t="shared" si="116"/>
        <v>20216</v>
      </c>
      <c r="AQ387" s="28" t="str">
        <f t="shared" si="117"/>
        <v>20216JPY</v>
      </c>
      <c r="AR387" s="206" t="str">
        <f t="shared" si="118"/>
        <v>YAMAHA_Mounter</v>
      </c>
      <c r="AS387" s="22">
        <f t="shared" si="119"/>
        <v>3</v>
      </c>
      <c r="AT387" s="24" t="str">
        <f t="shared" si="120"/>
        <v>0-3 months</v>
      </c>
      <c r="AU387" s="22" t="s">
        <v>3746</v>
      </c>
    </row>
    <row r="388" spans="1:47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53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1777</v>
      </c>
      <c r="K388" s="155" t="s">
        <v>1778</v>
      </c>
      <c r="L388" s="17" t="s">
        <v>92</v>
      </c>
      <c r="M388" s="13" t="s">
        <v>60</v>
      </c>
      <c r="N388" s="13">
        <v>1</v>
      </c>
      <c r="O388" s="13"/>
      <c r="P388" s="33" t="str">
        <f t="shared" si="110"/>
        <v>MAIN UNIT</v>
      </c>
      <c r="Q388" s="13" t="s">
        <v>68</v>
      </c>
      <c r="R388" s="13" t="s">
        <v>62</v>
      </c>
      <c r="S388" s="13" t="s">
        <v>49</v>
      </c>
      <c r="T388" s="13" t="s">
        <v>78</v>
      </c>
      <c r="U388" s="13" t="s">
        <v>79</v>
      </c>
      <c r="V388" s="13" t="s">
        <v>112</v>
      </c>
      <c r="W388" s="13" t="s">
        <v>109</v>
      </c>
      <c r="X388" s="135">
        <v>11000000</v>
      </c>
      <c r="Y388" s="157" t="str">
        <f t="shared" si="121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22"/>
        <v>54700260.692079648</v>
      </c>
      <c r="AJ388" s="19">
        <f t="shared" si="123"/>
        <v>7482899.5749188727</v>
      </c>
      <c r="AK388" s="20">
        <f t="shared" si="115"/>
        <v>0.13679824337660537</v>
      </c>
      <c r="AL388" s="17"/>
      <c r="AM388" s="17"/>
      <c r="AN388" s="17"/>
      <c r="AO388" s="17"/>
      <c r="AP388" s="28" t="str">
        <f t="shared" si="116"/>
        <v>20216</v>
      </c>
      <c r="AQ388" s="28" t="str">
        <f t="shared" si="117"/>
        <v>20216JPY</v>
      </c>
      <c r="AR388" s="206" t="str">
        <f t="shared" si="118"/>
        <v>YAMAHA_Mounter</v>
      </c>
      <c r="AS388" s="22">
        <f t="shared" si="119"/>
        <v>3</v>
      </c>
      <c r="AT388" s="24" t="str">
        <f t="shared" si="120"/>
        <v>0-3 months</v>
      </c>
      <c r="AU388" s="22" t="s">
        <v>3746</v>
      </c>
    </row>
    <row r="389" spans="1:47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53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1777</v>
      </c>
      <c r="K389" s="155" t="s">
        <v>1778</v>
      </c>
      <c r="L389" s="17" t="s">
        <v>92</v>
      </c>
      <c r="M389" s="13" t="s">
        <v>60</v>
      </c>
      <c r="N389" s="13">
        <v>1</v>
      </c>
      <c r="O389" s="13"/>
      <c r="P389" s="33" t="str">
        <f t="shared" si="110"/>
        <v>MAIN UNIT</v>
      </c>
      <c r="Q389" s="13" t="s">
        <v>68</v>
      </c>
      <c r="R389" s="13" t="s">
        <v>62</v>
      </c>
      <c r="S389" s="13" t="s">
        <v>49</v>
      </c>
      <c r="T389" s="13" t="s">
        <v>78</v>
      </c>
      <c r="U389" s="13" t="s">
        <v>79</v>
      </c>
      <c r="V389" s="13" t="s">
        <v>112</v>
      </c>
      <c r="W389" s="13" t="s">
        <v>109</v>
      </c>
      <c r="X389" s="135">
        <v>11000000</v>
      </c>
      <c r="Y389" s="157" t="str">
        <f t="shared" si="121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22"/>
        <v>54700260.692079648</v>
      </c>
      <c r="AJ389" s="19">
        <f t="shared" si="123"/>
        <v>7482899.5749188727</v>
      </c>
      <c r="AK389" s="20">
        <f t="shared" si="115"/>
        <v>0.13679824337660537</v>
      </c>
      <c r="AL389" s="17"/>
      <c r="AM389" s="17"/>
      <c r="AN389" s="17"/>
      <c r="AO389" s="17"/>
      <c r="AP389" s="28" t="str">
        <f t="shared" si="116"/>
        <v>20216</v>
      </c>
      <c r="AQ389" s="28" t="str">
        <f t="shared" si="117"/>
        <v>20216JPY</v>
      </c>
      <c r="AR389" s="206" t="str">
        <f t="shared" si="118"/>
        <v>YAMAHA_Mounter</v>
      </c>
      <c r="AS389" s="22">
        <f t="shared" si="119"/>
        <v>3</v>
      </c>
      <c r="AT389" s="24" t="str">
        <f t="shared" si="120"/>
        <v>0-3 months</v>
      </c>
      <c r="AU389" s="22" t="s">
        <v>3746</v>
      </c>
    </row>
    <row r="390" spans="1:47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53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1777</v>
      </c>
      <c r="K390" s="155" t="s">
        <v>1778</v>
      </c>
      <c r="L390" s="17" t="s">
        <v>92</v>
      </c>
      <c r="M390" s="13" t="s">
        <v>60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68</v>
      </c>
      <c r="R390" s="13" t="s">
        <v>62</v>
      </c>
      <c r="S390" s="13" t="s">
        <v>49</v>
      </c>
      <c r="T390" s="13" t="s">
        <v>78</v>
      </c>
      <c r="U390" s="13" t="s">
        <v>79</v>
      </c>
      <c r="V390" s="13" t="s">
        <v>112</v>
      </c>
      <c r="W390" s="13" t="s">
        <v>109</v>
      </c>
      <c r="X390" s="135">
        <v>11000000</v>
      </c>
      <c r="Y390" s="157" t="str">
        <f t="shared" si="121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si="122"/>
        <v>54700260.692079648</v>
      </c>
      <c r="AJ390" s="19">
        <f t="shared" si="123"/>
        <v>7482899.5749188727</v>
      </c>
      <c r="AK390" s="20">
        <f t="shared" ref="AK390:AK453" si="132">IF(AJ390&gt;0,AJ390/AI390,"")</f>
        <v>0.13679824337660537</v>
      </c>
      <c r="AL390" s="17"/>
      <c r="AM390" s="17"/>
      <c r="AN390" s="17"/>
      <c r="AO390" s="17"/>
      <c r="AP390" s="28" t="str">
        <f t="shared" ref="AP390:AP453" si="133">IF(F390="","",F390&amp;G390)</f>
        <v>20216</v>
      </c>
      <c r="AQ390" s="28" t="str">
        <f t="shared" ref="AQ390:AQ453" si="134">IF(W390="","",F390&amp;G390&amp;W390)</f>
        <v>20216JPY</v>
      </c>
      <c r="AR390" s="206" t="str">
        <f t="shared" ref="AR390:AR453" si="135">IFERROR(IF(AND(M390="YAMAHA", R390="C28"), "YAMAHA_Non_Mounter", IF(AND(M390="YAMAHA", R390="C49"), "YAMAHA_Mounter", M390)),"")</f>
        <v>YAMAHA_Mounter</v>
      </c>
      <c r="AS390" s="22">
        <f t="shared" ref="AS390:AS453" si="136">IFERROR(IF(OR(G390="TBA", G390=""), "", DATEDIF(DATE(B390, C390, 1), DATE(F390, G390, 1), "M")),"")</f>
        <v>3</v>
      </c>
      <c r="AT390" s="24" t="str">
        <f t="shared" ref="AT390:AT453" si="137">IF(ISNUMBER(AS390), IF(AS390&gt;=0, IF(AS390&lt;=3, "0-3 months", IF(AS390&lt;=6, "4-6 months", "&gt; 6 months"))), "")</f>
        <v>0-3 months</v>
      </c>
      <c r="AU390" s="22" t="s">
        <v>3746</v>
      </c>
    </row>
    <row r="391" spans="1:47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53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1777</v>
      </c>
      <c r="K391" s="155" t="s">
        <v>1778</v>
      </c>
      <c r="L391" s="17" t="s">
        <v>92</v>
      </c>
      <c r="M391" s="13" t="s">
        <v>60</v>
      </c>
      <c r="N391" s="13">
        <v>1</v>
      </c>
      <c r="O391" s="13"/>
      <c r="P391" s="33" t="str">
        <f t="shared" si="127"/>
        <v>MAIN UNIT</v>
      </c>
      <c r="Q391" s="13" t="s">
        <v>68</v>
      </c>
      <c r="R391" s="13" t="s">
        <v>62</v>
      </c>
      <c r="S391" s="13" t="s">
        <v>49</v>
      </c>
      <c r="T391" s="13" t="s">
        <v>78</v>
      </c>
      <c r="U391" s="13" t="s">
        <v>79</v>
      </c>
      <c r="V391" s="13" t="s">
        <v>112</v>
      </c>
      <c r="W391" s="13" t="s">
        <v>109</v>
      </c>
      <c r="X391" s="135">
        <v>11000000</v>
      </c>
      <c r="Y391" s="157" t="str">
        <f t="shared" si="121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22"/>
        <v>54700260.692079648</v>
      </c>
      <c r="AJ391" s="19">
        <f t="shared" si="123"/>
        <v>7482899.5749188727</v>
      </c>
      <c r="AK391" s="20">
        <f t="shared" si="132"/>
        <v>0.13679824337660537</v>
      </c>
      <c r="AL391" s="17"/>
      <c r="AM391" s="17"/>
      <c r="AN391" s="17"/>
      <c r="AO391" s="17"/>
      <c r="AP391" s="28" t="str">
        <f t="shared" si="133"/>
        <v>20216</v>
      </c>
      <c r="AQ391" s="28" t="str">
        <f t="shared" si="134"/>
        <v>20216JPY</v>
      </c>
      <c r="AR391" s="206" t="str">
        <f t="shared" si="135"/>
        <v>YAMAHA_Mounter</v>
      </c>
      <c r="AS391" s="22">
        <f t="shared" si="136"/>
        <v>3</v>
      </c>
      <c r="AT391" s="24" t="str">
        <f t="shared" si="137"/>
        <v>0-3 months</v>
      </c>
      <c r="AU391" s="22" t="s">
        <v>3746</v>
      </c>
    </row>
    <row r="392" spans="1:47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53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1777</v>
      </c>
      <c r="K392" s="155" t="s">
        <v>1778</v>
      </c>
      <c r="L392" s="17" t="s">
        <v>92</v>
      </c>
      <c r="M392" s="13" t="s">
        <v>60</v>
      </c>
      <c r="N392" s="13">
        <v>1</v>
      </c>
      <c r="O392" s="13"/>
      <c r="P392" s="33" t="str">
        <f t="shared" si="127"/>
        <v>MAIN UNIT</v>
      </c>
      <c r="Q392" s="13" t="s">
        <v>68</v>
      </c>
      <c r="R392" s="13" t="s">
        <v>62</v>
      </c>
      <c r="S392" s="13" t="s">
        <v>49</v>
      </c>
      <c r="T392" s="13" t="s">
        <v>78</v>
      </c>
      <c r="U392" s="13" t="s">
        <v>79</v>
      </c>
      <c r="V392" s="13" t="s">
        <v>112</v>
      </c>
      <c r="W392" s="13" t="s">
        <v>109</v>
      </c>
      <c r="X392" s="135">
        <v>11000000</v>
      </c>
      <c r="Y392" s="157" t="str">
        <f t="shared" si="121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22"/>
        <v>54700260.692079648</v>
      </c>
      <c r="AJ392" s="19">
        <f t="shared" si="123"/>
        <v>7482899.5749188727</v>
      </c>
      <c r="AK392" s="20">
        <f t="shared" si="132"/>
        <v>0.13679824337660537</v>
      </c>
      <c r="AL392" s="17"/>
      <c r="AM392" s="17"/>
      <c r="AN392" s="17"/>
      <c r="AO392" s="17"/>
      <c r="AP392" s="28" t="str">
        <f t="shared" si="133"/>
        <v>20216</v>
      </c>
      <c r="AQ392" s="28" t="str">
        <f t="shared" si="134"/>
        <v>20216JPY</v>
      </c>
      <c r="AR392" s="206" t="str">
        <f t="shared" si="135"/>
        <v>YAMAHA_Mounter</v>
      </c>
      <c r="AS392" s="22">
        <f t="shared" si="136"/>
        <v>3</v>
      </c>
      <c r="AT392" s="24" t="str">
        <f t="shared" si="137"/>
        <v>0-3 months</v>
      </c>
      <c r="AU392" s="22" t="s">
        <v>3746</v>
      </c>
    </row>
    <row r="393" spans="1:47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53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1777</v>
      </c>
      <c r="K393" s="155" t="s">
        <v>1778</v>
      </c>
      <c r="L393" s="17" t="s">
        <v>67</v>
      </c>
      <c r="M393" s="13" t="s">
        <v>60</v>
      </c>
      <c r="N393" s="13">
        <v>1</v>
      </c>
      <c r="O393" s="13"/>
      <c r="P393" s="33" t="str">
        <f t="shared" si="127"/>
        <v>MAIN UNIT</v>
      </c>
      <c r="Q393" s="13" t="s">
        <v>68</v>
      </c>
      <c r="R393" s="13" t="s">
        <v>62</v>
      </c>
      <c r="S393" s="13" t="s">
        <v>49</v>
      </c>
      <c r="T393" s="13" t="s">
        <v>78</v>
      </c>
      <c r="U393" s="13" t="s">
        <v>79</v>
      </c>
      <c r="V393" s="13" t="s">
        <v>112</v>
      </c>
      <c r="W393" s="13" t="s">
        <v>109</v>
      </c>
      <c r="X393" s="135">
        <v>6900000</v>
      </c>
      <c r="Y393" s="157" t="str">
        <f t="shared" si="121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22"/>
        <v>54700260.692079648</v>
      </c>
      <c r="AJ393" s="19">
        <f t="shared" si="123"/>
        <v>7482899.5749188727</v>
      </c>
      <c r="AK393" s="20">
        <f t="shared" si="132"/>
        <v>0.13679824337660537</v>
      </c>
      <c r="AL393" s="17"/>
      <c r="AM393" s="17"/>
      <c r="AN393" s="17"/>
      <c r="AO393" s="17"/>
      <c r="AP393" s="28" t="str">
        <f t="shared" si="133"/>
        <v>20216</v>
      </c>
      <c r="AQ393" s="28" t="str">
        <f t="shared" si="134"/>
        <v>20216JPY</v>
      </c>
      <c r="AR393" s="206" t="str">
        <f t="shared" si="135"/>
        <v>YAMAHA_Mounter</v>
      </c>
      <c r="AS393" s="22">
        <f t="shared" si="136"/>
        <v>3</v>
      </c>
      <c r="AT393" s="24" t="str">
        <f t="shared" si="137"/>
        <v>0-3 months</v>
      </c>
      <c r="AU393" s="22" t="s">
        <v>3746</v>
      </c>
    </row>
    <row r="394" spans="1:47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53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1777</v>
      </c>
      <c r="K394" s="155" t="s">
        <v>1778</v>
      </c>
      <c r="L394" s="17" t="s">
        <v>67</v>
      </c>
      <c r="M394" s="13" t="s">
        <v>60</v>
      </c>
      <c r="N394" s="13">
        <v>1</v>
      </c>
      <c r="O394" s="13"/>
      <c r="P394" s="33" t="str">
        <f t="shared" si="127"/>
        <v>MAIN UNIT</v>
      </c>
      <c r="Q394" s="13" t="s">
        <v>68</v>
      </c>
      <c r="R394" s="13" t="s">
        <v>62</v>
      </c>
      <c r="S394" s="13" t="s">
        <v>49</v>
      </c>
      <c r="T394" s="13" t="s">
        <v>78</v>
      </c>
      <c r="U394" s="13" t="s">
        <v>79</v>
      </c>
      <c r="V394" s="13" t="s">
        <v>112</v>
      </c>
      <c r="W394" s="13" t="s">
        <v>109</v>
      </c>
      <c r="X394" s="135">
        <v>6900000</v>
      </c>
      <c r="Y394" s="157" t="str">
        <f t="shared" si="121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22"/>
        <v>54700260.692079648</v>
      </c>
      <c r="AJ394" s="19">
        <f t="shared" si="123"/>
        <v>7482899.5749188727</v>
      </c>
      <c r="AK394" s="20">
        <f t="shared" si="132"/>
        <v>0.13679824337660537</v>
      </c>
      <c r="AL394" s="17"/>
      <c r="AM394" s="17"/>
      <c r="AN394" s="17"/>
      <c r="AO394" s="17"/>
      <c r="AP394" s="28" t="str">
        <f t="shared" si="133"/>
        <v>20216</v>
      </c>
      <c r="AQ394" s="28" t="str">
        <f t="shared" si="134"/>
        <v>20216JPY</v>
      </c>
      <c r="AR394" s="206" t="str">
        <f t="shared" si="135"/>
        <v>YAMAHA_Mounter</v>
      </c>
      <c r="AS394" s="22">
        <f t="shared" si="136"/>
        <v>3</v>
      </c>
      <c r="AT394" s="24" t="str">
        <f t="shared" si="137"/>
        <v>0-3 months</v>
      </c>
      <c r="AU394" s="22" t="s">
        <v>3746</v>
      </c>
    </row>
    <row r="395" spans="1:47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53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1777</v>
      </c>
      <c r="K395" s="155" t="s">
        <v>1778</v>
      </c>
      <c r="L395" s="17" t="s">
        <v>67</v>
      </c>
      <c r="M395" s="13" t="s">
        <v>60</v>
      </c>
      <c r="N395" s="13">
        <v>1</v>
      </c>
      <c r="O395" s="13"/>
      <c r="P395" s="33" t="str">
        <f t="shared" si="127"/>
        <v>MAIN UNIT</v>
      </c>
      <c r="Q395" s="13" t="s">
        <v>68</v>
      </c>
      <c r="R395" s="13" t="s">
        <v>62</v>
      </c>
      <c r="S395" s="13" t="s">
        <v>49</v>
      </c>
      <c r="T395" s="13" t="s">
        <v>78</v>
      </c>
      <c r="U395" s="13" t="s">
        <v>79</v>
      </c>
      <c r="V395" s="13" t="s">
        <v>112</v>
      </c>
      <c r="W395" s="13" t="s">
        <v>109</v>
      </c>
      <c r="X395" s="135">
        <v>6900000</v>
      </c>
      <c r="Y395" s="157" t="str">
        <f t="shared" si="121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22"/>
        <v>54700260.692079648</v>
      </c>
      <c r="AJ395" s="19">
        <f t="shared" si="123"/>
        <v>7482899.5749188727</v>
      </c>
      <c r="AK395" s="20">
        <f t="shared" si="132"/>
        <v>0.13679824337660537</v>
      </c>
      <c r="AL395" s="17"/>
      <c r="AM395" s="17"/>
      <c r="AN395" s="17"/>
      <c r="AO395" s="17"/>
      <c r="AP395" s="28" t="str">
        <f t="shared" si="133"/>
        <v>20216</v>
      </c>
      <c r="AQ395" s="28" t="str">
        <f t="shared" si="134"/>
        <v>20216JPY</v>
      </c>
      <c r="AR395" s="206" t="str">
        <f t="shared" si="135"/>
        <v>YAMAHA_Mounter</v>
      </c>
      <c r="AS395" s="22">
        <f t="shared" si="136"/>
        <v>3</v>
      </c>
      <c r="AT395" s="24" t="str">
        <f t="shared" si="137"/>
        <v>0-3 months</v>
      </c>
      <c r="AU395" s="22" t="s">
        <v>3746</v>
      </c>
    </row>
    <row r="396" spans="1:47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47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760</v>
      </c>
      <c r="K396" s="155" t="s">
        <v>761</v>
      </c>
      <c r="L396" s="17" t="s">
        <v>484</v>
      </c>
      <c r="M396" s="13" t="s">
        <v>60</v>
      </c>
      <c r="N396" s="13">
        <v>1</v>
      </c>
      <c r="O396" s="13"/>
      <c r="P396" s="33" t="str">
        <f t="shared" si="127"/>
        <v>MAIN UNIT</v>
      </c>
      <c r="Q396" s="13" t="s">
        <v>61</v>
      </c>
      <c r="R396" s="13" t="s">
        <v>62</v>
      </c>
      <c r="S396" s="13" t="s">
        <v>261</v>
      </c>
      <c r="T396" s="13" t="s">
        <v>78</v>
      </c>
      <c r="U396" s="13" t="s">
        <v>79</v>
      </c>
      <c r="V396" s="13" t="s">
        <v>762</v>
      </c>
      <c r="W396" s="13" t="s">
        <v>64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22"/>
        <v>34015877.71150443</v>
      </c>
      <c r="AJ396" s="19">
        <f t="shared" si="123"/>
        <v>4446292.375441948</v>
      </c>
      <c r="AK396" s="20">
        <f t="shared" si="132"/>
        <v>0.13071226364205143</v>
      </c>
      <c r="AL396" s="17"/>
      <c r="AM396" s="17"/>
      <c r="AN396" s="17"/>
      <c r="AO396" s="17"/>
      <c r="AP396" s="28" t="str">
        <f t="shared" si="133"/>
        <v>20197</v>
      </c>
      <c r="AQ396" s="28" t="str">
        <f t="shared" si="134"/>
        <v>20197RMB</v>
      </c>
      <c r="AR396" s="206" t="str">
        <f t="shared" si="135"/>
        <v>YAMAHA_Mounter</v>
      </c>
      <c r="AS396" s="22">
        <f t="shared" si="136"/>
        <v>0</v>
      </c>
      <c r="AT396" s="24" t="str">
        <f t="shared" si="137"/>
        <v>0-3 months</v>
      </c>
      <c r="AU396" s="22" t="s">
        <v>3744</v>
      </c>
    </row>
    <row r="397" spans="1:47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48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1414</v>
      </c>
      <c r="K397" s="155" t="s">
        <v>1415</v>
      </c>
      <c r="L397" s="17" t="s">
        <v>92</v>
      </c>
      <c r="M397" s="13" t="s">
        <v>60</v>
      </c>
      <c r="N397" s="13">
        <v>1</v>
      </c>
      <c r="O397" s="13"/>
      <c r="P397" s="33" t="str">
        <f t="shared" si="127"/>
        <v>MAIN UNIT</v>
      </c>
      <c r="Q397" s="13" t="s">
        <v>61</v>
      </c>
      <c r="R397" s="13" t="s">
        <v>62</v>
      </c>
      <c r="S397" s="13" t="s">
        <v>49</v>
      </c>
      <c r="T397" s="13" t="s">
        <v>78</v>
      </c>
      <c r="U397" s="13" t="s">
        <v>79</v>
      </c>
      <c r="V397" s="13" t="s">
        <v>131</v>
      </c>
      <c r="W397" s="13" t="s">
        <v>109</v>
      </c>
      <c r="X397" s="135">
        <v>16270000</v>
      </c>
      <c r="Y397" s="157" t="str">
        <f t="shared" ref="Y397:Y404" si="138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22"/>
        <v>28011162.254106201</v>
      </c>
      <c r="AJ397" s="19">
        <f t="shared" si="123"/>
        <v>3401347.1124888416</v>
      </c>
      <c r="AK397" s="20">
        <f t="shared" si="132"/>
        <v>0.12142827497242578</v>
      </c>
      <c r="AL397" s="17"/>
      <c r="AM397" s="17"/>
      <c r="AN397" s="17"/>
      <c r="AO397" s="17"/>
      <c r="AP397" s="28" t="str">
        <f t="shared" si="133"/>
        <v>202010</v>
      </c>
      <c r="AQ397" s="28" t="str">
        <f t="shared" si="134"/>
        <v>202010JPY</v>
      </c>
      <c r="AR397" s="206" t="str">
        <f t="shared" si="135"/>
        <v>YAMAHA_Mounter</v>
      </c>
      <c r="AS397" s="22">
        <f t="shared" si="136"/>
        <v>1</v>
      </c>
      <c r="AT397" s="24" t="str">
        <f t="shared" si="137"/>
        <v>0-3 months</v>
      </c>
      <c r="AU397" s="22" t="s">
        <v>3746</v>
      </c>
    </row>
    <row r="398" spans="1:47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53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1933</v>
      </c>
      <c r="K398" s="155" t="s">
        <v>1415</v>
      </c>
      <c r="L398" s="17" t="s">
        <v>67</v>
      </c>
      <c r="M398" s="13" t="s">
        <v>60</v>
      </c>
      <c r="N398" s="13">
        <v>1</v>
      </c>
      <c r="O398" s="13"/>
      <c r="P398" s="33" t="str">
        <f t="shared" si="127"/>
        <v>MAIN UNIT</v>
      </c>
      <c r="Q398" s="13" t="s">
        <v>61</v>
      </c>
      <c r="R398" s="13" t="s">
        <v>62</v>
      </c>
      <c r="S398" s="13" t="s">
        <v>49</v>
      </c>
      <c r="T398" s="13" t="s">
        <v>78</v>
      </c>
      <c r="U398" s="13" t="s">
        <v>79</v>
      </c>
      <c r="V398" s="13" t="s">
        <v>131</v>
      </c>
      <c r="W398" s="13" t="s">
        <v>109</v>
      </c>
      <c r="X398" s="135">
        <v>11730000</v>
      </c>
      <c r="Y398" s="157" t="str">
        <f t="shared" si="138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22"/>
        <v>26407088.359292038</v>
      </c>
      <c r="AJ398" s="19">
        <f t="shared" si="123"/>
        <v>3424510.6998470789</v>
      </c>
      <c r="AK398" s="20">
        <f t="shared" si="132"/>
        <v>0.12968149510667554</v>
      </c>
      <c r="AL398" s="17"/>
      <c r="AM398" s="17"/>
      <c r="AN398" s="17"/>
      <c r="AO398" s="17"/>
      <c r="AP398" s="28" t="str">
        <f t="shared" si="133"/>
        <v>20221</v>
      </c>
      <c r="AQ398" s="28" t="str">
        <f t="shared" si="134"/>
        <v>20221JPY</v>
      </c>
      <c r="AR398" s="206" t="str">
        <f t="shared" si="135"/>
        <v>YAMAHA_Mounter</v>
      </c>
      <c r="AS398" s="22">
        <f t="shared" si="136"/>
        <v>8</v>
      </c>
      <c r="AT398" s="24" t="str">
        <f t="shared" si="137"/>
        <v>&gt; 6 months</v>
      </c>
      <c r="AU398" s="22" t="s">
        <v>3746</v>
      </c>
    </row>
    <row r="399" spans="1:47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54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2223</v>
      </c>
      <c r="K399" s="155" t="s">
        <v>1415</v>
      </c>
      <c r="L399" s="17" t="s">
        <v>92</v>
      </c>
      <c r="M399" s="13" t="s">
        <v>60</v>
      </c>
      <c r="N399" s="13">
        <v>1</v>
      </c>
      <c r="O399" s="13"/>
      <c r="P399" s="33" t="str">
        <f t="shared" si="127"/>
        <v>MAIN UNIT</v>
      </c>
      <c r="Q399" s="13" t="s">
        <v>61</v>
      </c>
      <c r="R399" s="13" t="s">
        <v>62</v>
      </c>
      <c r="S399" s="13" t="s">
        <v>49</v>
      </c>
      <c r="T399" s="13" t="s">
        <v>78</v>
      </c>
      <c r="U399" s="13" t="s">
        <v>79</v>
      </c>
      <c r="V399" s="13" t="s">
        <v>131</v>
      </c>
      <c r="W399" s="13" t="s">
        <v>109</v>
      </c>
      <c r="X399" s="135">
        <v>15000000</v>
      </c>
      <c r="Y399" s="157" t="str">
        <f t="shared" si="138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22"/>
        <v>36480247.665929198</v>
      </c>
      <c r="AJ399" s="19">
        <f t="shared" si="123"/>
        <v>5330996.6372757526</v>
      </c>
      <c r="AK399" s="20">
        <f t="shared" si="132"/>
        <v>0.14613378412599562</v>
      </c>
      <c r="AL399" s="17"/>
      <c r="AM399" s="17"/>
      <c r="AN399" s="17"/>
      <c r="AO399" s="17"/>
      <c r="AP399" s="28" t="str">
        <f t="shared" si="133"/>
        <v>20227</v>
      </c>
      <c r="AQ399" s="28" t="str">
        <f t="shared" si="134"/>
        <v>20227JPY</v>
      </c>
      <c r="AR399" s="206" t="str">
        <f t="shared" si="135"/>
        <v>YAMAHA_Mounter</v>
      </c>
      <c r="AS399" s="22">
        <f t="shared" si="136"/>
        <v>2</v>
      </c>
      <c r="AT399" s="24" t="str">
        <f t="shared" si="137"/>
        <v>0-3 months</v>
      </c>
      <c r="AU399" s="22" t="s">
        <v>3746</v>
      </c>
    </row>
    <row r="400" spans="1:47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54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2223</v>
      </c>
      <c r="K400" s="155" t="s">
        <v>1415</v>
      </c>
      <c r="L400" s="17" t="s">
        <v>67</v>
      </c>
      <c r="M400" s="13" t="s">
        <v>60</v>
      </c>
      <c r="N400" s="13">
        <v>1</v>
      </c>
      <c r="O400" s="13"/>
      <c r="P400" s="33" t="str">
        <f t="shared" si="127"/>
        <v>MAIN UNIT</v>
      </c>
      <c r="Q400" s="13" t="s">
        <v>61</v>
      </c>
      <c r="R400" s="13" t="s">
        <v>62</v>
      </c>
      <c r="S400" s="13" t="s">
        <v>49</v>
      </c>
      <c r="T400" s="13" t="s">
        <v>78</v>
      </c>
      <c r="U400" s="13" t="s">
        <v>79</v>
      </c>
      <c r="V400" s="13" t="s">
        <v>131</v>
      </c>
      <c r="W400" s="13" t="s">
        <v>109</v>
      </c>
      <c r="X400" s="135">
        <v>10400000</v>
      </c>
      <c r="Y400" s="157" t="str">
        <f t="shared" si="138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22"/>
        <v>36480247.665929198</v>
      </c>
      <c r="AJ400" s="19">
        <f t="shared" si="123"/>
        <v>5330996.6372757526</v>
      </c>
      <c r="AK400" s="20">
        <f t="shared" si="132"/>
        <v>0.14613378412599562</v>
      </c>
      <c r="AL400" s="17"/>
      <c r="AM400" s="17"/>
      <c r="AN400" s="17"/>
      <c r="AO400" s="17"/>
      <c r="AP400" s="28" t="str">
        <f t="shared" si="133"/>
        <v>20227</v>
      </c>
      <c r="AQ400" s="28" t="str">
        <f t="shared" si="134"/>
        <v>20227JPY</v>
      </c>
      <c r="AR400" s="206" t="str">
        <f t="shared" si="135"/>
        <v>YAMAHA_Mounter</v>
      </c>
      <c r="AS400" s="22">
        <f t="shared" si="136"/>
        <v>2</v>
      </c>
      <c r="AT400" s="24" t="str">
        <f t="shared" si="137"/>
        <v>0-3 months</v>
      </c>
      <c r="AU400" s="22" t="s">
        <v>3746</v>
      </c>
    </row>
    <row r="401" spans="1:47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55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2535</v>
      </c>
      <c r="K401" s="155" t="s">
        <v>1415</v>
      </c>
      <c r="L401" s="17" t="s">
        <v>92</v>
      </c>
      <c r="M401" s="13" t="s">
        <v>60</v>
      </c>
      <c r="N401" s="13">
        <v>1</v>
      </c>
      <c r="O401" s="13"/>
      <c r="P401" s="33" t="str">
        <f t="shared" si="127"/>
        <v>MAIN UNIT</v>
      </c>
      <c r="Q401" s="13" t="s">
        <v>61</v>
      </c>
      <c r="R401" s="13" t="s">
        <v>62</v>
      </c>
      <c r="S401" s="13" t="s">
        <v>49</v>
      </c>
      <c r="T401" s="13" t="s">
        <v>78</v>
      </c>
      <c r="U401" s="13" t="s">
        <v>79</v>
      </c>
      <c r="V401" s="13" t="s">
        <v>121</v>
      </c>
      <c r="W401" s="13" t="s">
        <v>109</v>
      </c>
      <c r="X401" s="135">
        <v>15000000</v>
      </c>
      <c r="Y401" s="157" t="str">
        <f t="shared" si="138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22"/>
        <v>15951056.41591504</v>
      </c>
      <c r="AJ401" s="19">
        <f t="shared" si="123"/>
        <v>1966354.6022462982</v>
      </c>
      <c r="AK401" s="20">
        <f t="shared" si="132"/>
        <v>0.12327425538313459</v>
      </c>
      <c r="AL401" s="17"/>
      <c r="AM401" s="17"/>
      <c r="AN401" s="17"/>
      <c r="AO401" s="17"/>
      <c r="AP401" s="28" t="str">
        <f t="shared" si="133"/>
        <v>20237</v>
      </c>
      <c r="AQ401" s="28" t="str">
        <f t="shared" si="134"/>
        <v>20237JPY</v>
      </c>
      <c r="AR401" s="206" t="str">
        <f t="shared" si="135"/>
        <v>YAMAHA_Mounter</v>
      </c>
      <c r="AS401" s="22">
        <f t="shared" si="136"/>
        <v>1</v>
      </c>
      <c r="AT401" s="24" t="str">
        <f t="shared" si="137"/>
        <v>0-3 months</v>
      </c>
      <c r="AU401" s="22" t="s">
        <v>3746</v>
      </c>
    </row>
    <row r="402" spans="1:47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55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2535</v>
      </c>
      <c r="K402" s="155" t="s">
        <v>1415</v>
      </c>
      <c r="L402" s="17" t="s">
        <v>92</v>
      </c>
      <c r="M402" s="13" t="s">
        <v>60</v>
      </c>
      <c r="N402" s="13">
        <v>1</v>
      </c>
      <c r="O402" s="13"/>
      <c r="P402" s="33" t="str">
        <f t="shared" si="127"/>
        <v>MAIN UNIT</v>
      </c>
      <c r="Q402" s="13" t="s">
        <v>61</v>
      </c>
      <c r="R402" s="13" t="s">
        <v>62</v>
      </c>
      <c r="S402" s="13" t="s">
        <v>49</v>
      </c>
      <c r="T402" s="13" t="s">
        <v>78</v>
      </c>
      <c r="U402" s="13" t="s">
        <v>79</v>
      </c>
      <c r="V402" s="13" t="s">
        <v>121</v>
      </c>
      <c r="W402" s="13" t="s">
        <v>109</v>
      </c>
      <c r="X402" s="135">
        <v>15000000</v>
      </c>
      <c r="Y402" s="157" t="str">
        <f t="shared" si="138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22"/>
        <v>15951056.41591504</v>
      </c>
      <c r="AJ402" s="19">
        <f t="shared" si="123"/>
        <v>1966354.6022462982</v>
      </c>
      <c r="AK402" s="20">
        <f t="shared" si="132"/>
        <v>0.12327425538313459</v>
      </c>
      <c r="AL402" s="17"/>
      <c r="AM402" s="17"/>
      <c r="AN402" s="17"/>
      <c r="AO402" s="17"/>
      <c r="AP402" s="28" t="str">
        <f t="shared" si="133"/>
        <v>20237</v>
      </c>
      <c r="AQ402" s="28" t="str">
        <f t="shared" si="134"/>
        <v>20237JPY</v>
      </c>
      <c r="AR402" s="206" t="str">
        <f t="shared" si="135"/>
        <v>YAMAHA_Mounter</v>
      </c>
      <c r="AS402" s="22">
        <f t="shared" si="136"/>
        <v>1</v>
      </c>
      <c r="AT402" s="24" t="str">
        <f t="shared" si="137"/>
        <v>0-3 months</v>
      </c>
      <c r="AU402" s="22" t="s">
        <v>3746</v>
      </c>
    </row>
    <row r="403" spans="1:47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55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2535</v>
      </c>
      <c r="K403" s="155" t="s">
        <v>1415</v>
      </c>
      <c r="L403" s="17" t="s">
        <v>67</v>
      </c>
      <c r="M403" s="13" t="s">
        <v>60</v>
      </c>
      <c r="N403" s="13">
        <v>1</v>
      </c>
      <c r="O403" s="13"/>
      <c r="P403" s="33" t="str">
        <f t="shared" si="127"/>
        <v>MAIN UNIT</v>
      </c>
      <c r="Q403" s="13" t="s">
        <v>61</v>
      </c>
      <c r="R403" s="13" t="s">
        <v>62</v>
      </c>
      <c r="S403" s="13" t="s">
        <v>49</v>
      </c>
      <c r="T403" s="13" t="s">
        <v>78</v>
      </c>
      <c r="U403" s="13" t="s">
        <v>79</v>
      </c>
      <c r="V403" s="13" t="s">
        <v>121</v>
      </c>
      <c r="W403" s="13" t="s">
        <v>109</v>
      </c>
      <c r="X403" s="135">
        <v>10000000</v>
      </c>
      <c r="Y403" s="157" t="str">
        <f t="shared" si="138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22"/>
        <v>15951056.41591504</v>
      </c>
      <c r="AJ403" s="19">
        <f t="shared" si="123"/>
        <v>1966354.6022462982</v>
      </c>
      <c r="AK403" s="20">
        <f t="shared" si="132"/>
        <v>0.12327425538313459</v>
      </c>
      <c r="AL403" s="17"/>
      <c r="AM403" s="17"/>
      <c r="AN403" s="17"/>
      <c r="AO403" s="17"/>
      <c r="AP403" s="28" t="str">
        <f t="shared" si="133"/>
        <v>20237</v>
      </c>
      <c r="AQ403" s="28" t="str">
        <f t="shared" si="134"/>
        <v>20237JPY</v>
      </c>
      <c r="AR403" s="206" t="str">
        <f t="shared" si="135"/>
        <v>YAMAHA_Mounter</v>
      </c>
      <c r="AS403" s="22">
        <f t="shared" si="136"/>
        <v>1</v>
      </c>
      <c r="AT403" s="24" t="str">
        <f t="shared" si="137"/>
        <v>0-3 months</v>
      </c>
      <c r="AU403" s="22" t="s">
        <v>3746</v>
      </c>
    </row>
    <row r="404" spans="1:47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54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2439</v>
      </c>
      <c r="K404" s="155" t="s">
        <v>2440</v>
      </c>
      <c r="L404" s="17" t="s">
        <v>67</v>
      </c>
      <c r="M404" s="13" t="s">
        <v>60</v>
      </c>
      <c r="N404" s="13">
        <v>1</v>
      </c>
      <c r="O404" s="13"/>
      <c r="P404" s="33" t="str">
        <f t="shared" si="127"/>
        <v>MAIN UNIT</v>
      </c>
      <c r="Q404" s="13" t="s">
        <v>68</v>
      </c>
      <c r="R404" s="13" t="s">
        <v>62</v>
      </c>
      <c r="S404" s="13" t="s">
        <v>50</v>
      </c>
      <c r="T404" s="13" t="s">
        <v>69</v>
      </c>
      <c r="U404" s="13" t="s">
        <v>70</v>
      </c>
      <c r="V404" s="13" t="s">
        <v>71</v>
      </c>
      <c r="W404" s="13" t="s">
        <v>64</v>
      </c>
      <c r="X404" s="135">
        <v>785800</v>
      </c>
      <c r="Y404" s="157" t="str">
        <f t="shared" si="138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22"/>
        <v>33543315.897345133</v>
      </c>
      <c r="AJ404" s="19">
        <f t="shared" si="123"/>
        <v>4706169.3252984071</v>
      </c>
      <c r="AK404" s="20">
        <f t="shared" si="132"/>
        <v>0.14030125523967318</v>
      </c>
      <c r="AL404" s="17"/>
      <c r="AM404" s="17"/>
      <c r="AN404" s="17"/>
      <c r="AO404" s="17"/>
      <c r="AP404" s="28" t="str">
        <f t="shared" si="133"/>
        <v>20233</v>
      </c>
      <c r="AQ404" s="28" t="str">
        <f t="shared" si="134"/>
        <v>20233RMB</v>
      </c>
      <c r="AR404" s="206" t="str">
        <f t="shared" si="135"/>
        <v>YAMAHA_Mounter</v>
      </c>
      <c r="AS404" s="22">
        <f t="shared" si="136"/>
        <v>1</v>
      </c>
      <c r="AT404" s="24" t="str">
        <f t="shared" si="137"/>
        <v>0-3 months</v>
      </c>
      <c r="AU404" s="22" t="s">
        <v>3240</v>
      </c>
    </row>
    <row r="405" spans="1:47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41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208</v>
      </c>
      <c r="K405" s="155" t="s">
        <v>209</v>
      </c>
      <c r="L405" s="17" t="s">
        <v>92</v>
      </c>
      <c r="M405" s="13" t="s">
        <v>60</v>
      </c>
      <c r="N405" s="13">
        <v>1</v>
      </c>
      <c r="O405" s="13"/>
      <c r="P405" s="33" t="str">
        <f t="shared" si="127"/>
        <v>MAIN UNIT</v>
      </c>
      <c r="Q405" s="13" t="s">
        <v>68</v>
      </c>
      <c r="R405" s="13" t="s">
        <v>62</v>
      </c>
      <c r="S405" s="13" t="s">
        <v>50</v>
      </c>
      <c r="T405" s="13" t="s">
        <v>69</v>
      </c>
      <c r="U405" s="13" t="s">
        <v>70</v>
      </c>
      <c r="V405" s="13" t="s">
        <v>71</v>
      </c>
      <c r="W405" s="13" t="s">
        <v>64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22"/>
        <v>29946107.503386207</v>
      </c>
      <c r="AJ405" s="19">
        <f t="shared" si="123"/>
        <v>3987206.4954923098</v>
      </c>
      <c r="AK405" s="20">
        <f t="shared" si="132"/>
        <v>0.13314606898547499</v>
      </c>
      <c r="AL405" s="17"/>
      <c r="AM405" s="17"/>
      <c r="AN405" s="17"/>
      <c r="AO405" s="17"/>
      <c r="AP405" s="28" t="str">
        <f t="shared" si="133"/>
        <v>20187</v>
      </c>
      <c r="AQ405" s="28" t="str">
        <f t="shared" si="134"/>
        <v>20187RMB</v>
      </c>
      <c r="AR405" s="206" t="str">
        <f t="shared" si="135"/>
        <v>YAMAHA_Mounter</v>
      </c>
      <c r="AS405" s="22">
        <f t="shared" si="136"/>
        <v>3</v>
      </c>
      <c r="AT405" s="24" t="str">
        <f t="shared" si="137"/>
        <v>0-3 months</v>
      </c>
      <c r="AU405" s="22" t="s">
        <v>3240</v>
      </c>
    </row>
    <row r="406" spans="1:47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41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208</v>
      </c>
      <c r="K406" s="155" t="s">
        <v>209</v>
      </c>
      <c r="L406" s="17" t="s">
        <v>67</v>
      </c>
      <c r="M406" s="13" t="s">
        <v>60</v>
      </c>
      <c r="N406" s="13">
        <v>1</v>
      </c>
      <c r="O406" s="13"/>
      <c r="P406" s="33" t="str">
        <f t="shared" si="127"/>
        <v>MAIN UNIT</v>
      </c>
      <c r="Q406" s="13" t="s">
        <v>68</v>
      </c>
      <c r="R406" s="13" t="s">
        <v>62</v>
      </c>
      <c r="S406" s="13" t="s">
        <v>50</v>
      </c>
      <c r="T406" s="13" t="s">
        <v>69</v>
      </c>
      <c r="U406" s="13" t="s">
        <v>70</v>
      </c>
      <c r="V406" s="13" t="s">
        <v>71</v>
      </c>
      <c r="W406" s="13" t="s">
        <v>64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22"/>
        <v>29946107.503386207</v>
      </c>
      <c r="AJ406" s="19">
        <f t="shared" si="123"/>
        <v>3987206.4954923098</v>
      </c>
      <c r="AK406" s="20">
        <f t="shared" si="132"/>
        <v>0.13314606898547499</v>
      </c>
      <c r="AL406" s="17"/>
      <c r="AM406" s="17"/>
      <c r="AN406" s="17"/>
      <c r="AO406" s="17"/>
      <c r="AP406" s="28" t="str">
        <f t="shared" si="133"/>
        <v>20187</v>
      </c>
      <c r="AQ406" s="28" t="str">
        <f t="shared" si="134"/>
        <v>20187RMB</v>
      </c>
      <c r="AR406" s="206" t="str">
        <f t="shared" si="135"/>
        <v>YAMAHA_Mounter</v>
      </c>
      <c r="AS406" s="22">
        <f t="shared" si="136"/>
        <v>3</v>
      </c>
      <c r="AT406" s="24" t="str">
        <f t="shared" si="137"/>
        <v>0-3 months</v>
      </c>
      <c r="AU406" s="22" t="s">
        <v>3240</v>
      </c>
    </row>
    <row r="407" spans="1:47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48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1207</v>
      </c>
      <c r="K407" s="155" t="s">
        <v>209</v>
      </c>
      <c r="L407" s="17" t="s">
        <v>92</v>
      </c>
      <c r="M407" s="13" t="s">
        <v>60</v>
      </c>
      <c r="N407" s="13">
        <v>1</v>
      </c>
      <c r="O407" s="13"/>
      <c r="P407" s="33" t="str">
        <f t="shared" si="127"/>
        <v>MAIN UNIT</v>
      </c>
      <c r="Q407" s="13" t="s">
        <v>61</v>
      </c>
      <c r="R407" s="13" t="s">
        <v>62</v>
      </c>
      <c r="S407" s="13" t="s">
        <v>50</v>
      </c>
      <c r="T407" s="13" t="s">
        <v>69</v>
      </c>
      <c r="U407" s="13" t="s">
        <v>70</v>
      </c>
      <c r="V407" s="13" t="s">
        <v>71</v>
      </c>
      <c r="W407" s="13" t="s">
        <v>64</v>
      </c>
      <c r="X407" s="135">
        <v>1217968</v>
      </c>
      <c r="Y407" s="156" t="s">
        <v>1058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22"/>
        <v>29183109.05575221</v>
      </c>
      <c r="AJ407" s="19">
        <f t="shared" si="123"/>
        <v>3741266.5648721238</v>
      </c>
      <c r="AK407" s="20">
        <f t="shared" si="132"/>
        <v>0.12819972531798121</v>
      </c>
      <c r="AL407" s="17"/>
      <c r="AM407" s="17"/>
      <c r="AN407" s="17"/>
      <c r="AO407" s="17"/>
      <c r="AP407" s="28" t="str">
        <f t="shared" si="133"/>
        <v>20206</v>
      </c>
      <c r="AQ407" s="28" t="str">
        <f t="shared" si="134"/>
        <v>20206RMB</v>
      </c>
      <c r="AR407" s="206" t="str">
        <f t="shared" si="135"/>
        <v>YAMAHA_Mounter</v>
      </c>
      <c r="AS407" s="22">
        <f t="shared" si="136"/>
        <v>3</v>
      </c>
      <c r="AT407" s="24" t="str">
        <f t="shared" si="137"/>
        <v>0-3 months</v>
      </c>
      <c r="AU407" s="22" t="s">
        <v>3240</v>
      </c>
    </row>
    <row r="408" spans="1:47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48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1207</v>
      </c>
      <c r="K408" s="155" t="s">
        <v>209</v>
      </c>
      <c r="L408" s="17" t="s">
        <v>67</v>
      </c>
      <c r="M408" s="13" t="s">
        <v>60</v>
      </c>
      <c r="N408" s="13">
        <v>1</v>
      </c>
      <c r="O408" s="13"/>
      <c r="P408" s="33" t="str">
        <f t="shared" si="127"/>
        <v>MAIN UNIT</v>
      </c>
      <c r="Q408" s="13" t="s">
        <v>61</v>
      </c>
      <c r="R408" s="13" t="s">
        <v>62</v>
      </c>
      <c r="S408" s="13" t="s">
        <v>50</v>
      </c>
      <c r="T408" s="13" t="s">
        <v>69</v>
      </c>
      <c r="U408" s="13" t="s">
        <v>70</v>
      </c>
      <c r="V408" s="13" t="s">
        <v>71</v>
      </c>
      <c r="W408" s="13" t="s">
        <v>64</v>
      </c>
      <c r="X408" s="135">
        <v>879563</v>
      </c>
      <c r="Y408" s="156" t="s">
        <v>1058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22"/>
        <v>29183109.05575221</v>
      </c>
      <c r="AJ408" s="19">
        <f t="shared" si="123"/>
        <v>3741266.5648721238</v>
      </c>
      <c r="AK408" s="20">
        <f t="shared" si="132"/>
        <v>0.12819972531798121</v>
      </c>
      <c r="AL408" s="17"/>
      <c r="AM408" s="17"/>
      <c r="AN408" s="17"/>
      <c r="AO408" s="17"/>
      <c r="AP408" s="28" t="str">
        <f t="shared" si="133"/>
        <v>20206</v>
      </c>
      <c r="AQ408" s="28" t="str">
        <f t="shared" si="134"/>
        <v>20206RMB</v>
      </c>
      <c r="AR408" s="206" t="str">
        <f t="shared" si="135"/>
        <v>YAMAHA_Mounter</v>
      </c>
      <c r="AS408" s="22">
        <f t="shared" si="136"/>
        <v>3</v>
      </c>
      <c r="AT408" s="24" t="str">
        <f t="shared" si="137"/>
        <v>0-3 months</v>
      </c>
      <c r="AU408" s="22" t="s">
        <v>3240</v>
      </c>
    </row>
    <row r="409" spans="1:47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55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2543</v>
      </c>
      <c r="K409" s="155" t="s">
        <v>209</v>
      </c>
      <c r="L409" s="17" t="s">
        <v>92</v>
      </c>
      <c r="M409" s="13" t="s">
        <v>60</v>
      </c>
      <c r="N409" s="13">
        <v>1</v>
      </c>
      <c r="O409" s="13"/>
      <c r="P409" s="33" t="str">
        <f t="shared" si="127"/>
        <v>MAIN UNIT</v>
      </c>
      <c r="Q409" s="13" t="s">
        <v>61</v>
      </c>
      <c r="R409" s="13" t="s">
        <v>62</v>
      </c>
      <c r="S409" s="13" t="s">
        <v>50</v>
      </c>
      <c r="T409" s="13" t="s">
        <v>69</v>
      </c>
      <c r="U409" s="13" t="s">
        <v>70</v>
      </c>
      <c r="V409" s="13" t="s">
        <v>71</v>
      </c>
      <c r="W409" s="13" t="s">
        <v>64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22"/>
        <v>22953677.784070797</v>
      </c>
      <c r="AJ409" s="19">
        <f t="shared" si="123"/>
        <v>4168706.6744155753</v>
      </c>
      <c r="AK409" s="20">
        <f t="shared" si="132"/>
        <v>0.18161388835511752</v>
      </c>
      <c r="AL409" s="17"/>
      <c r="AM409" s="17"/>
      <c r="AN409" s="17"/>
      <c r="AO409" s="17"/>
      <c r="AP409" s="28" t="str">
        <f t="shared" si="133"/>
        <v>20238</v>
      </c>
      <c r="AQ409" s="28" t="str">
        <f t="shared" si="134"/>
        <v>20238RMB</v>
      </c>
      <c r="AR409" s="206" t="str">
        <f t="shared" si="135"/>
        <v>YAMAHA_Mounter</v>
      </c>
      <c r="AS409" s="22">
        <f t="shared" si="136"/>
        <v>4</v>
      </c>
      <c r="AT409" s="24" t="str">
        <f t="shared" si="137"/>
        <v>4-6 months</v>
      </c>
      <c r="AU409" s="22" t="s">
        <v>3240</v>
      </c>
    </row>
    <row r="410" spans="1:47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55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2543</v>
      </c>
      <c r="K410" s="155" t="s">
        <v>209</v>
      </c>
      <c r="L410" s="17" t="s">
        <v>92</v>
      </c>
      <c r="M410" s="13" t="s">
        <v>60</v>
      </c>
      <c r="N410" s="13">
        <v>1</v>
      </c>
      <c r="O410" s="13"/>
      <c r="P410" s="33" t="str">
        <f t="shared" si="127"/>
        <v>MAIN UNIT</v>
      </c>
      <c r="Q410" s="13" t="s">
        <v>61</v>
      </c>
      <c r="R410" s="13" t="s">
        <v>62</v>
      </c>
      <c r="S410" s="13" t="s">
        <v>50</v>
      </c>
      <c r="T410" s="13" t="s">
        <v>69</v>
      </c>
      <c r="U410" s="13" t="s">
        <v>70</v>
      </c>
      <c r="V410" s="13" t="s">
        <v>71</v>
      </c>
      <c r="W410" s="13" t="s">
        <v>64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22"/>
        <v>22953677.784070797</v>
      </c>
      <c r="AJ410" s="19">
        <f t="shared" si="123"/>
        <v>4168706.6744155753</v>
      </c>
      <c r="AK410" s="20">
        <f t="shared" si="132"/>
        <v>0.18161388835511752</v>
      </c>
      <c r="AL410" s="17"/>
      <c r="AM410" s="17"/>
      <c r="AN410" s="17"/>
      <c r="AO410" s="17"/>
      <c r="AP410" s="28" t="str">
        <f t="shared" si="133"/>
        <v>20238</v>
      </c>
      <c r="AQ410" s="28" t="str">
        <f t="shared" si="134"/>
        <v>20238RMB</v>
      </c>
      <c r="AR410" s="206" t="str">
        <f t="shared" si="135"/>
        <v>YAMAHA_Mounter</v>
      </c>
      <c r="AS410" s="22">
        <f t="shared" si="136"/>
        <v>4</v>
      </c>
      <c r="AT410" s="24" t="str">
        <f t="shared" si="137"/>
        <v>4-6 months</v>
      </c>
      <c r="AU410" s="22" t="s">
        <v>3240</v>
      </c>
    </row>
    <row r="411" spans="1:47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55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2543</v>
      </c>
      <c r="K411" s="155" t="s">
        <v>209</v>
      </c>
      <c r="L411" s="17" t="s">
        <v>92</v>
      </c>
      <c r="M411" s="13" t="s">
        <v>60</v>
      </c>
      <c r="N411" s="13">
        <v>1</v>
      </c>
      <c r="O411" s="13"/>
      <c r="P411" s="33" t="str">
        <f t="shared" si="127"/>
        <v>MAIN UNIT</v>
      </c>
      <c r="Q411" s="13" t="s">
        <v>61</v>
      </c>
      <c r="R411" s="13" t="s">
        <v>62</v>
      </c>
      <c r="S411" s="13" t="s">
        <v>50</v>
      </c>
      <c r="T411" s="13" t="s">
        <v>69</v>
      </c>
      <c r="U411" s="13" t="s">
        <v>70</v>
      </c>
      <c r="V411" s="13" t="s">
        <v>71</v>
      </c>
      <c r="W411" s="13" t="s">
        <v>64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22"/>
        <v>22953677.784070797</v>
      </c>
      <c r="AJ411" s="19">
        <f t="shared" si="123"/>
        <v>4168706.6744155753</v>
      </c>
      <c r="AK411" s="20">
        <f t="shared" si="132"/>
        <v>0.18161388835511752</v>
      </c>
      <c r="AL411" s="17"/>
      <c r="AM411" s="17"/>
      <c r="AN411" s="17"/>
      <c r="AO411" s="17"/>
      <c r="AP411" s="28" t="str">
        <f t="shared" si="133"/>
        <v>20238</v>
      </c>
      <c r="AQ411" s="28" t="str">
        <f t="shared" si="134"/>
        <v>20238RMB</v>
      </c>
      <c r="AR411" s="206" t="str">
        <f t="shared" si="135"/>
        <v>YAMAHA_Mounter</v>
      </c>
      <c r="AS411" s="22">
        <f t="shared" si="136"/>
        <v>4</v>
      </c>
      <c r="AT411" s="24" t="str">
        <f t="shared" si="137"/>
        <v>4-6 months</v>
      </c>
      <c r="AU411" s="22" t="s">
        <v>3240</v>
      </c>
    </row>
    <row r="412" spans="1:47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2543</v>
      </c>
      <c r="K412" s="155" t="s">
        <v>209</v>
      </c>
      <c r="L412" s="17" t="s">
        <v>2780</v>
      </c>
      <c r="M412" s="13" t="s">
        <v>60</v>
      </c>
      <c r="N412" s="13">
        <v>1</v>
      </c>
      <c r="O412" s="13"/>
      <c r="P412" s="33" t="str">
        <f t="shared" si="127"/>
        <v>MAIN UNIT</v>
      </c>
      <c r="Q412" s="13" t="s">
        <v>61</v>
      </c>
      <c r="R412" s="13" t="s">
        <v>2055</v>
      </c>
      <c r="S412" s="13" t="s">
        <v>50</v>
      </c>
      <c r="T412" s="13" t="s">
        <v>69</v>
      </c>
      <c r="U412" s="13" t="s">
        <v>70</v>
      </c>
      <c r="V412" s="13" t="s">
        <v>71</v>
      </c>
      <c r="W412" s="13" t="s">
        <v>64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22"/>
        <v>22953677.784070797</v>
      </c>
      <c r="AJ412" s="19">
        <f t="shared" si="123"/>
        <v>4168706.6744155753</v>
      </c>
      <c r="AK412" s="20">
        <f t="shared" si="132"/>
        <v>0.18161388835511752</v>
      </c>
      <c r="AL412" s="17"/>
      <c r="AM412" s="17"/>
      <c r="AN412" s="17"/>
      <c r="AO412" s="17"/>
      <c r="AP412" s="28" t="str">
        <f t="shared" si="133"/>
        <v>20238</v>
      </c>
      <c r="AQ412" s="28" t="str">
        <f t="shared" si="134"/>
        <v>20238RMB</v>
      </c>
      <c r="AR412" s="206" t="str">
        <f t="shared" si="135"/>
        <v>YAMAHA_Non_Mounter</v>
      </c>
      <c r="AS412" s="22">
        <f t="shared" si="136"/>
        <v>4</v>
      </c>
      <c r="AT412" s="24" t="str">
        <f t="shared" si="137"/>
        <v>4-6 months</v>
      </c>
      <c r="AU412" s="22" t="s">
        <v>3240</v>
      </c>
    </row>
    <row r="413" spans="1:47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3066</v>
      </c>
      <c r="K413" s="155" t="s">
        <v>3067</v>
      </c>
      <c r="L413" s="17" t="s">
        <v>3068</v>
      </c>
      <c r="M413" s="13" t="s">
        <v>2054</v>
      </c>
      <c r="N413" s="13">
        <v>1</v>
      </c>
      <c r="O413" s="13"/>
      <c r="P413" s="33" t="str">
        <f t="shared" si="127"/>
        <v>MAIN UNIT</v>
      </c>
      <c r="Q413" s="13" t="s">
        <v>68</v>
      </c>
      <c r="R413" s="13" t="s">
        <v>2055</v>
      </c>
      <c r="S413" s="13" t="s">
        <v>50</v>
      </c>
      <c r="T413" s="13" t="s">
        <v>69</v>
      </c>
      <c r="U413" s="13" t="s">
        <v>70</v>
      </c>
      <c r="V413" s="13" t="s">
        <v>102</v>
      </c>
      <c r="W413" s="13" t="s">
        <v>64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22"/>
        <v>13640480.497522123</v>
      </c>
      <c r="AJ413" s="19">
        <f t="shared" si="123"/>
        <v>1928605.8020906283</v>
      </c>
      <c r="AK413" s="20">
        <f t="shared" si="132"/>
        <v>0.1413884065477731</v>
      </c>
      <c r="AL413" s="17"/>
      <c r="AM413" s="17"/>
      <c r="AN413" s="17"/>
      <c r="AO413" s="17"/>
      <c r="AP413" s="28" t="str">
        <f t="shared" si="133"/>
        <v>20236</v>
      </c>
      <c r="AQ413" s="28" t="str">
        <f t="shared" si="134"/>
        <v>20236RMB</v>
      </c>
      <c r="AR413" s="206" t="str">
        <f t="shared" si="135"/>
        <v>SOLDERSTAR</v>
      </c>
      <c r="AS413" s="22">
        <f t="shared" si="136"/>
        <v>1</v>
      </c>
      <c r="AT413" s="24" t="str">
        <f t="shared" si="137"/>
        <v>0-3 months</v>
      </c>
      <c r="AU413" s="22" t="s">
        <v>3240</v>
      </c>
    </row>
    <row r="414" spans="1:47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54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2035</v>
      </c>
      <c r="K414" s="155" t="s">
        <v>2036</v>
      </c>
      <c r="L414" s="17" t="s">
        <v>67</v>
      </c>
      <c r="M414" s="13" t="s">
        <v>60</v>
      </c>
      <c r="N414" s="13">
        <v>1</v>
      </c>
      <c r="O414" s="13"/>
      <c r="P414" s="33" t="str">
        <f t="shared" si="127"/>
        <v>MAIN UNIT</v>
      </c>
      <c r="Q414" s="13" t="s">
        <v>68</v>
      </c>
      <c r="R414" s="13" t="s">
        <v>62</v>
      </c>
      <c r="S414" s="13" t="s">
        <v>50</v>
      </c>
      <c r="T414" s="13" t="s">
        <v>69</v>
      </c>
      <c r="U414" s="13" t="s">
        <v>70</v>
      </c>
      <c r="V414" s="13" t="s">
        <v>71</v>
      </c>
      <c r="W414" s="13" t="s">
        <v>64</v>
      </c>
      <c r="X414" s="135">
        <v>681500</v>
      </c>
      <c r="Y414" s="157" t="str">
        <f t="shared" ref="Y414:Y419" si="139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22"/>
        <v>35682787.057522126</v>
      </c>
      <c r="AJ414" s="19">
        <f t="shared" si="123"/>
        <v>5833368.3789623892</v>
      </c>
      <c r="AK414" s="20">
        <f t="shared" si="132"/>
        <v>0.16347849649632912</v>
      </c>
      <c r="AL414" s="17"/>
      <c r="AM414" s="17"/>
      <c r="AN414" s="17"/>
      <c r="AO414" s="17"/>
      <c r="AP414" s="28" t="str">
        <f t="shared" si="133"/>
        <v>20226</v>
      </c>
      <c r="AQ414" s="28" t="str">
        <f t="shared" si="134"/>
        <v>20226RMB</v>
      </c>
      <c r="AR414" s="206" t="str">
        <f t="shared" si="135"/>
        <v>YAMAHA_Mounter</v>
      </c>
      <c r="AS414" s="22">
        <f t="shared" si="136"/>
        <v>8</v>
      </c>
      <c r="AT414" s="24" t="str">
        <f t="shared" si="137"/>
        <v>&gt; 6 months</v>
      </c>
      <c r="AU414" s="22" t="s">
        <v>3240</v>
      </c>
    </row>
    <row r="415" spans="1:47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55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2482</v>
      </c>
      <c r="K415" s="155" t="s">
        <v>2483</v>
      </c>
      <c r="L415" s="17" t="s">
        <v>92</v>
      </c>
      <c r="M415" s="13" t="s">
        <v>60</v>
      </c>
      <c r="N415" s="13">
        <v>1</v>
      </c>
      <c r="O415" s="13"/>
      <c r="P415" s="33" t="str">
        <f t="shared" si="127"/>
        <v>MAIN UNIT</v>
      </c>
      <c r="Q415" s="13" t="s">
        <v>61</v>
      </c>
      <c r="R415" s="13" t="s">
        <v>62</v>
      </c>
      <c r="S415" s="13" t="s">
        <v>50</v>
      </c>
      <c r="T415" s="13" t="s">
        <v>69</v>
      </c>
      <c r="U415" s="13" t="s">
        <v>70</v>
      </c>
      <c r="V415" s="13" t="s">
        <v>71</v>
      </c>
      <c r="W415" s="13" t="s">
        <v>64</v>
      </c>
      <c r="X415" s="135">
        <v>730000</v>
      </c>
      <c r="Y415" s="157" t="str">
        <f t="shared" si="139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22"/>
        <v>30573205.452778768</v>
      </c>
      <c r="AJ415" s="19">
        <f t="shared" si="123"/>
        <v>3790930.1683151261</v>
      </c>
      <c r="AK415" s="20">
        <f t="shared" si="132"/>
        <v>0.12399518179964254</v>
      </c>
      <c r="AL415" s="17"/>
      <c r="AM415" s="17"/>
      <c r="AN415" s="17"/>
      <c r="AO415" s="17"/>
      <c r="AP415" s="28" t="str">
        <f t="shared" si="133"/>
        <v>20234</v>
      </c>
      <c r="AQ415" s="28" t="str">
        <f t="shared" si="134"/>
        <v>20234RMB</v>
      </c>
      <c r="AR415" s="206" t="str">
        <f t="shared" si="135"/>
        <v>YAMAHA_Mounter</v>
      </c>
      <c r="AS415" s="22">
        <f t="shared" si="136"/>
        <v>0</v>
      </c>
      <c r="AT415" s="24" t="str">
        <f t="shared" si="137"/>
        <v>0-3 months</v>
      </c>
      <c r="AU415" s="22" t="s">
        <v>3240</v>
      </c>
    </row>
    <row r="416" spans="1:47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53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1960</v>
      </c>
      <c r="K416" s="155" t="s">
        <v>1961</v>
      </c>
      <c r="L416" s="17" t="s">
        <v>67</v>
      </c>
      <c r="M416" s="13" t="s">
        <v>60</v>
      </c>
      <c r="N416" s="13">
        <v>1</v>
      </c>
      <c r="O416" s="13"/>
      <c r="P416" s="33" t="str">
        <f t="shared" si="127"/>
        <v>MAIN UNIT</v>
      </c>
      <c r="Q416" s="13" t="s">
        <v>61</v>
      </c>
      <c r="R416" s="13" t="s">
        <v>62</v>
      </c>
      <c r="S416" s="13" t="s">
        <v>50</v>
      </c>
      <c r="T416" s="13" t="s">
        <v>69</v>
      </c>
      <c r="U416" s="13" t="s">
        <v>70</v>
      </c>
      <c r="V416" s="13" t="s">
        <v>71</v>
      </c>
      <c r="W416" s="13" t="s">
        <v>64</v>
      </c>
      <c r="X416" s="135">
        <v>650000</v>
      </c>
      <c r="Y416" s="157" t="str">
        <f t="shared" si="139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22"/>
        <v>31750699.113741599</v>
      </c>
      <c r="AJ416" s="19">
        <f t="shared" si="123"/>
        <v>4396077.3195289988</v>
      </c>
      <c r="AK416" s="20">
        <f t="shared" si="132"/>
        <v>0.13845607946397598</v>
      </c>
      <c r="AL416" s="17"/>
      <c r="AM416" s="17"/>
      <c r="AN416" s="17"/>
      <c r="AO416" s="17"/>
      <c r="AP416" s="28" t="str">
        <f t="shared" si="133"/>
        <v>20222</v>
      </c>
      <c r="AQ416" s="28" t="str">
        <f t="shared" si="134"/>
        <v>20222RMB</v>
      </c>
      <c r="AR416" s="206" t="str">
        <f t="shared" si="135"/>
        <v>YAMAHA_Mounter</v>
      </c>
      <c r="AS416" s="22">
        <f t="shared" si="136"/>
        <v>5</v>
      </c>
      <c r="AT416" s="24" t="str">
        <f t="shared" si="137"/>
        <v>4-6 months</v>
      </c>
      <c r="AU416" s="22" t="s">
        <v>3240</v>
      </c>
    </row>
    <row r="417" spans="1:47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53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1960</v>
      </c>
      <c r="K417" s="155" t="s">
        <v>1961</v>
      </c>
      <c r="L417" s="17" t="s">
        <v>67</v>
      </c>
      <c r="M417" s="13" t="s">
        <v>60</v>
      </c>
      <c r="N417" s="13">
        <v>1</v>
      </c>
      <c r="O417" s="13"/>
      <c r="P417" s="33" t="str">
        <f t="shared" si="127"/>
        <v>MAIN UNIT</v>
      </c>
      <c r="Q417" s="13" t="s">
        <v>61</v>
      </c>
      <c r="R417" s="13" t="s">
        <v>62</v>
      </c>
      <c r="S417" s="13" t="s">
        <v>50</v>
      </c>
      <c r="T417" s="13" t="s">
        <v>69</v>
      </c>
      <c r="U417" s="13" t="s">
        <v>70</v>
      </c>
      <c r="V417" s="13" t="s">
        <v>71</v>
      </c>
      <c r="W417" s="13" t="s">
        <v>64</v>
      </c>
      <c r="X417" s="135">
        <v>650000</v>
      </c>
      <c r="Y417" s="157" t="str">
        <f t="shared" si="139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22"/>
        <v>31750699.113741599</v>
      </c>
      <c r="AJ417" s="19">
        <f t="shared" si="123"/>
        <v>4396077.3195289988</v>
      </c>
      <c r="AK417" s="20">
        <f t="shared" si="132"/>
        <v>0.13845607946397598</v>
      </c>
      <c r="AL417" s="17"/>
      <c r="AM417" s="17"/>
      <c r="AN417" s="17"/>
      <c r="AO417" s="17"/>
      <c r="AP417" s="28" t="str">
        <f t="shared" si="133"/>
        <v>20222</v>
      </c>
      <c r="AQ417" s="28" t="str">
        <f t="shared" si="134"/>
        <v>20222RMB</v>
      </c>
      <c r="AR417" s="206" t="str">
        <f t="shared" si="135"/>
        <v>YAMAHA_Mounter</v>
      </c>
      <c r="AS417" s="22">
        <f t="shared" si="136"/>
        <v>5</v>
      </c>
      <c r="AT417" s="24" t="str">
        <f t="shared" si="137"/>
        <v>4-6 months</v>
      </c>
      <c r="AU417" s="22" t="s">
        <v>3240</v>
      </c>
    </row>
    <row r="418" spans="1:47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53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1960</v>
      </c>
      <c r="K418" s="155" t="s">
        <v>1961</v>
      </c>
      <c r="L418" s="17" t="s">
        <v>67</v>
      </c>
      <c r="M418" s="13" t="s">
        <v>60</v>
      </c>
      <c r="N418" s="13">
        <v>1</v>
      </c>
      <c r="O418" s="13"/>
      <c r="P418" s="33" t="str">
        <f t="shared" si="127"/>
        <v>MAIN UNIT</v>
      </c>
      <c r="Q418" s="13" t="s">
        <v>61</v>
      </c>
      <c r="R418" s="13" t="s">
        <v>62</v>
      </c>
      <c r="S418" s="13" t="s">
        <v>50</v>
      </c>
      <c r="T418" s="13" t="s">
        <v>69</v>
      </c>
      <c r="U418" s="13" t="s">
        <v>70</v>
      </c>
      <c r="V418" s="13" t="s">
        <v>71</v>
      </c>
      <c r="W418" s="13" t="s">
        <v>64</v>
      </c>
      <c r="X418" s="135">
        <v>650000</v>
      </c>
      <c r="Y418" s="157" t="str">
        <f t="shared" si="139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22"/>
        <v>31750699.113741599</v>
      </c>
      <c r="AJ418" s="19">
        <f t="shared" si="123"/>
        <v>4396077.3195289988</v>
      </c>
      <c r="AK418" s="20">
        <f t="shared" si="132"/>
        <v>0.13845607946397598</v>
      </c>
      <c r="AL418" s="17"/>
      <c r="AM418" s="17"/>
      <c r="AN418" s="17"/>
      <c r="AO418" s="17"/>
      <c r="AP418" s="28" t="str">
        <f t="shared" si="133"/>
        <v>20222</v>
      </c>
      <c r="AQ418" s="28" t="str">
        <f t="shared" si="134"/>
        <v>20222RMB</v>
      </c>
      <c r="AR418" s="206" t="str">
        <f t="shared" si="135"/>
        <v>YAMAHA_Mounter</v>
      </c>
      <c r="AS418" s="22">
        <f t="shared" si="136"/>
        <v>5</v>
      </c>
      <c r="AT418" s="24" t="str">
        <f t="shared" si="137"/>
        <v>4-6 months</v>
      </c>
      <c r="AU418" s="22" t="s">
        <v>3240</v>
      </c>
    </row>
    <row r="419" spans="1:47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53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1960</v>
      </c>
      <c r="K419" s="155" t="s">
        <v>1961</v>
      </c>
      <c r="L419" s="17" t="s">
        <v>92</v>
      </c>
      <c r="M419" s="13" t="s">
        <v>60</v>
      </c>
      <c r="N419" s="13">
        <v>1</v>
      </c>
      <c r="O419" s="13"/>
      <c r="P419" s="33" t="str">
        <f t="shared" si="127"/>
        <v>MAIN UNIT</v>
      </c>
      <c r="Q419" s="13" t="s">
        <v>61</v>
      </c>
      <c r="R419" s="13" t="s">
        <v>62</v>
      </c>
      <c r="S419" s="13" t="s">
        <v>50</v>
      </c>
      <c r="T419" s="13" t="s">
        <v>69</v>
      </c>
      <c r="U419" s="13" t="s">
        <v>70</v>
      </c>
      <c r="V419" s="13" t="s">
        <v>71</v>
      </c>
      <c r="W419" s="13" t="s">
        <v>64</v>
      </c>
      <c r="X419" s="135">
        <v>910000</v>
      </c>
      <c r="Y419" s="157" t="str">
        <f t="shared" si="139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22"/>
        <v>31750699.113741599</v>
      </c>
      <c r="AJ419" s="19">
        <f t="shared" si="123"/>
        <v>4396077.3195289988</v>
      </c>
      <c r="AK419" s="20">
        <f t="shared" si="132"/>
        <v>0.13845607946397598</v>
      </c>
      <c r="AL419" s="17"/>
      <c r="AM419" s="17"/>
      <c r="AN419" s="17"/>
      <c r="AO419" s="17"/>
      <c r="AP419" s="28" t="str">
        <f t="shared" si="133"/>
        <v>20222</v>
      </c>
      <c r="AQ419" s="28" t="str">
        <f t="shared" si="134"/>
        <v>20222RMB</v>
      </c>
      <c r="AR419" s="206" t="str">
        <f t="shared" si="135"/>
        <v>YAMAHA_Mounter</v>
      </c>
      <c r="AS419" s="22">
        <f t="shared" si="136"/>
        <v>5</v>
      </c>
      <c r="AT419" s="24" t="str">
        <f t="shared" si="137"/>
        <v>4-6 months</v>
      </c>
      <c r="AU419" s="22" t="s">
        <v>3240</v>
      </c>
    </row>
    <row r="420" spans="1:47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54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3030</v>
      </c>
      <c r="K420" s="155" t="s">
        <v>3031</v>
      </c>
      <c r="L420" s="17" t="s">
        <v>3032</v>
      </c>
      <c r="M420" s="13" t="s">
        <v>2054</v>
      </c>
      <c r="N420" s="13">
        <v>1</v>
      </c>
      <c r="O420" s="13"/>
      <c r="P420" s="33" t="str">
        <f t="shared" si="127"/>
        <v>MAIN UNIT</v>
      </c>
      <c r="Q420" s="13" t="s">
        <v>68</v>
      </c>
      <c r="R420" s="13" t="s">
        <v>2055</v>
      </c>
      <c r="S420" s="13" t="s">
        <v>50</v>
      </c>
      <c r="T420" s="13" t="s">
        <v>69</v>
      </c>
      <c r="U420" s="13" t="s">
        <v>70</v>
      </c>
      <c r="V420" s="13" t="s">
        <v>71</v>
      </c>
      <c r="W420" s="13" t="s">
        <v>64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22"/>
        <v>31017966.201968137</v>
      </c>
      <c r="AJ420" s="19">
        <f t="shared" si="123"/>
        <v>4704250.3347305888</v>
      </c>
      <c r="AK420" s="20">
        <f t="shared" si="132"/>
        <v>0.15166211427595458</v>
      </c>
      <c r="AL420" s="17"/>
      <c r="AM420" s="17"/>
      <c r="AN420" s="17"/>
      <c r="AO420" s="17"/>
      <c r="AP420" s="28" t="str">
        <f t="shared" si="133"/>
        <v>202211</v>
      </c>
      <c r="AQ420" s="28" t="str">
        <f t="shared" si="134"/>
        <v>202211RMB</v>
      </c>
      <c r="AR420" s="206" t="str">
        <f t="shared" si="135"/>
        <v>SOLDERSTAR</v>
      </c>
      <c r="AS420" s="22">
        <f t="shared" si="136"/>
        <v>1</v>
      </c>
      <c r="AT420" s="24" t="str">
        <f t="shared" si="137"/>
        <v>0-3 months</v>
      </c>
      <c r="AU420" s="22" t="s">
        <v>3240</v>
      </c>
    </row>
    <row r="421" spans="1:47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41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65</v>
      </c>
      <c r="K421" s="155" t="s">
        <v>66</v>
      </c>
      <c r="L421" s="17" t="s">
        <v>67</v>
      </c>
      <c r="M421" s="13" t="s">
        <v>60</v>
      </c>
      <c r="N421" s="13">
        <v>1</v>
      </c>
      <c r="O421" s="13"/>
      <c r="P421" s="33" t="str">
        <f t="shared" si="127"/>
        <v>MAIN UNIT</v>
      </c>
      <c r="Q421" s="13" t="s">
        <v>68</v>
      </c>
      <c r="R421" s="13" t="s">
        <v>62</v>
      </c>
      <c r="S421" s="13" t="s">
        <v>50</v>
      </c>
      <c r="T421" s="13" t="s">
        <v>69</v>
      </c>
      <c r="U421" s="13" t="s">
        <v>70</v>
      </c>
      <c r="V421" s="13" t="s">
        <v>71</v>
      </c>
      <c r="W421" s="13" t="s">
        <v>64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22"/>
        <v>29288201.603076916</v>
      </c>
      <c r="AJ421" s="19">
        <f t="shared" si="123"/>
        <v>3870159.1769246152</v>
      </c>
      <c r="AK421" s="20">
        <f t="shared" si="132"/>
        <v>0.13214055370740244</v>
      </c>
      <c r="AL421" s="17" t="s">
        <v>72</v>
      </c>
      <c r="AM421" s="17">
        <v>983000</v>
      </c>
      <c r="AN421" s="17" t="s">
        <v>73</v>
      </c>
      <c r="AO421" s="17" t="s">
        <v>74</v>
      </c>
      <c r="AP421" s="28" t="str">
        <f t="shared" si="133"/>
        <v>20184</v>
      </c>
      <c r="AQ421" s="28" t="str">
        <f t="shared" si="134"/>
        <v>20184RMB</v>
      </c>
      <c r="AR421" s="206" t="str">
        <f t="shared" si="135"/>
        <v>YAMAHA_Mounter</v>
      </c>
      <c r="AS421" s="22">
        <f t="shared" si="136"/>
        <v>8</v>
      </c>
      <c r="AT421" s="24" t="str">
        <f t="shared" si="137"/>
        <v>&gt; 6 months</v>
      </c>
      <c r="AU421" s="22" t="s">
        <v>3240</v>
      </c>
    </row>
    <row r="422" spans="1:47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48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1193</v>
      </c>
      <c r="K422" s="155" t="s">
        <v>66</v>
      </c>
      <c r="L422" s="17" t="s">
        <v>92</v>
      </c>
      <c r="M422" s="13" t="s">
        <v>60</v>
      </c>
      <c r="N422" s="13">
        <v>1</v>
      </c>
      <c r="O422" s="13"/>
      <c r="P422" s="33" t="str">
        <f t="shared" si="127"/>
        <v>MAIN UNIT</v>
      </c>
      <c r="Q422" s="13" t="s">
        <v>61</v>
      </c>
      <c r="R422" s="13" t="s">
        <v>62</v>
      </c>
      <c r="S422" s="13" t="s">
        <v>50</v>
      </c>
      <c r="T422" s="13" t="s">
        <v>69</v>
      </c>
      <c r="U422" s="13" t="s">
        <v>70</v>
      </c>
      <c r="V422" s="13" t="s">
        <v>1194</v>
      </c>
      <c r="W422" s="13" t="s">
        <v>703</v>
      </c>
      <c r="X422" s="135">
        <v>956702</v>
      </c>
      <c r="Y422" s="156" t="s">
        <v>1110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22"/>
        <v>35384300.169380538</v>
      </c>
      <c r="AJ422" s="19">
        <f t="shared" si="123"/>
        <v>5044538.8896988509</v>
      </c>
      <c r="AK422" s="20">
        <f t="shared" si="132"/>
        <v>0.14256432557804533</v>
      </c>
      <c r="AL422" s="17"/>
      <c r="AM422" s="17"/>
      <c r="AN422" s="17"/>
      <c r="AO422" s="17"/>
      <c r="AP422" s="28" t="str">
        <f t="shared" si="133"/>
        <v>20207</v>
      </c>
      <c r="AQ422" s="28" t="str">
        <f t="shared" si="134"/>
        <v>20207RMB</v>
      </c>
      <c r="AR422" s="206" t="str">
        <f t="shared" si="135"/>
        <v>YAMAHA_Mounter</v>
      </c>
      <c r="AS422" s="22">
        <f t="shared" si="136"/>
        <v>2</v>
      </c>
      <c r="AT422" s="24" t="str">
        <f t="shared" si="137"/>
        <v>0-3 months</v>
      </c>
      <c r="AU422" s="22" t="s">
        <v>3240</v>
      </c>
    </row>
    <row r="423" spans="1:47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53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1899</v>
      </c>
      <c r="K423" s="155" t="s">
        <v>66</v>
      </c>
      <c r="L423" s="17" t="s">
        <v>67</v>
      </c>
      <c r="M423" s="13" t="s">
        <v>60</v>
      </c>
      <c r="N423" s="13">
        <v>1</v>
      </c>
      <c r="O423" s="13"/>
      <c r="P423" s="33" t="str">
        <f t="shared" si="127"/>
        <v>MAIN UNIT</v>
      </c>
      <c r="Q423" s="13" t="s">
        <v>61</v>
      </c>
      <c r="R423" s="13" t="s">
        <v>62</v>
      </c>
      <c r="S423" s="13" t="s">
        <v>50</v>
      </c>
      <c r="T423" s="13" t="s">
        <v>69</v>
      </c>
      <c r="U423" s="13" t="s">
        <v>70</v>
      </c>
      <c r="V423" s="13" t="s">
        <v>71</v>
      </c>
      <c r="W423" s="13" t="s">
        <v>64</v>
      </c>
      <c r="X423" s="135">
        <v>750000</v>
      </c>
      <c r="Y423" s="157" t="str">
        <f t="shared" ref="Y423:Y447" si="140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22"/>
        <v>29500529.005044252</v>
      </c>
      <c r="AJ423" s="19">
        <f t="shared" si="123"/>
        <v>3253064.846231177</v>
      </c>
      <c r="AK423" s="20">
        <f t="shared" si="132"/>
        <v>0.11027140718984871</v>
      </c>
      <c r="AL423" s="17"/>
      <c r="AM423" s="17"/>
      <c r="AN423" s="17"/>
      <c r="AO423" s="17"/>
      <c r="AP423" s="28" t="str">
        <f t="shared" si="133"/>
        <v>202111</v>
      </c>
      <c r="AQ423" s="28" t="str">
        <f t="shared" si="134"/>
        <v>202111RMB</v>
      </c>
      <c r="AR423" s="206" t="str">
        <f t="shared" si="135"/>
        <v>YAMAHA_Mounter</v>
      </c>
      <c r="AS423" s="22">
        <f t="shared" si="136"/>
        <v>3</v>
      </c>
      <c r="AT423" s="24" t="str">
        <f t="shared" si="137"/>
        <v>0-3 months</v>
      </c>
      <c r="AU423" s="22" t="s">
        <v>3240</v>
      </c>
    </row>
    <row r="424" spans="1:47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53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1964</v>
      </c>
      <c r="K424" s="155" t="s">
        <v>66</v>
      </c>
      <c r="L424" s="17" t="s">
        <v>1965</v>
      </c>
      <c r="M424" s="13" t="s">
        <v>377</v>
      </c>
      <c r="N424" s="13">
        <v>0</v>
      </c>
      <c r="O424" s="13">
        <v>1</v>
      </c>
      <c r="P424" s="33" t="str">
        <f t="shared" si="127"/>
        <v>SERVICE/ PARTS</v>
      </c>
      <c r="Q424" s="13" t="s">
        <v>61</v>
      </c>
      <c r="R424" s="13" t="s">
        <v>62</v>
      </c>
      <c r="S424" s="13" t="s">
        <v>50</v>
      </c>
      <c r="T424" s="13" t="s">
        <v>69</v>
      </c>
      <c r="U424" s="13" t="s">
        <v>70</v>
      </c>
      <c r="V424" s="13" t="s">
        <v>71</v>
      </c>
      <c r="W424" s="13" t="s">
        <v>64</v>
      </c>
      <c r="X424" s="135">
        <v>6175</v>
      </c>
      <c r="Y424" s="157" t="str">
        <f t="shared" si="140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22"/>
        <v>31750699.113741599</v>
      </c>
      <c r="AJ424" s="19">
        <f t="shared" si="123"/>
        <v>4396077.3195289988</v>
      </c>
      <c r="AK424" s="20">
        <f t="shared" si="132"/>
        <v>0.13845607946397598</v>
      </c>
      <c r="AL424" s="17"/>
      <c r="AM424" s="17"/>
      <c r="AN424" s="17"/>
      <c r="AO424" s="17"/>
      <c r="AP424" s="28" t="str">
        <f t="shared" si="133"/>
        <v>20222</v>
      </c>
      <c r="AQ424" s="28" t="str">
        <f t="shared" si="134"/>
        <v>20222RMB</v>
      </c>
      <c r="AR424" s="206" t="str">
        <f t="shared" si="135"/>
        <v>LOCAL SUPPLIER</v>
      </c>
      <c r="AS424" s="22">
        <f t="shared" si="136"/>
        <v>3</v>
      </c>
      <c r="AT424" s="24" t="str">
        <f t="shared" si="137"/>
        <v>0-3 months</v>
      </c>
      <c r="AU424" s="22" t="s">
        <v>3240</v>
      </c>
    </row>
    <row r="425" spans="1:47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53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1964</v>
      </c>
      <c r="K425" s="155" t="s">
        <v>66</v>
      </c>
      <c r="L425" s="17" t="s">
        <v>1965</v>
      </c>
      <c r="M425" s="13" t="s">
        <v>377</v>
      </c>
      <c r="N425" s="13">
        <v>0</v>
      </c>
      <c r="O425" s="13">
        <v>1</v>
      </c>
      <c r="P425" s="33" t="str">
        <f t="shared" si="127"/>
        <v>SERVICE/ PARTS</v>
      </c>
      <c r="Q425" s="13" t="s">
        <v>61</v>
      </c>
      <c r="R425" s="13" t="s">
        <v>62</v>
      </c>
      <c r="S425" s="13" t="s">
        <v>50</v>
      </c>
      <c r="T425" s="13" t="s">
        <v>69</v>
      </c>
      <c r="U425" s="13" t="s">
        <v>70</v>
      </c>
      <c r="V425" s="13" t="s">
        <v>71</v>
      </c>
      <c r="W425" s="13" t="s">
        <v>64</v>
      </c>
      <c r="X425" s="135">
        <v>6175</v>
      </c>
      <c r="Y425" s="157" t="str">
        <f t="shared" si="140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22"/>
        <v>31750699.113741599</v>
      </c>
      <c r="AJ425" s="19">
        <f t="shared" si="123"/>
        <v>4396077.3195289988</v>
      </c>
      <c r="AK425" s="20">
        <f t="shared" si="132"/>
        <v>0.13845607946397598</v>
      </c>
      <c r="AL425" s="17"/>
      <c r="AM425" s="17"/>
      <c r="AN425" s="17"/>
      <c r="AO425" s="17"/>
      <c r="AP425" s="28" t="str">
        <f t="shared" si="133"/>
        <v>20222</v>
      </c>
      <c r="AQ425" s="28" t="str">
        <f t="shared" si="134"/>
        <v>20222RMB</v>
      </c>
      <c r="AR425" s="206" t="str">
        <f t="shared" si="135"/>
        <v>LOCAL SUPPLIER</v>
      </c>
      <c r="AS425" s="22">
        <f t="shared" si="136"/>
        <v>3</v>
      </c>
      <c r="AT425" s="24" t="str">
        <f t="shared" si="137"/>
        <v>0-3 months</v>
      </c>
      <c r="AU425" s="22" t="s">
        <v>3240</v>
      </c>
    </row>
    <row r="426" spans="1:47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53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1964</v>
      </c>
      <c r="K426" s="155" t="s">
        <v>66</v>
      </c>
      <c r="L426" s="17" t="s">
        <v>1965</v>
      </c>
      <c r="M426" s="13" t="s">
        <v>377</v>
      </c>
      <c r="N426" s="13">
        <v>0</v>
      </c>
      <c r="O426" s="13">
        <v>1</v>
      </c>
      <c r="P426" s="33" t="str">
        <f t="shared" si="127"/>
        <v>SERVICE/ PARTS</v>
      </c>
      <c r="Q426" s="13" t="s">
        <v>61</v>
      </c>
      <c r="R426" s="13" t="s">
        <v>62</v>
      </c>
      <c r="S426" s="13" t="s">
        <v>50</v>
      </c>
      <c r="T426" s="13" t="s">
        <v>69</v>
      </c>
      <c r="U426" s="13" t="s">
        <v>70</v>
      </c>
      <c r="V426" s="13" t="s">
        <v>71</v>
      </c>
      <c r="W426" s="13" t="s">
        <v>64</v>
      </c>
      <c r="X426" s="135">
        <v>6175</v>
      </c>
      <c r="Y426" s="157" t="str">
        <f t="shared" si="140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22"/>
        <v>31750699.113741599</v>
      </c>
      <c r="AJ426" s="19">
        <f t="shared" si="123"/>
        <v>4396077.3195289988</v>
      </c>
      <c r="AK426" s="20">
        <f t="shared" si="132"/>
        <v>0.13845607946397598</v>
      </c>
      <c r="AL426" s="17"/>
      <c r="AM426" s="17"/>
      <c r="AN426" s="17"/>
      <c r="AO426" s="17"/>
      <c r="AP426" s="28" t="str">
        <f t="shared" si="133"/>
        <v>20222</v>
      </c>
      <c r="AQ426" s="28" t="str">
        <f t="shared" si="134"/>
        <v>20222RMB</v>
      </c>
      <c r="AR426" s="206" t="str">
        <f t="shared" si="135"/>
        <v>LOCAL SUPPLIER</v>
      </c>
      <c r="AS426" s="22">
        <f t="shared" si="136"/>
        <v>3</v>
      </c>
      <c r="AT426" s="24" t="str">
        <f t="shared" si="137"/>
        <v>0-3 months</v>
      </c>
      <c r="AU426" s="22" t="s">
        <v>3240</v>
      </c>
    </row>
    <row r="427" spans="1:47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53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1964</v>
      </c>
      <c r="K427" s="155" t="s">
        <v>66</v>
      </c>
      <c r="L427" s="17" t="s">
        <v>1965</v>
      </c>
      <c r="M427" s="13" t="s">
        <v>377</v>
      </c>
      <c r="N427" s="13">
        <v>0</v>
      </c>
      <c r="O427" s="13">
        <v>1</v>
      </c>
      <c r="P427" s="33" t="str">
        <f t="shared" si="127"/>
        <v>SERVICE/ PARTS</v>
      </c>
      <c r="Q427" s="13" t="s">
        <v>61</v>
      </c>
      <c r="R427" s="13" t="s">
        <v>62</v>
      </c>
      <c r="S427" s="13" t="s">
        <v>50</v>
      </c>
      <c r="T427" s="13" t="s">
        <v>69</v>
      </c>
      <c r="U427" s="13" t="s">
        <v>70</v>
      </c>
      <c r="V427" s="13" t="s">
        <v>71</v>
      </c>
      <c r="W427" s="13" t="s">
        <v>64</v>
      </c>
      <c r="X427" s="135">
        <v>6175</v>
      </c>
      <c r="Y427" s="157" t="str">
        <f t="shared" si="140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22"/>
        <v>31750699.113741599</v>
      </c>
      <c r="AJ427" s="19">
        <f t="shared" si="123"/>
        <v>4396077.3195289988</v>
      </c>
      <c r="AK427" s="20">
        <f t="shared" si="132"/>
        <v>0.13845607946397598</v>
      </c>
      <c r="AL427" s="17"/>
      <c r="AM427" s="17"/>
      <c r="AN427" s="17"/>
      <c r="AO427" s="17"/>
      <c r="AP427" s="28" t="str">
        <f t="shared" si="133"/>
        <v>20222</v>
      </c>
      <c r="AQ427" s="28" t="str">
        <f t="shared" si="134"/>
        <v>20222RMB</v>
      </c>
      <c r="AR427" s="206" t="str">
        <f t="shared" si="135"/>
        <v>LOCAL SUPPLIER</v>
      </c>
      <c r="AS427" s="22">
        <f t="shared" si="136"/>
        <v>3</v>
      </c>
      <c r="AT427" s="24" t="str">
        <f t="shared" si="137"/>
        <v>0-3 months</v>
      </c>
      <c r="AU427" s="22" t="s">
        <v>3240</v>
      </c>
    </row>
    <row r="428" spans="1:47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53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1964</v>
      </c>
      <c r="K428" s="155" t="s">
        <v>66</v>
      </c>
      <c r="L428" s="17" t="s">
        <v>1965</v>
      </c>
      <c r="M428" s="13" t="s">
        <v>377</v>
      </c>
      <c r="N428" s="13">
        <v>0</v>
      </c>
      <c r="O428" s="13">
        <v>1</v>
      </c>
      <c r="P428" s="33" t="str">
        <f t="shared" si="127"/>
        <v>SERVICE/ PARTS</v>
      </c>
      <c r="Q428" s="13" t="s">
        <v>61</v>
      </c>
      <c r="R428" s="13" t="s">
        <v>62</v>
      </c>
      <c r="S428" s="13" t="s">
        <v>50</v>
      </c>
      <c r="T428" s="13" t="s">
        <v>69</v>
      </c>
      <c r="U428" s="13" t="s">
        <v>70</v>
      </c>
      <c r="V428" s="13" t="s">
        <v>71</v>
      </c>
      <c r="W428" s="13" t="s">
        <v>64</v>
      </c>
      <c r="X428" s="135">
        <v>6175</v>
      </c>
      <c r="Y428" s="157" t="str">
        <f t="shared" si="140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22"/>
        <v>31750699.113741599</v>
      </c>
      <c r="AJ428" s="19">
        <f t="shared" si="123"/>
        <v>4396077.3195289988</v>
      </c>
      <c r="AK428" s="20">
        <f t="shared" si="132"/>
        <v>0.13845607946397598</v>
      </c>
      <c r="AL428" s="17"/>
      <c r="AM428" s="17"/>
      <c r="AN428" s="17"/>
      <c r="AO428" s="17"/>
      <c r="AP428" s="28" t="str">
        <f t="shared" si="133"/>
        <v>20222</v>
      </c>
      <c r="AQ428" s="28" t="str">
        <f t="shared" si="134"/>
        <v>20222RMB</v>
      </c>
      <c r="AR428" s="206" t="str">
        <f t="shared" si="135"/>
        <v>LOCAL SUPPLIER</v>
      </c>
      <c r="AS428" s="22">
        <f t="shared" si="136"/>
        <v>3</v>
      </c>
      <c r="AT428" s="24" t="str">
        <f t="shared" si="137"/>
        <v>0-3 months</v>
      </c>
      <c r="AU428" s="22" t="s">
        <v>3240</v>
      </c>
    </row>
    <row r="429" spans="1:47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53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1964</v>
      </c>
      <c r="K429" s="155" t="s">
        <v>66</v>
      </c>
      <c r="L429" s="17" t="s">
        <v>1965</v>
      </c>
      <c r="M429" s="13" t="s">
        <v>377</v>
      </c>
      <c r="N429" s="13">
        <v>0</v>
      </c>
      <c r="O429" s="13">
        <v>1</v>
      </c>
      <c r="P429" s="33" t="str">
        <f t="shared" si="127"/>
        <v>SERVICE/ PARTS</v>
      </c>
      <c r="Q429" s="13" t="s">
        <v>61</v>
      </c>
      <c r="R429" s="13" t="s">
        <v>62</v>
      </c>
      <c r="S429" s="13" t="s">
        <v>50</v>
      </c>
      <c r="T429" s="13" t="s">
        <v>69</v>
      </c>
      <c r="U429" s="13" t="s">
        <v>70</v>
      </c>
      <c r="V429" s="13" t="s">
        <v>71</v>
      </c>
      <c r="W429" s="13" t="s">
        <v>64</v>
      </c>
      <c r="X429" s="135">
        <v>6175</v>
      </c>
      <c r="Y429" s="157" t="str">
        <f t="shared" si="140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22"/>
        <v>31750699.113741599</v>
      </c>
      <c r="AJ429" s="19">
        <f t="shared" si="123"/>
        <v>4396077.3195289988</v>
      </c>
      <c r="AK429" s="20">
        <f t="shared" si="132"/>
        <v>0.13845607946397598</v>
      </c>
      <c r="AL429" s="17"/>
      <c r="AM429" s="17"/>
      <c r="AN429" s="17"/>
      <c r="AO429" s="17"/>
      <c r="AP429" s="28" t="str">
        <f t="shared" si="133"/>
        <v>20222</v>
      </c>
      <c r="AQ429" s="28" t="str">
        <f t="shared" si="134"/>
        <v>20222RMB</v>
      </c>
      <c r="AR429" s="206" t="str">
        <f t="shared" si="135"/>
        <v>LOCAL SUPPLIER</v>
      </c>
      <c r="AS429" s="22">
        <f t="shared" si="136"/>
        <v>3</v>
      </c>
      <c r="AT429" s="24" t="str">
        <f t="shared" si="137"/>
        <v>0-3 months</v>
      </c>
      <c r="AU429" s="22" t="s">
        <v>3240</v>
      </c>
    </row>
    <row r="430" spans="1:47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53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1964</v>
      </c>
      <c r="K430" s="155" t="s">
        <v>66</v>
      </c>
      <c r="L430" s="17" t="s">
        <v>1966</v>
      </c>
      <c r="M430" s="13" t="s">
        <v>377</v>
      </c>
      <c r="N430" s="13">
        <v>0</v>
      </c>
      <c r="O430" s="13">
        <v>1</v>
      </c>
      <c r="P430" s="33" t="str">
        <f t="shared" si="127"/>
        <v>SERVICE/ PARTS</v>
      </c>
      <c r="Q430" s="13" t="s">
        <v>61</v>
      </c>
      <c r="R430" s="13" t="s">
        <v>62</v>
      </c>
      <c r="S430" s="13" t="s">
        <v>50</v>
      </c>
      <c r="T430" s="13" t="s">
        <v>69</v>
      </c>
      <c r="U430" s="13" t="s">
        <v>70</v>
      </c>
      <c r="V430" s="13" t="s">
        <v>71</v>
      </c>
      <c r="W430" s="13" t="s">
        <v>64</v>
      </c>
      <c r="X430" s="135">
        <v>7505</v>
      </c>
      <c r="Y430" s="157" t="str">
        <f t="shared" si="140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22"/>
        <v>31750699.113741599</v>
      </c>
      <c r="AJ430" s="19">
        <f t="shared" si="123"/>
        <v>4396077.3195289988</v>
      </c>
      <c r="AK430" s="20">
        <f t="shared" si="132"/>
        <v>0.13845607946397598</v>
      </c>
      <c r="AL430" s="17"/>
      <c r="AM430" s="17"/>
      <c r="AN430" s="17"/>
      <c r="AO430" s="17"/>
      <c r="AP430" s="28" t="str">
        <f t="shared" si="133"/>
        <v>20222</v>
      </c>
      <c r="AQ430" s="28" t="str">
        <f t="shared" si="134"/>
        <v>20222RMB</v>
      </c>
      <c r="AR430" s="206" t="str">
        <f t="shared" si="135"/>
        <v>LOCAL SUPPLIER</v>
      </c>
      <c r="AS430" s="22">
        <f t="shared" si="136"/>
        <v>3</v>
      </c>
      <c r="AT430" s="24" t="str">
        <f t="shared" si="137"/>
        <v>0-3 months</v>
      </c>
      <c r="AU430" s="22" t="s">
        <v>3240</v>
      </c>
    </row>
    <row r="431" spans="1:47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53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1964</v>
      </c>
      <c r="K431" s="155" t="s">
        <v>66</v>
      </c>
      <c r="L431" s="17" t="s">
        <v>1966</v>
      </c>
      <c r="M431" s="13" t="s">
        <v>377</v>
      </c>
      <c r="N431" s="13">
        <v>0</v>
      </c>
      <c r="O431" s="13">
        <v>1</v>
      </c>
      <c r="P431" s="33" t="str">
        <f t="shared" si="127"/>
        <v>SERVICE/ PARTS</v>
      </c>
      <c r="Q431" s="13" t="s">
        <v>61</v>
      </c>
      <c r="R431" s="13" t="s">
        <v>62</v>
      </c>
      <c r="S431" s="13" t="s">
        <v>50</v>
      </c>
      <c r="T431" s="13" t="s">
        <v>69</v>
      </c>
      <c r="U431" s="13" t="s">
        <v>70</v>
      </c>
      <c r="V431" s="13" t="s">
        <v>71</v>
      </c>
      <c r="W431" s="13" t="s">
        <v>64</v>
      </c>
      <c r="X431" s="135">
        <v>7505</v>
      </c>
      <c r="Y431" s="157" t="str">
        <f t="shared" si="140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22"/>
        <v>31750699.113741599</v>
      </c>
      <c r="AJ431" s="19">
        <f t="shared" si="123"/>
        <v>4396077.3195289988</v>
      </c>
      <c r="AK431" s="20">
        <f t="shared" si="132"/>
        <v>0.13845607946397598</v>
      </c>
      <c r="AL431" s="17"/>
      <c r="AM431" s="17"/>
      <c r="AN431" s="17"/>
      <c r="AO431" s="17"/>
      <c r="AP431" s="28" t="str">
        <f t="shared" si="133"/>
        <v>20222</v>
      </c>
      <c r="AQ431" s="28" t="str">
        <f t="shared" si="134"/>
        <v>20222RMB</v>
      </c>
      <c r="AR431" s="206" t="str">
        <f t="shared" si="135"/>
        <v>LOCAL SUPPLIER</v>
      </c>
      <c r="AS431" s="22">
        <f t="shared" si="136"/>
        <v>3</v>
      </c>
      <c r="AT431" s="24" t="str">
        <f t="shared" si="137"/>
        <v>0-3 months</v>
      </c>
      <c r="AU431" s="22" t="s">
        <v>3240</v>
      </c>
    </row>
    <row r="432" spans="1:47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48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2896</v>
      </c>
      <c r="K432" s="155" t="s">
        <v>66</v>
      </c>
      <c r="L432" s="17" t="s">
        <v>2889</v>
      </c>
      <c r="M432" s="13" t="s">
        <v>377</v>
      </c>
      <c r="N432" s="13">
        <v>1</v>
      </c>
      <c r="O432" s="13"/>
      <c r="P432" s="33" t="str">
        <f t="shared" si="127"/>
        <v>MAIN UNIT</v>
      </c>
      <c r="Q432" s="13" t="s">
        <v>61</v>
      </c>
      <c r="R432" s="13" t="s">
        <v>2055</v>
      </c>
      <c r="S432" s="13" t="s">
        <v>50</v>
      </c>
      <c r="T432" s="13" t="s">
        <v>69</v>
      </c>
      <c r="U432" s="13" t="s">
        <v>70</v>
      </c>
      <c r="V432" s="13" t="s">
        <v>1194</v>
      </c>
      <c r="W432" s="13" t="s">
        <v>703</v>
      </c>
      <c r="X432" s="135">
        <v>270750</v>
      </c>
      <c r="Y432" s="157" t="str">
        <f t="shared" si="140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22"/>
        <v>37969334.083628319</v>
      </c>
      <c r="AJ432" s="19">
        <f t="shared" si="123"/>
        <v>5097226.4551657084</v>
      </c>
      <c r="AK432" s="20">
        <f t="shared" si="132"/>
        <v>0.13424587441904964</v>
      </c>
      <c r="AL432" s="17"/>
      <c r="AM432" s="17"/>
      <c r="AN432" s="17"/>
      <c r="AO432" s="17"/>
      <c r="AP432" s="28" t="str">
        <f t="shared" si="133"/>
        <v>20208</v>
      </c>
      <c r="AQ432" s="28" t="str">
        <f t="shared" si="134"/>
        <v>20208RMB</v>
      </c>
      <c r="AR432" s="206" t="str">
        <f t="shared" si="135"/>
        <v>LOCAL SUPPLIER</v>
      </c>
      <c r="AS432" s="22">
        <f t="shared" si="136"/>
        <v>1</v>
      </c>
      <c r="AT432" s="24" t="str">
        <f t="shared" si="137"/>
        <v>0-3 months</v>
      </c>
      <c r="AU432" s="22" t="s">
        <v>3240</v>
      </c>
    </row>
    <row r="433" spans="1:47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48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1193</v>
      </c>
      <c r="K433" s="155" t="s">
        <v>66</v>
      </c>
      <c r="L433" s="17" t="s">
        <v>2780</v>
      </c>
      <c r="M433" s="13" t="s">
        <v>60</v>
      </c>
      <c r="N433" s="13">
        <v>1</v>
      </c>
      <c r="O433" s="13"/>
      <c r="P433" s="33" t="str">
        <f t="shared" si="127"/>
        <v>MAIN UNIT</v>
      </c>
      <c r="Q433" s="13" t="s">
        <v>61</v>
      </c>
      <c r="R433" s="13" t="s">
        <v>2055</v>
      </c>
      <c r="S433" s="13" t="s">
        <v>50</v>
      </c>
      <c r="T433" s="13" t="s">
        <v>69</v>
      </c>
      <c r="U433" s="13" t="s">
        <v>70</v>
      </c>
      <c r="V433" s="13" t="s">
        <v>1194</v>
      </c>
      <c r="W433" s="13" t="s">
        <v>703</v>
      </c>
      <c r="X433" s="135">
        <v>427500</v>
      </c>
      <c r="Y433" s="157" t="str">
        <f t="shared" si="140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22"/>
        <v>35384300.169380538</v>
      </c>
      <c r="AJ433" s="19">
        <f t="shared" si="123"/>
        <v>5044538.8896988509</v>
      </c>
      <c r="AK433" s="20">
        <f t="shared" si="132"/>
        <v>0.14256432557804533</v>
      </c>
      <c r="AL433" s="17"/>
      <c r="AM433" s="17"/>
      <c r="AN433" s="17"/>
      <c r="AO433" s="17"/>
      <c r="AP433" s="28" t="str">
        <f t="shared" si="133"/>
        <v>20207</v>
      </c>
      <c r="AQ433" s="28" t="str">
        <f t="shared" si="134"/>
        <v>20207RMB</v>
      </c>
      <c r="AR433" s="206" t="str">
        <f t="shared" si="135"/>
        <v>YAMAHA_Non_Mounter</v>
      </c>
      <c r="AS433" s="22">
        <f t="shared" si="136"/>
        <v>2</v>
      </c>
      <c r="AT433" s="24" t="str">
        <f t="shared" si="137"/>
        <v>0-3 months</v>
      </c>
      <c r="AU433" s="22" t="s">
        <v>3240</v>
      </c>
    </row>
    <row r="434" spans="1:47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48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1193</v>
      </c>
      <c r="K434" s="155" t="s">
        <v>66</v>
      </c>
      <c r="L434" s="17" t="s">
        <v>2620</v>
      </c>
      <c r="M434" s="13" t="s">
        <v>60</v>
      </c>
      <c r="N434" s="13">
        <v>1</v>
      </c>
      <c r="O434" s="13"/>
      <c r="P434" s="33" t="str">
        <f t="shared" si="127"/>
        <v>MAIN UNIT</v>
      </c>
      <c r="Q434" s="13" t="s">
        <v>61</v>
      </c>
      <c r="R434" s="13" t="s">
        <v>2055</v>
      </c>
      <c r="S434" s="13" t="s">
        <v>50</v>
      </c>
      <c r="T434" s="13" t="s">
        <v>69</v>
      </c>
      <c r="U434" s="13" t="s">
        <v>70</v>
      </c>
      <c r="V434" s="13" t="s">
        <v>1194</v>
      </c>
      <c r="W434" s="13" t="s">
        <v>703</v>
      </c>
      <c r="X434" s="135">
        <v>508250</v>
      </c>
      <c r="Y434" s="157" t="str">
        <f t="shared" si="140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22"/>
        <v>35384300.169380538</v>
      </c>
      <c r="AJ434" s="19">
        <f t="shared" si="123"/>
        <v>5044538.8896988509</v>
      </c>
      <c r="AK434" s="20">
        <f t="shared" si="132"/>
        <v>0.14256432557804533</v>
      </c>
      <c r="AL434" s="17"/>
      <c r="AM434" s="17"/>
      <c r="AN434" s="17"/>
      <c r="AO434" s="17"/>
      <c r="AP434" s="28" t="str">
        <f t="shared" si="133"/>
        <v>20207</v>
      </c>
      <c r="AQ434" s="28" t="str">
        <f t="shared" si="134"/>
        <v>20207RMB</v>
      </c>
      <c r="AR434" s="206" t="str">
        <f t="shared" si="135"/>
        <v>YAMAHA_Non_Mounter</v>
      </c>
      <c r="AS434" s="22">
        <f t="shared" si="136"/>
        <v>2</v>
      </c>
      <c r="AT434" s="24" t="str">
        <f t="shared" si="137"/>
        <v>0-3 months</v>
      </c>
      <c r="AU434" s="22" t="s">
        <v>3240</v>
      </c>
    </row>
    <row r="435" spans="1:47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48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1193</v>
      </c>
      <c r="K435" s="155" t="s">
        <v>66</v>
      </c>
      <c r="L435" s="17" t="s">
        <v>2905</v>
      </c>
      <c r="M435" s="13" t="s">
        <v>2832</v>
      </c>
      <c r="N435" s="13">
        <v>1</v>
      </c>
      <c r="O435" s="13"/>
      <c r="P435" s="33" t="str">
        <f t="shared" si="127"/>
        <v>MAIN UNIT</v>
      </c>
      <c r="Q435" s="13" t="s">
        <v>61</v>
      </c>
      <c r="R435" s="13" t="s">
        <v>2055</v>
      </c>
      <c r="S435" s="13" t="s">
        <v>50</v>
      </c>
      <c r="T435" s="13" t="s">
        <v>69</v>
      </c>
      <c r="U435" s="13" t="s">
        <v>70</v>
      </c>
      <c r="V435" s="13" t="s">
        <v>1194</v>
      </c>
      <c r="W435" s="13" t="s">
        <v>703</v>
      </c>
      <c r="X435" s="135">
        <v>426550</v>
      </c>
      <c r="Y435" s="157" t="str">
        <f t="shared" si="140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22"/>
        <v>35384300.169380538</v>
      </c>
      <c r="AJ435" s="19">
        <f t="shared" si="123"/>
        <v>5044538.8896988509</v>
      </c>
      <c r="AK435" s="20">
        <f t="shared" si="132"/>
        <v>0.14256432557804533</v>
      </c>
      <c r="AL435" s="17"/>
      <c r="AM435" s="17"/>
      <c r="AN435" s="17"/>
      <c r="AO435" s="17"/>
      <c r="AP435" s="28" t="str">
        <f t="shared" si="133"/>
        <v>20207</v>
      </c>
      <c r="AQ435" s="28" t="str">
        <f t="shared" si="134"/>
        <v>20207RMB</v>
      </c>
      <c r="AR435" s="206" t="str">
        <f t="shared" si="135"/>
        <v>PEMTRON</v>
      </c>
      <c r="AS435" s="22">
        <f t="shared" si="136"/>
        <v>2</v>
      </c>
      <c r="AT435" s="24" t="str">
        <f t="shared" si="137"/>
        <v>0-3 months</v>
      </c>
      <c r="AU435" s="22" t="s">
        <v>3240</v>
      </c>
    </row>
    <row r="436" spans="1:47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48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1193</v>
      </c>
      <c r="K436" s="155" t="s">
        <v>66</v>
      </c>
      <c r="L436" s="17" t="s">
        <v>2889</v>
      </c>
      <c r="M436" s="13" t="s">
        <v>377</v>
      </c>
      <c r="N436" s="13">
        <v>1</v>
      </c>
      <c r="O436" s="13"/>
      <c r="P436" s="33" t="str">
        <f t="shared" si="127"/>
        <v>MAIN UNIT</v>
      </c>
      <c r="Q436" s="13" t="s">
        <v>61</v>
      </c>
      <c r="R436" s="13" t="s">
        <v>2055</v>
      </c>
      <c r="S436" s="13" t="s">
        <v>50</v>
      </c>
      <c r="T436" s="13" t="s">
        <v>69</v>
      </c>
      <c r="U436" s="13" t="s">
        <v>70</v>
      </c>
      <c r="V436" s="13" t="s">
        <v>1194</v>
      </c>
      <c r="W436" s="13" t="s">
        <v>703</v>
      </c>
      <c r="X436" s="135">
        <v>154280</v>
      </c>
      <c r="Y436" s="157" t="str">
        <f t="shared" si="140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22"/>
        <v>35384300.169380538</v>
      </c>
      <c r="AJ436" s="19">
        <f t="shared" si="123"/>
        <v>5044538.8896988509</v>
      </c>
      <c r="AK436" s="20">
        <f t="shared" si="132"/>
        <v>0.14256432557804533</v>
      </c>
      <c r="AL436" s="17"/>
      <c r="AM436" s="17"/>
      <c r="AN436" s="17"/>
      <c r="AO436" s="17"/>
      <c r="AP436" s="28" t="str">
        <f t="shared" si="133"/>
        <v>20207</v>
      </c>
      <c r="AQ436" s="28" t="str">
        <f t="shared" si="134"/>
        <v>20207RMB</v>
      </c>
      <c r="AR436" s="206" t="str">
        <f t="shared" si="135"/>
        <v>LOCAL SUPPLIER</v>
      </c>
      <c r="AS436" s="22">
        <f t="shared" si="136"/>
        <v>2</v>
      </c>
      <c r="AT436" s="24" t="str">
        <f t="shared" si="137"/>
        <v>0-3 months</v>
      </c>
      <c r="AU436" s="22" t="s">
        <v>3240</v>
      </c>
    </row>
    <row r="437" spans="1:47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53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2966</v>
      </c>
      <c r="K437" s="155" t="s">
        <v>66</v>
      </c>
      <c r="L437" s="17" t="s">
        <v>2967</v>
      </c>
      <c r="M437" s="13" t="s">
        <v>2054</v>
      </c>
      <c r="N437" s="13">
        <v>1</v>
      </c>
      <c r="O437" s="13"/>
      <c r="P437" s="33" t="str">
        <f t="shared" si="127"/>
        <v>MAIN UNIT</v>
      </c>
      <c r="Q437" s="13" t="s">
        <v>61</v>
      </c>
      <c r="R437" s="13" t="s">
        <v>2055</v>
      </c>
      <c r="S437" s="13" t="s">
        <v>50</v>
      </c>
      <c r="T437" s="13" t="s">
        <v>69</v>
      </c>
      <c r="U437" s="13" t="s">
        <v>70</v>
      </c>
      <c r="V437" s="13" t="s">
        <v>71</v>
      </c>
      <c r="W437" s="13" t="s">
        <v>64</v>
      </c>
      <c r="X437" s="135">
        <v>68000</v>
      </c>
      <c r="Y437" s="157" t="str">
        <f t="shared" si="140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22"/>
        <v>15533177.71460177</v>
      </c>
      <c r="AJ437" s="19">
        <f t="shared" si="123"/>
        <v>1819298.5437526547</v>
      </c>
      <c r="AK437" s="20">
        <f t="shared" si="132"/>
        <v>0.11712339723265033</v>
      </c>
      <c r="AL437" s="17"/>
      <c r="AM437" s="17"/>
      <c r="AN437" s="17"/>
      <c r="AO437" s="17"/>
      <c r="AP437" s="28" t="str">
        <f t="shared" si="133"/>
        <v>202110</v>
      </c>
      <c r="AQ437" s="28" t="str">
        <f t="shared" si="134"/>
        <v>202110RMB</v>
      </c>
      <c r="AR437" s="206" t="str">
        <f t="shared" si="135"/>
        <v>SOLDERSTAR</v>
      </c>
      <c r="AS437" s="22">
        <f t="shared" si="136"/>
        <v>2</v>
      </c>
      <c r="AT437" s="24" t="str">
        <f t="shared" si="137"/>
        <v>0-3 months</v>
      </c>
      <c r="AU437" s="22" t="s">
        <v>3240</v>
      </c>
    </row>
    <row r="438" spans="1:47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53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1964</v>
      </c>
      <c r="K438" s="155" t="s">
        <v>66</v>
      </c>
      <c r="L438" s="17" t="s">
        <v>2620</v>
      </c>
      <c r="M438" s="13" t="s">
        <v>60</v>
      </c>
      <c r="N438" s="13">
        <v>1</v>
      </c>
      <c r="O438" s="13"/>
      <c r="P438" s="33" t="str">
        <f t="shared" si="127"/>
        <v>MAIN UNIT</v>
      </c>
      <c r="Q438" s="13" t="s">
        <v>61</v>
      </c>
      <c r="R438" s="13" t="s">
        <v>2055</v>
      </c>
      <c r="S438" s="13" t="s">
        <v>50</v>
      </c>
      <c r="T438" s="13" t="s">
        <v>69</v>
      </c>
      <c r="U438" s="13" t="s">
        <v>70</v>
      </c>
      <c r="V438" s="13" t="s">
        <v>71</v>
      </c>
      <c r="W438" s="13" t="s">
        <v>64</v>
      </c>
      <c r="X438" s="135">
        <v>670000</v>
      </c>
      <c r="Y438" s="157" t="str">
        <f t="shared" si="140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22"/>
        <v>31750699.113741599</v>
      </c>
      <c r="AJ438" s="19">
        <f t="shared" si="123"/>
        <v>4396077.3195289988</v>
      </c>
      <c r="AK438" s="20">
        <f t="shared" si="132"/>
        <v>0.13845607946397598</v>
      </c>
      <c r="AL438" s="17"/>
      <c r="AM438" s="17"/>
      <c r="AN438" s="17"/>
      <c r="AO438" s="17"/>
      <c r="AP438" s="28" t="str">
        <f t="shared" si="133"/>
        <v>20222</v>
      </c>
      <c r="AQ438" s="28" t="str">
        <f t="shared" si="134"/>
        <v>20222RMB</v>
      </c>
      <c r="AR438" s="206" t="str">
        <f t="shared" si="135"/>
        <v>YAMAHA_Non_Mounter</v>
      </c>
      <c r="AS438" s="22">
        <f t="shared" si="136"/>
        <v>3</v>
      </c>
      <c r="AT438" s="24" t="str">
        <f t="shared" si="137"/>
        <v>0-3 months</v>
      </c>
      <c r="AU438" s="22" t="s">
        <v>3240</v>
      </c>
    </row>
    <row r="439" spans="1:47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53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1964</v>
      </c>
      <c r="K439" s="155" t="s">
        <v>66</v>
      </c>
      <c r="L439" s="17" t="s">
        <v>2620</v>
      </c>
      <c r="M439" s="13" t="s">
        <v>60</v>
      </c>
      <c r="N439" s="13">
        <v>1</v>
      </c>
      <c r="O439" s="13"/>
      <c r="P439" s="33" t="str">
        <f t="shared" si="127"/>
        <v>MAIN UNIT</v>
      </c>
      <c r="Q439" s="13" t="s">
        <v>61</v>
      </c>
      <c r="R439" s="13" t="s">
        <v>2055</v>
      </c>
      <c r="S439" s="13" t="s">
        <v>50</v>
      </c>
      <c r="T439" s="13" t="s">
        <v>69</v>
      </c>
      <c r="U439" s="13" t="s">
        <v>70</v>
      </c>
      <c r="V439" s="13" t="s">
        <v>71</v>
      </c>
      <c r="W439" s="13" t="s">
        <v>64</v>
      </c>
      <c r="X439" s="135">
        <v>670000</v>
      </c>
      <c r="Y439" s="157" t="str">
        <f t="shared" si="140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22"/>
        <v>31750699.113741599</v>
      </c>
      <c r="AJ439" s="19">
        <f t="shared" si="123"/>
        <v>4396077.3195289988</v>
      </c>
      <c r="AK439" s="20">
        <f t="shared" si="132"/>
        <v>0.13845607946397598</v>
      </c>
      <c r="AL439" s="17"/>
      <c r="AM439" s="17"/>
      <c r="AN439" s="17"/>
      <c r="AO439" s="17"/>
      <c r="AP439" s="28" t="str">
        <f t="shared" si="133"/>
        <v>20222</v>
      </c>
      <c r="AQ439" s="28" t="str">
        <f t="shared" si="134"/>
        <v>20222RMB</v>
      </c>
      <c r="AR439" s="206" t="str">
        <f t="shared" si="135"/>
        <v>YAMAHA_Non_Mounter</v>
      </c>
      <c r="AS439" s="22">
        <f t="shared" si="136"/>
        <v>3</v>
      </c>
      <c r="AT439" s="24" t="str">
        <f t="shared" si="137"/>
        <v>0-3 months</v>
      </c>
      <c r="AU439" s="22" t="s">
        <v>3240</v>
      </c>
    </row>
    <row r="440" spans="1:47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53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1964</v>
      </c>
      <c r="K440" s="155" t="s">
        <v>66</v>
      </c>
      <c r="L440" s="17" t="s">
        <v>2831</v>
      </c>
      <c r="M440" s="13" t="s">
        <v>2832</v>
      </c>
      <c r="N440" s="13">
        <v>1</v>
      </c>
      <c r="O440" s="13"/>
      <c r="P440" s="33" t="str">
        <f t="shared" si="127"/>
        <v>MAIN UNIT</v>
      </c>
      <c r="Q440" s="13" t="s">
        <v>61</v>
      </c>
      <c r="R440" s="13" t="s">
        <v>2055</v>
      </c>
      <c r="S440" s="13" t="s">
        <v>50</v>
      </c>
      <c r="T440" s="13" t="s">
        <v>69</v>
      </c>
      <c r="U440" s="13" t="s">
        <v>70</v>
      </c>
      <c r="V440" s="13" t="s">
        <v>71</v>
      </c>
      <c r="W440" s="13" t="s">
        <v>64</v>
      </c>
      <c r="X440" s="135">
        <v>426550</v>
      </c>
      <c r="Y440" s="157" t="str">
        <f t="shared" si="140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22"/>
        <v>31750699.113741599</v>
      </c>
      <c r="AJ440" s="19">
        <f t="shared" si="123"/>
        <v>4396077.3195289988</v>
      </c>
      <c r="AK440" s="20">
        <f t="shared" si="132"/>
        <v>0.13845607946397598</v>
      </c>
      <c r="AL440" s="17"/>
      <c r="AM440" s="17"/>
      <c r="AN440" s="17"/>
      <c r="AO440" s="17"/>
      <c r="AP440" s="28" t="str">
        <f t="shared" si="133"/>
        <v>20222</v>
      </c>
      <c r="AQ440" s="28" t="str">
        <f t="shared" si="134"/>
        <v>20222RMB</v>
      </c>
      <c r="AR440" s="206" t="str">
        <f t="shared" si="135"/>
        <v>PEMTRON</v>
      </c>
      <c r="AS440" s="22">
        <f t="shared" si="136"/>
        <v>3</v>
      </c>
      <c r="AT440" s="24" t="str">
        <f t="shared" si="137"/>
        <v>0-3 months</v>
      </c>
      <c r="AU440" s="22" t="s">
        <v>3240</v>
      </c>
    </row>
    <row r="441" spans="1:47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53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1964</v>
      </c>
      <c r="K441" s="155" t="s">
        <v>66</v>
      </c>
      <c r="L441" s="17" t="s">
        <v>2831</v>
      </c>
      <c r="M441" s="13" t="s">
        <v>2832</v>
      </c>
      <c r="N441" s="13">
        <v>1</v>
      </c>
      <c r="O441" s="13"/>
      <c r="P441" s="33" t="str">
        <f t="shared" si="127"/>
        <v>MAIN UNIT</v>
      </c>
      <c r="Q441" s="13" t="s">
        <v>61</v>
      </c>
      <c r="R441" s="13" t="s">
        <v>2055</v>
      </c>
      <c r="S441" s="13" t="s">
        <v>50</v>
      </c>
      <c r="T441" s="13" t="s">
        <v>69</v>
      </c>
      <c r="U441" s="13" t="s">
        <v>70</v>
      </c>
      <c r="V441" s="13" t="s">
        <v>71</v>
      </c>
      <c r="W441" s="13" t="s">
        <v>64</v>
      </c>
      <c r="X441" s="135">
        <v>426550</v>
      </c>
      <c r="Y441" s="157" t="str">
        <f t="shared" si="140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22"/>
        <v>31750699.113741599</v>
      </c>
      <c r="AJ441" s="19">
        <f t="shared" si="123"/>
        <v>4396077.3195289988</v>
      </c>
      <c r="AK441" s="20">
        <f t="shared" si="132"/>
        <v>0.13845607946397598</v>
      </c>
      <c r="AL441" s="17"/>
      <c r="AM441" s="17"/>
      <c r="AN441" s="17"/>
      <c r="AO441" s="17"/>
      <c r="AP441" s="28" t="str">
        <f t="shared" si="133"/>
        <v>20222</v>
      </c>
      <c r="AQ441" s="28" t="str">
        <f t="shared" si="134"/>
        <v>20222RMB</v>
      </c>
      <c r="AR441" s="206" t="str">
        <f t="shared" si="135"/>
        <v>PEMTRON</v>
      </c>
      <c r="AS441" s="22">
        <f t="shared" si="136"/>
        <v>3</v>
      </c>
      <c r="AT441" s="24" t="str">
        <f t="shared" si="137"/>
        <v>0-3 months</v>
      </c>
      <c r="AU441" s="22" t="s">
        <v>3240</v>
      </c>
    </row>
    <row r="442" spans="1:47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53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1964</v>
      </c>
      <c r="K442" s="155" t="s">
        <v>66</v>
      </c>
      <c r="L442" s="17" t="s">
        <v>976</v>
      </c>
      <c r="M442" s="13" t="s">
        <v>377</v>
      </c>
      <c r="N442" s="13">
        <v>1</v>
      </c>
      <c r="O442" s="13"/>
      <c r="P442" s="33" t="str">
        <f t="shared" si="127"/>
        <v>MAIN UNIT</v>
      </c>
      <c r="Q442" s="13" t="s">
        <v>61</v>
      </c>
      <c r="R442" s="13" t="s">
        <v>2055</v>
      </c>
      <c r="S442" s="13" t="s">
        <v>50</v>
      </c>
      <c r="T442" s="13" t="s">
        <v>69</v>
      </c>
      <c r="U442" s="13" t="s">
        <v>70</v>
      </c>
      <c r="V442" s="13" t="s">
        <v>71</v>
      </c>
      <c r="W442" s="13" t="s">
        <v>64</v>
      </c>
      <c r="X442" s="135">
        <v>25650</v>
      </c>
      <c r="Y442" s="157" t="str">
        <f t="shared" si="140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22"/>
        <v>31750699.113741599</v>
      </c>
      <c r="AJ442" s="19">
        <f t="shared" si="123"/>
        <v>4396077.3195289988</v>
      </c>
      <c r="AK442" s="20">
        <f t="shared" si="132"/>
        <v>0.13845607946397598</v>
      </c>
      <c r="AL442" s="17"/>
      <c r="AM442" s="17"/>
      <c r="AN442" s="17"/>
      <c r="AO442" s="17"/>
      <c r="AP442" s="28" t="str">
        <f t="shared" si="133"/>
        <v>20222</v>
      </c>
      <c r="AQ442" s="28" t="str">
        <f t="shared" si="134"/>
        <v>20222RMB</v>
      </c>
      <c r="AR442" s="206" t="str">
        <f t="shared" si="135"/>
        <v>LOCAL SUPPLIER</v>
      </c>
      <c r="AS442" s="22">
        <f t="shared" si="136"/>
        <v>3</v>
      </c>
      <c r="AT442" s="24" t="str">
        <f t="shared" si="137"/>
        <v>0-3 months</v>
      </c>
      <c r="AU442" s="22" t="s">
        <v>3240</v>
      </c>
    </row>
    <row r="443" spans="1:47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53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1964</v>
      </c>
      <c r="K443" s="155" t="s">
        <v>66</v>
      </c>
      <c r="L443" s="17" t="s">
        <v>976</v>
      </c>
      <c r="M443" s="13" t="s">
        <v>377</v>
      </c>
      <c r="N443" s="13">
        <v>1</v>
      </c>
      <c r="O443" s="13"/>
      <c r="P443" s="33" t="str">
        <f t="shared" si="127"/>
        <v>MAIN UNIT</v>
      </c>
      <c r="Q443" s="13" t="s">
        <v>61</v>
      </c>
      <c r="R443" s="13" t="s">
        <v>2055</v>
      </c>
      <c r="S443" s="13" t="s">
        <v>50</v>
      </c>
      <c r="T443" s="13" t="s">
        <v>69</v>
      </c>
      <c r="U443" s="13" t="s">
        <v>70</v>
      </c>
      <c r="V443" s="13" t="s">
        <v>71</v>
      </c>
      <c r="W443" s="13" t="s">
        <v>64</v>
      </c>
      <c r="X443" s="135">
        <v>25650</v>
      </c>
      <c r="Y443" s="157" t="str">
        <f t="shared" si="140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22"/>
        <v>31750699.113741599</v>
      </c>
      <c r="AJ443" s="19">
        <f t="shared" si="123"/>
        <v>4396077.3195289988</v>
      </c>
      <c r="AK443" s="20">
        <f t="shared" si="132"/>
        <v>0.13845607946397598</v>
      </c>
      <c r="AL443" s="17"/>
      <c r="AM443" s="17"/>
      <c r="AN443" s="17"/>
      <c r="AO443" s="17"/>
      <c r="AP443" s="28" t="str">
        <f t="shared" si="133"/>
        <v>20222</v>
      </c>
      <c r="AQ443" s="28" t="str">
        <f t="shared" si="134"/>
        <v>20222RMB</v>
      </c>
      <c r="AR443" s="206" t="str">
        <f t="shared" si="135"/>
        <v>LOCAL SUPPLIER</v>
      </c>
      <c r="AS443" s="22">
        <f t="shared" si="136"/>
        <v>3</v>
      </c>
      <c r="AT443" s="24" t="str">
        <f t="shared" si="137"/>
        <v>0-3 months</v>
      </c>
      <c r="AU443" s="22" t="s">
        <v>3240</v>
      </c>
    </row>
    <row r="444" spans="1:47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53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1964</v>
      </c>
      <c r="K444" s="155" t="s">
        <v>66</v>
      </c>
      <c r="L444" s="17" t="s">
        <v>2980</v>
      </c>
      <c r="M444" s="13" t="s">
        <v>377</v>
      </c>
      <c r="N444" s="13">
        <v>1</v>
      </c>
      <c r="O444" s="13"/>
      <c r="P444" s="33" t="str">
        <f t="shared" si="127"/>
        <v>MAIN UNIT</v>
      </c>
      <c r="Q444" s="13" t="s">
        <v>61</v>
      </c>
      <c r="R444" s="13" t="s">
        <v>2055</v>
      </c>
      <c r="S444" s="13" t="s">
        <v>50</v>
      </c>
      <c r="T444" s="13" t="s">
        <v>69</v>
      </c>
      <c r="U444" s="13" t="s">
        <v>70</v>
      </c>
      <c r="V444" s="13" t="s">
        <v>71</v>
      </c>
      <c r="W444" s="13" t="s">
        <v>64</v>
      </c>
      <c r="X444" s="135">
        <v>55100</v>
      </c>
      <c r="Y444" s="157" t="str">
        <f t="shared" si="140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22"/>
        <v>31750699.113741599</v>
      </c>
      <c r="AJ444" s="19">
        <f t="shared" si="123"/>
        <v>4396077.3195289988</v>
      </c>
      <c r="AK444" s="20">
        <f t="shared" si="132"/>
        <v>0.13845607946397598</v>
      </c>
      <c r="AL444" s="17"/>
      <c r="AM444" s="17"/>
      <c r="AN444" s="17"/>
      <c r="AO444" s="17"/>
      <c r="AP444" s="28" t="str">
        <f t="shared" si="133"/>
        <v>20222</v>
      </c>
      <c r="AQ444" s="28" t="str">
        <f t="shared" si="134"/>
        <v>20222RMB</v>
      </c>
      <c r="AR444" s="206" t="str">
        <f t="shared" si="135"/>
        <v>LOCAL SUPPLIER</v>
      </c>
      <c r="AS444" s="22">
        <f t="shared" si="136"/>
        <v>3</v>
      </c>
      <c r="AT444" s="24" t="str">
        <f t="shared" si="137"/>
        <v>0-3 months</v>
      </c>
      <c r="AU444" s="22" t="s">
        <v>3240</v>
      </c>
    </row>
    <row r="445" spans="1:47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53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1964</v>
      </c>
      <c r="K445" s="155" t="s">
        <v>66</v>
      </c>
      <c r="L445" s="17" t="s">
        <v>2980</v>
      </c>
      <c r="M445" s="13" t="s">
        <v>377</v>
      </c>
      <c r="N445" s="13">
        <v>1</v>
      </c>
      <c r="O445" s="13"/>
      <c r="P445" s="33" t="str">
        <f t="shared" si="127"/>
        <v>MAIN UNIT</v>
      </c>
      <c r="Q445" s="13" t="s">
        <v>61</v>
      </c>
      <c r="R445" s="13" t="s">
        <v>2055</v>
      </c>
      <c r="S445" s="13" t="s">
        <v>50</v>
      </c>
      <c r="T445" s="13" t="s">
        <v>69</v>
      </c>
      <c r="U445" s="13" t="s">
        <v>70</v>
      </c>
      <c r="V445" s="13" t="s">
        <v>71</v>
      </c>
      <c r="W445" s="13" t="s">
        <v>64</v>
      </c>
      <c r="X445" s="135">
        <v>55100</v>
      </c>
      <c r="Y445" s="157" t="str">
        <f t="shared" si="140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22"/>
        <v>31750699.113741599</v>
      </c>
      <c r="AJ445" s="19">
        <f t="shared" si="123"/>
        <v>4396077.3195289988</v>
      </c>
      <c r="AK445" s="20">
        <f t="shared" si="132"/>
        <v>0.13845607946397598</v>
      </c>
      <c r="AL445" s="17"/>
      <c r="AM445" s="17"/>
      <c r="AN445" s="17"/>
      <c r="AO445" s="17"/>
      <c r="AP445" s="28" t="str">
        <f t="shared" si="133"/>
        <v>20222</v>
      </c>
      <c r="AQ445" s="28" t="str">
        <f t="shared" si="134"/>
        <v>20222RMB</v>
      </c>
      <c r="AR445" s="206" t="str">
        <f t="shared" si="135"/>
        <v>LOCAL SUPPLIER</v>
      </c>
      <c r="AS445" s="22">
        <f t="shared" si="136"/>
        <v>3</v>
      </c>
      <c r="AT445" s="24" t="str">
        <f t="shared" si="137"/>
        <v>0-3 months</v>
      </c>
      <c r="AU445" s="22" t="s">
        <v>3240</v>
      </c>
    </row>
    <row r="446" spans="1:47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53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1964</v>
      </c>
      <c r="K446" s="155" t="s">
        <v>66</v>
      </c>
      <c r="L446" s="17" t="s">
        <v>2981</v>
      </c>
      <c r="M446" s="13" t="s">
        <v>377</v>
      </c>
      <c r="N446" s="13">
        <v>1</v>
      </c>
      <c r="O446" s="13"/>
      <c r="P446" s="33" t="str">
        <f t="shared" si="127"/>
        <v>MAIN UNIT</v>
      </c>
      <c r="Q446" s="13" t="s">
        <v>61</v>
      </c>
      <c r="R446" s="13" t="s">
        <v>2055</v>
      </c>
      <c r="S446" s="13" t="s">
        <v>50</v>
      </c>
      <c r="T446" s="13" t="s">
        <v>69</v>
      </c>
      <c r="U446" s="13" t="s">
        <v>70</v>
      </c>
      <c r="V446" s="13" t="s">
        <v>71</v>
      </c>
      <c r="W446" s="13" t="s">
        <v>64</v>
      </c>
      <c r="X446" s="135">
        <v>47500</v>
      </c>
      <c r="Y446" s="157" t="str">
        <f t="shared" si="140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22"/>
        <v>31750699.113741599</v>
      </c>
      <c r="AJ446" s="19">
        <f t="shared" si="123"/>
        <v>4396077.3195289988</v>
      </c>
      <c r="AK446" s="20">
        <f t="shared" si="132"/>
        <v>0.13845607946397598</v>
      </c>
      <c r="AL446" s="17"/>
      <c r="AM446" s="17"/>
      <c r="AN446" s="17"/>
      <c r="AO446" s="17"/>
      <c r="AP446" s="28" t="str">
        <f t="shared" si="133"/>
        <v>20222</v>
      </c>
      <c r="AQ446" s="28" t="str">
        <f t="shared" si="134"/>
        <v>20222RMB</v>
      </c>
      <c r="AR446" s="206" t="str">
        <f t="shared" si="135"/>
        <v>LOCAL SUPPLIER</v>
      </c>
      <c r="AS446" s="22">
        <f t="shared" si="136"/>
        <v>3</v>
      </c>
      <c r="AT446" s="24" t="str">
        <f t="shared" si="137"/>
        <v>0-3 months</v>
      </c>
      <c r="AU446" s="22" t="s">
        <v>3240</v>
      </c>
    </row>
    <row r="447" spans="1:47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53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1964</v>
      </c>
      <c r="K447" s="155" t="s">
        <v>66</v>
      </c>
      <c r="L447" s="17" t="s">
        <v>2981</v>
      </c>
      <c r="M447" s="13" t="s">
        <v>377</v>
      </c>
      <c r="N447" s="13">
        <v>1</v>
      </c>
      <c r="O447" s="13"/>
      <c r="P447" s="33" t="str">
        <f t="shared" si="127"/>
        <v>MAIN UNIT</v>
      </c>
      <c r="Q447" s="13" t="s">
        <v>61</v>
      </c>
      <c r="R447" s="13" t="s">
        <v>2055</v>
      </c>
      <c r="S447" s="13" t="s">
        <v>50</v>
      </c>
      <c r="T447" s="13" t="s">
        <v>69</v>
      </c>
      <c r="U447" s="13" t="s">
        <v>70</v>
      </c>
      <c r="V447" s="13" t="s">
        <v>71</v>
      </c>
      <c r="W447" s="13" t="s">
        <v>64</v>
      </c>
      <c r="X447" s="135">
        <v>47500</v>
      </c>
      <c r="Y447" s="157" t="str">
        <f t="shared" si="140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22"/>
        <v>31750699.113741599</v>
      </c>
      <c r="AJ447" s="19">
        <f t="shared" si="123"/>
        <v>4396077.3195289988</v>
      </c>
      <c r="AK447" s="20">
        <f t="shared" si="132"/>
        <v>0.13845607946397598</v>
      </c>
      <c r="AL447" s="17"/>
      <c r="AM447" s="17"/>
      <c r="AN447" s="17"/>
      <c r="AO447" s="17"/>
      <c r="AP447" s="28" t="str">
        <f t="shared" si="133"/>
        <v>20222</v>
      </c>
      <c r="AQ447" s="28" t="str">
        <f t="shared" si="134"/>
        <v>20222RMB</v>
      </c>
      <c r="AR447" s="206" t="str">
        <f t="shared" si="135"/>
        <v>LOCAL SUPPLIER</v>
      </c>
      <c r="AS447" s="22">
        <f t="shared" si="136"/>
        <v>3</v>
      </c>
      <c r="AT447" s="24" t="str">
        <f t="shared" si="137"/>
        <v>0-3 months</v>
      </c>
      <c r="AU447" s="22" t="s">
        <v>3240</v>
      </c>
    </row>
    <row r="448" spans="1:47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41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405</v>
      </c>
      <c r="K448" s="155" t="s">
        <v>406</v>
      </c>
      <c r="L448" s="17" t="s">
        <v>67</v>
      </c>
      <c r="M448" s="13" t="s">
        <v>60</v>
      </c>
      <c r="N448" s="13">
        <v>1</v>
      </c>
      <c r="O448" s="13"/>
      <c r="P448" s="33" t="str">
        <f t="shared" si="127"/>
        <v>MAIN UNIT</v>
      </c>
      <c r="Q448" s="13" t="s">
        <v>68</v>
      </c>
      <c r="R448" s="13" t="s">
        <v>62</v>
      </c>
      <c r="S448" s="13" t="s">
        <v>50</v>
      </c>
      <c r="T448" s="13" t="s">
        <v>101</v>
      </c>
      <c r="U448" s="13"/>
      <c r="V448" s="13" t="s">
        <v>71</v>
      </c>
      <c r="W448" s="13" t="s">
        <v>64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22"/>
        <v>29946107.503386207</v>
      </c>
      <c r="AJ448" s="19">
        <f t="shared" si="123"/>
        <v>3987206.4954923098</v>
      </c>
      <c r="AK448" s="20">
        <f t="shared" si="132"/>
        <v>0.13314606898547499</v>
      </c>
      <c r="AL448" s="17"/>
      <c r="AM448" s="17"/>
      <c r="AN448" s="17"/>
      <c r="AO448" s="17"/>
      <c r="AP448" s="28" t="str">
        <f t="shared" si="133"/>
        <v>20187</v>
      </c>
      <c r="AQ448" s="28" t="str">
        <f t="shared" si="134"/>
        <v>20187RMB</v>
      </c>
      <c r="AR448" s="206" t="str">
        <f t="shared" si="135"/>
        <v>YAMAHA_Mounter</v>
      </c>
      <c r="AS448" s="22">
        <f t="shared" si="136"/>
        <v>1</v>
      </c>
      <c r="AT448" s="24" t="str">
        <f t="shared" si="137"/>
        <v>0-3 months</v>
      </c>
      <c r="AU448" s="22" t="s">
        <v>3240</v>
      </c>
    </row>
    <row r="449" spans="1:47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41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405</v>
      </c>
      <c r="K449" s="155" t="s">
        <v>2812</v>
      </c>
      <c r="L449" s="17" t="s">
        <v>2780</v>
      </c>
      <c r="M449" s="13" t="s">
        <v>60</v>
      </c>
      <c r="N449" s="13">
        <v>1</v>
      </c>
      <c r="O449" s="13"/>
      <c r="P449" s="33" t="str">
        <f t="shared" si="127"/>
        <v>MAIN UNIT</v>
      </c>
      <c r="Q449" s="13" t="s">
        <v>68</v>
      </c>
      <c r="R449" s="13" t="s">
        <v>2055</v>
      </c>
      <c r="S449" s="13" t="s">
        <v>50</v>
      </c>
      <c r="T449" s="13" t="s">
        <v>101</v>
      </c>
      <c r="U449" s="13"/>
      <c r="V449" s="13" t="s">
        <v>71</v>
      </c>
      <c r="W449" s="13" t="s">
        <v>64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22"/>
        <v>29946107.503386207</v>
      </c>
      <c r="AJ449" s="19">
        <f t="shared" si="123"/>
        <v>3987206.4954923098</v>
      </c>
      <c r="AK449" s="20">
        <f t="shared" si="132"/>
        <v>0.13314606898547499</v>
      </c>
      <c r="AL449" s="17"/>
      <c r="AM449" s="17"/>
      <c r="AN449" s="17"/>
      <c r="AO449" s="17"/>
      <c r="AP449" s="28" t="str">
        <f t="shared" si="133"/>
        <v>20187</v>
      </c>
      <c r="AQ449" s="28" t="str">
        <f t="shared" si="134"/>
        <v>20187RMB</v>
      </c>
      <c r="AR449" s="206" t="str">
        <f t="shared" si="135"/>
        <v>YAMAHA_Non_Mounter</v>
      </c>
      <c r="AS449" s="22">
        <f t="shared" si="136"/>
        <v>1</v>
      </c>
      <c r="AT449" s="24" t="str">
        <f t="shared" si="137"/>
        <v>0-3 months</v>
      </c>
      <c r="AU449" s="22" t="s">
        <v>3240</v>
      </c>
    </row>
    <row r="450" spans="1:47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48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1483</v>
      </c>
      <c r="K450" s="155" t="s">
        <v>1484</v>
      </c>
      <c r="L450" s="17" t="s">
        <v>67</v>
      </c>
      <c r="M450" s="13" t="s">
        <v>60</v>
      </c>
      <c r="N450" s="13">
        <v>1</v>
      </c>
      <c r="O450" s="13"/>
      <c r="P450" s="33" t="str">
        <f t="shared" si="127"/>
        <v>MAIN UNIT</v>
      </c>
      <c r="Q450" s="13" t="s">
        <v>68</v>
      </c>
      <c r="R450" s="13" t="s">
        <v>62</v>
      </c>
      <c r="S450" s="13" t="s">
        <v>49</v>
      </c>
      <c r="T450" s="13" t="s">
        <v>78</v>
      </c>
      <c r="U450" s="13" t="s">
        <v>263</v>
      </c>
      <c r="V450" s="13" t="s">
        <v>672</v>
      </c>
      <c r="W450" s="13" t="s">
        <v>64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ref="AI450:AI513" si="141">IF(P450="C66 SERVICE","",SUMIFS(AB:AB,F:F,F450,G:G,G450,E:E,E450))</f>
        <v>48763143.537654862</v>
      </c>
      <c r="AJ450" s="19">
        <f t="shared" ref="AJ450:AJ513" si="142">IF(P450="C66 SERVICE","",SUMIFS(AC:AC,F:F,F450,G:G,G450,E:E,E450))</f>
        <v>5924029.9702154724</v>
      </c>
      <c r="AK450" s="20">
        <f t="shared" si="132"/>
        <v>0.1214858095774925</v>
      </c>
      <c r="AL450" s="17"/>
      <c r="AM450" s="17"/>
      <c r="AN450" s="17"/>
      <c r="AO450" s="17"/>
      <c r="AP450" s="28" t="str">
        <f t="shared" si="133"/>
        <v>202012</v>
      </c>
      <c r="AQ450" s="28" t="str">
        <f t="shared" si="134"/>
        <v>202012RMB</v>
      </c>
      <c r="AR450" s="206" t="str">
        <f t="shared" si="135"/>
        <v>YAMAHA_Mounter</v>
      </c>
      <c r="AS450" s="22">
        <f t="shared" si="136"/>
        <v>1</v>
      </c>
      <c r="AT450" s="24" t="str">
        <f t="shared" si="137"/>
        <v>0-3 months</v>
      </c>
      <c r="AU450" s="22" t="s">
        <v>3744</v>
      </c>
    </row>
    <row r="451" spans="1:47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48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1483</v>
      </c>
      <c r="K451" s="155" t="s">
        <v>1484</v>
      </c>
      <c r="L451" s="17" t="s">
        <v>67</v>
      </c>
      <c r="M451" s="13" t="s">
        <v>60</v>
      </c>
      <c r="N451" s="13">
        <v>1</v>
      </c>
      <c r="O451" s="13"/>
      <c r="P451" s="33" t="str">
        <f t="shared" si="127"/>
        <v>MAIN UNIT</v>
      </c>
      <c r="Q451" s="13" t="s">
        <v>68</v>
      </c>
      <c r="R451" s="13" t="s">
        <v>62</v>
      </c>
      <c r="S451" s="13" t="s">
        <v>49</v>
      </c>
      <c r="T451" s="13" t="s">
        <v>78</v>
      </c>
      <c r="U451" s="13" t="s">
        <v>263</v>
      </c>
      <c r="V451" s="13" t="s">
        <v>672</v>
      </c>
      <c r="W451" s="13" t="s">
        <v>64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41"/>
        <v>48763143.537654862</v>
      </c>
      <c r="AJ451" s="19">
        <f t="shared" si="142"/>
        <v>5924029.9702154724</v>
      </c>
      <c r="AK451" s="20">
        <f t="shared" si="132"/>
        <v>0.1214858095774925</v>
      </c>
      <c r="AL451" s="17"/>
      <c r="AM451" s="17"/>
      <c r="AN451" s="17"/>
      <c r="AO451" s="17"/>
      <c r="AP451" s="28" t="str">
        <f t="shared" si="133"/>
        <v>202012</v>
      </c>
      <c r="AQ451" s="28" t="str">
        <f t="shared" si="134"/>
        <v>202012RMB</v>
      </c>
      <c r="AR451" s="206" t="str">
        <f t="shared" si="135"/>
        <v>YAMAHA_Mounter</v>
      </c>
      <c r="AS451" s="22">
        <f t="shared" si="136"/>
        <v>1</v>
      </c>
      <c r="AT451" s="24" t="str">
        <f t="shared" si="137"/>
        <v>0-3 months</v>
      </c>
      <c r="AU451" s="22" t="s">
        <v>3744</v>
      </c>
    </row>
    <row r="452" spans="1:47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54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2031</v>
      </c>
      <c r="K452" s="155" t="s">
        <v>2032</v>
      </c>
      <c r="L452" s="17" t="s">
        <v>92</v>
      </c>
      <c r="M452" s="13" t="s">
        <v>60</v>
      </c>
      <c r="N452" s="13">
        <v>1</v>
      </c>
      <c r="O452" s="13"/>
      <c r="P452" s="33" t="str">
        <f t="shared" si="127"/>
        <v>MAIN UNIT</v>
      </c>
      <c r="Q452" s="13" t="s">
        <v>68</v>
      </c>
      <c r="R452" s="13" t="s">
        <v>62</v>
      </c>
      <c r="S452" s="13" t="s">
        <v>51</v>
      </c>
      <c r="T452" s="13" t="s">
        <v>2033</v>
      </c>
      <c r="U452" s="13" t="s">
        <v>149</v>
      </c>
      <c r="V452" s="13" t="s">
        <v>2034</v>
      </c>
      <c r="W452" s="13" t="s">
        <v>64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41"/>
        <v>35682787.057522126</v>
      </c>
      <c r="AJ452" s="19">
        <f t="shared" si="142"/>
        <v>5833368.3789623892</v>
      </c>
      <c r="AK452" s="20">
        <f t="shared" si="132"/>
        <v>0.16347849649632912</v>
      </c>
      <c r="AL452" s="17"/>
      <c r="AM452" s="17"/>
      <c r="AN452" s="17"/>
      <c r="AO452" s="17"/>
      <c r="AP452" s="28" t="str">
        <f t="shared" si="133"/>
        <v>20226</v>
      </c>
      <c r="AQ452" s="28" t="str">
        <f t="shared" si="134"/>
        <v>20226RMB</v>
      </c>
      <c r="AR452" s="206" t="str">
        <f t="shared" si="135"/>
        <v>YAMAHA_Mounter</v>
      </c>
      <c r="AS452" s="22">
        <f t="shared" si="136"/>
        <v>9</v>
      </c>
      <c r="AT452" s="24" t="str">
        <f t="shared" si="137"/>
        <v>&gt; 6 months</v>
      </c>
      <c r="AU452" s="22" t="s">
        <v>3240</v>
      </c>
    </row>
    <row r="453" spans="1:47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41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495</v>
      </c>
      <c r="K453" s="155" t="s">
        <v>496</v>
      </c>
      <c r="L453" s="17" t="s">
        <v>100</v>
      </c>
      <c r="M453" s="13" t="s">
        <v>60</v>
      </c>
      <c r="N453" s="13">
        <v>1</v>
      </c>
      <c r="O453" s="13"/>
      <c r="P453" s="33" t="str">
        <f t="shared" si="127"/>
        <v>MAIN UNIT</v>
      </c>
      <c r="Q453" s="13" t="s">
        <v>61</v>
      </c>
      <c r="R453" s="13" t="s">
        <v>62</v>
      </c>
      <c r="S453" s="13" t="s">
        <v>49</v>
      </c>
      <c r="T453" s="13" t="s">
        <v>78</v>
      </c>
      <c r="U453" s="13" t="s">
        <v>79</v>
      </c>
      <c r="V453" s="13" t="s">
        <v>134</v>
      </c>
      <c r="W453" s="13" t="s">
        <v>109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41"/>
        <v>29840797.698275864</v>
      </c>
      <c r="AJ453" s="19">
        <f t="shared" si="142"/>
        <v>3940167.6555448272</v>
      </c>
      <c r="AK453" s="20">
        <f t="shared" si="132"/>
        <v>0.13203962224416277</v>
      </c>
      <c r="AL453" s="17"/>
      <c r="AM453" s="17"/>
      <c r="AN453" s="17"/>
      <c r="AO453" s="17"/>
      <c r="AP453" s="28" t="str">
        <f t="shared" si="133"/>
        <v>201812</v>
      </c>
      <c r="AQ453" s="28" t="str">
        <f t="shared" si="134"/>
        <v>201812JPY</v>
      </c>
      <c r="AR453" s="206" t="str">
        <f t="shared" si="135"/>
        <v>YAMAHA_Mounter</v>
      </c>
      <c r="AS453" s="22">
        <f t="shared" si="136"/>
        <v>1</v>
      </c>
      <c r="AT453" s="24" t="str">
        <f t="shared" si="137"/>
        <v>0-3 months</v>
      </c>
      <c r="AU453" s="22" t="s">
        <v>3745</v>
      </c>
    </row>
    <row r="454" spans="1:47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41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495</v>
      </c>
      <c r="K454" s="155" t="s">
        <v>496</v>
      </c>
      <c r="L454" s="17" t="s">
        <v>100</v>
      </c>
      <c r="M454" s="13" t="s">
        <v>60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61</v>
      </c>
      <c r="R454" s="13" t="s">
        <v>62</v>
      </c>
      <c r="S454" s="13" t="s">
        <v>49</v>
      </c>
      <c r="T454" s="13" t="s">
        <v>78</v>
      </c>
      <c r="U454" s="13" t="s">
        <v>79</v>
      </c>
      <c r="V454" s="13" t="s">
        <v>134</v>
      </c>
      <c r="W454" s="13" t="s">
        <v>109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si="141"/>
        <v>29840797.698275864</v>
      </c>
      <c r="AJ454" s="19">
        <f t="shared" si="142"/>
        <v>3940167.6555448272</v>
      </c>
      <c r="AK454" s="20">
        <f t="shared" ref="AK454:AK517" si="151">IF(AJ454&gt;0,AJ454/AI454,"")</f>
        <v>0.13203962224416277</v>
      </c>
      <c r="AL454" s="17"/>
      <c r="AM454" s="17"/>
      <c r="AN454" s="17"/>
      <c r="AO454" s="17"/>
      <c r="AP454" s="28" t="str">
        <f t="shared" ref="AP454:AP517" si="152">IF(F454="","",F454&amp;G454)</f>
        <v>201812</v>
      </c>
      <c r="AQ454" s="28" t="str">
        <f t="shared" ref="AQ454:AQ517" si="153">IF(W454="","",F454&amp;G454&amp;W454)</f>
        <v>201812JPY</v>
      </c>
      <c r="AR454" s="206" t="str">
        <f t="shared" ref="AR454:AR517" si="154">IFERROR(IF(AND(M454="YAMAHA", R454="C28"), "YAMAHA_Non_Mounter", IF(AND(M454="YAMAHA", R454="C49"), "YAMAHA_Mounter", M454)),"")</f>
        <v>YAMAHA_Mounter</v>
      </c>
      <c r="AS454" s="22">
        <f t="shared" ref="AS454:AS517" si="155">IFERROR(IF(OR(G454="TBA", G454=""), "", DATEDIF(DATE(B454, C454, 1), DATE(F454, G454, 1), "M")),"")</f>
        <v>1</v>
      </c>
      <c r="AT454" s="24" t="str">
        <f t="shared" ref="AT454:AT517" si="156">IF(ISNUMBER(AS454), IF(AS454&gt;=0, IF(AS454&lt;=3, "0-3 months", IF(AS454&lt;=6, "4-6 months", "&gt; 6 months"))), "")</f>
        <v>0-3 months</v>
      </c>
      <c r="AU454" s="22" t="s">
        <v>3745</v>
      </c>
    </row>
    <row r="455" spans="1:47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47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882</v>
      </c>
      <c r="K455" s="155" t="s">
        <v>883</v>
      </c>
      <c r="L455" s="17" t="s">
        <v>92</v>
      </c>
      <c r="M455" s="13" t="s">
        <v>60</v>
      </c>
      <c r="N455" s="13">
        <v>1</v>
      </c>
      <c r="O455" s="13"/>
      <c r="P455" s="33" t="str">
        <f t="shared" si="146"/>
        <v>MAIN UNIT</v>
      </c>
      <c r="Q455" s="13" t="s">
        <v>61</v>
      </c>
      <c r="R455" s="13" t="s">
        <v>62</v>
      </c>
      <c r="S455" s="13" t="s">
        <v>49</v>
      </c>
      <c r="T455" s="13" t="s">
        <v>78</v>
      </c>
      <c r="U455" s="13" t="s">
        <v>79</v>
      </c>
      <c r="V455" s="13" t="s">
        <v>134</v>
      </c>
      <c r="W455" s="13" t="s">
        <v>109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41"/>
        <v>14593788.187146019</v>
      </c>
      <c r="AJ455" s="19">
        <f t="shared" si="142"/>
        <v>1868647.7321969916</v>
      </c>
      <c r="AK455" s="20">
        <f t="shared" si="151"/>
        <v>0.12804404916900652</v>
      </c>
      <c r="AL455" s="17"/>
      <c r="AM455" s="17"/>
      <c r="AN455" s="17"/>
      <c r="AO455" s="17"/>
      <c r="AP455" s="28" t="str">
        <f t="shared" si="152"/>
        <v>20195</v>
      </c>
      <c r="AQ455" s="28" t="str">
        <f t="shared" si="153"/>
        <v>20195JPY</v>
      </c>
      <c r="AR455" s="206" t="str">
        <f t="shared" si="154"/>
        <v>YAMAHA_Mounter</v>
      </c>
      <c r="AS455" s="22">
        <f t="shared" si="155"/>
        <v>2</v>
      </c>
      <c r="AT455" s="24" t="str">
        <f t="shared" si="156"/>
        <v>0-3 months</v>
      </c>
      <c r="AU455" s="22" t="s">
        <v>3745</v>
      </c>
    </row>
    <row r="456" spans="1:47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53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1896</v>
      </c>
      <c r="K456" s="155" t="s">
        <v>1897</v>
      </c>
      <c r="L456" s="17" t="s">
        <v>92</v>
      </c>
      <c r="M456" s="13" t="s">
        <v>60</v>
      </c>
      <c r="N456" s="13">
        <v>1</v>
      </c>
      <c r="O456" s="13"/>
      <c r="P456" s="33" t="str">
        <f t="shared" si="146"/>
        <v>MAIN UNIT</v>
      </c>
      <c r="Q456" s="13" t="s">
        <v>61</v>
      </c>
      <c r="R456" s="13" t="s">
        <v>62</v>
      </c>
      <c r="S456" s="13" t="s">
        <v>49</v>
      </c>
      <c r="T456" s="13" t="s">
        <v>78</v>
      </c>
      <c r="U456" s="13" t="s">
        <v>79</v>
      </c>
      <c r="V456" s="13" t="s">
        <v>131</v>
      </c>
      <c r="W456" s="13" t="s">
        <v>109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41"/>
        <v>29500529.005044252</v>
      </c>
      <c r="AJ456" s="19">
        <f t="shared" si="142"/>
        <v>3253064.846231177</v>
      </c>
      <c r="AK456" s="20">
        <f t="shared" si="151"/>
        <v>0.11027140718984871</v>
      </c>
      <c r="AL456" s="17"/>
      <c r="AM456" s="17"/>
      <c r="AN456" s="17"/>
      <c r="AO456" s="17"/>
      <c r="AP456" s="28" t="str">
        <f t="shared" si="152"/>
        <v>202111</v>
      </c>
      <c r="AQ456" s="28" t="str">
        <f t="shared" si="153"/>
        <v>202111JPY</v>
      </c>
      <c r="AR456" s="206" t="str">
        <f t="shared" si="154"/>
        <v>YAMAHA_Mounter</v>
      </c>
      <c r="AS456" s="22">
        <f t="shared" si="155"/>
        <v>5</v>
      </c>
      <c r="AT456" s="24" t="str">
        <f t="shared" si="156"/>
        <v>4-6 months</v>
      </c>
      <c r="AU456" s="22" t="s">
        <v>3745</v>
      </c>
    </row>
    <row r="457" spans="1:47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53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1896</v>
      </c>
      <c r="K457" s="155" t="s">
        <v>1897</v>
      </c>
      <c r="L457" s="17" t="s">
        <v>92</v>
      </c>
      <c r="M457" s="13" t="s">
        <v>60</v>
      </c>
      <c r="N457" s="13">
        <v>1</v>
      </c>
      <c r="O457" s="13"/>
      <c r="P457" s="33" t="str">
        <f t="shared" si="146"/>
        <v>MAIN UNIT</v>
      </c>
      <c r="Q457" s="13" t="s">
        <v>61</v>
      </c>
      <c r="R457" s="13" t="s">
        <v>62</v>
      </c>
      <c r="S457" s="13" t="s">
        <v>49</v>
      </c>
      <c r="T457" s="13" t="s">
        <v>78</v>
      </c>
      <c r="U457" s="13" t="s">
        <v>79</v>
      </c>
      <c r="V457" s="13" t="s">
        <v>131</v>
      </c>
      <c r="W457" s="13" t="s">
        <v>109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41"/>
        <v>29500529.005044252</v>
      </c>
      <c r="AJ457" s="19">
        <f t="shared" si="142"/>
        <v>3253064.846231177</v>
      </c>
      <c r="AK457" s="20">
        <f t="shared" si="151"/>
        <v>0.11027140718984871</v>
      </c>
      <c r="AL457" s="17"/>
      <c r="AM457" s="17"/>
      <c r="AN457" s="17"/>
      <c r="AO457" s="17"/>
      <c r="AP457" s="28" t="str">
        <f t="shared" si="152"/>
        <v>202111</v>
      </c>
      <c r="AQ457" s="28" t="str">
        <f t="shared" si="153"/>
        <v>202111JPY</v>
      </c>
      <c r="AR457" s="206" t="str">
        <f t="shared" si="154"/>
        <v>YAMAHA_Mounter</v>
      </c>
      <c r="AS457" s="22">
        <f t="shared" si="155"/>
        <v>5</v>
      </c>
      <c r="AT457" s="24" t="str">
        <f t="shared" si="156"/>
        <v>4-6 months</v>
      </c>
      <c r="AU457" s="22" t="s">
        <v>3745</v>
      </c>
    </row>
    <row r="458" spans="1:47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54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2327</v>
      </c>
      <c r="K458" s="155" t="s">
        <v>1897</v>
      </c>
      <c r="L458" s="17" t="s">
        <v>92</v>
      </c>
      <c r="M458" s="13" t="s">
        <v>60</v>
      </c>
      <c r="N458" s="13">
        <v>1</v>
      </c>
      <c r="O458" s="13"/>
      <c r="P458" s="33" t="str">
        <f t="shared" si="146"/>
        <v>MAIN UNIT</v>
      </c>
      <c r="Q458" s="13" t="s">
        <v>61</v>
      </c>
      <c r="R458" s="13" t="s">
        <v>62</v>
      </c>
      <c r="S458" s="13" t="s">
        <v>49</v>
      </c>
      <c r="T458" s="13" t="s">
        <v>78</v>
      </c>
      <c r="U458" s="13" t="s">
        <v>79</v>
      </c>
      <c r="V458" s="13" t="s">
        <v>131</v>
      </c>
      <c r="W458" s="13" t="s">
        <v>64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41"/>
        <v>31017966.201968137</v>
      </c>
      <c r="AJ458" s="19">
        <f t="shared" si="142"/>
        <v>4704250.3347305888</v>
      </c>
      <c r="AK458" s="20">
        <f t="shared" si="151"/>
        <v>0.15166211427595458</v>
      </c>
      <c r="AL458" s="17"/>
      <c r="AM458" s="17"/>
      <c r="AN458" s="17"/>
      <c r="AO458" s="17"/>
      <c r="AP458" s="28" t="str">
        <f t="shared" si="152"/>
        <v>202211</v>
      </c>
      <c r="AQ458" s="28" t="str">
        <f t="shared" si="153"/>
        <v>202211RMB</v>
      </c>
      <c r="AR458" s="206" t="str">
        <f t="shared" si="154"/>
        <v>YAMAHA_Mounter</v>
      </c>
      <c r="AS458" s="22">
        <f t="shared" si="155"/>
        <v>0</v>
      </c>
      <c r="AT458" s="24" t="str">
        <f t="shared" si="156"/>
        <v>0-3 months</v>
      </c>
      <c r="AU458" s="22" t="s">
        <v>3751</v>
      </c>
    </row>
    <row r="459" spans="1:47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54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2327</v>
      </c>
      <c r="K459" s="155" t="s">
        <v>1897</v>
      </c>
      <c r="L459" s="17" t="s">
        <v>92</v>
      </c>
      <c r="M459" s="13" t="s">
        <v>60</v>
      </c>
      <c r="N459" s="13">
        <v>1</v>
      </c>
      <c r="O459" s="13"/>
      <c r="P459" s="33" t="str">
        <f t="shared" si="146"/>
        <v>MAIN UNIT</v>
      </c>
      <c r="Q459" s="13" t="s">
        <v>61</v>
      </c>
      <c r="R459" s="13" t="s">
        <v>62</v>
      </c>
      <c r="S459" s="13" t="s">
        <v>49</v>
      </c>
      <c r="T459" s="13" t="s">
        <v>78</v>
      </c>
      <c r="U459" s="13" t="s">
        <v>79</v>
      </c>
      <c r="V459" s="13" t="s">
        <v>131</v>
      </c>
      <c r="W459" s="13" t="s">
        <v>64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41"/>
        <v>31017966.201968137</v>
      </c>
      <c r="AJ459" s="19">
        <f t="shared" si="142"/>
        <v>4704250.3347305888</v>
      </c>
      <c r="AK459" s="20">
        <f t="shared" si="151"/>
        <v>0.15166211427595458</v>
      </c>
      <c r="AL459" s="17"/>
      <c r="AM459" s="17"/>
      <c r="AN459" s="17"/>
      <c r="AO459" s="17"/>
      <c r="AP459" s="28" t="str">
        <f t="shared" si="152"/>
        <v>202211</v>
      </c>
      <c r="AQ459" s="28" t="str">
        <f t="shared" si="153"/>
        <v>202211RMB</v>
      </c>
      <c r="AR459" s="206" t="str">
        <f t="shared" si="154"/>
        <v>YAMAHA_Mounter</v>
      </c>
      <c r="AS459" s="22">
        <f t="shared" si="155"/>
        <v>0</v>
      </c>
      <c r="AT459" s="24" t="str">
        <f t="shared" si="156"/>
        <v>0-3 months</v>
      </c>
      <c r="AU459" s="22" t="s">
        <v>3751</v>
      </c>
    </row>
    <row r="460" spans="1:47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48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1318</v>
      </c>
      <c r="K460" s="155" t="s">
        <v>1319</v>
      </c>
      <c r="L460" s="17" t="s">
        <v>92</v>
      </c>
      <c r="M460" s="13" t="s">
        <v>60</v>
      </c>
      <c r="N460" s="13">
        <v>1</v>
      </c>
      <c r="O460" s="13"/>
      <c r="P460" s="33" t="str">
        <f t="shared" si="146"/>
        <v>MAIN UNIT</v>
      </c>
      <c r="Q460" s="13" t="s">
        <v>61</v>
      </c>
      <c r="R460" s="13" t="s">
        <v>62</v>
      </c>
      <c r="S460" s="13" t="s">
        <v>50</v>
      </c>
      <c r="T460" s="13" t="s">
        <v>88</v>
      </c>
      <c r="U460" s="13" t="s">
        <v>70</v>
      </c>
      <c r="V460" s="13" t="s">
        <v>169</v>
      </c>
      <c r="W460" s="13" t="s">
        <v>64</v>
      </c>
      <c r="X460" s="135">
        <v>845000</v>
      </c>
      <c r="Y460" s="156" t="s">
        <v>1058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41"/>
        <v>28011162.254106201</v>
      </c>
      <c r="AJ460" s="19">
        <f t="shared" si="142"/>
        <v>3401347.1124888416</v>
      </c>
      <c r="AK460" s="20">
        <f t="shared" si="151"/>
        <v>0.12142827497242578</v>
      </c>
      <c r="AL460" s="17"/>
      <c r="AM460" s="17"/>
      <c r="AN460" s="17"/>
      <c r="AO460" s="17"/>
      <c r="AP460" s="28" t="str">
        <f t="shared" si="152"/>
        <v>202010</v>
      </c>
      <c r="AQ460" s="28" t="str">
        <f t="shared" si="153"/>
        <v>202010RMB</v>
      </c>
      <c r="AR460" s="206" t="str">
        <f t="shared" si="154"/>
        <v>YAMAHA_Mounter</v>
      </c>
      <c r="AS460" s="22">
        <f t="shared" si="155"/>
        <v>7</v>
      </c>
      <c r="AT460" s="24" t="str">
        <f t="shared" si="156"/>
        <v>&gt; 6 months</v>
      </c>
      <c r="AU460" s="22" t="s">
        <v>3240</v>
      </c>
    </row>
    <row r="461" spans="1:47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48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1318</v>
      </c>
      <c r="K461" s="155" t="s">
        <v>1319</v>
      </c>
      <c r="L461" s="17" t="s">
        <v>67</v>
      </c>
      <c r="M461" s="13" t="s">
        <v>60</v>
      </c>
      <c r="N461" s="13">
        <v>1</v>
      </c>
      <c r="O461" s="13"/>
      <c r="P461" s="33" t="str">
        <f t="shared" si="146"/>
        <v>MAIN UNIT</v>
      </c>
      <c r="Q461" s="13" t="s">
        <v>61</v>
      </c>
      <c r="R461" s="13" t="s">
        <v>62</v>
      </c>
      <c r="S461" s="13" t="s">
        <v>50</v>
      </c>
      <c r="T461" s="13" t="s">
        <v>88</v>
      </c>
      <c r="U461" s="13" t="s">
        <v>70</v>
      </c>
      <c r="V461" s="13" t="s">
        <v>169</v>
      </c>
      <c r="W461" s="13" t="s">
        <v>64</v>
      </c>
      <c r="X461" s="135">
        <v>845000</v>
      </c>
      <c r="Y461" s="156" t="s">
        <v>1058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41"/>
        <v>28011162.254106201</v>
      </c>
      <c r="AJ461" s="19">
        <f t="shared" si="142"/>
        <v>3401347.1124888416</v>
      </c>
      <c r="AK461" s="20">
        <f t="shared" si="151"/>
        <v>0.12142827497242578</v>
      </c>
      <c r="AL461" s="17"/>
      <c r="AM461" s="17"/>
      <c r="AN461" s="17"/>
      <c r="AO461" s="17"/>
      <c r="AP461" s="28" t="str">
        <f t="shared" si="152"/>
        <v>202010</v>
      </c>
      <c r="AQ461" s="28" t="str">
        <f t="shared" si="153"/>
        <v>202010RMB</v>
      </c>
      <c r="AR461" s="206" t="str">
        <f t="shared" si="154"/>
        <v>YAMAHA_Mounter</v>
      </c>
      <c r="AS461" s="22">
        <f t="shared" si="155"/>
        <v>7</v>
      </c>
      <c r="AT461" s="24" t="str">
        <f t="shared" si="156"/>
        <v>&gt; 6 months</v>
      </c>
      <c r="AU461" s="22" t="s">
        <v>3240</v>
      </c>
    </row>
    <row r="462" spans="1:47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53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1775</v>
      </c>
      <c r="K462" s="155" t="s">
        <v>1776</v>
      </c>
      <c r="L462" s="17" t="s">
        <v>92</v>
      </c>
      <c r="M462" s="13" t="s">
        <v>60</v>
      </c>
      <c r="N462" s="13">
        <v>1</v>
      </c>
      <c r="O462" s="13"/>
      <c r="P462" s="33" t="str">
        <f t="shared" si="146"/>
        <v>MAIN UNIT</v>
      </c>
      <c r="Q462" s="13" t="s">
        <v>68</v>
      </c>
      <c r="R462" s="13" t="s">
        <v>62</v>
      </c>
      <c r="S462" s="13" t="s">
        <v>49</v>
      </c>
      <c r="T462" s="13" t="s">
        <v>78</v>
      </c>
      <c r="U462" s="13" t="s">
        <v>79</v>
      </c>
      <c r="V462" s="13" t="s">
        <v>1317</v>
      </c>
      <c r="W462" s="13" t="s">
        <v>109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41"/>
        <v>54700260.692079648</v>
      </c>
      <c r="AJ462" s="19">
        <f t="shared" si="142"/>
        <v>7482899.5749188727</v>
      </c>
      <c r="AK462" s="20">
        <f t="shared" si="151"/>
        <v>0.13679824337660537</v>
      </c>
      <c r="AL462" s="17"/>
      <c r="AM462" s="17"/>
      <c r="AN462" s="17"/>
      <c r="AO462" s="17"/>
      <c r="AP462" s="28" t="str">
        <f t="shared" si="152"/>
        <v>20216</v>
      </c>
      <c r="AQ462" s="28" t="str">
        <f t="shared" si="153"/>
        <v>20216JPY</v>
      </c>
      <c r="AR462" s="206" t="str">
        <f t="shared" si="154"/>
        <v>YAMAHA_Mounter</v>
      </c>
      <c r="AS462" s="22">
        <f t="shared" si="155"/>
        <v>3</v>
      </c>
      <c r="AT462" s="24" t="str">
        <f t="shared" si="156"/>
        <v>0-3 months</v>
      </c>
      <c r="AU462" s="22" t="s">
        <v>3745</v>
      </c>
    </row>
    <row r="463" spans="1:47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53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1789</v>
      </c>
      <c r="K463" s="155" t="s">
        <v>1776</v>
      </c>
      <c r="L463" s="17" t="s">
        <v>67</v>
      </c>
      <c r="M463" s="13" t="s">
        <v>60</v>
      </c>
      <c r="N463" s="13">
        <v>1</v>
      </c>
      <c r="O463" s="13"/>
      <c r="P463" s="33" t="str">
        <f t="shared" si="146"/>
        <v>MAIN UNIT</v>
      </c>
      <c r="Q463" s="13" t="s">
        <v>61</v>
      </c>
      <c r="R463" s="13" t="s">
        <v>62</v>
      </c>
      <c r="S463" s="13" t="s">
        <v>49</v>
      </c>
      <c r="T463" s="13" t="s">
        <v>78</v>
      </c>
      <c r="U463" s="13" t="s">
        <v>79</v>
      </c>
      <c r="V463" s="13" t="s">
        <v>1317</v>
      </c>
      <c r="W463" s="13" t="s">
        <v>109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41"/>
        <v>54700260.692079648</v>
      </c>
      <c r="AJ463" s="19">
        <f t="shared" si="142"/>
        <v>7482899.5749188727</v>
      </c>
      <c r="AK463" s="20">
        <f t="shared" si="151"/>
        <v>0.13679824337660537</v>
      </c>
      <c r="AL463" s="17"/>
      <c r="AM463" s="17"/>
      <c r="AN463" s="17"/>
      <c r="AO463" s="17"/>
      <c r="AP463" s="28" t="str">
        <f t="shared" si="152"/>
        <v>20216</v>
      </c>
      <c r="AQ463" s="28" t="str">
        <f t="shared" si="153"/>
        <v>20216JPY</v>
      </c>
      <c r="AR463" s="206" t="str">
        <f t="shared" si="154"/>
        <v>YAMAHA_Mounter</v>
      </c>
      <c r="AS463" s="22">
        <f t="shared" si="155"/>
        <v>2</v>
      </c>
      <c r="AT463" s="24" t="str">
        <f t="shared" si="156"/>
        <v>0-3 months</v>
      </c>
      <c r="AU463" s="22" t="s">
        <v>3745</v>
      </c>
    </row>
    <row r="464" spans="1:47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54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3013</v>
      </c>
      <c r="K464" s="155" t="s">
        <v>3014</v>
      </c>
      <c r="L464" s="17" t="s">
        <v>3015</v>
      </c>
      <c r="M464" s="13" t="s">
        <v>3016</v>
      </c>
      <c r="N464" s="13">
        <v>1</v>
      </c>
      <c r="O464" s="13"/>
      <c r="P464" s="33" t="str">
        <f t="shared" si="146"/>
        <v>MAIN UNIT</v>
      </c>
      <c r="Q464" s="13" t="s">
        <v>68</v>
      </c>
      <c r="R464" s="13" t="s">
        <v>2055</v>
      </c>
      <c r="S464" s="13" t="s">
        <v>50</v>
      </c>
      <c r="T464" s="13" t="s">
        <v>101</v>
      </c>
      <c r="U464" s="13" t="s">
        <v>70</v>
      </c>
      <c r="V464" s="13" t="s">
        <v>3017</v>
      </c>
      <c r="W464" s="13" t="s">
        <v>64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41"/>
        <v>22717528.991150443</v>
      </c>
      <c r="AJ464" s="19">
        <f t="shared" si="142"/>
        <v>3947747.192555753</v>
      </c>
      <c r="AK464" s="20">
        <f t="shared" si="151"/>
        <v>0.1737753782153679</v>
      </c>
      <c r="AL464" s="17"/>
      <c r="AM464" s="17"/>
      <c r="AN464" s="17"/>
      <c r="AO464" s="17"/>
      <c r="AP464" s="28" t="str">
        <f t="shared" si="152"/>
        <v>202210</v>
      </c>
      <c r="AQ464" s="28" t="str">
        <f t="shared" si="153"/>
        <v>202210RMB</v>
      </c>
      <c r="AR464" s="206" t="str">
        <f t="shared" si="154"/>
        <v>SHINWA</v>
      </c>
      <c r="AS464" s="22">
        <f t="shared" si="155"/>
        <v>5</v>
      </c>
      <c r="AT464" s="24" t="str">
        <f t="shared" si="156"/>
        <v>4-6 months</v>
      </c>
      <c r="AU464" s="22" t="s">
        <v>3240</v>
      </c>
    </row>
    <row r="465" spans="1:47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3093</v>
      </c>
      <c r="K465" s="29" t="s">
        <v>3094</v>
      </c>
      <c r="L465" s="17" t="s">
        <v>92</v>
      </c>
      <c r="M465" s="22" t="s">
        <v>60</v>
      </c>
      <c r="N465" s="22">
        <v>1</v>
      </c>
      <c r="O465" s="22"/>
      <c r="P465" s="33" t="str">
        <f t="shared" si="146"/>
        <v>MAIN UNIT</v>
      </c>
      <c r="Q465" s="13" t="s">
        <v>68</v>
      </c>
      <c r="R465" s="22" t="s">
        <v>62</v>
      </c>
      <c r="S465" s="22" t="s">
        <v>49</v>
      </c>
      <c r="T465" s="22" t="s">
        <v>1071</v>
      </c>
      <c r="U465" s="22" t="s">
        <v>2110</v>
      </c>
      <c r="V465" s="22" t="s">
        <v>3095</v>
      </c>
      <c r="W465" s="22" t="s">
        <v>109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41"/>
        <v>23146578.081415929</v>
      </c>
      <c r="AJ465" s="27">
        <f t="shared" si="142"/>
        <v>2745231.3889985834</v>
      </c>
      <c r="AK465" s="28">
        <f t="shared" si="151"/>
        <v>0.11860204041143742</v>
      </c>
      <c r="AL465" s="24"/>
      <c r="AM465" s="24"/>
      <c r="AN465" s="24"/>
      <c r="AO465" s="24"/>
      <c r="AP465" s="28" t="str">
        <f t="shared" si="152"/>
        <v>20241</v>
      </c>
      <c r="AQ465" s="28" t="str">
        <f t="shared" si="153"/>
        <v>20241JPY</v>
      </c>
      <c r="AR465" s="206" t="str">
        <f t="shared" si="154"/>
        <v>YAMAHA_Mounter</v>
      </c>
      <c r="AS465" s="22">
        <f t="shared" si="155"/>
        <v>1</v>
      </c>
      <c r="AT465" s="24" t="str">
        <f t="shared" si="156"/>
        <v>0-3 months</v>
      </c>
      <c r="AU465" s="22" t="s">
        <v>3745</v>
      </c>
    </row>
    <row r="466" spans="1:47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3093</v>
      </c>
      <c r="K466" s="29" t="s">
        <v>3094</v>
      </c>
      <c r="L466" s="17" t="s">
        <v>92</v>
      </c>
      <c r="M466" s="22" t="s">
        <v>60</v>
      </c>
      <c r="N466" s="22">
        <v>1</v>
      </c>
      <c r="O466" s="22"/>
      <c r="P466" s="33" t="str">
        <f t="shared" si="146"/>
        <v>MAIN UNIT</v>
      </c>
      <c r="Q466" s="13" t="s">
        <v>68</v>
      </c>
      <c r="R466" s="22" t="s">
        <v>62</v>
      </c>
      <c r="S466" s="22" t="s">
        <v>49</v>
      </c>
      <c r="T466" s="22" t="s">
        <v>1071</v>
      </c>
      <c r="U466" s="22" t="s">
        <v>2110</v>
      </c>
      <c r="V466" s="22" t="s">
        <v>3095</v>
      </c>
      <c r="W466" s="22" t="s">
        <v>109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41"/>
        <v>23146578.081415929</v>
      </c>
      <c r="AJ466" s="27">
        <f t="shared" si="142"/>
        <v>2745231.3889985834</v>
      </c>
      <c r="AK466" s="28">
        <f t="shared" si="151"/>
        <v>0.11860204041143742</v>
      </c>
      <c r="AL466" s="24"/>
      <c r="AM466" s="24"/>
      <c r="AN466" s="24"/>
      <c r="AO466" s="24"/>
      <c r="AP466" s="28" t="str">
        <f t="shared" si="152"/>
        <v>20241</v>
      </c>
      <c r="AQ466" s="28" t="str">
        <f t="shared" si="153"/>
        <v>20241JPY</v>
      </c>
      <c r="AR466" s="206" t="str">
        <f t="shared" si="154"/>
        <v>YAMAHA_Mounter</v>
      </c>
      <c r="AS466" s="22">
        <f t="shared" si="155"/>
        <v>1</v>
      </c>
      <c r="AT466" s="24" t="str">
        <f t="shared" si="156"/>
        <v>0-3 months</v>
      </c>
      <c r="AU466" s="22" t="s">
        <v>3745</v>
      </c>
    </row>
    <row r="467" spans="1:47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3093</v>
      </c>
      <c r="K467" s="29" t="s">
        <v>3094</v>
      </c>
      <c r="L467" s="17" t="s">
        <v>67</v>
      </c>
      <c r="M467" s="22" t="s">
        <v>60</v>
      </c>
      <c r="N467" s="22">
        <v>1</v>
      </c>
      <c r="O467" s="22"/>
      <c r="P467" s="33" t="str">
        <f t="shared" si="146"/>
        <v>MAIN UNIT</v>
      </c>
      <c r="Q467" s="13" t="s">
        <v>68</v>
      </c>
      <c r="R467" s="22" t="s">
        <v>62</v>
      </c>
      <c r="S467" s="22" t="s">
        <v>49</v>
      </c>
      <c r="T467" s="22" t="s">
        <v>1071</v>
      </c>
      <c r="U467" s="22" t="s">
        <v>2110</v>
      </c>
      <c r="V467" s="22" t="s">
        <v>3095</v>
      </c>
      <c r="W467" s="22" t="s">
        <v>109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41"/>
        <v>23146578.081415929</v>
      </c>
      <c r="AJ467" s="27">
        <f t="shared" si="142"/>
        <v>2745231.3889985834</v>
      </c>
      <c r="AK467" s="28">
        <f t="shared" si="151"/>
        <v>0.11860204041143742</v>
      </c>
      <c r="AL467" s="24"/>
      <c r="AM467" s="24"/>
      <c r="AN467" s="24"/>
      <c r="AO467" s="24"/>
      <c r="AP467" s="28" t="str">
        <f t="shared" si="152"/>
        <v>20241</v>
      </c>
      <c r="AQ467" s="28" t="str">
        <f t="shared" si="153"/>
        <v>20241JPY</v>
      </c>
      <c r="AR467" s="206" t="str">
        <f t="shared" si="154"/>
        <v>YAMAHA_Mounter</v>
      </c>
      <c r="AS467" s="22">
        <f t="shared" si="155"/>
        <v>1</v>
      </c>
      <c r="AT467" s="24" t="str">
        <f t="shared" si="156"/>
        <v>0-3 months</v>
      </c>
      <c r="AU467" s="22" t="s">
        <v>3745</v>
      </c>
    </row>
    <row r="468" spans="1:47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47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645</v>
      </c>
      <c r="K468" s="155" t="s">
        <v>646</v>
      </c>
      <c r="L468" s="17" t="s">
        <v>92</v>
      </c>
      <c r="M468" s="13" t="s">
        <v>60</v>
      </c>
      <c r="N468" s="13">
        <v>1</v>
      </c>
      <c r="O468" s="13"/>
      <c r="P468" s="33" t="str">
        <f t="shared" si="146"/>
        <v>MAIN UNIT</v>
      </c>
      <c r="Q468" s="13" t="s">
        <v>61</v>
      </c>
      <c r="R468" s="13" t="s">
        <v>62</v>
      </c>
      <c r="S468" s="13" t="s">
        <v>49</v>
      </c>
      <c r="T468" s="13" t="s">
        <v>78</v>
      </c>
      <c r="U468" s="13" t="s">
        <v>79</v>
      </c>
      <c r="V468" s="13" t="s">
        <v>311</v>
      </c>
      <c r="W468" s="13" t="s">
        <v>109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41"/>
        <v>32843736.557277881</v>
      </c>
      <c r="AJ468" s="19">
        <f t="shared" si="142"/>
        <v>3921470.6822663117</v>
      </c>
      <c r="AK468" s="20">
        <f t="shared" si="151"/>
        <v>0.11939782416131177</v>
      </c>
      <c r="AL468" s="17"/>
      <c r="AM468" s="17"/>
      <c r="AN468" s="17"/>
      <c r="AO468" s="17"/>
      <c r="AP468" s="28" t="str">
        <f t="shared" si="152"/>
        <v>20194</v>
      </c>
      <c r="AQ468" s="28" t="str">
        <f t="shared" si="153"/>
        <v>20194JPY</v>
      </c>
      <c r="AR468" s="206" t="str">
        <f t="shared" si="154"/>
        <v>YAMAHA_Mounter</v>
      </c>
      <c r="AS468" s="22">
        <f t="shared" si="155"/>
        <v>0</v>
      </c>
      <c r="AT468" s="24" t="str">
        <f t="shared" si="156"/>
        <v>0-3 months</v>
      </c>
      <c r="AU468" s="22" t="s">
        <v>3745</v>
      </c>
    </row>
    <row r="469" spans="1:47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41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856</v>
      </c>
      <c r="K469" s="155" t="s">
        <v>857</v>
      </c>
      <c r="L469" s="17" t="s">
        <v>67</v>
      </c>
      <c r="M469" s="13" t="s">
        <v>60</v>
      </c>
      <c r="N469" s="13">
        <v>1</v>
      </c>
      <c r="O469" s="13"/>
      <c r="P469" s="33" t="str">
        <f t="shared" si="146"/>
        <v>MAIN UNIT</v>
      </c>
      <c r="Q469" s="13" t="s">
        <v>68</v>
      </c>
      <c r="R469" s="13" t="s">
        <v>62</v>
      </c>
      <c r="S469" s="13" t="s">
        <v>49</v>
      </c>
      <c r="T469" s="13" t="s">
        <v>78</v>
      </c>
      <c r="U469" s="13" t="s">
        <v>79</v>
      </c>
      <c r="V469" s="13" t="s">
        <v>311</v>
      </c>
      <c r="W469" s="13" t="s">
        <v>109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41"/>
        <v>47416008.333399981</v>
      </c>
      <c r="AJ469" s="19">
        <f t="shared" si="142"/>
        <v>6981738.4465290187</v>
      </c>
      <c r="AK469" s="20">
        <f t="shared" si="151"/>
        <v>0.14724433143839863</v>
      </c>
      <c r="AL469" s="17"/>
      <c r="AM469" s="17"/>
      <c r="AN469" s="17"/>
      <c r="AO469" s="17"/>
      <c r="AP469" s="28" t="str">
        <f t="shared" si="152"/>
        <v>20193</v>
      </c>
      <c r="AQ469" s="28" t="str">
        <f t="shared" si="153"/>
        <v>20193JPY</v>
      </c>
      <c r="AR469" s="206" t="str">
        <f t="shared" si="154"/>
        <v>YAMAHA_Mounter</v>
      </c>
      <c r="AS469" s="22">
        <f t="shared" si="155"/>
        <v>0</v>
      </c>
      <c r="AT469" s="24" t="str">
        <f t="shared" si="156"/>
        <v>0-3 months</v>
      </c>
      <c r="AU469" s="22" t="s">
        <v>3745</v>
      </c>
    </row>
    <row r="470" spans="1:47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41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856</v>
      </c>
      <c r="K470" s="155" t="s">
        <v>857</v>
      </c>
      <c r="L470" s="17" t="s">
        <v>67</v>
      </c>
      <c r="M470" s="13" t="s">
        <v>60</v>
      </c>
      <c r="N470" s="13">
        <v>1</v>
      </c>
      <c r="O470" s="13"/>
      <c r="P470" s="33" t="str">
        <f t="shared" si="146"/>
        <v>MAIN UNIT</v>
      </c>
      <c r="Q470" s="13" t="s">
        <v>68</v>
      </c>
      <c r="R470" s="13" t="s">
        <v>62</v>
      </c>
      <c r="S470" s="13" t="s">
        <v>49</v>
      </c>
      <c r="T470" s="13" t="s">
        <v>78</v>
      </c>
      <c r="U470" s="13" t="s">
        <v>79</v>
      </c>
      <c r="V470" s="13" t="s">
        <v>311</v>
      </c>
      <c r="W470" s="13" t="s">
        <v>109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41"/>
        <v>47416008.333399981</v>
      </c>
      <c r="AJ470" s="19">
        <f t="shared" si="142"/>
        <v>6981738.4465290187</v>
      </c>
      <c r="AK470" s="20">
        <f t="shared" si="151"/>
        <v>0.14724433143839863</v>
      </c>
      <c r="AL470" s="17"/>
      <c r="AM470" s="17"/>
      <c r="AN470" s="17"/>
      <c r="AO470" s="17"/>
      <c r="AP470" s="28" t="str">
        <f t="shared" si="152"/>
        <v>20193</v>
      </c>
      <c r="AQ470" s="28" t="str">
        <f t="shared" si="153"/>
        <v>20193JPY</v>
      </c>
      <c r="AR470" s="206" t="str">
        <f t="shared" si="154"/>
        <v>YAMAHA_Mounter</v>
      </c>
      <c r="AS470" s="22">
        <f t="shared" si="155"/>
        <v>0</v>
      </c>
      <c r="AT470" s="24" t="str">
        <f t="shared" si="156"/>
        <v>0-3 months</v>
      </c>
      <c r="AU470" s="22" t="s">
        <v>3745</v>
      </c>
    </row>
    <row r="471" spans="1:47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53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1954</v>
      </c>
      <c r="K471" s="155" t="s">
        <v>646</v>
      </c>
      <c r="L471" s="17" t="s">
        <v>67</v>
      </c>
      <c r="M471" s="13" t="s">
        <v>60</v>
      </c>
      <c r="N471" s="13">
        <v>1</v>
      </c>
      <c r="O471" s="13"/>
      <c r="P471" s="33" t="str">
        <f t="shared" si="146"/>
        <v>MAIN UNIT</v>
      </c>
      <c r="Q471" s="13" t="s">
        <v>61</v>
      </c>
      <c r="R471" s="13" t="s">
        <v>62</v>
      </c>
      <c r="S471" s="13" t="s">
        <v>49</v>
      </c>
      <c r="T471" s="13" t="s">
        <v>78</v>
      </c>
      <c r="U471" s="13" t="s">
        <v>79</v>
      </c>
      <c r="V471" s="13" t="s">
        <v>311</v>
      </c>
      <c r="W471" s="13" t="s">
        <v>109</v>
      </c>
      <c r="X471" s="135">
        <v>7100000</v>
      </c>
      <c r="Y471" s="157" t="str">
        <f t="shared" ref="Y471:Y476" si="157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41"/>
        <v>31750699.113741599</v>
      </c>
      <c r="AJ471" s="19">
        <f t="shared" si="142"/>
        <v>4396077.3195289988</v>
      </c>
      <c r="AK471" s="20">
        <f t="shared" si="151"/>
        <v>0.13845607946397598</v>
      </c>
      <c r="AL471" s="17"/>
      <c r="AM471" s="17"/>
      <c r="AN471" s="17"/>
      <c r="AO471" s="17"/>
      <c r="AP471" s="28" t="str">
        <f t="shared" si="152"/>
        <v>20222</v>
      </c>
      <c r="AQ471" s="28" t="str">
        <f t="shared" si="153"/>
        <v>20222JPY</v>
      </c>
      <c r="AR471" s="206" t="str">
        <f t="shared" si="154"/>
        <v>YAMAHA_Mounter</v>
      </c>
      <c r="AS471" s="22">
        <f t="shared" si="155"/>
        <v>11</v>
      </c>
      <c r="AT471" s="24" t="str">
        <f t="shared" si="156"/>
        <v>&gt; 6 months</v>
      </c>
      <c r="AU471" s="22" t="s">
        <v>3745</v>
      </c>
    </row>
    <row r="472" spans="1:47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53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1954</v>
      </c>
      <c r="K472" s="155" t="s">
        <v>646</v>
      </c>
      <c r="L472" s="17" t="s">
        <v>67</v>
      </c>
      <c r="M472" s="13" t="s">
        <v>60</v>
      </c>
      <c r="N472" s="13">
        <v>1</v>
      </c>
      <c r="O472" s="13"/>
      <c r="P472" s="33" t="str">
        <f t="shared" si="146"/>
        <v>MAIN UNIT</v>
      </c>
      <c r="Q472" s="13" t="s">
        <v>61</v>
      </c>
      <c r="R472" s="13" t="s">
        <v>62</v>
      </c>
      <c r="S472" s="13" t="s">
        <v>49</v>
      </c>
      <c r="T472" s="13" t="s">
        <v>78</v>
      </c>
      <c r="U472" s="13" t="s">
        <v>79</v>
      </c>
      <c r="V472" s="13" t="s">
        <v>311</v>
      </c>
      <c r="W472" s="13" t="s">
        <v>109</v>
      </c>
      <c r="X472" s="135">
        <v>7100000</v>
      </c>
      <c r="Y472" s="157" t="str">
        <f t="shared" si="157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41"/>
        <v>31750699.113741599</v>
      </c>
      <c r="AJ472" s="19">
        <f t="shared" si="142"/>
        <v>4396077.3195289988</v>
      </c>
      <c r="AK472" s="20">
        <f t="shared" si="151"/>
        <v>0.13845607946397598</v>
      </c>
      <c r="AL472" s="17"/>
      <c r="AM472" s="17"/>
      <c r="AN472" s="17"/>
      <c r="AO472" s="17"/>
      <c r="AP472" s="28" t="str">
        <f t="shared" si="152"/>
        <v>20222</v>
      </c>
      <c r="AQ472" s="28" t="str">
        <f t="shared" si="153"/>
        <v>20222JPY</v>
      </c>
      <c r="AR472" s="206" t="str">
        <f t="shared" si="154"/>
        <v>YAMAHA_Mounter</v>
      </c>
      <c r="AS472" s="22">
        <f t="shared" si="155"/>
        <v>11</v>
      </c>
      <c r="AT472" s="24" t="str">
        <f t="shared" si="156"/>
        <v>&gt; 6 months</v>
      </c>
      <c r="AU472" s="22" t="s">
        <v>3745</v>
      </c>
    </row>
    <row r="473" spans="1:47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54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2202</v>
      </c>
      <c r="K473" s="155" t="s">
        <v>646</v>
      </c>
      <c r="L473" s="17" t="s">
        <v>67</v>
      </c>
      <c r="M473" s="13" t="s">
        <v>60</v>
      </c>
      <c r="N473" s="13">
        <v>1</v>
      </c>
      <c r="O473" s="13"/>
      <c r="P473" s="33" t="str">
        <f t="shared" si="146"/>
        <v>MAIN UNIT</v>
      </c>
      <c r="Q473" s="13" t="s">
        <v>61</v>
      </c>
      <c r="R473" s="13" t="s">
        <v>62</v>
      </c>
      <c r="S473" s="13" t="s">
        <v>49</v>
      </c>
      <c r="T473" s="13" t="s">
        <v>78</v>
      </c>
      <c r="U473" s="13" t="s">
        <v>79</v>
      </c>
      <c r="V473" s="13" t="s">
        <v>311</v>
      </c>
      <c r="W473" s="13" t="s">
        <v>64</v>
      </c>
      <c r="X473" s="135">
        <v>515000</v>
      </c>
      <c r="Y473" s="157" t="str">
        <f t="shared" si="157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41"/>
        <v>35682787.057522126</v>
      </c>
      <c r="AJ473" s="19">
        <f t="shared" si="142"/>
        <v>5833368.3789623892</v>
      </c>
      <c r="AK473" s="20">
        <f t="shared" si="151"/>
        <v>0.16347849649632912</v>
      </c>
      <c r="AL473" s="17"/>
      <c r="AM473" s="17"/>
      <c r="AN473" s="17"/>
      <c r="AO473" s="17"/>
      <c r="AP473" s="28" t="str">
        <f t="shared" si="152"/>
        <v>20226</v>
      </c>
      <c r="AQ473" s="28" t="str">
        <f t="shared" si="153"/>
        <v>20226RMB</v>
      </c>
      <c r="AR473" s="206" t="str">
        <f t="shared" si="154"/>
        <v>YAMAHA_Mounter</v>
      </c>
      <c r="AS473" s="22">
        <f t="shared" si="155"/>
        <v>1</v>
      </c>
      <c r="AT473" s="24" t="str">
        <f t="shared" si="156"/>
        <v>0-3 months</v>
      </c>
      <c r="AU473" s="22" t="s">
        <v>3751</v>
      </c>
    </row>
    <row r="474" spans="1:47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54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2235</v>
      </c>
      <c r="K474" s="155" t="s">
        <v>646</v>
      </c>
      <c r="L474" s="17" t="s">
        <v>92</v>
      </c>
      <c r="M474" s="13" t="s">
        <v>60</v>
      </c>
      <c r="N474" s="13">
        <v>1</v>
      </c>
      <c r="O474" s="13"/>
      <c r="P474" s="33" t="str">
        <f t="shared" si="146"/>
        <v>MAIN UNIT</v>
      </c>
      <c r="Q474" s="13" t="s">
        <v>61</v>
      </c>
      <c r="R474" s="13" t="s">
        <v>62</v>
      </c>
      <c r="S474" s="13" t="s">
        <v>49</v>
      </c>
      <c r="T474" s="13" t="s">
        <v>78</v>
      </c>
      <c r="U474" s="13" t="s">
        <v>79</v>
      </c>
      <c r="V474" s="13" t="s">
        <v>311</v>
      </c>
      <c r="W474" s="13" t="s">
        <v>64</v>
      </c>
      <c r="X474" s="135">
        <v>750000</v>
      </c>
      <c r="Y474" s="157" t="str">
        <f t="shared" si="157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41"/>
        <v>36480247.665929198</v>
      </c>
      <c r="AJ474" s="19">
        <f t="shared" si="142"/>
        <v>5330996.6372757526</v>
      </c>
      <c r="AK474" s="20">
        <f t="shared" si="151"/>
        <v>0.14613378412599562</v>
      </c>
      <c r="AL474" s="17"/>
      <c r="AM474" s="17"/>
      <c r="AN474" s="17"/>
      <c r="AO474" s="17"/>
      <c r="AP474" s="28" t="str">
        <f t="shared" si="152"/>
        <v>20227</v>
      </c>
      <c r="AQ474" s="28" t="str">
        <f t="shared" si="153"/>
        <v>20227RMB</v>
      </c>
      <c r="AR474" s="206" t="str">
        <f t="shared" si="154"/>
        <v>YAMAHA_Mounter</v>
      </c>
      <c r="AS474" s="22">
        <f t="shared" si="155"/>
        <v>0</v>
      </c>
      <c r="AT474" s="24" t="str">
        <f t="shared" si="156"/>
        <v>0-3 months</v>
      </c>
      <c r="AU474" s="22" t="s">
        <v>3751</v>
      </c>
    </row>
    <row r="475" spans="1:47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54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2298</v>
      </c>
      <c r="K475" s="155" t="s">
        <v>646</v>
      </c>
      <c r="L475" s="17" t="s">
        <v>67</v>
      </c>
      <c r="M475" s="13" t="s">
        <v>60</v>
      </c>
      <c r="N475" s="13">
        <v>1</v>
      </c>
      <c r="O475" s="13"/>
      <c r="P475" s="33" t="str">
        <f t="shared" si="146"/>
        <v>MAIN UNIT</v>
      </c>
      <c r="Q475" s="13" t="s">
        <v>61</v>
      </c>
      <c r="R475" s="13" t="s">
        <v>62</v>
      </c>
      <c r="S475" s="13" t="s">
        <v>49</v>
      </c>
      <c r="T475" s="13" t="s">
        <v>78</v>
      </c>
      <c r="U475" s="13" t="s">
        <v>79</v>
      </c>
      <c r="V475" s="13" t="s">
        <v>311</v>
      </c>
      <c r="W475" s="13" t="s">
        <v>64</v>
      </c>
      <c r="X475" s="135">
        <v>440000</v>
      </c>
      <c r="Y475" s="157" t="str">
        <f t="shared" si="157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41"/>
        <v>22717528.991150443</v>
      </c>
      <c r="AJ475" s="19">
        <f t="shared" si="142"/>
        <v>3947747.192555753</v>
      </c>
      <c r="AK475" s="20">
        <f t="shared" si="151"/>
        <v>0.1737753782153679</v>
      </c>
      <c r="AL475" s="17"/>
      <c r="AM475" s="17"/>
      <c r="AN475" s="17"/>
      <c r="AO475" s="17"/>
      <c r="AP475" s="28" t="str">
        <f t="shared" si="152"/>
        <v>202210</v>
      </c>
      <c r="AQ475" s="28" t="str">
        <f t="shared" si="153"/>
        <v>202210RMB</v>
      </c>
      <c r="AR475" s="206" t="str">
        <f t="shared" si="154"/>
        <v>YAMAHA_Mounter</v>
      </c>
      <c r="AS475" s="22">
        <f t="shared" si="155"/>
        <v>1</v>
      </c>
      <c r="AT475" s="24" t="str">
        <f t="shared" si="156"/>
        <v>0-3 months</v>
      </c>
      <c r="AU475" s="22" t="s">
        <v>3751</v>
      </c>
    </row>
    <row r="476" spans="1:47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185</v>
      </c>
      <c r="F476" s="13" t="s">
        <v>185</v>
      </c>
      <c r="G476" s="152" t="s">
        <v>185</v>
      </c>
      <c r="H476" s="155"/>
      <c r="I476" s="33" t="str">
        <f t="shared" si="145"/>
        <v>Cancel</v>
      </c>
      <c r="J476" s="186" t="s">
        <v>2592</v>
      </c>
      <c r="K476" s="155" t="s">
        <v>646</v>
      </c>
      <c r="L476" s="17" t="s">
        <v>67</v>
      </c>
      <c r="M476" s="13" t="s">
        <v>60</v>
      </c>
      <c r="N476" s="13">
        <v>1</v>
      </c>
      <c r="O476" s="13"/>
      <c r="P476" s="33" t="str">
        <f t="shared" si="146"/>
        <v>MAIN UNIT</v>
      </c>
      <c r="Q476" s="13" t="s">
        <v>61</v>
      </c>
      <c r="R476" s="13" t="s">
        <v>62</v>
      </c>
      <c r="S476" s="13" t="s">
        <v>49</v>
      </c>
      <c r="T476" s="13" t="s">
        <v>78</v>
      </c>
      <c r="U476" s="13" t="s">
        <v>79</v>
      </c>
      <c r="V476" s="13" t="s">
        <v>311</v>
      </c>
      <c r="W476" s="13" t="s">
        <v>64</v>
      </c>
      <c r="X476" s="135">
        <v>410000</v>
      </c>
      <c r="Y476" s="157" t="str">
        <f t="shared" si="157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41"/>
        <v>499582152.5142017</v>
      </c>
      <c r="AJ476" s="19">
        <f t="shared" si="142"/>
        <v>59520528.679470733</v>
      </c>
      <c r="AK476" s="20">
        <f t="shared" si="151"/>
        <v>0.11914062257814291</v>
      </c>
      <c r="AL476" s="17"/>
      <c r="AM476" s="17"/>
      <c r="AN476" s="17"/>
      <c r="AO476" s="17"/>
      <c r="AP476" s="28" t="str">
        <f t="shared" si="152"/>
        <v>CancelCancel</v>
      </c>
      <c r="AQ476" s="28" t="str">
        <f t="shared" si="153"/>
        <v>CancelCancelRMB</v>
      </c>
      <c r="AR476" s="206" t="str">
        <f t="shared" si="154"/>
        <v>YAMAHA_Mounter</v>
      </c>
      <c r="AS476" s="22" t="str">
        <f t="shared" si="155"/>
        <v/>
      </c>
      <c r="AT476" s="24" t="str">
        <f t="shared" si="156"/>
        <v/>
      </c>
      <c r="AU476" s="22" t="s">
        <v>3751</v>
      </c>
    </row>
    <row r="477" spans="1:47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3371</v>
      </c>
      <c r="K477" s="29" t="s">
        <v>3165</v>
      </c>
      <c r="L477" s="17" t="s">
        <v>67</v>
      </c>
      <c r="M477" s="22" t="s">
        <v>60</v>
      </c>
      <c r="N477" s="22">
        <v>1</v>
      </c>
      <c r="O477" s="22"/>
      <c r="P477" s="33" t="str">
        <f t="shared" si="146"/>
        <v>MAIN UNIT</v>
      </c>
      <c r="Q477" s="13" t="s">
        <v>61</v>
      </c>
      <c r="R477" s="22" t="s">
        <v>62</v>
      </c>
      <c r="S477" s="22" t="s">
        <v>50</v>
      </c>
      <c r="T477" s="22" t="s">
        <v>88</v>
      </c>
      <c r="U477" s="22" t="s">
        <v>70</v>
      </c>
      <c r="V477" s="22" t="s">
        <v>1010</v>
      </c>
      <c r="W477" s="22" t="s">
        <v>64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41"/>
        <v>20319282.700884953</v>
      </c>
      <c r="AJ477" s="27">
        <f t="shared" si="142"/>
        <v>2408851.9638623013</v>
      </c>
      <c r="AK477" s="28">
        <f t="shared" si="151"/>
        <v>0.11855004919821259</v>
      </c>
      <c r="AL477" s="24"/>
      <c r="AM477" s="24"/>
      <c r="AN477" s="24"/>
      <c r="AO477" s="24"/>
      <c r="AP477" s="28" t="str">
        <f t="shared" si="152"/>
        <v>20244</v>
      </c>
      <c r="AQ477" s="28" t="str">
        <f t="shared" si="153"/>
        <v>20244RMB</v>
      </c>
      <c r="AR477" s="206" t="str">
        <f t="shared" si="154"/>
        <v>YAMAHA_Mounter</v>
      </c>
      <c r="AS477" s="22">
        <f t="shared" si="155"/>
        <v>1</v>
      </c>
      <c r="AT477" s="24" t="str">
        <f t="shared" si="156"/>
        <v>0-3 months</v>
      </c>
      <c r="AU477" s="22" t="s">
        <v>3240</v>
      </c>
    </row>
    <row r="478" spans="1:47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3371</v>
      </c>
      <c r="K478" s="29" t="s">
        <v>3165</v>
      </c>
      <c r="L478" s="17" t="s">
        <v>67</v>
      </c>
      <c r="M478" s="22" t="s">
        <v>60</v>
      </c>
      <c r="N478" s="22">
        <v>1</v>
      </c>
      <c r="O478" s="22"/>
      <c r="P478" s="33" t="str">
        <f t="shared" si="146"/>
        <v>MAIN UNIT</v>
      </c>
      <c r="Q478" s="13" t="s">
        <v>61</v>
      </c>
      <c r="R478" s="22" t="s">
        <v>62</v>
      </c>
      <c r="S478" s="22" t="s">
        <v>50</v>
      </c>
      <c r="T478" s="22" t="s">
        <v>325</v>
      </c>
      <c r="U478" s="22" t="s">
        <v>70</v>
      </c>
      <c r="V478" s="22" t="s">
        <v>1010</v>
      </c>
      <c r="W478" s="22" t="s">
        <v>64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41"/>
        <v>20319282.700884953</v>
      </c>
      <c r="AJ478" s="27">
        <f t="shared" si="142"/>
        <v>2408851.9638623013</v>
      </c>
      <c r="AK478" s="28">
        <f t="shared" si="151"/>
        <v>0.11855004919821259</v>
      </c>
      <c r="AL478" s="24"/>
      <c r="AM478" s="24"/>
      <c r="AN478" s="24"/>
      <c r="AO478" s="24"/>
      <c r="AP478" s="28" t="str">
        <f t="shared" si="152"/>
        <v>20244</v>
      </c>
      <c r="AQ478" s="28" t="str">
        <f t="shared" si="153"/>
        <v>20244RMB</v>
      </c>
      <c r="AR478" s="206" t="str">
        <f t="shared" si="154"/>
        <v>YAMAHA_Mounter</v>
      </c>
      <c r="AS478" s="22">
        <f t="shared" si="155"/>
        <v>1</v>
      </c>
      <c r="AT478" s="24" t="str">
        <f t="shared" si="156"/>
        <v>0-3 months</v>
      </c>
      <c r="AU478" s="22" t="s">
        <v>3240</v>
      </c>
    </row>
    <row r="479" spans="1:47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41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500</v>
      </c>
      <c r="K479" s="155" t="s">
        <v>501</v>
      </c>
      <c r="L479" s="17" t="s">
        <v>67</v>
      </c>
      <c r="M479" s="13" t="s">
        <v>60</v>
      </c>
      <c r="N479" s="13">
        <v>1</v>
      </c>
      <c r="O479" s="13"/>
      <c r="P479" s="33" t="str">
        <f t="shared" si="146"/>
        <v>MAIN UNIT</v>
      </c>
      <c r="Q479" s="13" t="s">
        <v>61</v>
      </c>
      <c r="R479" s="13" t="s">
        <v>62</v>
      </c>
      <c r="S479" s="13" t="s">
        <v>49</v>
      </c>
      <c r="T479" s="13" t="s">
        <v>78</v>
      </c>
      <c r="U479" s="13" t="s">
        <v>79</v>
      </c>
      <c r="V479" s="13" t="s">
        <v>134</v>
      </c>
      <c r="W479" s="13" t="s">
        <v>109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41"/>
        <v>10785027.603448275</v>
      </c>
      <c r="AJ479" s="19">
        <f t="shared" si="142"/>
        <v>1540894.1297982759</v>
      </c>
      <c r="AK479" s="20">
        <f t="shared" si="151"/>
        <v>0.1428734525728621</v>
      </c>
      <c r="AL479" s="17"/>
      <c r="AM479" s="17"/>
      <c r="AN479" s="17"/>
      <c r="AO479" s="17"/>
      <c r="AP479" s="28" t="str">
        <f t="shared" si="152"/>
        <v>201811</v>
      </c>
      <c r="AQ479" s="28" t="str">
        <f t="shared" si="153"/>
        <v>201811JPY</v>
      </c>
      <c r="AR479" s="206" t="str">
        <f t="shared" si="154"/>
        <v>YAMAHA_Mounter</v>
      </c>
      <c r="AS479" s="22">
        <f t="shared" si="155"/>
        <v>0</v>
      </c>
      <c r="AT479" s="24" t="str">
        <f t="shared" si="156"/>
        <v>0-3 months</v>
      </c>
      <c r="AU479" s="22" t="s">
        <v>3745</v>
      </c>
    </row>
    <row r="480" spans="1:47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47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808</v>
      </c>
      <c r="K480" s="155" t="s">
        <v>809</v>
      </c>
      <c r="L480" s="17" t="s">
        <v>92</v>
      </c>
      <c r="M480" s="13" t="s">
        <v>60</v>
      </c>
      <c r="N480" s="13">
        <v>1</v>
      </c>
      <c r="O480" s="13"/>
      <c r="P480" s="33" t="str">
        <f t="shared" si="146"/>
        <v>MAIN UNIT</v>
      </c>
      <c r="Q480" s="13" t="s">
        <v>61</v>
      </c>
      <c r="R480" s="13" t="s">
        <v>701</v>
      </c>
      <c r="S480" s="13" t="s">
        <v>49</v>
      </c>
      <c r="T480" s="13" t="s">
        <v>78</v>
      </c>
      <c r="U480" s="13" t="s">
        <v>79</v>
      </c>
      <c r="V480" s="13" t="s">
        <v>780</v>
      </c>
      <c r="W480" s="13" t="s">
        <v>773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41"/>
        <v>31296887.037898075</v>
      </c>
      <c r="AJ480" s="19">
        <f t="shared" si="142"/>
        <v>3588873.9502021763</v>
      </c>
      <c r="AK480" s="20">
        <f t="shared" si="151"/>
        <v>0.11467191436184473</v>
      </c>
      <c r="AL480" s="17"/>
      <c r="AM480" s="17"/>
      <c r="AN480" s="17"/>
      <c r="AO480" s="17"/>
      <c r="AP480" s="28" t="str">
        <f t="shared" si="152"/>
        <v>20196</v>
      </c>
      <c r="AQ480" s="28" t="str">
        <f t="shared" si="153"/>
        <v>20196RMB</v>
      </c>
      <c r="AR480" s="206" t="str">
        <f t="shared" si="154"/>
        <v>YAMAHA_Mounter</v>
      </c>
      <c r="AS480" s="22">
        <f t="shared" si="155"/>
        <v>0</v>
      </c>
      <c r="AT480" s="24" t="str">
        <f t="shared" si="156"/>
        <v>0-3 months</v>
      </c>
      <c r="AU480" s="22" t="s">
        <v>3744</v>
      </c>
    </row>
    <row r="481" spans="1:47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53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1742</v>
      </c>
      <c r="K481" s="155" t="s">
        <v>501</v>
      </c>
      <c r="L481" s="17" t="s">
        <v>92</v>
      </c>
      <c r="M481" s="13" t="s">
        <v>60</v>
      </c>
      <c r="N481" s="13">
        <v>1</v>
      </c>
      <c r="O481" s="13"/>
      <c r="P481" s="33" t="str">
        <f t="shared" si="146"/>
        <v>MAIN UNIT</v>
      </c>
      <c r="Q481" s="13" t="s">
        <v>61</v>
      </c>
      <c r="R481" s="13" t="s">
        <v>62</v>
      </c>
      <c r="S481" s="13" t="s">
        <v>49</v>
      </c>
      <c r="T481" s="13" t="s">
        <v>78</v>
      </c>
      <c r="U481" s="13" t="s">
        <v>79</v>
      </c>
      <c r="V481" s="13" t="s">
        <v>1516</v>
      </c>
      <c r="W481" s="13" t="s">
        <v>109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41"/>
        <v>63006605.696460173</v>
      </c>
      <c r="AJ481" s="19">
        <f t="shared" si="142"/>
        <v>8897485.660753984</v>
      </c>
      <c r="AK481" s="20">
        <f t="shared" si="151"/>
        <v>0.141215124388995</v>
      </c>
      <c r="AL481" s="17"/>
      <c r="AM481" s="17"/>
      <c r="AN481" s="17"/>
      <c r="AO481" s="17"/>
      <c r="AP481" s="28" t="str">
        <f t="shared" si="152"/>
        <v>20215</v>
      </c>
      <c r="AQ481" s="28" t="str">
        <f t="shared" si="153"/>
        <v>20215JPY</v>
      </c>
      <c r="AR481" s="206" t="str">
        <f t="shared" si="154"/>
        <v>YAMAHA_Mounter</v>
      </c>
      <c r="AS481" s="22">
        <f t="shared" si="155"/>
        <v>2</v>
      </c>
      <c r="AT481" s="24" t="str">
        <f t="shared" si="156"/>
        <v>0-3 months</v>
      </c>
      <c r="AU481" s="22" t="s">
        <v>3745</v>
      </c>
    </row>
    <row r="482" spans="1:47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3320</v>
      </c>
      <c r="K482" s="29" t="s">
        <v>3321</v>
      </c>
      <c r="L482" s="17" t="s">
        <v>67</v>
      </c>
      <c r="M482" s="13" t="s">
        <v>60</v>
      </c>
      <c r="N482" s="22">
        <v>1</v>
      </c>
      <c r="O482" s="22"/>
      <c r="P482" s="33" t="str">
        <f t="shared" si="146"/>
        <v>MAIN UNIT</v>
      </c>
      <c r="Q482" s="13" t="s">
        <v>68</v>
      </c>
      <c r="R482" s="22" t="s">
        <v>62</v>
      </c>
      <c r="S482" s="22" t="s">
        <v>49</v>
      </c>
      <c r="T482" s="22" t="s">
        <v>78</v>
      </c>
      <c r="U482" s="22" t="s">
        <v>78</v>
      </c>
      <c r="V482" s="22" t="s">
        <v>3134</v>
      </c>
      <c r="W482" s="22" t="s">
        <v>64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41"/>
        <v>20319282.700884953</v>
      </c>
      <c r="AJ482" s="27">
        <f t="shared" si="142"/>
        <v>2408851.9638623013</v>
      </c>
      <c r="AK482" s="28">
        <f t="shared" si="151"/>
        <v>0.11855004919821259</v>
      </c>
      <c r="AL482" s="24"/>
      <c r="AM482" s="24"/>
      <c r="AN482" s="24"/>
      <c r="AO482" s="24"/>
      <c r="AP482" s="28" t="str">
        <f t="shared" si="152"/>
        <v>20244</v>
      </c>
      <c r="AQ482" s="28" t="str">
        <f t="shared" si="153"/>
        <v>20244RMB</v>
      </c>
      <c r="AR482" s="206" t="str">
        <f t="shared" si="154"/>
        <v>YAMAHA_Mounter</v>
      </c>
      <c r="AS482" s="22">
        <f t="shared" si="155"/>
        <v>1</v>
      </c>
      <c r="AT482" s="24" t="str">
        <f t="shared" si="156"/>
        <v>0-3 months</v>
      </c>
      <c r="AU482" s="22" t="s">
        <v>3751</v>
      </c>
    </row>
    <row r="483" spans="1:47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3369</v>
      </c>
      <c r="K483" s="29" t="s">
        <v>1905</v>
      </c>
      <c r="L483" s="17" t="s">
        <v>67</v>
      </c>
      <c r="M483" s="22" t="s">
        <v>60</v>
      </c>
      <c r="N483" s="22">
        <v>1</v>
      </c>
      <c r="O483" s="22"/>
      <c r="P483" s="33" t="str">
        <f t="shared" si="146"/>
        <v>MAIN UNIT</v>
      </c>
      <c r="Q483" s="13" t="s">
        <v>61</v>
      </c>
      <c r="R483" s="22" t="s">
        <v>62</v>
      </c>
      <c r="S483" s="22" t="s">
        <v>52</v>
      </c>
      <c r="T483" s="22" t="s">
        <v>176</v>
      </c>
      <c r="U483" s="22" t="s">
        <v>177</v>
      </c>
      <c r="V483" s="22" t="s">
        <v>178</v>
      </c>
      <c r="W483" s="22" t="s">
        <v>64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41"/>
        <v>20319282.700884953</v>
      </c>
      <c r="AJ483" s="27">
        <f t="shared" si="142"/>
        <v>2408851.9638623013</v>
      </c>
      <c r="AK483" s="28">
        <f t="shared" si="151"/>
        <v>0.11855004919821259</v>
      </c>
      <c r="AL483" s="24"/>
      <c r="AM483" s="24"/>
      <c r="AN483" s="24"/>
      <c r="AO483" s="24"/>
      <c r="AP483" s="28" t="str">
        <f t="shared" si="152"/>
        <v>20244</v>
      </c>
      <c r="AQ483" s="28" t="str">
        <f t="shared" si="153"/>
        <v>20244RMB</v>
      </c>
      <c r="AR483" s="206" t="str">
        <f t="shared" si="154"/>
        <v>YAMAHA_Mounter</v>
      </c>
      <c r="AS483" s="22">
        <f t="shared" si="155"/>
        <v>1</v>
      </c>
      <c r="AT483" s="24" t="str">
        <f t="shared" si="156"/>
        <v>0-3 months</v>
      </c>
      <c r="AU483" s="22" t="s">
        <v>3240</v>
      </c>
    </row>
    <row r="484" spans="1:47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54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2990</v>
      </c>
      <c r="K484" s="155" t="s">
        <v>2991</v>
      </c>
      <c r="L484" s="17" t="s">
        <v>2611</v>
      </c>
      <c r="M484" s="13" t="s">
        <v>2607</v>
      </c>
      <c r="N484" s="13">
        <v>1</v>
      </c>
      <c r="O484" s="13"/>
      <c r="P484" s="33" t="str">
        <f t="shared" si="146"/>
        <v>MAIN UNIT</v>
      </c>
      <c r="Q484" s="13" t="s">
        <v>68</v>
      </c>
      <c r="R484" s="13" t="s">
        <v>2055</v>
      </c>
      <c r="S484" s="13" t="s">
        <v>49</v>
      </c>
      <c r="T484" s="13" t="s">
        <v>78</v>
      </c>
      <c r="U484" s="13" t="s">
        <v>79</v>
      </c>
      <c r="V484" s="13" t="s">
        <v>311</v>
      </c>
      <c r="W484" s="13" t="s">
        <v>64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41"/>
        <v>7502645.9971681423</v>
      </c>
      <c r="AJ484" s="19">
        <f t="shared" si="142"/>
        <v>664841.72044240718</v>
      </c>
      <c r="AK484" s="20">
        <f t="shared" si="151"/>
        <v>8.861429963420242E-2</v>
      </c>
      <c r="AL484" s="17"/>
      <c r="AM484" s="17"/>
      <c r="AN484" s="17"/>
      <c r="AO484" s="17"/>
      <c r="AP484" s="28" t="str">
        <f t="shared" si="152"/>
        <v>20231</v>
      </c>
      <c r="AQ484" s="28" t="str">
        <f t="shared" si="153"/>
        <v>20231RMB</v>
      </c>
      <c r="AR484" s="206" t="str">
        <f t="shared" si="154"/>
        <v>HELLER</v>
      </c>
      <c r="AS484" s="22">
        <f t="shared" si="155"/>
        <v>1</v>
      </c>
      <c r="AT484" s="24" t="str">
        <f t="shared" si="156"/>
        <v>0-3 months</v>
      </c>
      <c r="AU484" s="22" t="s">
        <v>3751</v>
      </c>
    </row>
    <row r="485" spans="1:47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48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1380</v>
      </c>
      <c r="K485" s="155" t="s">
        <v>1381</v>
      </c>
      <c r="L485" s="17" t="s">
        <v>92</v>
      </c>
      <c r="M485" s="13" t="s">
        <v>60</v>
      </c>
      <c r="N485" s="13">
        <v>1</v>
      </c>
      <c r="O485" s="13"/>
      <c r="P485" s="33" t="str">
        <f t="shared" si="146"/>
        <v>MAIN UNIT</v>
      </c>
      <c r="Q485" s="13" t="s">
        <v>68</v>
      </c>
      <c r="R485" s="13" t="s">
        <v>62</v>
      </c>
      <c r="S485" s="13" t="s">
        <v>50</v>
      </c>
      <c r="T485" s="13" t="s">
        <v>88</v>
      </c>
      <c r="U485" s="13" t="s">
        <v>70</v>
      </c>
      <c r="V485" s="13" t="s">
        <v>94</v>
      </c>
      <c r="W485" s="13" t="s">
        <v>703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41"/>
        <v>47907808.356810622</v>
      </c>
      <c r="AJ485" s="19">
        <f t="shared" si="142"/>
        <v>6027384.8806384448</v>
      </c>
      <c r="AK485" s="20">
        <f t="shared" si="151"/>
        <v>0.12581216063459488</v>
      </c>
      <c r="AL485" s="17"/>
      <c r="AM485" s="17"/>
      <c r="AN485" s="17"/>
      <c r="AO485" s="17"/>
      <c r="AP485" s="28" t="str">
        <f t="shared" si="152"/>
        <v>20209</v>
      </c>
      <c r="AQ485" s="28" t="str">
        <f t="shared" si="153"/>
        <v>20209RMB</v>
      </c>
      <c r="AR485" s="206" t="str">
        <f t="shared" si="154"/>
        <v>YAMAHA_Mounter</v>
      </c>
      <c r="AS485" s="22">
        <f t="shared" si="155"/>
        <v>2</v>
      </c>
      <c r="AT485" s="24" t="str">
        <f t="shared" si="156"/>
        <v>0-3 months</v>
      </c>
      <c r="AU485" s="22" t="s">
        <v>3240</v>
      </c>
    </row>
    <row r="486" spans="1:47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48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1380</v>
      </c>
      <c r="K486" s="155" t="s">
        <v>1381</v>
      </c>
      <c r="L486" s="17" t="s">
        <v>67</v>
      </c>
      <c r="M486" s="13" t="s">
        <v>60</v>
      </c>
      <c r="N486" s="13">
        <v>1</v>
      </c>
      <c r="O486" s="13"/>
      <c r="P486" s="33" t="str">
        <f t="shared" si="146"/>
        <v>MAIN UNIT</v>
      </c>
      <c r="Q486" s="13" t="s">
        <v>68</v>
      </c>
      <c r="R486" s="13" t="s">
        <v>62</v>
      </c>
      <c r="S486" s="13" t="s">
        <v>50</v>
      </c>
      <c r="T486" s="13" t="s">
        <v>88</v>
      </c>
      <c r="U486" s="13" t="s">
        <v>70</v>
      </c>
      <c r="V486" s="13" t="s">
        <v>94</v>
      </c>
      <c r="W486" s="13" t="s">
        <v>703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41"/>
        <v>47907808.356810622</v>
      </c>
      <c r="AJ486" s="19">
        <f t="shared" si="142"/>
        <v>6027384.8806384448</v>
      </c>
      <c r="AK486" s="20">
        <f t="shared" si="151"/>
        <v>0.12581216063459488</v>
      </c>
      <c r="AL486" s="17"/>
      <c r="AM486" s="17"/>
      <c r="AN486" s="17"/>
      <c r="AO486" s="17"/>
      <c r="AP486" s="28" t="str">
        <f t="shared" si="152"/>
        <v>20209</v>
      </c>
      <c r="AQ486" s="28" t="str">
        <f t="shared" si="153"/>
        <v>20209RMB</v>
      </c>
      <c r="AR486" s="206" t="str">
        <f t="shared" si="154"/>
        <v>YAMAHA_Mounter</v>
      </c>
      <c r="AS486" s="22">
        <f t="shared" si="155"/>
        <v>2</v>
      </c>
      <c r="AT486" s="24" t="str">
        <f t="shared" si="156"/>
        <v>0-3 months</v>
      </c>
      <c r="AU486" s="22" t="s">
        <v>3240</v>
      </c>
    </row>
    <row r="487" spans="1:47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53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1836</v>
      </c>
      <c r="K487" s="155" t="s">
        <v>1381</v>
      </c>
      <c r="L487" s="17" t="s">
        <v>92</v>
      </c>
      <c r="M487" s="13" t="s">
        <v>60</v>
      </c>
      <c r="N487" s="13">
        <v>1</v>
      </c>
      <c r="O487" s="13"/>
      <c r="P487" s="33" t="str">
        <f t="shared" si="146"/>
        <v>MAIN UNIT</v>
      </c>
      <c r="Q487" s="13" t="s">
        <v>61</v>
      </c>
      <c r="R487" s="13" t="s">
        <v>62</v>
      </c>
      <c r="S487" s="13" t="s">
        <v>50</v>
      </c>
      <c r="T487" s="13" t="s">
        <v>88</v>
      </c>
      <c r="U487" s="13" t="s">
        <v>70</v>
      </c>
      <c r="V487" s="13" t="s">
        <v>94</v>
      </c>
      <c r="W487" s="13" t="s">
        <v>64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41"/>
        <v>41443303.53761062</v>
      </c>
      <c r="AJ487" s="19">
        <f t="shared" si="142"/>
        <v>6194988.76643031</v>
      </c>
      <c r="AK487" s="20">
        <f t="shared" si="151"/>
        <v>0.1494810557466355</v>
      </c>
      <c r="AL487" s="17"/>
      <c r="AM487" s="17"/>
      <c r="AN487" s="17"/>
      <c r="AO487" s="17"/>
      <c r="AP487" s="28" t="str">
        <f t="shared" si="152"/>
        <v>20217</v>
      </c>
      <c r="AQ487" s="28" t="str">
        <f t="shared" si="153"/>
        <v>20217RMB</v>
      </c>
      <c r="AR487" s="206" t="str">
        <f t="shared" si="154"/>
        <v>YAMAHA_Mounter</v>
      </c>
      <c r="AS487" s="22">
        <f t="shared" si="155"/>
        <v>2</v>
      </c>
      <c r="AT487" s="24" t="str">
        <f t="shared" si="156"/>
        <v>0-3 months</v>
      </c>
      <c r="AU487" s="22" t="s">
        <v>3240</v>
      </c>
    </row>
    <row r="488" spans="1:47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53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1836</v>
      </c>
      <c r="K488" s="155" t="s">
        <v>1381</v>
      </c>
      <c r="L488" s="17" t="s">
        <v>67</v>
      </c>
      <c r="M488" s="13" t="s">
        <v>60</v>
      </c>
      <c r="N488" s="13">
        <v>1</v>
      </c>
      <c r="O488" s="13"/>
      <c r="P488" s="33" t="str">
        <f t="shared" si="146"/>
        <v>MAIN UNIT</v>
      </c>
      <c r="Q488" s="13" t="s">
        <v>61</v>
      </c>
      <c r="R488" s="13" t="s">
        <v>62</v>
      </c>
      <c r="S488" s="13" t="s">
        <v>50</v>
      </c>
      <c r="T488" s="13" t="s">
        <v>88</v>
      </c>
      <c r="U488" s="13" t="s">
        <v>70</v>
      </c>
      <c r="V488" s="13" t="s">
        <v>94</v>
      </c>
      <c r="W488" s="13" t="s">
        <v>64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41"/>
        <v>41443303.53761062</v>
      </c>
      <c r="AJ488" s="19">
        <f t="shared" si="142"/>
        <v>6194988.76643031</v>
      </c>
      <c r="AK488" s="20">
        <f t="shared" si="151"/>
        <v>0.1494810557466355</v>
      </c>
      <c r="AL488" s="17"/>
      <c r="AM488" s="17"/>
      <c r="AN488" s="17"/>
      <c r="AO488" s="17"/>
      <c r="AP488" s="28" t="str">
        <f t="shared" si="152"/>
        <v>20217</v>
      </c>
      <c r="AQ488" s="28" t="str">
        <f t="shared" si="153"/>
        <v>20217RMB</v>
      </c>
      <c r="AR488" s="206" t="str">
        <f t="shared" si="154"/>
        <v>YAMAHA_Mounter</v>
      </c>
      <c r="AS488" s="22">
        <f t="shared" si="155"/>
        <v>2</v>
      </c>
      <c r="AT488" s="24" t="str">
        <f t="shared" si="156"/>
        <v>0-3 months</v>
      </c>
      <c r="AU488" s="22" t="s">
        <v>3240</v>
      </c>
    </row>
    <row r="489" spans="1:47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47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819</v>
      </c>
      <c r="K489" s="155" t="s">
        <v>820</v>
      </c>
      <c r="L489" s="17" t="s">
        <v>67</v>
      </c>
      <c r="M489" s="13" t="s">
        <v>60</v>
      </c>
      <c r="N489" s="13">
        <v>1</v>
      </c>
      <c r="O489" s="13"/>
      <c r="P489" s="33" t="str">
        <f t="shared" si="146"/>
        <v>MAIN UNIT</v>
      </c>
      <c r="Q489" s="13" t="s">
        <v>68</v>
      </c>
      <c r="R489" s="13" t="s">
        <v>62</v>
      </c>
      <c r="S489" s="13" t="s">
        <v>49</v>
      </c>
      <c r="T489" s="13" t="s">
        <v>78</v>
      </c>
      <c r="U489" s="13" t="s">
        <v>79</v>
      </c>
      <c r="V489" s="13" t="s">
        <v>112</v>
      </c>
      <c r="W489" s="13" t="s">
        <v>109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41"/>
        <v>31296887.037898075</v>
      </c>
      <c r="AJ489" s="19">
        <f t="shared" si="142"/>
        <v>3588873.9502021763</v>
      </c>
      <c r="AK489" s="20">
        <f t="shared" si="151"/>
        <v>0.11467191436184473</v>
      </c>
      <c r="AL489" s="17"/>
      <c r="AM489" s="17"/>
      <c r="AN489" s="17"/>
      <c r="AO489" s="17"/>
      <c r="AP489" s="28" t="str">
        <f t="shared" si="152"/>
        <v>20196</v>
      </c>
      <c r="AQ489" s="28" t="str">
        <f t="shared" si="153"/>
        <v>20196JPY</v>
      </c>
      <c r="AR489" s="206" t="str">
        <f t="shared" si="154"/>
        <v>YAMAHA_Mounter</v>
      </c>
      <c r="AS489" s="22">
        <f t="shared" si="155"/>
        <v>1</v>
      </c>
      <c r="AT489" s="24" t="str">
        <f t="shared" si="156"/>
        <v>0-3 months</v>
      </c>
      <c r="AU489" s="22" t="s">
        <v>3745</v>
      </c>
    </row>
    <row r="490" spans="1:47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48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1500</v>
      </c>
      <c r="K490" s="155" t="s">
        <v>1501</v>
      </c>
      <c r="L490" s="17" t="s">
        <v>92</v>
      </c>
      <c r="M490" s="13" t="s">
        <v>60</v>
      </c>
      <c r="N490" s="13">
        <v>1</v>
      </c>
      <c r="O490" s="13"/>
      <c r="P490" s="33" t="str">
        <f t="shared" si="146"/>
        <v>MAIN UNIT</v>
      </c>
      <c r="Q490" s="13" t="s">
        <v>61</v>
      </c>
      <c r="R490" s="13" t="s">
        <v>62</v>
      </c>
      <c r="S490" s="13" t="s">
        <v>49</v>
      </c>
      <c r="T490" s="13" t="s">
        <v>78</v>
      </c>
      <c r="U490" s="13" t="s">
        <v>79</v>
      </c>
      <c r="V490" s="13" t="s">
        <v>112</v>
      </c>
      <c r="W490" s="13" t="s">
        <v>1341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41"/>
        <v>31097187.02948761</v>
      </c>
      <c r="AJ490" s="19">
        <f t="shared" si="142"/>
        <v>3892353.6644401965</v>
      </c>
      <c r="AK490" s="20">
        <f t="shared" si="151"/>
        <v>0.12516738767237401</v>
      </c>
      <c r="AL490" s="17"/>
      <c r="AM490" s="17"/>
      <c r="AN490" s="17"/>
      <c r="AO490" s="17"/>
      <c r="AP490" s="28" t="str">
        <f t="shared" si="152"/>
        <v>20212</v>
      </c>
      <c r="AQ490" s="28" t="str">
        <f t="shared" si="153"/>
        <v>20212JPY</v>
      </c>
      <c r="AR490" s="206" t="str">
        <f t="shared" si="154"/>
        <v>YAMAHA_Mounter</v>
      </c>
      <c r="AS490" s="22">
        <f t="shared" si="155"/>
        <v>5</v>
      </c>
      <c r="AT490" s="24" t="str">
        <f t="shared" si="156"/>
        <v>4-6 months</v>
      </c>
      <c r="AU490" s="22" t="s">
        <v>3745</v>
      </c>
    </row>
    <row r="491" spans="1:47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48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1502</v>
      </c>
      <c r="K491" s="155" t="s">
        <v>1501</v>
      </c>
      <c r="L491" s="17" t="s">
        <v>92</v>
      </c>
      <c r="M491" s="13" t="s">
        <v>60</v>
      </c>
      <c r="N491" s="13">
        <v>1</v>
      </c>
      <c r="O491" s="13"/>
      <c r="P491" s="33" t="str">
        <f t="shared" si="146"/>
        <v>MAIN UNIT</v>
      </c>
      <c r="Q491" s="13" t="s">
        <v>61</v>
      </c>
      <c r="R491" s="13" t="s">
        <v>62</v>
      </c>
      <c r="S491" s="13" t="s">
        <v>49</v>
      </c>
      <c r="T491" s="13" t="s">
        <v>78</v>
      </c>
      <c r="U491" s="13" t="s">
        <v>79</v>
      </c>
      <c r="V491" s="13" t="s">
        <v>112</v>
      </c>
      <c r="W491" s="13" t="s">
        <v>1341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41"/>
        <v>31097187.02948761</v>
      </c>
      <c r="AJ491" s="19">
        <f t="shared" si="142"/>
        <v>3892353.6644401965</v>
      </c>
      <c r="AK491" s="20">
        <f t="shared" si="151"/>
        <v>0.12516738767237401</v>
      </c>
      <c r="AL491" s="17"/>
      <c r="AM491" s="17"/>
      <c r="AN491" s="17"/>
      <c r="AO491" s="17"/>
      <c r="AP491" s="28" t="str">
        <f t="shared" si="152"/>
        <v>20212</v>
      </c>
      <c r="AQ491" s="28" t="str">
        <f t="shared" si="153"/>
        <v>20212JPY</v>
      </c>
      <c r="AR491" s="206" t="str">
        <f t="shared" si="154"/>
        <v>YAMAHA_Mounter</v>
      </c>
      <c r="AS491" s="22">
        <f t="shared" si="155"/>
        <v>5</v>
      </c>
      <c r="AT491" s="24" t="str">
        <f t="shared" si="156"/>
        <v>4-6 months</v>
      </c>
      <c r="AU491" s="22" t="s">
        <v>3745</v>
      </c>
    </row>
    <row r="492" spans="1:47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48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1503</v>
      </c>
      <c r="K492" s="155" t="s">
        <v>1501</v>
      </c>
      <c r="L492" s="17" t="s">
        <v>67</v>
      </c>
      <c r="M492" s="13" t="s">
        <v>60</v>
      </c>
      <c r="N492" s="13">
        <v>1</v>
      </c>
      <c r="O492" s="13"/>
      <c r="P492" s="33" t="str">
        <f t="shared" si="146"/>
        <v>MAIN UNIT</v>
      </c>
      <c r="Q492" s="13" t="s">
        <v>61</v>
      </c>
      <c r="R492" s="13" t="s">
        <v>62</v>
      </c>
      <c r="S492" s="13" t="s">
        <v>49</v>
      </c>
      <c r="T492" s="13" t="s">
        <v>78</v>
      </c>
      <c r="U492" s="13" t="s">
        <v>79</v>
      </c>
      <c r="V492" s="13" t="s">
        <v>112</v>
      </c>
      <c r="W492" s="13" t="s">
        <v>1341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41"/>
        <v>57778307.282035396</v>
      </c>
      <c r="AJ492" s="19">
        <f t="shared" si="142"/>
        <v>7259860.7225420559</v>
      </c>
      <c r="AK492" s="20">
        <f t="shared" si="151"/>
        <v>0.12565028406083667</v>
      </c>
      <c r="AL492" s="17"/>
      <c r="AM492" s="17"/>
      <c r="AN492" s="17"/>
      <c r="AO492" s="17"/>
      <c r="AP492" s="28" t="str">
        <f t="shared" si="152"/>
        <v>20213</v>
      </c>
      <c r="AQ492" s="28" t="str">
        <f t="shared" si="153"/>
        <v>20213JPY</v>
      </c>
      <c r="AR492" s="206" t="str">
        <f t="shared" si="154"/>
        <v>YAMAHA_Mounter</v>
      </c>
      <c r="AS492" s="22">
        <f t="shared" si="155"/>
        <v>6</v>
      </c>
      <c r="AT492" s="24" t="str">
        <f t="shared" si="156"/>
        <v>4-6 months</v>
      </c>
      <c r="AU492" s="22" t="s">
        <v>3745</v>
      </c>
    </row>
    <row r="493" spans="1:47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48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1503</v>
      </c>
      <c r="K493" s="155" t="s">
        <v>1501</v>
      </c>
      <c r="L493" s="17" t="s">
        <v>67</v>
      </c>
      <c r="M493" s="13" t="s">
        <v>60</v>
      </c>
      <c r="N493" s="13">
        <v>1</v>
      </c>
      <c r="O493" s="13"/>
      <c r="P493" s="33" t="str">
        <f t="shared" si="146"/>
        <v>MAIN UNIT</v>
      </c>
      <c r="Q493" s="13" t="s">
        <v>61</v>
      </c>
      <c r="R493" s="13" t="s">
        <v>62</v>
      </c>
      <c r="S493" s="13" t="s">
        <v>49</v>
      </c>
      <c r="T493" s="13" t="s">
        <v>78</v>
      </c>
      <c r="U493" s="13" t="s">
        <v>79</v>
      </c>
      <c r="V493" s="13" t="s">
        <v>112</v>
      </c>
      <c r="W493" s="13" t="s">
        <v>1341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41"/>
        <v>57778307.282035396</v>
      </c>
      <c r="AJ493" s="19">
        <f t="shared" si="142"/>
        <v>7259860.7225420559</v>
      </c>
      <c r="AK493" s="20">
        <f t="shared" si="151"/>
        <v>0.12565028406083667</v>
      </c>
      <c r="AL493" s="17"/>
      <c r="AM493" s="17"/>
      <c r="AN493" s="17"/>
      <c r="AO493" s="17"/>
      <c r="AP493" s="28" t="str">
        <f t="shared" si="152"/>
        <v>20213</v>
      </c>
      <c r="AQ493" s="28" t="str">
        <f t="shared" si="153"/>
        <v>20213JPY</v>
      </c>
      <c r="AR493" s="206" t="str">
        <f t="shared" si="154"/>
        <v>YAMAHA_Mounter</v>
      </c>
      <c r="AS493" s="22">
        <f t="shared" si="155"/>
        <v>6</v>
      </c>
      <c r="AT493" s="24" t="str">
        <f t="shared" si="156"/>
        <v>4-6 months</v>
      </c>
      <c r="AU493" s="22" t="s">
        <v>3745</v>
      </c>
    </row>
    <row r="494" spans="1:47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53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1766</v>
      </c>
      <c r="K494" s="155" t="s">
        <v>820</v>
      </c>
      <c r="L494" s="17" t="s">
        <v>67</v>
      </c>
      <c r="M494" s="13" t="s">
        <v>60</v>
      </c>
      <c r="N494" s="13">
        <v>1</v>
      </c>
      <c r="O494" s="13"/>
      <c r="P494" s="33" t="str">
        <f t="shared" si="146"/>
        <v>MAIN UNIT</v>
      </c>
      <c r="Q494" s="13" t="s">
        <v>61</v>
      </c>
      <c r="R494" s="13" t="s">
        <v>62</v>
      </c>
      <c r="S494" s="13" t="s">
        <v>49</v>
      </c>
      <c r="T494" s="13" t="s">
        <v>78</v>
      </c>
      <c r="U494" s="13" t="s">
        <v>79</v>
      </c>
      <c r="V494" s="13" t="s">
        <v>112</v>
      </c>
      <c r="W494" s="13" t="s">
        <v>64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41"/>
        <v>63006605.696460173</v>
      </c>
      <c r="AJ494" s="19">
        <f t="shared" si="142"/>
        <v>8897485.660753984</v>
      </c>
      <c r="AK494" s="20">
        <f t="shared" si="151"/>
        <v>0.141215124388995</v>
      </c>
      <c r="AL494" s="17"/>
      <c r="AM494" s="17"/>
      <c r="AN494" s="17"/>
      <c r="AO494" s="17"/>
      <c r="AP494" s="28" t="str">
        <f t="shared" si="152"/>
        <v>20215</v>
      </c>
      <c r="AQ494" s="28" t="str">
        <f t="shared" si="153"/>
        <v>20215RMB</v>
      </c>
      <c r="AR494" s="206" t="str">
        <f t="shared" si="154"/>
        <v>YAMAHA_Mounter</v>
      </c>
      <c r="AS494" s="22">
        <f t="shared" si="155"/>
        <v>0</v>
      </c>
      <c r="AT494" s="24" t="str">
        <f t="shared" si="156"/>
        <v>0-3 months</v>
      </c>
      <c r="AU494" s="22" t="s">
        <v>3751</v>
      </c>
    </row>
    <row r="495" spans="1:47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3369</v>
      </c>
      <c r="K495" s="29" t="s">
        <v>1905</v>
      </c>
      <c r="L495" s="17" t="s">
        <v>92</v>
      </c>
      <c r="M495" s="22" t="s">
        <v>60</v>
      </c>
      <c r="N495" s="22">
        <v>1</v>
      </c>
      <c r="O495" s="22"/>
      <c r="P495" s="33" t="str">
        <f t="shared" si="146"/>
        <v>MAIN UNIT</v>
      </c>
      <c r="Q495" s="13" t="s">
        <v>61</v>
      </c>
      <c r="R495" s="22" t="s">
        <v>62</v>
      </c>
      <c r="S495" s="22" t="s">
        <v>52</v>
      </c>
      <c r="T495" s="22" t="s">
        <v>176</v>
      </c>
      <c r="U495" s="22" t="s">
        <v>177</v>
      </c>
      <c r="V495" s="22" t="s">
        <v>178</v>
      </c>
      <c r="W495" s="22" t="s">
        <v>64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41"/>
        <v>20319282.700884953</v>
      </c>
      <c r="AJ495" s="27">
        <f t="shared" si="142"/>
        <v>2408851.9638623013</v>
      </c>
      <c r="AK495" s="28">
        <f t="shared" si="151"/>
        <v>0.11855004919821259</v>
      </c>
      <c r="AL495" s="24"/>
      <c r="AM495" s="24"/>
      <c r="AN495" s="24"/>
      <c r="AO495" s="24"/>
      <c r="AP495" s="28" t="str">
        <f t="shared" si="152"/>
        <v>20244</v>
      </c>
      <c r="AQ495" s="28" t="str">
        <f t="shared" si="153"/>
        <v>20244RMB</v>
      </c>
      <c r="AR495" s="206" t="str">
        <f t="shared" si="154"/>
        <v>YAMAHA_Mounter</v>
      </c>
      <c r="AS495" s="22">
        <f t="shared" si="155"/>
        <v>1</v>
      </c>
      <c r="AT495" s="24" t="str">
        <f t="shared" si="156"/>
        <v>0-3 months</v>
      </c>
      <c r="AU495" s="22" t="s">
        <v>3240</v>
      </c>
    </row>
    <row r="496" spans="1:47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3369</v>
      </c>
      <c r="K496" s="29" t="s">
        <v>1905</v>
      </c>
      <c r="L496" s="17" t="s">
        <v>92</v>
      </c>
      <c r="M496" s="22" t="s">
        <v>60</v>
      </c>
      <c r="N496" s="22">
        <v>1</v>
      </c>
      <c r="O496" s="22"/>
      <c r="P496" s="33" t="str">
        <f t="shared" si="146"/>
        <v>MAIN UNIT</v>
      </c>
      <c r="Q496" s="13" t="s">
        <v>61</v>
      </c>
      <c r="R496" s="22" t="s">
        <v>62</v>
      </c>
      <c r="S496" s="22" t="s">
        <v>52</v>
      </c>
      <c r="T496" s="22" t="s">
        <v>176</v>
      </c>
      <c r="U496" s="22" t="s">
        <v>177</v>
      </c>
      <c r="V496" s="22" t="s">
        <v>178</v>
      </c>
      <c r="W496" s="22" t="s">
        <v>64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41"/>
        <v>20319282.700884953</v>
      </c>
      <c r="AJ496" s="27">
        <f t="shared" si="142"/>
        <v>2408851.9638623013</v>
      </c>
      <c r="AK496" s="28">
        <f t="shared" si="151"/>
        <v>0.11855004919821259</v>
      </c>
      <c r="AL496" s="24"/>
      <c r="AM496" s="24"/>
      <c r="AN496" s="24"/>
      <c r="AO496" s="24"/>
      <c r="AP496" s="28" t="str">
        <f t="shared" si="152"/>
        <v>20244</v>
      </c>
      <c r="AQ496" s="28" t="str">
        <f t="shared" si="153"/>
        <v>20244RMB</v>
      </c>
      <c r="AR496" s="206" t="str">
        <f t="shared" si="154"/>
        <v>YAMAHA_Mounter</v>
      </c>
      <c r="AS496" s="22">
        <f t="shared" si="155"/>
        <v>1</v>
      </c>
      <c r="AT496" s="24" t="str">
        <f t="shared" si="156"/>
        <v>0-3 months</v>
      </c>
      <c r="AU496" s="22" t="s">
        <v>3240</v>
      </c>
    </row>
    <row r="497" spans="1:47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48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1368</v>
      </c>
      <c r="K497" s="155" t="s">
        <v>1369</v>
      </c>
      <c r="L497" s="17" t="s">
        <v>92</v>
      </c>
      <c r="M497" s="13" t="s">
        <v>60</v>
      </c>
      <c r="N497" s="13">
        <v>1</v>
      </c>
      <c r="O497" s="13"/>
      <c r="P497" s="33" t="str">
        <f t="shared" si="146"/>
        <v>MAIN UNIT</v>
      </c>
      <c r="Q497" s="13" t="s">
        <v>61</v>
      </c>
      <c r="R497" s="13" t="s">
        <v>62</v>
      </c>
      <c r="S497" s="13" t="s">
        <v>49</v>
      </c>
      <c r="T497" s="13" t="s">
        <v>78</v>
      </c>
      <c r="U497" s="13" t="s">
        <v>79</v>
      </c>
      <c r="V497" s="13" t="s">
        <v>1116</v>
      </c>
      <c r="W497" s="13" t="s">
        <v>64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41"/>
        <v>47907808.356810622</v>
      </c>
      <c r="AJ497" s="19">
        <f t="shared" si="142"/>
        <v>6027384.8806384448</v>
      </c>
      <c r="AK497" s="20">
        <f t="shared" si="151"/>
        <v>0.12581216063459488</v>
      </c>
      <c r="AL497" s="17"/>
      <c r="AM497" s="17"/>
      <c r="AN497" s="17"/>
      <c r="AO497" s="17"/>
      <c r="AP497" s="28" t="str">
        <f t="shared" si="152"/>
        <v>20209</v>
      </c>
      <c r="AQ497" s="28" t="str">
        <f t="shared" si="153"/>
        <v>20209RMB</v>
      </c>
      <c r="AR497" s="206" t="str">
        <f t="shared" si="154"/>
        <v>YAMAHA_Mounter</v>
      </c>
      <c r="AS497" s="22">
        <f t="shared" si="155"/>
        <v>2</v>
      </c>
      <c r="AT497" s="24" t="str">
        <f t="shared" si="156"/>
        <v>0-3 months</v>
      </c>
      <c r="AU497" s="22" t="s">
        <v>3744</v>
      </c>
    </row>
    <row r="498" spans="1:47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47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657</v>
      </c>
      <c r="K498" s="155" t="s">
        <v>658</v>
      </c>
      <c r="L498" s="17" t="s">
        <v>92</v>
      </c>
      <c r="M498" s="13" t="s">
        <v>60</v>
      </c>
      <c r="N498" s="13">
        <v>1</v>
      </c>
      <c r="O498" s="13"/>
      <c r="P498" s="33" t="str">
        <f t="shared" si="146"/>
        <v>MAIN UNIT</v>
      </c>
      <c r="Q498" s="13" t="s">
        <v>68</v>
      </c>
      <c r="R498" s="13" t="s">
        <v>62</v>
      </c>
      <c r="S498" s="13" t="s">
        <v>49</v>
      </c>
      <c r="T498" s="13" t="s">
        <v>249</v>
      </c>
      <c r="U498" s="13" t="s">
        <v>79</v>
      </c>
      <c r="V498" s="13" t="s">
        <v>134</v>
      </c>
      <c r="W498" s="13" t="s">
        <v>109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41"/>
        <v>32843736.557277881</v>
      </c>
      <c r="AJ498" s="19">
        <f t="shared" si="142"/>
        <v>3921470.6822663117</v>
      </c>
      <c r="AK498" s="20">
        <f t="shared" si="151"/>
        <v>0.11939782416131177</v>
      </c>
      <c r="AL498" s="17"/>
      <c r="AM498" s="17"/>
      <c r="AN498" s="17"/>
      <c r="AO498" s="17"/>
      <c r="AP498" s="28" t="str">
        <f t="shared" si="152"/>
        <v>20194</v>
      </c>
      <c r="AQ498" s="28" t="str">
        <f t="shared" si="153"/>
        <v>20194JPY</v>
      </c>
      <c r="AR498" s="206" t="str">
        <f t="shared" si="154"/>
        <v>YAMAHA_Mounter</v>
      </c>
      <c r="AS498" s="22">
        <f t="shared" si="155"/>
        <v>1</v>
      </c>
      <c r="AT498" s="24" t="str">
        <f t="shared" si="156"/>
        <v>0-3 months</v>
      </c>
      <c r="AU498" s="22" t="s">
        <v>3745</v>
      </c>
    </row>
    <row r="499" spans="1:47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53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1972</v>
      </c>
      <c r="K499" s="155" t="s">
        <v>1973</v>
      </c>
      <c r="L499" s="17" t="s">
        <v>92</v>
      </c>
      <c r="M499" s="13" t="s">
        <v>60</v>
      </c>
      <c r="N499" s="13">
        <v>1</v>
      </c>
      <c r="O499" s="13"/>
      <c r="P499" s="33" t="str">
        <f t="shared" si="146"/>
        <v>MAIN UNIT</v>
      </c>
      <c r="Q499" s="13" t="s">
        <v>68</v>
      </c>
      <c r="R499" s="13" t="s">
        <v>62</v>
      </c>
      <c r="S499" s="13" t="s">
        <v>49</v>
      </c>
      <c r="T499" s="13" t="s">
        <v>78</v>
      </c>
      <c r="U499" s="13" t="s">
        <v>79</v>
      </c>
      <c r="V499" s="13" t="s">
        <v>112</v>
      </c>
      <c r="W499" s="13" t="s">
        <v>109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41"/>
        <v>31750699.113741599</v>
      </c>
      <c r="AJ499" s="19">
        <f t="shared" si="142"/>
        <v>4396077.3195289988</v>
      </c>
      <c r="AK499" s="20">
        <f t="shared" si="151"/>
        <v>0.13845607946397598</v>
      </c>
      <c r="AL499" s="17"/>
      <c r="AM499" s="17"/>
      <c r="AN499" s="17"/>
      <c r="AO499" s="17" t="s">
        <v>1974</v>
      </c>
      <c r="AP499" s="28" t="str">
        <f t="shared" si="152"/>
        <v>20222</v>
      </c>
      <c r="AQ499" s="28" t="str">
        <f t="shared" si="153"/>
        <v>20222JPY</v>
      </c>
      <c r="AR499" s="206" t="str">
        <f t="shared" si="154"/>
        <v>YAMAHA_Mounter</v>
      </c>
      <c r="AS499" s="22">
        <f t="shared" si="155"/>
        <v>2</v>
      </c>
      <c r="AT499" s="24" t="str">
        <f t="shared" si="156"/>
        <v>0-3 months</v>
      </c>
      <c r="AU499" s="22" t="s">
        <v>3746</v>
      </c>
    </row>
    <row r="500" spans="1:47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55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2051</v>
      </c>
      <c r="K500" s="155" t="s">
        <v>1973</v>
      </c>
      <c r="L500" s="17" t="s">
        <v>92</v>
      </c>
      <c r="M500" s="13" t="s">
        <v>60</v>
      </c>
      <c r="N500" s="13">
        <v>1</v>
      </c>
      <c r="O500" s="13"/>
      <c r="P500" s="33" t="str">
        <f t="shared" si="146"/>
        <v>MAIN UNIT</v>
      </c>
      <c r="Q500" s="13" t="s">
        <v>68</v>
      </c>
      <c r="R500" s="13" t="s">
        <v>62</v>
      </c>
      <c r="S500" s="13" t="s">
        <v>49</v>
      </c>
      <c r="T500" s="13" t="s">
        <v>78</v>
      </c>
      <c r="U500" s="13" t="s">
        <v>79</v>
      </c>
      <c r="V500" s="13" t="s">
        <v>112</v>
      </c>
      <c r="W500" s="13" t="s">
        <v>109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41"/>
        <v>15951056.41591504</v>
      </c>
      <c r="AJ500" s="19">
        <f t="shared" si="142"/>
        <v>1966354.6022462982</v>
      </c>
      <c r="AK500" s="20">
        <f t="shared" si="151"/>
        <v>0.12327425538313459</v>
      </c>
      <c r="AL500" s="17"/>
      <c r="AM500" s="17"/>
      <c r="AN500" s="17"/>
      <c r="AO500" s="17" t="s">
        <v>1974</v>
      </c>
      <c r="AP500" s="28" t="str">
        <f t="shared" si="152"/>
        <v>20237</v>
      </c>
      <c r="AQ500" s="28" t="str">
        <f t="shared" si="153"/>
        <v>20237JPY</v>
      </c>
      <c r="AR500" s="206" t="str">
        <f t="shared" si="154"/>
        <v>YAMAHA_Mounter</v>
      </c>
      <c r="AS500" s="22">
        <f t="shared" si="155"/>
        <v>19</v>
      </c>
      <c r="AT500" s="24" t="str">
        <f t="shared" si="156"/>
        <v>&gt; 6 months</v>
      </c>
      <c r="AU500" s="22" t="s">
        <v>3746</v>
      </c>
    </row>
    <row r="501" spans="1:47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55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2051</v>
      </c>
      <c r="K501" s="155" t="s">
        <v>1973</v>
      </c>
      <c r="L501" s="17" t="s">
        <v>92</v>
      </c>
      <c r="M501" s="13" t="s">
        <v>60</v>
      </c>
      <c r="N501" s="13">
        <v>1</v>
      </c>
      <c r="O501" s="13"/>
      <c r="P501" s="33" t="str">
        <f t="shared" si="146"/>
        <v>MAIN UNIT</v>
      </c>
      <c r="Q501" s="13" t="s">
        <v>68</v>
      </c>
      <c r="R501" s="13" t="s">
        <v>62</v>
      </c>
      <c r="S501" s="13" t="s">
        <v>49</v>
      </c>
      <c r="T501" s="13" t="s">
        <v>78</v>
      </c>
      <c r="U501" s="13" t="s">
        <v>79</v>
      </c>
      <c r="V501" s="13" t="s">
        <v>112</v>
      </c>
      <c r="W501" s="13" t="s">
        <v>109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41"/>
        <v>15951056.41591504</v>
      </c>
      <c r="AJ501" s="19">
        <f t="shared" si="142"/>
        <v>1966354.6022462982</v>
      </c>
      <c r="AK501" s="20">
        <f t="shared" si="151"/>
        <v>0.12327425538313459</v>
      </c>
      <c r="AL501" s="17"/>
      <c r="AM501" s="17"/>
      <c r="AN501" s="17"/>
      <c r="AO501" s="17" t="s">
        <v>1974</v>
      </c>
      <c r="AP501" s="28" t="str">
        <f t="shared" si="152"/>
        <v>20237</v>
      </c>
      <c r="AQ501" s="28" t="str">
        <f t="shared" si="153"/>
        <v>20237JPY</v>
      </c>
      <c r="AR501" s="206" t="str">
        <f t="shared" si="154"/>
        <v>YAMAHA_Mounter</v>
      </c>
      <c r="AS501" s="22">
        <f t="shared" si="155"/>
        <v>19</v>
      </c>
      <c r="AT501" s="24" t="str">
        <f t="shared" si="156"/>
        <v>&gt; 6 months</v>
      </c>
      <c r="AU501" s="22" t="s">
        <v>3746</v>
      </c>
    </row>
    <row r="502" spans="1:47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55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2619</v>
      </c>
      <c r="K502" s="155" t="s">
        <v>1973</v>
      </c>
      <c r="L502" s="17" t="s">
        <v>2620</v>
      </c>
      <c r="M502" s="13" t="s">
        <v>60</v>
      </c>
      <c r="N502" s="13">
        <v>1</v>
      </c>
      <c r="O502" s="13"/>
      <c r="P502" s="33" t="str">
        <f t="shared" si="146"/>
        <v>MAIN UNIT</v>
      </c>
      <c r="Q502" s="13" t="s">
        <v>61</v>
      </c>
      <c r="R502" s="13" t="s">
        <v>2055</v>
      </c>
      <c r="S502" s="13" t="s">
        <v>49</v>
      </c>
      <c r="T502" s="13" t="s">
        <v>78</v>
      </c>
      <c r="U502" s="13" t="s">
        <v>79</v>
      </c>
      <c r="V502" s="13" t="s">
        <v>121</v>
      </c>
      <c r="W502" s="13" t="s">
        <v>109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41"/>
        <v>11730565.00042478</v>
      </c>
      <c r="AJ502" s="19">
        <f t="shared" si="142"/>
        <v>1439625.5685810833</v>
      </c>
      <c r="AK502" s="20">
        <f t="shared" si="151"/>
        <v>0.12272431622253084</v>
      </c>
      <c r="AL502" s="17"/>
      <c r="AM502" s="17"/>
      <c r="AN502" s="17"/>
      <c r="AO502" s="17"/>
      <c r="AP502" s="28" t="str">
        <f t="shared" si="152"/>
        <v>202311</v>
      </c>
      <c r="AQ502" s="28" t="str">
        <f t="shared" si="153"/>
        <v>202311JPY</v>
      </c>
      <c r="AR502" s="206" t="str">
        <f t="shared" si="154"/>
        <v>YAMAHA_Non_Mounter</v>
      </c>
      <c r="AS502" s="22">
        <f t="shared" si="155"/>
        <v>9</v>
      </c>
      <c r="AT502" s="24" t="str">
        <f t="shared" si="156"/>
        <v>&gt; 6 months</v>
      </c>
      <c r="AU502" s="22" t="s">
        <v>3746</v>
      </c>
    </row>
    <row r="503" spans="1:47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54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2945</v>
      </c>
      <c r="K503" s="155" t="s">
        <v>1973</v>
      </c>
      <c r="L503" s="17" t="s">
        <v>2620</v>
      </c>
      <c r="M503" s="13" t="s">
        <v>60</v>
      </c>
      <c r="N503" s="13">
        <v>1</v>
      </c>
      <c r="O503" s="13"/>
      <c r="P503" s="33" t="str">
        <f t="shared" si="146"/>
        <v>MAIN UNIT</v>
      </c>
      <c r="Q503" s="13" t="s">
        <v>68</v>
      </c>
      <c r="R503" s="13" t="s">
        <v>2055</v>
      </c>
      <c r="S503" s="13" t="s">
        <v>49</v>
      </c>
      <c r="T503" s="13" t="s">
        <v>78</v>
      </c>
      <c r="U503" s="13" t="s">
        <v>79</v>
      </c>
      <c r="V503" s="13" t="s">
        <v>112</v>
      </c>
      <c r="W503" s="13" t="s">
        <v>109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41"/>
        <v>46600814.041769907</v>
      </c>
      <c r="AJ503" s="19">
        <f t="shared" si="142"/>
        <v>5956366.3435927071</v>
      </c>
      <c r="AK503" s="20">
        <f t="shared" si="151"/>
        <v>0.1278167874546958</v>
      </c>
      <c r="AL503" s="17"/>
      <c r="AM503" s="17"/>
      <c r="AN503" s="17"/>
      <c r="AO503" s="17"/>
      <c r="AP503" s="28" t="str">
        <f t="shared" si="152"/>
        <v>20224</v>
      </c>
      <c r="AQ503" s="28" t="str">
        <f t="shared" si="153"/>
        <v>20224JPY</v>
      </c>
      <c r="AR503" s="206" t="str">
        <f t="shared" si="154"/>
        <v>YAMAHA_Non_Mounter</v>
      </c>
      <c r="AS503" s="22">
        <f t="shared" si="155"/>
        <v>4</v>
      </c>
      <c r="AT503" s="24" t="str">
        <f t="shared" si="156"/>
        <v>4-6 months</v>
      </c>
      <c r="AU503" s="22" t="s">
        <v>3746</v>
      </c>
    </row>
    <row r="504" spans="1:47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58">IF(G504="Cancel","Cancel",IF(G504="TBA","TBA",IFERROR(IF(I504="Q4","FY "&amp;RIGHT(F504,2)-1&amp;"/"&amp;RIGHT(F504,2),"FY "&amp;RIGHT(F504,2)&amp;"/"&amp;RIGHT(F504,2)+1),"")))</f>
        <v>Cancel</v>
      </c>
      <c r="F504" s="152" t="s">
        <v>185</v>
      </c>
      <c r="G504" s="152" t="s">
        <v>185</v>
      </c>
      <c r="H504" s="155"/>
      <c r="I504" s="33" t="str">
        <f t="shared" si="145"/>
        <v>Cancel</v>
      </c>
      <c r="J504" s="186" t="s">
        <v>3084</v>
      </c>
      <c r="K504" s="155" t="s">
        <v>1973</v>
      </c>
      <c r="L504" s="17" t="s">
        <v>2620</v>
      </c>
      <c r="M504" s="13" t="s">
        <v>60</v>
      </c>
      <c r="N504" s="13">
        <v>1</v>
      </c>
      <c r="O504" s="13"/>
      <c r="P504" s="33" t="str">
        <f t="shared" si="146"/>
        <v>MAIN UNIT</v>
      </c>
      <c r="Q504" s="13" t="s">
        <v>68</v>
      </c>
      <c r="R504" s="13" t="s">
        <v>2055</v>
      </c>
      <c r="S504" s="13" t="s">
        <v>49</v>
      </c>
      <c r="T504" s="13" t="s">
        <v>78</v>
      </c>
      <c r="U504" s="13" t="s">
        <v>79</v>
      </c>
      <c r="V504" s="13" t="s">
        <v>112</v>
      </c>
      <c r="W504" s="13" t="s">
        <v>109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41"/>
        <v>499582152.5142017</v>
      </c>
      <c r="AJ504" s="19">
        <f t="shared" si="142"/>
        <v>59520528.679470733</v>
      </c>
      <c r="AK504" s="20">
        <f t="shared" si="151"/>
        <v>0.11914062257814291</v>
      </c>
      <c r="AL504" s="17"/>
      <c r="AM504" s="17"/>
      <c r="AN504" s="17"/>
      <c r="AO504" s="17"/>
      <c r="AP504" s="28" t="str">
        <f t="shared" si="152"/>
        <v>CancelCancel</v>
      </c>
      <c r="AQ504" s="28" t="str">
        <f t="shared" si="153"/>
        <v>CancelCancelJPY</v>
      </c>
      <c r="AR504" s="206" t="str">
        <f t="shared" si="154"/>
        <v>YAMAHA_Non_Mounter</v>
      </c>
      <c r="AS504" s="22" t="str">
        <f t="shared" si="155"/>
        <v/>
      </c>
      <c r="AT504" s="24" t="str">
        <f t="shared" si="156"/>
        <v/>
      </c>
      <c r="AU504" s="22" t="s">
        <v>3240</v>
      </c>
    </row>
    <row r="505" spans="1:47" s="12" customFormat="1">
      <c r="A505" s="33" t="str">
        <f t="shared" si="143"/>
        <v>cancel</v>
      </c>
      <c r="B505" s="152"/>
      <c r="C505" s="152" t="s">
        <v>185</v>
      </c>
      <c r="D505" s="33" t="str">
        <f t="shared" si="144"/>
        <v/>
      </c>
      <c r="E505" s="33" t="str">
        <f t="shared" si="158"/>
        <v>TBA</v>
      </c>
      <c r="F505" s="152" t="s">
        <v>2584</v>
      </c>
      <c r="G505" s="152" t="s">
        <v>2584</v>
      </c>
      <c r="H505" s="155"/>
      <c r="I505" s="33" t="str">
        <f t="shared" si="145"/>
        <v>TBA</v>
      </c>
      <c r="J505" s="186" t="s">
        <v>3086</v>
      </c>
      <c r="K505" s="155" t="s">
        <v>1973</v>
      </c>
      <c r="L505" s="17" t="s">
        <v>92</v>
      </c>
      <c r="M505" s="13" t="s">
        <v>60</v>
      </c>
      <c r="N505" s="13">
        <v>1</v>
      </c>
      <c r="O505" s="13"/>
      <c r="P505" s="33" t="str">
        <f t="shared" si="146"/>
        <v>MAIN UNIT</v>
      </c>
      <c r="Q505" s="13" t="s">
        <v>68</v>
      </c>
      <c r="R505" s="13" t="s">
        <v>62</v>
      </c>
      <c r="S505" s="13" t="s">
        <v>49</v>
      </c>
      <c r="T505" s="13" t="s">
        <v>78</v>
      </c>
      <c r="U505" s="13" t="s">
        <v>79</v>
      </c>
      <c r="V505" s="13" t="s">
        <v>112</v>
      </c>
      <c r="W505" s="13" t="s">
        <v>109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41"/>
        <v>30033846.584070798</v>
      </c>
      <c r="AJ505" s="19">
        <f t="shared" si="142"/>
        <v>3534936.4750884958</v>
      </c>
      <c r="AK505" s="20">
        <f t="shared" si="151"/>
        <v>0.11769842618039268</v>
      </c>
      <c r="AL505" s="17"/>
      <c r="AM505" s="17"/>
      <c r="AN505" s="17"/>
      <c r="AO505" s="17" t="s">
        <v>3087</v>
      </c>
      <c r="AP505" s="28" t="str">
        <f t="shared" si="152"/>
        <v>TBATBA</v>
      </c>
      <c r="AQ505" s="28" t="str">
        <f t="shared" si="153"/>
        <v>TBATBAJPY</v>
      </c>
      <c r="AR505" s="206" t="str">
        <f t="shared" si="154"/>
        <v>YAMAHA_Mounter</v>
      </c>
      <c r="AS505" s="22" t="str">
        <f t="shared" si="155"/>
        <v/>
      </c>
      <c r="AT505" s="24" t="str">
        <f t="shared" si="156"/>
        <v/>
      </c>
      <c r="AU505" s="22" t="s">
        <v>3746</v>
      </c>
    </row>
    <row r="506" spans="1:47" s="12" customFormat="1">
      <c r="A506" s="33" t="str">
        <f t="shared" si="143"/>
        <v>cancel</v>
      </c>
      <c r="B506" s="152"/>
      <c r="C506" s="152" t="s">
        <v>185</v>
      </c>
      <c r="D506" s="33" t="str">
        <f t="shared" si="144"/>
        <v/>
      </c>
      <c r="E506" s="33" t="str">
        <f t="shared" si="158"/>
        <v>TBA</v>
      </c>
      <c r="F506" s="152" t="s">
        <v>2584</v>
      </c>
      <c r="G506" s="152" t="s">
        <v>2584</v>
      </c>
      <c r="H506" s="155"/>
      <c r="I506" s="33" t="str">
        <f t="shared" si="145"/>
        <v>TBA</v>
      </c>
      <c r="J506" s="186" t="s">
        <v>3086</v>
      </c>
      <c r="K506" s="155" t="s">
        <v>1973</v>
      </c>
      <c r="L506" s="17" t="s">
        <v>67</v>
      </c>
      <c r="M506" s="13" t="s">
        <v>60</v>
      </c>
      <c r="N506" s="13">
        <v>1</v>
      </c>
      <c r="O506" s="13"/>
      <c r="P506" s="33" t="str">
        <f t="shared" si="146"/>
        <v>MAIN UNIT</v>
      </c>
      <c r="Q506" s="13" t="s">
        <v>68</v>
      </c>
      <c r="R506" s="13" t="s">
        <v>62</v>
      </c>
      <c r="S506" s="13" t="s">
        <v>49</v>
      </c>
      <c r="T506" s="13" t="s">
        <v>78</v>
      </c>
      <c r="U506" s="13" t="s">
        <v>79</v>
      </c>
      <c r="V506" s="13" t="s">
        <v>112</v>
      </c>
      <c r="W506" s="13" t="s">
        <v>109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41"/>
        <v>30033846.584070798</v>
      </c>
      <c r="AJ506" s="19">
        <f t="shared" si="142"/>
        <v>3534936.4750884958</v>
      </c>
      <c r="AK506" s="20">
        <f t="shared" si="151"/>
        <v>0.11769842618039268</v>
      </c>
      <c r="AL506" s="17"/>
      <c r="AM506" s="17"/>
      <c r="AN506" s="17"/>
      <c r="AO506" s="17" t="s">
        <v>3087</v>
      </c>
      <c r="AP506" s="28" t="str">
        <f t="shared" si="152"/>
        <v>TBATBA</v>
      </c>
      <c r="AQ506" s="28" t="str">
        <f t="shared" si="153"/>
        <v>TBATBAJPY</v>
      </c>
      <c r="AR506" s="206" t="str">
        <f t="shared" si="154"/>
        <v>YAMAHA_Mounter</v>
      </c>
      <c r="AS506" s="22" t="str">
        <f t="shared" si="155"/>
        <v/>
      </c>
      <c r="AT506" s="24" t="str">
        <f t="shared" si="156"/>
        <v/>
      </c>
      <c r="AU506" s="22" t="s">
        <v>3746</v>
      </c>
    </row>
    <row r="507" spans="1:47" s="12" customFormat="1">
      <c r="A507" s="33" t="str">
        <f t="shared" si="143"/>
        <v>cancel</v>
      </c>
      <c r="B507" s="152"/>
      <c r="C507" s="152" t="s">
        <v>185</v>
      </c>
      <c r="D507" s="33" t="str">
        <f t="shared" si="144"/>
        <v/>
      </c>
      <c r="E507" s="33" t="str">
        <f t="shared" si="158"/>
        <v>TBA</v>
      </c>
      <c r="F507" s="152" t="s">
        <v>2584</v>
      </c>
      <c r="G507" s="152" t="s">
        <v>2584</v>
      </c>
      <c r="H507" s="155"/>
      <c r="I507" s="33" t="str">
        <f t="shared" si="145"/>
        <v>TBA</v>
      </c>
      <c r="J507" s="186" t="s">
        <v>3086</v>
      </c>
      <c r="K507" s="155" t="s">
        <v>1973</v>
      </c>
      <c r="L507" s="17" t="s">
        <v>67</v>
      </c>
      <c r="M507" s="13" t="s">
        <v>60</v>
      </c>
      <c r="N507" s="13">
        <v>1</v>
      </c>
      <c r="O507" s="13"/>
      <c r="P507" s="33" t="str">
        <f t="shared" si="146"/>
        <v>MAIN UNIT</v>
      </c>
      <c r="Q507" s="13" t="s">
        <v>68</v>
      </c>
      <c r="R507" s="13" t="s">
        <v>62</v>
      </c>
      <c r="S507" s="13" t="s">
        <v>49</v>
      </c>
      <c r="T507" s="13" t="s">
        <v>78</v>
      </c>
      <c r="U507" s="13" t="s">
        <v>79</v>
      </c>
      <c r="V507" s="13" t="s">
        <v>112</v>
      </c>
      <c r="W507" s="13" t="s">
        <v>109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41"/>
        <v>30033846.584070798</v>
      </c>
      <c r="AJ507" s="19">
        <f t="shared" si="142"/>
        <v>3534936.4750884958</v>
      </c>
      <c r="AK507" s="20">
        <f t="shared" si="151"/>
        <v>0.11769842618039268</v>
      </c>
      <c r="AL507" s="17"/>
      <c r="AM507" s="17"/>
      <c r="AN507" s="17"/>
      <c r="AO507" s="17" t="s">
        <v>3087</v>
      </c>
      <c r="AP507" s="28" t="str">
        <f t="shared" si="152"/>
        <v>TBATBA</v>
      </c>
      <c r="AQ507" s="28" t="str">
        <f t="shared" si="153"/>
        <v>TBATBAJPY</v>
      </c>
      <c r="AR507" s="206" t="str">
        <f t="shared" si="154"/>
        <v>YAMAHA_Mounter</v>
      </c>
      <c r="AS507" s="22" t="str">
        <f t="shared" si="155"/>
        <v/>
      </c>
      <c r="AT507" s="24" t="str">
        <f t="shared" si="156"/>
        <v/>
      </c>
      <c r="AU507" s="22" t="s">
        <v>3746</v>
      </c>
    </row>
    <row r="508" spans="1:47" s="12" customFormat="1">
      <c r="A508" s="33" t="str">
        <f t="shared" si="143"/>
        <v>cancel</v>
      </c>
      <c r="B508" s="152"/>
      <c r="C508" s="152" t="s">
        <v>185</v>
      </c>
      <c r="D508" s="33" t="str">
        <f t="shared" si="144"/>
        <v/>
      </c>
      <c r="E508" s="33" t="str">
        <f t="shared" si="158"/>
        <v>TBA</v>
      </c>
      <c r="F508" s="152" t="s">
        <v>2584</v>
      </c>
      <c r="G508" s="152" t="s">
        <v>2584</v>
      </c>
      <c r="H508" s="155"/>
      <c r="I508" s="33" t="str">
        <f t="shared" si="145"/>
        <v>TBA</v>
      </c>
      <c r="J508" s="186" t="s">
        <v>3086</v>
      </c>
      <c r="K508" s="155" t="s">
        <v>1973</v>
      </c>
      <c r="L508" s="17" t="s">
        <v>67</v>
      </c>
      <c r="M508" s="13" t="s">
        <v>60</v>
      </c>
      <c r="N508" s="13">
        <v>1</v>
      </c>
      <c r="O508" s="13"/>
      <c r="P508" s="33" t="str">
        <f t="shared" si="146"/>
        <v>MAIN UNIT</v>
      </c>
      <c r="Q508" s="13" t="s">
        <v>68</v>
      </c>
      <c r="R508" s="13" t="s">
        <v>62</v>
      </c>
      <c r="S508" s="13" t="s">
        <v>49</v>
      </c>
      <c r="T508" s="13" t="s">
        <v>78</v>
      </c>
      <c r="U508" s="13" t="s">
        <v>79</v>
      </c>
      <c r="V508" s="13" t="s">
        <v>112</v>
      </c>
      <c r="W508" s="13" t="s">
        <v>109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41"/>
        <v>30033846.584070798</v>
      </c>
      <c r="AJ508" s="19">
        <f t="shared" si="142"/>
        <v>3534936.4750884958</v>
      </c>
      <c r="AK508" s="20">
        <f t="shared" si="151"/>
        <v>0.11769842618039268</v>
      </c>
      <c r="AL508" s="17"/>
      <c r="AM508" s="17"/>
      <c r="AN508" s="17"/>
      <c r="AO508" s="17" t="s">
        <v>3087</v>
      </c>
      <c r="AP508" s="28" t="str">
        <f t="shared" si="152"/>
        <v>TBATBA</v>
      </c>
      <c r="AQ508" s="28" t="str">
        <f t="shared" si="153"/>
        <v>TBATBAJPY</v>
      </c>
      <c r="AR508" s="206" t="str">
        <f t="shared" si="154"/>
        <v>YAMAHA_Mounter</v>
      </c>
      <c r="AS508" s="22" t="str">
        <f t="shared" si="155"/>
        <v/>
      </c>
      <c r="AT508" s="24" t="str">
        <f t="shared" si="156"/>
        <v/>
      </c>
      <c r="AU508" s="22" t="s">
        <v>3746</v>
      </c>
    </row>
    <row r="509" spans="1:47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58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3369</v>
      </c>
      <c r="K509" s="29" t="s">
        <v>1905</v>
      </c>
      <c r="L509" s="17" t="s">
        <v>92</v>
      </c>
      <c r="M509" s="22" t="s">
        <v>60</v>
      </c>
      <c r="N509" s="22">
        <v>1</v>
      </c>
      <c r="O509" s="22"/>
      <c r="P509" s="33" t="str">
        <f t="shared" si="146"/>
        <v>MAIN UNIT</v>
      </c>
      <c r="Q509" s="13" t="s">
        <v>61</v>
      </c>
      <c r="R509" s="22" t="s">
        <v>62</v>
      </c>
      <c r="S509" s="22" t="s">
        <v>52</v>
      </c>
      <c r="T509" s="22" t="s">
        <v>176</v>
      </c>
      <c r="U509" s="22" t="s">
        <v>177</v>
      </c>
      <c r="V509" s="22" t="s">
        <v>178</v>
      </c>
      <c r="W509" s="22" t="s">
        <v>64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41"/>
        <v>20319282.700884953</v>
      </c>
      <c r="AJ509" s="27">
        <f t="shared" si="142"/>
        <v>2408851.9638623013</v>
      </c>
      <c r="AK509" s="28">
        <f t="shared" si="151"/>
        <v>0.11855004919821259</v>
      </c>
      <c r="AL509" s="24"/>
      <c r="AM509" s="24"/>
      <c r="AN509" s="24"/>
      <c r="AO509" s="24"/>
      <c r="AP509" s="28" t="str">
        <f t="shared" si="152"/>
        <v>20244</v>
      </c>
      <c r="AQ509" s="28" t="str">
        <f t="shared" si="153"/>
        <v>20244RMB</v>
      </c>
      <c r="AR509" s="206" t="str">
        <f t="shared" si="154"/>
        <v>YAMAHA_Mounter</v>
      </c>
      <c r="AS509" s="22">
        <f t="shared" si="155"/>
        <v>1</v>
      </c>
      <c r="AT509" s="24" t="str">
        <f t="shared" si="156"/>
        <v>0-3 months</v>
      </c>
      <c r="AU509" s="22" t="s">
        <v>3240</v>
      </c>
    </row>
    <row r="510" spans="1:47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58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3369</v>
      </c>
      <c r="K510" s="29" t="s">
        <v>1905</v>
      </c>
      <c r="L510" s="17" t="s">
        <v>92</v>
      </c>
      <c r="M510" s="22" t="s">
        <v>60</v>
      </c>
      <c r="N510" s="22">
        <v>1</v>
      </c>
      <c r="O510" s="22"/>
      <c r="P510" s="33" t="str">
        <f t="shared" si="146"/>
        <v>MAIN UNIT</v>
      </c>
      <c r="Q510" s="13" t="s">
        <v>61</v>
      </c>
      <c r="R510" s="22" t="s">
        <v>62</v>
      </c>
      <c r="S510" s="22" t="s">
        <v>52</v>
      </c>
      <c r="T510" s="22" t="s">
        <v>176</v>
      </c>
      <c r="U510" s="22" t="s">
        <v>177</v>
      </c>
      <c r="V510" s="22" t="s">
        <v>178</v>
      </c>
      <c r="W510" s="22" t="s">
        <v>64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41"/>
        <v>20319282.700884953</v>
      </c>
      <c r="AJ510" s="27">
        <f t="shared" si="142"/>
        <v>2408851.9638623013</v>
      </c>
      <c r="AK510" s="28">
        <f t="shared" si="151"/>
        <v>0.11855004919821259</v>
      </c>
      <c r="AL510" s="24"/>
      <c r="AM510" s="24"/>
      <c r="AN510" s="24"/>
      <c r="AO510" s="24"/>
      <c r="AP510" s="28" t="str">
        <f t="shared" si="152"/>
        <v>20244</v>
      </c>
      <c r="AQ510" s="28" t="str">
        <f t="shared" si="153"/>
        <v>20244RMB</v>
      </c>
      <c r="AR510" s="206" t="str">
        <f t="shared" si="154"/>
        <v>YAMAHA_Mounter</v>
      </c>
      <c r="AS510" s="22">
        <f t="shared" si="155"/>
        <v>1</v>
      </c>
      <c r="AT510" s="24" t="str">
        <f t="shared" si="156"/>
        <v>0-3 months</v>
      </c>
      <c r="AU510" s="22" t="s">
        <v>3240</v>
      </c>
    </row>
    <row r="511" spans="1:47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47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647</v>
      </c>
      <c r="K511" s="155" t="s">
        <v>648</v>
      </c>
      <c r="L511" s="17" t="s">
        <v>92</v>
      </c>
      <c r="M511" s="13" t="s">
        <v>60</v>
      </c>
      <c r="N511" s="13">
        <v>1</v>
      </c>
      <c r="O511" s="13"/>
      <c r="P511" s="33" t="str">
        <f t="shared" si="146"/>
        <v>MAIN UNIT</v>
      </c>
      <c r="Q511" s="13" t="s">
        <v>68</v>
      </c>
      <c r="R511" s="13" t="s">
        <v>62</v>
      </c>
      <c r="S511" s="13" t="s">
        <v>49</v>
      </c>
      <c r="T511" s="13" t="s">
        <v>249</v>
      </c>
      <c r="U511" s="13" t="s">
        <v>79</v>
      </c>
      <c r="V511" s="13" t="s">
        <v>311</v>
      </c>
      <c r="W511" s="13" t="s">
        <v>109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41"/>
        <v>32843736.557277881</v>
      </c>
      <c r="AJ511" s="19">
        <f t="shared" si="142"/>
        <v>3921470.6822663117</v>
      </c>
      <c r="AK511" s="20">
        <f t="shared" si="151"/>
        <v>0.11939782416131177</v>
      </c>
      <c r="AL511" s="17"/>
      <c r="AM511" s="17"/>
      <c r="AN511" s="17"/>
      <c r="AO511" s="17"/>
      <c r="AP511" s="28" t="str">
        <f t="shared" si="152"/>
        <v>20194</v>
      </c>
      <c r="AQ511" s="28" t="str">
        <f t="shared" si="153"/>
        <v>20194JPY</v>
      </c>
      <c r="AR511" s="206" t="str">
        <f t="shared" si="154"/>
        <v>YAMAHA_Mounter</v>
      </c>
      <c r="AS511" s="22">
        <f t="shared" si="155"/>
        <v>0</v>
      </c>
      <c r="AT511" s="24" t="str">
        <f t="shared" si="156"/>
        <v>0-3 months</v>
      </c>
      <c r="AU511" s="22" t="s">
        <v>3745</v>
      </c>
    </row>
    <row r="512" spans="1:47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47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647</v>
      </c>
      <c r="K512" s="155" t="s">
        <v>648</v>
      </c>
      <c r="L512" s="17" t="s">
        <v>67</v>
      </c>
      <c r="M512" s="13" t="s">
        <v>60</v>
      </c>
      <c r="N512" s="13">
        <v>1</v>
      </c>
      <c r="O512" s="13"/>
      <c r="P512" s="33" t="str">
        <f t="shared" si="146"/>
        <v>MAIN UNIT</v>
      </c>
      <c r="Q512" s="13" t="s">
        <v>68</v>
      </c>
      <c r="R512" s="13" t="s">
        <v>62</v>
      </c>
      <c r="S512" s="13" t="s">
        <v>49</v>
      </c>
      <c r="T512" s="13" t="s">
        <v>249</v>
      </c>
      <c r="U512" s="13" t="s">
        <v>79</v>
      </c>
      <c r="V512" s="13" t="s">
        <v>311</v>
      </c>
      <c r="W512" s="13" t="s">
        <v>109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41"/>
        <v>32843736.557277881</v>
      </c>
      <c r="AJ512" s="19">
        <f t="shared" si="142"/>
        <v>3921470.6822663117</v>
      </c>
      <c r="AK512" s="20">
        <f t="shared" si="151"/>
        <v>0.11939782416131177</v>
      </c>
      <c r="AL512" s="17"/>
      <c r="AM512" s="17"/>
      <c r="AN512" s="17"/>
      <c r="AO512" s="17"/>
      <c r="AP512" s="28" t="str">
        <f t="shared" si="152"/>
        <v>20194</v>
      </c>
      <c r="AQ512" s="28" t="str">
        <f t="shared" si="153"/>
        <v>20194JPY</v>
      </c>
      <c r="AR512" s="206" t="str">
        <f t="shared" si="154"/>
        <v>YAMAHA_Mounter</v>
      </c>
      <c r="AS512" s="22">
        <f t="shared" si="155"/>
        <v>0</v>
      </c>
      <c r="AT512" s="24" t="str">
        <f t="shared" si="156"/>
        <v>0-3 months</v>
      </c>
      <c r="AU512" s="22" t="s">
        <v>3745</v>
      </c>
    </row>
    <row r="513" spans="1:47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47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647</v>
      </c>
      <c r="K513" s="155" t="s">
        <v>648</v>
      </c>
      <c r="L513" s="17" t="s">
        <v>67</v>
      </c>
      <c r="M513" s="13" t="s">
        <v>60</v>
      </c>
      <c r="N513" s="13">
        <v>1</v>
      </c>
      <c r="O513" s="13"/>
      <c r="P513" s="33" t="str">
        <f t="shared" si="146"/>
        <v>MAIN UNIT</v>
      </c>
      <c r="Q513" s="13" t="s">
        <v>68</v>
      </c>
      <c r="R513" s="13" t="s">
        <v>62</v>
      </c>
      <c r="S513" s="13" t="s">
        <v>49</v>
      </c>
      <c r="T513" s="13" t="s">
        <v>249</v>
      </c>
      <c r="U513" s="13" t="s">
        <v>79</v>
      </c>
      <c r="V513" s="13" t="s">
        <v>311</v>
      </c>
      <c r="W513" s="13" t="s">
        <v>109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41"/>
        <v>32843736.557277881</v>
      </c>
      <c r="AJ513" s="19">
        <f t="shared" si="142"/>
        <v>3921470.6822663117</v>
      </c>
      <c r="AK513" s="20">
        <f t="shared" si="151"/>
        <v>0.11939782416131177</v>
      </c>
      <c r="AL513" s="17"/>
      <c r="AM513" s="17"/>
      <c r="AN513" s="17"/>
      <c r="AO513" s="17"/>
      <c r="AP513" s="28" t="str">
        <f t="shared" si="152"/>
        <v>20194</v>
      </c>
      <c r="AQ513" s="28" t="str">
        <f t="shared" si="153"/>
        <v>20194JPY</v>
      </c>
      <c r="AR513" s="206" t="str">
        <f t="shared" si="154"/>
        <v>YAMAHA_Mounter</v>
      </c>
      <c r="AS513" s="22">
        <f t="shared" si="155"/>
        <v>0</v>
      </c>
      <c r="AT513" s="24" t="str">
        <f t="shared" si="156"/>
        <v>0-3 months</v>
      </c>
      <c r="AU513" s="22" t="s">
        <v>3745</v>
      </c>
    </row>
    <row r="514" spans="1:47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47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892</v>
      </c>
      <c r="K514" s="155" t="s">
        <v>648</v>
      </c>
      <c r="L514" s="17" t="s">
        <v>67</v>
      </c>
      <c r="M514" s="13" t="s">
        <v>60</v>
      </c>
      <c r="N514" s="13">
        <v>1</v>
      </c>
      <c r="O514" s="13"/>
      <c r="P514" s="33" t="str">
        <f t="shared" si="146"/>
        <v>MAIN UNIT</v>
      </c>
      <c r="Q514" s="13" t="s">
        <v>61</v>
      </c>
      <c r="R514" s="13" t="s">
        <v>62</v>
      </c>
      <c r="S514" s="13" t="s">
        <v>49</v>
      </c>
      <c r="T514" s="13" t="s">
        <v>78</v>
      </c>
      <c r="U514" s="13" t="s">
        <v>79</v>
      </c>
      <c r="V514" s="13" t="s">
        <v>311</v>
      </c>
      <c r="W514" s="13" t="s">
        <v>109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ref="AI514:AI577" si="159">IF(P514="C66 SERVICE","",SUMIFS(AB:AB,F:F,F514,G:G,G514,E:E,E514))</f>
        <v>26147030.909862842</v>
      </c>
      <c r="AJ514" s="19">
        <f t="shared" ref="AJ514:AJ577" si="160">IF(P514="C66 SERVICE","",SUMIFS(AC:AC,F:F,F514,G:G,G514,E:E,E514))</f>
        <v>2743862.8630715334</v>
      </c>
      <c r="AK514" s="20">
        <f t="shared" si="151"/>
        <v>0.10493974908778378</v>
      </c>
      <c r="AL514" s="17"/>
      <c r="AM514" s="17"/>
      <c r="AN514" s="17"/>
      <c r="AO514" s="17"/>
      <c r="AP514" s="28" t="str">
        <f t="shared" si="152"/>
        <v>201911</v>
      </c>
      <c r="AQ514" s="28" t="str">
        <f t="shared" si="153"/>
        <v>201911JPY</v>
      </c>
      <c r="AR514" s="206" t="str">
        <f t="shared" si="154"/>
        <v>YAMAHA_Mounter</v>
      </c>
      <c r="AS514" s="22">
        <f t="shared" si="155"/>
        <v>0</v>
      </c>
      <c r="AT514" s="24" t="str">
        <f t="shared" si="156"/>
        <v>0-3 months</v>
      </c>
      <c r="AU514" s="22" t="s">
        <v>3745</v>
      </c>
    </row>
    <row r="515" spans="1:47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48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1187</v>
      </c>
      <c r="K515" s="155" t="s">
        <v>1188</v>
      </c>
      <c r="L515" s="17" t="s">
        <v>67</v>
      </c>
      <c r="M515" s="13" t="s">
        <v>60</v>
      </c>
      <c r="N515" s="13">
        <v>1</v>
      </c>
      <c r="O515" s="13"/>
      <c r="P515" s="33" t="str">
        <f t="shared" si="146"/>
        <v>MAIN UNIT</v>
      </c>
      <c r="Q515" s="13" t="s">
        <v>61</v>
      </c>
      <c r="R515" s="13" t="s">
        <v>62</v>
      </c>
      <c r="S515" s="13" t="s">
        <v>49</v>
      </c>
      <c r="T515" s="13" t="s">
        <v>78</v>
      </c>
      <c r="U515" s="13" t="s">
        <v>79</v>
      </c>
      <c r="V515" s="13" t="s">
        <v>1125</v>
      </c>
      <c r="W515" s="13" t="s">
        <v>109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9"/>
        <v>35384300.169380538</v>
      </c>
      <c r="AJ515" s="19">
        <f t="shared" si="160"/>
        <v>5044538.8896988509</v>
      </c>
      <c r="AK515" s="20">
        <f t="shared" si="151"/>
        <v>0.14256432557804533</v>
      </c>
      <c r="AL515" s="17"/>
      <c r="AM515" s="17"/>
      <c r="AN515" s="17"/>
      <c r="AO515" s="17"/>
      <c r="AP515" s="28" t="str">
        <f t="shared" si="152"/>
        <v>20207</v>
      </c>
      <c r="AQ515" s="28" t="str">
        <f t="shared" si="153"/>
        <v>20207JPY</v>
      </c>
      <c r="AR515" s="206" t="str">
        <f t="shared" si="154"/>
        <v>YAMAHA_Mounter</v>
      </c>
      <c r="AS515" s="22">
        <f t="shared" si="155"/>
        <v>1</v>
      </c>
      <c r="AT515" s="24" t="str">
        <f t="shared" si="156"/>
        <v>0-3 months</v>
      </c>
      <c r="AU515" s="22" t="s">
        <v>3745</v>
      </c>
    </row>
    <row r="516" spans="1:47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48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1267</v>
      </c>
      <c r="K516" s="155" t="s">
        <v>648</v>
      </c>
      <c r="L516" s="17" t="s">
        <v>92</v>
      </c>
      <c r="M516" s="13" t="s">
        <v>60</v>
      </c>
      <c r="N516" s="13">
        <v>1</v>
      </c>
      <c r="O516" s="13"/>
      <c r="P516" s="33" t="str">
        <f t="shared" si="146"/>
        <v>MAIN UNIT</v>
      </c>
      <c r="Q516" s="13" t="s">
        <v>61</v>
      </c>
      <c r="R516" s="13" t="s">
        <v>62</v>
      </c>
      <c r="S516" s="13" t="s">
        <v>49</v>
      </c>
      <c r="T516" s="13" t="s">
        <v>249</v>
      </c>
      <c r="U516" s="13" t="s">
        <v>79</v>
      </c>
      <c r="V516" s="13" t="s">
        <v>311</v>
      </c>
      <c r="W516" s="13" t="s">
        <v>109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9"/>
        <v>28065694.408805311</v>
      </c>
      <c r="AJ516" s="19">
        <f t="shared" si="160"/>
        <v>4157433.2906989697</v>
      </c>
      <c r="AK516" s="20">
        <f t="shared" si="151"/>
        <v>0.14813220831602228</v>
      </c>
      <c r="AL516" s="17"/>
      <c r="AM516" s="17"/>
      <c r="AN516" s="17"/>
      <c r="AO516" s="17"/>
      <c r="AP516" s="28" t="str">
        <f t="shared" si="152"/>
        <v>20205</v>
      </c>
      <c r="AQ516" s="28" t="str">
        <f t="shared" si="153"/>
        <v>20205JPY</v>
      </c>
      <c r="AR516" s="206" t="str">
        <f t="shared" si="154"/>
        <v>YAMAHA_Mounter</v>
      </c>
      <c r="AS516" s="22">
        <f t="shared" si="155"/>
        <v>2</v>
      </c>
      <c r="AT516" s="24" t="str">
        <f t="shared" si="156"/>
        <v>0-3 months</v>
      </c>
      <c r="AU516" s="22" t="s">
        <v>3745</v>
      </c>
    </row>
    <row r="517" spans="1:47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54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2405</v>
      </c>
      <c r="K517" s="155" t="s">
        <v>2406</v>
      </c>
      <c r="L517" s="17" t="s">
        <v>67</v>
      </c>
      <c r="M517" s="13" t="s">
        <v>60</v>
      </c>
      <c r="N517" s="13">
        <v>1</v>
      </c>
      <c r="O517" s="13"/>
      <c r="P517" s="33" t="str">
        <f t="shared" si="146"/>
        <v>MAIN UNIT</v>
      </c>
      <c r="Q517" s="13" t="s">
        <v>61</v>
      </c>
      <c r="R517" s="13" t="s">
        <v>62</v>
      </c>
      <c r="S517" s="13" t="s">
        <v>49</v>
      </c>
      <c r="T517" s="13" t="s">
        <v>78</v>
      </c>
      <c r="U517" s="13" t="s">
        <v>79</v>
      </c>
      <c r="V517" s="13" t="s">
        <v>311</v>
      </c>
      <c r="W517" s="13" t="s">
        <v>64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9"/>
        <v>17329060.066371687</v>
      </c>
      <c r="AJ517" s="19">
        <f t="shared" si="160"/>
        <v>2472600.2142256643</v>
      </c>
      <c r="AK517" s="20">
        <f t="shared" si="151"/>
        <v>0.14268518919984163</v>
      </c>
      <c r="AL517" s="17"/>
      <c r="AM517" s="17"/>
      <c r="AN517" s="17"/>
      <c r="AO517" s="17"/>
      <c r="AP517" s="28" t="str">
        <f t="shared" si="152"/>
        <v>202212</v>
      </c>
      <c r="AQ517" s="28" t="str">
        <f t="shared" si="153"/>
        <v>202212RMB</v>
      </c>
      <c r="AR517" s="206" t="str">
        <f t="shared" si="154"/>
        <v>YAMAHA_Mounter</v>
      </c>
      <c r="AS517" s="22">
        <f t="shared" si="155"/>
        <v>0</v>
      </c>
      <c r="AT517" s="24" t="str">
        <f t="shared" si="156"/>
        <v>0-3 months</v>
      </c>
      <c r="AU517" s="22" t="s">
        <v>3751</v>
      </c>
    </row>
    <row r="518" spans="1:47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54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2405</v>
      </c>
      <c r="K518" s="155" t="s">
        <v>2406</v>
      </c>
      <c r="L518" s="17" t="s">
        <v>92</v>
      </c>
      <c r="M518" s="13" t="s">
        <v>60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61</v>
      </c>
      <c r="R518" s="13" t="s">
        <v>62</v>
      </c>
      <c r="S518" s="13" t="s">
        <v>49</v>
      </c>
      <c r="T518" s="13" t="s">
        <v>78</v>
      </c>
      <c r="U518" s="13" t="s">
        <v>79</v>
      </c>
      <c r="V518" s="13" t="s">
        <v>311</v>
      </c>
      <c r="W518" s="13" t="s">
        <v>64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si="159"/>
        <v>17329060.066371687</v>
      </c>
      <c r="AJ518" s="19">
        <f t="shared" si="160"/>
        <v>2472600.2142256643</v>
      </c>
      <c r="AK518" s="20">
        <f t="shared" ref="AK518:AK581" si="169">IF(AJ518&gt;0,AJ518/AI518,"")</f>
        <v>0.14268518919984163</v>
      </c>
      <c r="AL518" s="17"/>
      <c r="AM518" s="17"/>
      <c r="AN518" s="17"/>
      <c r="AO518" s="17"/>
      <c r="AP518" s="28" t="str">
        <f t="shared" ref="AP518:AP581" si="170">IF(F518="","",F518&amp;G518)</f>
        <v>202212</v>
      </c>
      <c r="AQ518" s="28" t="str">
        <f t="shared" ref="AQ518:AQ581" si="171">IF(W518="","",F518&amp;G518&amp;W518)</f>
        <v>202212RMB</v>
      </c>
      <c r="AR518" s="206" t="str">
        <f t="shared" ref="AR518:AR581" si="172">IFERROR(IF(AND(M518="YAMAHA", R518="C28"), "YAMAHA_Non_Mounter", IF(AND(M518="YAMAHA", R518="C49"), "YAMAHA_Mounter", M518)),"")</f>
        <v>YAMAHA_Mounter</v>
      </c>
      <c r="AS518" s="22">
        <f t="shared" ref="AS518:AS581" si="173">IFERROR(IF(OR(G518="TBA", G518=""), "", DATEDIF(DATE(B518, C518, 1), DATE(F518, G518, 1), "M")),"")</f>
        <v>0</v>
      </c>
      <c r="AT518" s="24" t="str">
        <f t="shared" ref="AT518:AT581" si="174">IF(ISNUMBER(AS518), IF(AS518&gt;=0, IF(AS518&lt;=3, "0-3 months", IF(AS518&lt;=6, "4-6 months", "&gt; 6 months"))), "")</f>
        <v>0-3 months</v>
      </c>
      <c r="AU518" s="22" t="s">
        <v>3751</v>
      </c>
    </row>
    <row r="519" spans="1:47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48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1039</v>
      </c>
      <c r="K519" s="155" t="s">
        <v>1040</v>
      </c>
      <c r="L519" s="17" t="s">
        <v>67</v>
      </c>
      <c r="M519" s="13" t="s">
        <v>60</v>
      </c>
      <c r="N519" s="13">
        <v>1</v>
      </c>
      <c r="O519" s="13"/>
      <c r="P519" s="33" t="str">
        <f t="shared" si="164"/>
        <v>MAIN UNIT</v>
      </c>
      <c r="Q519" s="13" t="s">
        <v>68</v>
      </c>
      <c r="R519" s="13" t="s">
        <v>62</v>
      </c>
      <c r="S519" s="13" t="s">
        <v>49</v>
      </c>
      <c r="T519" s="13" t="s">
        <v>78</v>
      </c>
      <c r="U519" s="13" t="s">
        <v>79</v>
      </c>
      <c r="V519" s="13" t="s">
        <v>725</v>
      </c>
      <c r="W519" s="13" t="s">
        <v>109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59"/>
        <v>33477255.428389374</v>
      </c>
      <c r="AJ519" s="19">
        <f t="shared" si="160"/>
        <v>4578663.362915583</v>
      </c>
      <c r="AK519" s="20">
        <f t="shared" si="169"/>
        <v>0.13676937682988152</v>
      </c>
      <c r="AL519" s="17"/>
      <c r="AM519" s="17"/>
      <c r="AN519" s="17"/>
      <c r="AO519" s="17"/>
      <c r="AP519" s="28" t="str">
        <f t="shared" si="170"/>
        <v>20204</v>
      </c>
      <c r="AQ519" s="28" t="str">
        <f t="shared" si="171"/>
        <v>20204JPY</v>
      </c>
      <c r="AR519" s="206" t="str">
        <f t="shared" si="172"/>
        <v>YAMAHA_Mounter</v>
      </c>
      <c r="AS519" s="22">
        <f t="shared" si="173"/>
        <v>3</v>
      </c>
      <c r="AT519" s="24" t="str">
        <f t="shared" si="174"/>
        <v>0-3 months</v>
      </c>
      <c r="AU519" s="22" t="s">
        <v>3745</v>
      </c>
    </row>
    <row r="520" spans="1:47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48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1039</v>
      </c>
      <c r="K520" s="155" t="s">
        <v>1040</v>
      </c>
      <c r="L520" s="17" t="s">
        <v>67</v>
      </c>
      <c r="M520" s="13" t="s">
        <v>60</v>
      </c>
      <c r="N520" s="13">
        <v>1</v>
      </c>
      <c r="O520" s="13"/>
      <c r="P520" s="33" t="str">
        <f t="shared" si="164"/>
        <v>MAIN UNIT</v>
      </c>
      <c r="Q520" s="13" t="s">
        <v>68</v>
      </c>
      <c r="R520" s="13" t="s">
        <v>62</v>
      </c>
      <c r="S520" s="13" t="s">
        <v>49</v>
      </c>
      <c r="T520" s="13" t="s">
        <v>78</v>
      </c>
      <c r="U520" s="13" t="s">
        <v>79</v>
      </c>
      <c r="V520" s="13" t="s">
        <v>725</v>
      </c>
      <c r="W520" s="13" t="s">
        <v>109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59"/>
        <v>33477255.428389374</v>
      </c>
      <c r="AJ520" s="19">
        <f t="shared" si="160"/>
        <v>4578663.362915583</v>
      </c>
      <c r="AK520" s="20">
        <f t="shared" si="169"/>
        <v>0.13676937682988152</v>
      </c>
      <c r="AL520" s="17"/>
      <c r="AM520" s="17"/>
      <c r="AN520" s="17"/>
      <c r="AO520" s="17"/>
      <c r="AP520" s="28" t="str">
        <f t="shared" si="170"/>
        <v>20204</v>
      </c>
      <c r="AQ520" s="28" t="str">
        <f t="shared" si="171"/>
        <v>20204JPY</v>
      </c>
      <c r="AR520" s="206" t="str">
        <f t="shared" si="172"/>
        <v>YAMAHA_Mounter</v>
      </c>
      <c r="AS520" s="22">
        <f t="shared" si="173"/>
        <v>3</v>
      </c>
      <c r="AT520" s="24" t="str">
        <f t="shared" si="174"/>
        <v>0-3 months</v>
      </c>
      <c r="AU520" s="22" t="s">
        <v>3745</v>
      </c>
    </row>
    <row r="521" spans="1:47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48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1322</v>
      </c>
      <c r="K521" s="155" t="s">
        <v>1323</v>
      </c>
      <c r="L521" s="17" t="s">
        <v>92</v>
      </c>
      <c r="M521" s="13" t="s">
        <v>60</v>
      </c>
      <c r="N521" s="13">
        <v>1</v>
      </c>
      <c r="O521" s="13"/>
      <c r="P521" s="33" t="str">
        <f t="shared" si="164"/>
        <v>MAIN UNIT</v>
      </c>
      <c r="Q521" s="13" t="s">
        <v>61</v>
      </c>
      <c r="R521" s="13" t="s">
        <v>62</v>
      </c>
      <c r="S521" s="13" t="s">
        <v>49</v>
      </c>
      <c r="T521" s="13" t="s">
        <v>78</v>
      </c>
      <c r="U521" s="13" t="s">
        <v>79</v>
      </c>
      <c r="V521" s="13" t="s">
        <v>1125</v>
      </c>
      <c r="W521" s="13" t="s">
        <v>1105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59"/>
        <v>28011162.254106201</v>
      </c>
      <c r="AJ521" s="19">
        <f t="shared" si="160"/>
        <v>3401347.1124888416</v>
      </c>
      <c r="AK521" s="20">
        <f t="shared" si="169"/>
        <v>0.12142827497242578</v>
      </c>
      <c r="AL521" s="17"/>
      <c r="AM521" s="17"/>
      <c r="AN521" s="17"/>
      <c r="AO521" s="17"/>
      <c r="AP521" s="28" t="str">
        <f t="shared" si="170"/>
        <v>202010</v>
      </c>
      <c r="AQ521" s="28" t="str">
        <f t="shared" si="171"/>
        <v>202010JPY</v>
      </c>
      <c r="AR521" s="206" t="str">
        <f t="shared" si="172"/>
        <v>YAMAHA_Mounter</v>
      </c>
      <c r="AS521" s="22">
        <f t="shared" si="173"/>
        <v>3</v>
      </c>
      <c r="AT521" s="24" t="str">
        <f t="shared" si="174"/>
        <v>0-3 months</v>
      </c>
      <c r="AU521" s="22" t="s">
        <v>3745</v>
      </c>
    </row>
    <row r="522" spans="1:47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53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1606</v>
      </c>
      <c r="K522" s="155" t="s">
        <v>1040</v>
      </c>
      <c r="L522" s="17" t="s">
        <v>92</v>
      </c>
      <c r="M522" s="13" t="s">
        <v>60</v>
      </c>
      <c r="N522" s="13">
        <v>1</v>
      </c>
      <c r="O522" s="13"/>
      <c r="P522" s="33" t="str">
        <f t="shared" si="164"/>
        <v>MAIN UNIT</v>
      </c>
      <c r="Q522" s="13" t="s">
        <v>61</v>
      </c>
      <c r="R522" s="13" t="s">
        <v>62</v>
      </c>
      <c r="S522" s="13" t="s">
        <v>49</v>
      </c>
      <c r="T522" s="13" t="s">
        <v>78</v>
      </c>
      <c r="U522" s="13" t="s">
        <v>79</v>
      </c>
      <c r="V522" s="13" t="s">
        <v>311</v>
      </c>
      <c r="W522" s="13" t="s">
        <v>109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59"/>
        <v>43684091.636631854</v>
      </c>
      <c r="AJ522" s="19">
        <f t="shared" si="160"/>
        <v>6483951.8242071122</v>
      </c>
      <c r="AK522" s="20">
        <f t="shared" si="169"/>
        <v>0.14842821680123736</v>
      </c>
      <c r="AL522" s="17"/>
      <c r="AM522" s="17"/>
      <c r="AN522" s="17"/>
      <c r="AO522" s="17"/>
      <c r="AP522" s="28" t="str">
        <f t="shared" si="170"/>
        <v>20214</v>
      </c>
      <c r="AQ522" s="28" t="str">
        <f t="shared" si="171"/>
        <v>20214JPY</v>
      </c>
      <c r="AR522" s="206" t="str">
        <f t="shared" si="172"/>
        <v>YAMAHA_Mounter</v>
      </c>
      <c r="AS522" s="22">
        <f t="shared" si="173"/>
        <v>4</v>
      </c>
      <c r="AT522" s="24" t="str">
        <f t="shared" si="174"/>
        <v>4-6 months</v>
      </c>
      <c r="AU522" s="22" t="s">
        <v>3745</v>
      </c>
    </row>
    <row r="523" spans="1:47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54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1999</v>
      </c>
      <c r="K523" s="155" t="s">
        <v>1040</v>
      </c>
      <c r="L523" s="17" t="s">
        <v>92</v>
      </c>
      <c r="M523" s="13" t="s">
        <v>60</v>
      </c>
      <c r="N523" s="13">
        <v>1</v>
      </c>
      <c r="O523" s="13"/>
      <c r="P523" s="33" t="str">
        <f t="shared" si="164"/>
        <v>MAIN UNIT</v>
      </c>
      <c r="Q523" s="13" t="s">
        <v>61</v>
      </c>
      <c r="R523" s="13" t="s">
        <v>62</v>
      </c>
      <c r="S523" s="13" t="s">
        <v>49</v>
      </c>
      <c r="T523" s="13" t="s">
        <v>78</v>
      </c>
      <c r="U523" s="13" t="s">
        <v>79</v>
      </c>
      <c r="V523" s="13" t="s">
        <v>311</v>
      </c>
      <c r="W523" s="13" t="s">
        <v>109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59"/>
        <v>46600814.041769907</v>
      </c>
      <c r="AJ523" s="19">
        <f t="shared" si="160"/>
        <v>5956366.3435927071</v>
      </c>
      <c r="AK523" s="20">
        <f t="shared" si="169"/>
        <v>0.1278167874546958</v>
      </c>
      <c r="AL523" s="17"/>
      <c r="AM523" s="17"/>
      <c r="AN523" s="17"/>
      <c r="AO523" s="17"/>
      <c r="AP523" s="28" t="str">
        <f t="shared" si="170"/>
        <v>20224</v>
      </c>
      <c r="AQ523" s="28" t="str">
        <f t="shared" si="171"/>
        <v>20224JPY</v>
      </c>
      <c r="AR523" s="206" t="str">
        <f t="shared" si="172"/>
        <v>YAMAHA_Mounter</v>
      </c>
      <c r="AS523" s="22">
        <f t="shared" si="173"/>
        <v>10</v>
      </c>
      <c r="AT523" s="24" t="str">
        <f t="shared" si="174"/>
        <v>&gt; 6 months</v>
      </c>
      <c r="AU523" s="22" t="s">
        <v>3745</v>
      </c>
    </row>
    <row r="524" spans="1:47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54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1999</v>
      </c>
      <c r="K524" s="155" t="s">
        <v>1040</v>
      </c>
      <c r="L524" s="17" t="s">
        <v>67</v>
      </c>
      <c r="M524" s="13" t="s">
        <v>60</v>
      </c>
      <c r="N524" s="13">
        <v>1</v>
      </c>
      <c r="O524" s="13"/>
      <c r="P524" s="33" t="str">
        <f t="shared" si="164"/>
        <v>MAIN UNIT</v>
      </c>
      <c r="Q524" s="13" t="s">
        <v>61</v>
      </c>
      <c r="R524" s="13" t="s">
        <v>62</v>
      </c>
      <c r="S524" s="13" t="s">
        <v>49</v>
      </c>
      <c r="T524" s="13" t="s">
        <v>78</v>
      </c>
      <c r="U524" s="13" t="s">
        <v>79</v>
      </c>
      <c r="V524" s="13" t="s">
        <v>311</v>
      </c>
      <c r="W524" s="13" t="s">
        <v>109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59"/>
        <v>46600814.041769907</v>
      </c>
      <c r="AJ524" s="19">
        <f t="shared" si="160"/>
        <v>5956366.3435927071</v>
      </c>
      <c r="AK524" s="20">
        <f t="shared" si="169"/>
        <v>0.1278167874546958</v>
      </c>
      <c r="AL524" s="17"/>
      <c r="AM524" s="17"/>
      <c r="AN524" s="17"/>
      <c r="AO524" s="17"/>
      <c r="AP524" s="28" t="str">
        <f t="shared" si="170"/>
        <v>20224</v>
      </c>
      <c r="AQ524" s="28" t="str">
        <f t="shared" si="171"/>
        <v>20224JPY</v>
      </c>
      <c r="AR524" s="206" t="str">
        <f t="shared" si="172"/>
        <v>YAMAHA_Mounter</v>
      </c>
      <c r="AS524" s="22">
        <f t="shared" si="173"/>
        <v>10</v>
      </c>
      <c r="AT524" s="24" t="str">
        <f t="shared" si="174"/>
        <v>&gt; 6 months</v>
      </c>
      <c r="AU524" s="22" t="s">
        <v>3745</v>
      </c>
    </row>
    <row r="525" spans="1:47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54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2394</v>
      </c>
      <c r="K525" s="155" t="s">
        <v>2395</v>
      </c>
      <c r="L525" s="17" t="s">
        <v>67</v>
      </c>
      <c r="M525" s="13" t="s">
        <v>60</v>
      </c>
      <c r="N525" s="13">
        <v>1</v>
      </c>
      <c r="O525" s="13"/>
      <c r="P525" s="33" t="str">
        <f t="shared" si="164"/>
        <v>MAIN UNIT</v>
      </c>
      <c r="Q525" s="13" t="s">
        <v>68</v>
      </c>
      <c r="R525" s="13" t="s">
        <v>62</v>
      </c>
      <c r="S525" s="13" t="s">
        <v>49</v>
      </c>
      <c r="T525" s="13" t="s">
        <v>78</v>
      </c>
      <c r="U525" s="13" t="s">
        <v>79</v>
      </c>
      <c r="V525" s="13" t="s">
        <v>2396</v>
      </c>
      <c r="W525" s="13" t="s">
        <v>64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59"/>
        <v>17329060.066371687</v>
      </c>
      <c r="AJ525" s="19">
        <f t="shared" si="160"/>
        <v>2472600.2142256643</v>
      </c>
      <c r="AK525" s="20">
        <f t="shared" si="169"/>
        <v>0.14268518919984163</v>
      </c>
      <c r="AL525" s="17"/>
      <c r="AM525" s="17"/>
      <c r="AN525" s="17"/>
      <c r="AO525" s="17"/>
      <c r="AP525" s="28" t="str">
        <f t="shared" si="170"/>
        <v>202212</v>
      </c>
      <c r="AQ525" s="28" t="str">
        <f t="shared" si="171"/>
        <v>202212RMB</v>
      </c>
      <c r="AR525" s="206" t="str">
        <f t="shared" si="172"/>
        <v>YAMAHA_Mounter</v>
      </c>
      <c r="AS525" s="22">
        <f t="shared" si="173"/>
        <v>1</v>
      </c>
      <c r="AT525" s="24" t="str">
        <f t="shared" si="174"/>
        <v>0-3 months</v>
      </c>
      <c r="AU525" s="22" t="s">
        <v>3751</v>
      </c>
    </row>
    <row r="526" spans="1:47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41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327</v>
      </c>
      <c r="K526" s="155" t="s">
        <v>328</v>
      </c>
      <c r="L526" s="17" t="s">
        <v>67</v>
      </c>
      <c r="M526" s="13" t="s">
        <v>60</v>
      </c>
      <c r="N526" s="13">
        <v>2</v>
      </c>
      <c r="O526" s="13"/>
      <c r="P526" s="33" t="str">
        <f t="shared" si="164"/>
        <v>MAIN UNIT</v>
      </c>
      <c r="Q526" s="13" t="s">
        <v>68</v>
      </c>
      <c r="R526" s="13" t="s">
        <v>62</v>
      </c>
      <c r="S526" s="13" t="s">
        <v>50</v>
      </c>
      <c r="T526" s="13" t="s">
        <v>297</v>
      </c>
      <c r="U526" s="13" t="s">
        <v>70</v>
      </c>
      <c r="V526" s="13" t="s">
        <v>329</v>
      </c>
      <c r="W526" s="13" t="s">
        <v>64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59"/>
        <v>29288201.603076916</v>
      </c>
      <c r="AJ526" s="19">
        <f t="shared" si="160"/>
        <v>3870159.1769246152</v>
      </c>
      <c r="AK526" s="20">
        <f t="shared" si="169"/>
        <v>0.13214055370740244</v>
      </c>
      <c r="AL526" s="17"/>
      <c r="AM526" s="17"/>
      <c r="AN526" s="17"/>
      <c r="AO526" s="17"/>
      <c r="AP526" s="28" t="str">
        <f t="shared" si="170"/>
        <v>20184</v>
      </c>
      <c r="AQ526" s="28" t="str">
        <f t="shared" si="171"/>
        <v>20184RMB</v>
      </c>
      <c r="AR526" s="206" t="str">
        <f t="shared" si="172"/>
        <v>YAMAHA_Mounter</v>
      </c>
      <c r="AS526" s="22">
        <f t="shared" si="173"/>
        <v>3</v>
      </c>
      <c r="AT526" s="24" t="str">
        <f t="shared" si="174"/>
        <v>0-3 months</v>
      </c>
      <c r="AU526" s="22" t="s">
        <v>3240</v>
      </c>
    </row>
    <row r="527" spans="1:47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48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1577</v>
      </c>
      <c r="K527" s="155" t="s">
        <v>1578</v>
      </c>
      <c r="L527" s="17" t="s">
        <v>67</v>
      </c>
      <c r="M527" s="13" t="s">
        <v>60</v>
      </c>
      <c r="N527" s="13">
        <v>1</v>
      </c>
      <c r="O527" s="13"/>
      <c r="P527" s="33" t="str">
        <f t="shared" si="164"/>
        <v>MAIN UNIT</v>
      </c>
      <c r="Q527" s="13" t="s">
        <v>61</v>
      </c>
      <c r="R527" s="13" t="s">
        <v>62</v>
      </c>
      <c r="S527" s="13" t="s">
        <v>50</v>
      </c>
      <c r="T527" s="13" t="s">
        <v>88</v>
      </c>
      <c r="U527" s="13" t="s">
        <v>70</v>
      </c>
      <c r="V527" s="13" t="s">
        <v>71</v>
      </c>
      <c r="W527" s="13" t="s">
        <v>64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59"/>
        <v>57778307.282035396</v>
      </c>
      <c r="AJ527" s="19">
        <f t="shared" si="160"/>
        <v>7259860.7225420559</v>
      </c>
      <c r="AK527" s="20">
        <f t="shared" si="169"/>
        <v>0.12565028406083667</v>
      </c>
      <c r="AL527" s="17"/>
      <c r="AM527" s="17"/>
      <c r="AN527" s="17"/>
      <c r="AO527" s="17"/>
      <c r="AP527" s="28" t="str">
        <f t="shared" si="170"/>
        <v>20213</v>
      </c>
      <c r="AQ527" s="28" t="str">
        <f t="shared" si="171"/>
        <v>20213RMB</v>
      </c>
      <c r="AR527" s="206" t="str">
        <f t="shared" si="172"/>
        <v>YAMAHA_Mounter</v>
      </c>
      <c r="AS527" s="22">
        <f t="shared" si="173"/>
        <v>3</v>
      </c>
      <c r="AT527" s="24" t="str">
        <f t="shared" si="174"/>
        <v>0-3 months</v>
      </c>
      <c r="AU527" s="22" t="s">
        <v>3240</v>
      </c>
    </row>
    <row r="528" spans="1:47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47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972</v>
      </c>
      <c r="K528" s="155" t="s">
        <v>973</v>
      </c>
      <c r="L528" s="17" t="s">
        <v>67</v>
      </c>
      <c r="M528" s="13" t="s">
        <v>60</v>
      </c>
      <c r="N528" s="13">
        <v>1</v>
      </c>
      <c r="O528" s="13"/>
      <c r="P528" s="33" t="str">
        <f t="shared" si="164"/>
        <v>MAIN UNIT</v>
      </c>
      <c r="Q528" s="13" t="s">
        <v>68</v>
      </c>
      <c r="R528" s="13" t="s">
        <v>62</v>
      </c>
      <c r="S528" s="13" t="s">
        <v>50</v>
      </c>
      <c r="T528" s="13" t="s">
        <v>297</v>
      </c>
      <c r="U528" s="13" t="s">
        <v>70</v>
      </c>
      <c r="V528" s="13" t="s">
        <v>169</v>
      </c>
      <c r="W528" s="13" t="s">
        <v>64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59"/>
        <v>37599388.802345134</v>
      </c>
      <c r="AJ528" s="19">
        <f t="shared" si="160"/>
        <v>4866784.3630338367</v>
      </c>
      <c r="AK528" s="20">
        <f t="shared" si="169"/>
        <v>0.12943785838163113</v>
      </c>
      <c r="AL528" s="17"/>
      <c r="AM528" s="17"/>
      <c r="AN528" s="17"/>
      <c r="AO528" s="17"/>
      <c r="AP528" s="28" t="str">
        <f t="shared" si="170"/>
        <v>20199</v>
      </c>
      <c r="AQ528" s="28" t="str">
        <f t="shared" si="171"/>
        <v>20199RMB</v>
      </c>
      <c r="AR528" s="206" t="str">
        <f t="shared" si="172"/>
        <v>YAMAHA_Mounter</v>
      </c>
      <c r="AS528" s="22">
        <f t="shared" si="173"/>
        <v>3</v>
      </c>
      <c r="AT528" s="24" t="str">
        <f t="shared" si="174"/>
        <v>0-3 months</v>
      </c>
      <c r="AU528" s="22" t="s">
        <v>3240</v>
      </c>
    </row>
    <row r="529" spans="1:47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47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972</v>
      </c>
      <c r="K529" s="155" t="s">
        <v>973</v>
      </c>
      <c r="L529" s="17" t="s">
        <v>974</v>
      </c>
      <c r="M529" s="13" t="s">
        <v>377</v>
      </c>
      <c r="N529" s="13">
        <v>1</v>
      </c>
      <c r="O529" s="13"/>
      <c r="P529" s="33" t="str">
        <f t="shared" si="164"/>
        <v>MAIN UNIT</v>
      </c>
      <c r="Q529" s="13" t="s">
        <v>68</v>
      </c>
      <c r="R529" s="13" t="s">
        <v>62</v>
      </c>
      <c r="S529" s="13" t="s">
        <v>50</v>
      </c>
      <c r="T529" s="13" t="s">
        <v>297</v>
      </c>
      <c r="U529" s="13" t="s">
        <v>70</v>
      </c>
      <c r="V529" s="13" t="s">
        <v>169</v>
      </c>
      <c r="W529" s="13" t="s">
        <v>64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59"/>
        <v>37599388.802345134</v>
      </c>
      <c r="AJ529" s="19">
        <f t="shared" si="160"/>
        <v>4866784.3630338367</v>
      </c>
      <c r="AK529" s="20">
        <f t="shared" si="169"/>
        <v>0.12943785838163113</v>
      </c>
      <c r="AL529" s="17"/>
      <c r="AM529" s="17"/>
      <c r="AN529" s="17"/>
      <c r="AO529" s="17"/>
      <c r="AP529" s="28" t="str">
        <f t="shared" si="170"/>
        <v>20199</v>
      </c>
      <c r="AQ529" s="28" t="str">
        <f t="shared" si="171"/>
        <v>20199RMB</v>
      </c>
      <c r="AR529" s="206" t="str">
        <f t="shared" si="172"/>
        <v>LOCAL SUPPLIER</v>
      </c>
      <c r="AS529" s="22">
        <f t="shared" si="173"/>
        <v>3</v>
      </c>
      <c r="AT529" s="24" t="str">
        <f t="shared" si="174"/>
        <v>0-3 months</v>
      </c>
      <c r="AU529" s="22" t="s">
        <v>3240</v>
      </c>
    </row>
    <row r="530" spans="1:47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47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972</v>
      </c>
      <c r="K530" s="155" t="s">
        <v>973</v>
      </c>
      <c r="L530" s="17" t="s">
        <v>975</v>
      </c>
      <c r="M530" s="13" t="s">
        <v>377</v>
      </c>
      <c r="N530" s="13">
        <v>1</v>
      </c>
      <c r="O530" s="13"/>
      <c r="P530" s="33" t="str">
        <f t="shared" si="164"/>
        <v>MAIN UNIT</v>
      </c>
      <c r="Q530" s="13" t="s">
        <v>68</v>
      </c>
      <c r="R530" s="13" t="s">
        <v>62</v>
      </c>
      <c r="S530" s="13" t="s">
        <v>50</v>
      </c>
      <c r="T530" s="13" t="s">
        <v>297</v>
      </c>
      <c r="U530" s="13" t="s">
        <v>70</v>
      </c>
      <c r="V530" s="13" t="s">
        <v>169</v>
      </c>
      <c r="W530" s="13" t="s">
        <v>64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59"/>
        <v>37599388.802345134</v>
      </c>
      <c r="AJ530" s="19">
        <f t="shared" si="160"/>
        <v>4866784.3630338367</v>
      </c>
      <c r="AK530" s="20">
        <f t="shared" si="169"/>
        <v>0.12943785838163113</v>
      </c>
      <c r="AL530" s="17"/>
      <c r="AM530" s="17"/>
      <c r="AN530" s="17"/>
      <c r="AO530" s="17"/>
      <c r="AP530" s="28" t="str">
        <f t="shared" si="170"/>
        <v>20199</v>
      </c>
      <c r="AQ530" s="28" t="str">
        <f t="shared" si="171"/>
        <v>20199RMB</v>
      </c>
      <c r="AR530" s="206" t="str">
        <f t="shared" si="172"/>
        <v>LOCAL SUPPLIER</v>
      </c>
      <c r="AS530" s="22">
        <f t="shared" si="173"/>
        <v>3</v>
      </c>
      <c r="AT530" s="24" t="str">
        <f t="shared" si="174"/>
        <v>0-3 months</v>
      </c>
      <c r="AU530" s="22" t="s">
        <v>3240</v>
      </c>
    </row>
    <row r="531" spans="1:47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47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972</v>
      </c>
      <c r="K531" s="155" t="s">
        <v>973</v>
      </c>
      <c r="L531" s="17" t="s">
        <v>976</v>
      </c>
      <c r="M531" s="13" t="s">
        <v>377</v>
      </c>
      <c r="N531" s="13">
        <v>1</v>
      </c>
      <c r="O531" s="13"/>
      <c r="P531" s="33" t="str">
        <f t="shared" si="164"/>
        <v>MAIN UNIT</v>
      </c>
      <c r="Q531" s="13" t="s">
        <v>68</v>
      </c>
      <c r="R531" s="13" t="s">
        <v>62</v>
      </c>
      <c r="S531" s="13" t="s">
        <v>50</v>
      </c>
      <c r="T531" s="13" t="s">
        <v>297</v>
      </c>
      <c r="U531" s="13" t="s">
        <v>70</v>
      </c>
      <c r="V531" s="13" t="s">
        <v>169</v>
      </c>
      <c r="W531" s="13" t="s">
        <v>64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59"/>
        <v>37599388.802345134</v>
      </c>
      <c r="AJ531" s="19">
        <f t="shared" si="160"/>
        <v>4866784.3630338367</v>
      </c>
      <c r="AK531" s="20">
        <f t="shared" si="169"/>
        <v>0.12943785838163113</v>
      </c>
      <c r="AL531" s="17"/>
      <c r="AM531" s="17"/>
      <c r="AN531" s="17"/>
      <c r="AO531" s="17"/>
      <c r="AP531" s="28" t="str">
        <f t="shared" si="170"/>
        <v>20199</v>
      </c>
      <c r="AQ531" s="28" t="str">
        <f t="shared" si="171"/>
        <v>20199RMB</v>
      </c>
      <c r="AR531" s="206" t="str">
        <f t="shared" si="172"/>
        <v>LOCAL SUPPLIER</v>
      </c>
      <c r="AS531" s="22">
        <f t="shared" si="173"/>
        <v>3</v>
      </c>
      <c r="AT531" s="24" t="str">
        <f t="shared" si="174"/>
        <v>0-3 months</v>
      </c>
      <c r="AU531" s="22" t="s">
        <v>3240</v>
      </c>
    </row>
    <row r="532" spans="1:47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47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972</v>
      </c>
      <c r="K532" s="155" t="s">
        <v>973</v>
      </c>
      <c r="L532" s="17" t="s">
        <v>2780</v>
      </c>
      <c r="M532" s="13" t="s">
        <v>60</v>
      </c>
      <c r="N532" s="13">
        <v>1</v>
      </c>
      <c r="O532" s="13"/>
      <c r="P532" s="33" t="str">
        <f t="shared" si="164"/>
        <v>MAIN UNIT</v>
      </c>
      <c r="Q532" s="13" t="s">
        <v>68</v>
      </c>
      <c r="R532" s="13" t="s">
        <v>2055</v>
      </c>
      <c r="S532" s="13" t="s">
        <v>50</v>
      </c>
      <c r="T532" s="13" t="s">
        <v>297</v>
      </c>
      <c r="U532" s="13" t="s">
        <v>70</v>
      </c>
      <c r="V532" s="13" t="s">
        <v>169</v>
      </c>
      <c r="W532" s="13" t="s">
        <v>64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59"/>
        <v>37599388.802345134</v>
      </c>
      <c r="AJ532" s="19">
        <f t="shared" si="160"/>
        <v>4866784.3630338367</v>
      </c>
      <c r="AK532" s="20">
        <f t="shared" si="169"/>
        <v>0.12943785838163113</v>
      </c>
      <c r="AL532" s="17"/>
      <c r="AM532" s="17"/>
      <c r="AN532" s="17"/>
      <c r="AO532" s="17"/>
      <c r="AP532" s="28" t="str">
        <f t="shared" si="170"/>
        <v>20199</v>
      </c>
      <c r="AQ532" s="28" t="str">
        <f t="shared" si="171"/>
        <v>20199RMB</v>
      </c>
      <c r="AR532" s="206" t="str">
        <f t="shared" si="172"/>
        <v>YAMAHA_Non_Mounter</v>
      </c>
      <c r="AS532" s="22">
        <f t="shared" si="173"/>
        <v>3</v>
      </c>
      <c r="AT532" s="24" t="str">
        <f t="shared" si="174"/>
        <v>0-3 months</v>
      </c>
      <c r="AU532" s="22" t="s">
        <v>3240</v>
      </c>
    </row>
    <row r="533" spans="1:47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47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972</v>
      </c>
      <c r="K533" s="155" t="s">
        <v>973</v>
      </c>
      <c r="L533" s="17" t="s">
        <v>2788</v>
      </c>
      <c r="M533" s="13" t="s">
        <v>2607</v>
      </c>
      <c r="N533" s="13">
        <v>1</v>
      </c>
      <c r="O533" s="13"/>
      <c r="P533" s="33" t="str">
        <f t="shared" si="164"/>
        <v>MAIN UNIT</v>
      </c>
      <c r="Q533" s="13" t="s">
        <v>68</v>
      </c>
      <c r="R533" s="13" t="s">
        <v>2055</v>
      </c>
      <c r="S533" s="13" t="s">
        <v>50</v>
      </c>
      <c r="T533" s="13" t="s">
        <v>297</v>
      </c>
      <c r="U533" s="13" t="s">
        <v>70</v>
      </c>
      <c r="V533" s="13" t="s">
        <v>169</v>
      </c>
      <c r="W533" s="13" t="s">
        <v>64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59"/>
        <v>37599388.802345134</v>
      </c>
      <c r="AJ533" s="19">
        <f t="shared" si="160"/>
        <v>4866784.3630338367</v>
      </c>
      <c r="AK533" s="20">
        <f t="shared" si="169"/>
        <v>0.12943785838163113</v>
      </c>
      <c r="AL533" s="17"/>
      <c r="AM533" s="17"/>
      <c r="AN533" s="17"/>
      <c r="AO533" s="17"/>
      <c r="AP533" s="28" t="str">
        <f t="shared" si="170"/>
        <v>20199</v>
      </c>
      <c r="AQ533" s="28" t="str">
        <f t="shared" si="171"/>
        <v>20199RMB</v>
      </c>
      <c r="AR533" s="206" t="str">
        <f t="shared" si="172"/>
        <v>HELLER</v>
      </c>
      <c r="AS533" s="22">
        <f t="shared" si="173"/>
        <v>3</v>
      </c>
      <c r="AT533" s="24" t="str">
        <f t="shared" si="174"/>
        <v>0-3 months</v>
      </c>
      <c r="AU533" s="22" t="s">
        <v>3240</v>
      </c>
    </row>
    <row r="534" spans="1:47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47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972</v>
      </c>
      <c r="K534" s="155" t="s">
        <v>973</v>
      </c>
      <c r="L534" s="17" t="s">
        <v>2787</v>
      </c>
      <c r="M534" s="13" t="s">
        <v>60</v>
      </c>
      <c r="N534" s="13">
        <v>1</v>
      </c>
      <c r="O534" s="13"/>
      <c r="P534" s="33" t="str">
        <f t="shared" si="164"/>
        <v>MAIN UNIT</v>
      </c>
      <c r="Q534" s="13" t="s">
        <v>68</v>
      </c>
      <c r="R534" s="13" t="s">
        <v>2055</v>
      </c>
      <c r="S534" s="13" t="s">
        <v>50</v>
      </c>
      <c r="T534" s="13" t="s">
        <v>297</v>
      </c>
      <c r="U534" s="13" t="s">
        <v>70</v>
      </c>
      <c r="V534" s="13" t="s">
        <v>169</v>
      </c>
      <c r="W534" s="13" t="s">
        <v>64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59"/>
        <v>37599388.802345134</v>
      </c>
      <c r="AJ534" s="19">
        <f t="shared" si="160"/>
        <v>4866784.3630338367</v>
      </c>
      <c r="AK534" s="20">
        <f t="shared" si="169"/>
        <v>0.12943785838163113</v>
      </c>
      <c r="AL534" s="17"/>
      <c r="AM534" s="17"/>
      <c r="AN534" s="17"/>
      <c r="AO534" s="17"/>
      <c r="AP534" s="28" t="str">
        <f t="shared" si="170"/>
        <v>20199</v>
      </c>
      <c r="AQ534" s="28" t="str">
        <f t="shared" si="171"/>
        <v>20199RMB</v>
      </c>
      <c r="AR534" s="206" t="str">
        <f t="shared" si="172"/>
        <v>YAMAHA_Non_Mounter</v>
      </c>
      <c r="AS534" s="22">
        <f t="shared" si="173"/>
        <v>3</v>
      </c>
      <c r="AT534" s="24" t="str">
        <f t="shared" si="174"/>
        <v>0-3 months</v>
      </c>
      <c r="AU534" s="22" t="s">
        <v>3240</v>
      </c>
    </row>
    <row r="535" spans="1:47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55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2462</v>
      </c>
      <c r="K535" s="155" t="s">
        <v>2463</v>
      </c>
      <c r="L535" s="17" t="s">
        <v>92</v>
      </c>
      <c r="M535" s="13" t="s">
        <v>60</v>
      </c>
      <c r="N535" s="13">
        <v>1</v>
      </c>
      <c r="O535" s="13"/>
      <c r="P535" s="33" t="str">
        <f t="shared" si="164"/>
        <v>MAIN UNIT</v>
      </c>
      <c r="Q535" s="13" t="s">
        <v>68</v>
      </c>
      <c r="R535" s="13" t="s">
        <v>62</v>
      </c>
      <c r="S535" s="13" t="s">
        <v>49</v>
      </c>
      <c r="T535" s="13" t="s">
        <v>78</v>
      </c>
      <c r="U535" s="13" t="s">
        <v>79</v>
      </c>
      <c r="V535" s="13" t="s">
        <v>1407</v>
      </c>
      <c r="W535" s="13" t="s">
        <v>64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59"/>
        <v>30573205.452778768</v>
      </c>
      <c r="AJ535" s="19">
        <f t="shared" si="160"/>
        <v>3790930.1683151261</v>
      </c>
      <c r="AK535" s="20">
        <f t="shared" si="169"/>
        <v>0.12399518179964254</v>
      </c>
      <c r="AL535" s="17"/>
      <c r="AM535" s="17"/>
      <c r="AN535" s="17"/>
      <c r="AO535" s="17"/>
      <c r="AP535" s="28" t="str">
        <f t="shared" si="170"/>
        <v>20234</v>
      </c>
      <c r="AQ535" s="28" t="str">
        <f t="shared" si="171"/>
        <v>20234RMB</v>
      </c>
      <c r="AR535" s="206" t="str">
        <f t="shared" si="172"/>
        <v>YAMAHA_Mounter</v>
      </c>
      <c r="AS535" s="22">
        <f t="shared" si="173"/>
        <v>2</v>
      </c>
      <c r="AT535" s="24" t="str">
        <f t="shared" si="174"/>
        <v>0-3 months</v>
      </c>
      <c r="AU535" s="22" t="s">
        <v>3751</v>
      </c>
    </row>
    <row r="536" spans="1:47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55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2462</v>
      </c>
      <c r="K536" s="155" t="s">
        <v>2463</v>
      </c>
      <c r="L536" s="17" t="s">
        <v>67</v>
      </c>
      <c r="M536" s="13" t="s">
        <v>60</v>
      </c>
      <c r="N536" s="13">
        <v>1</v>
      </c>
      <c r="O536" s="13"/>
      <c r="P536" s="33" t="str">
        <f t="shared" si="164"/>
        <v>MAIN UNIT</v>
      </c>
      <c r="Q536" s="13" t="s">
        <v>68</v>
      </c>
      <c r="R536" s="13" t="s">
        <v>62</v>
      </c>
      <c r="S536" s="13" t="s">
        <v>49</v>
      </c>
      <c r="T536" s="13" t="s">
        <v>78</v>
      </c>
      <c r="U536" s="13" t="s">
        <v>79</v>
      </c>
      <c r="V536" s="13" t="s">
        <v>1407</v>
      </c>
      <c r="W536" s="13" t="s">
        <v>64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59"/>
        <v>30573205.452778768</v>
      </c>
      <c r="AJ536" s="19">
        <f t="shared" si="160"/>
        <v>3790930.1683151261</v>
      </c>
      <c r="AK536" s="20">
        <f t="shared" si="169"/>
        <v>0.12399518179964254</v>
      </c>
      <c r="AL536" s="17"/>
      <c r="AM536" s="17"/>
      <c r="AN536" s="17"/>
      <c r="AO536" s="17"/>
      <c r="AP536" s="28" t="str">
        <f t="shared" si="170"/>
        <v>20234</v>
      </c>
      <c r="AQ536" s="28" t="str">
        <f t="shared" si="171"/>
        <v>20234RMB</v>
      </c>
      <c r="AR536" s="206" t="str">
        <f t="shared" si="172"/>
        <v>YAMAHA_Mounter</v>
      </c>
      <c r="AS536" s="22">
        <f t="shared" si="173"/>
        <v>2</v>
      </c>
      <c r="AT536" s="24" t="str">
        <f t="shared" si="174"/>
        <v>0-3 months</v>
      </c>
      <c r="AU536" s="22" t="s">
        <v>3751</v>
      </c>
    </row>
    <row r="537" spans="1:47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47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682</v>
      </c>
      <c r="K537" s="155" t="s">
        <v>683</v>
      </c>
      <c r="L537" s="17" t="s">
        <v>92</v>
      </c>
      <c r="M537" s="13" t="s">
        <v>60</v>
      </c>
      <c r="N537" s="13">
        <v>1</v>
      </c>
      <c r="O537" s="13"/>
      <c r="P537" s="33" t="str">
        <f t="shared" si="164"/>
        <v>MAIN UNIT</v>
      </c>
      <c r="Q537" s="13" t="s">
        <v>68</v>
      </c>
      <c r="R537" s="13" t="s">
        <v>62</v>
      </c>
      <c r="S537" s="13" t="s">
        <v>51</v>
      </c>
      <c r="T537" s="13" t="s">
        <v>684</v>
      </c>
      <c r="U537" s="13" t="s">
        <v>149</v>
      </c>
      <c r="V537" s="13" t="s">
        <v>685</v>
      </c>
      <c r="W537" s="13" t="s">
        <v>64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59"/>
        <v>21386017.707964607</v>
      </c>
      <c r="AJ537" s="19">
        <f t="shared" si="160"/>
        <v>2238764.3265707968</v>
      </c>
      <c r="AK537" s="20">
        <f t="shared" si="169"/>
        <v>0.10468355339185161</v>
      </c>
      <c r="AL537" s="17"/>
      <c r="AM537" s="17"/>
      <c r="AN537" s="17"/>
      <c r="AO537" s="17"/>
      <c r="AP537" s="28" t="str">
        <f t="shared" si="170"/>
        <v>20198</v>
      </c>
      <c r="AQ537" s="28" t="str">
        <f t="shared" si="171"/>
        <v>20198RMB</v>
      </c>
      <c r="AR537" s="206" t="str">
        <f t="shared" si="172"/>
        <v>YAMAHA_Mounter</v>
      </c>
      <c r="AS537" s="22">
        <f t="shared" si="173"/>
        <v>2</v>
      </c>
      <c r="AT537" s="24" t="str">
        <f t="shared" si="174"/>
        <v>0-3 months</v>
      </c>
      <c r="AU537" s="22" t="s">
        <v>3240</v>
      </c>
    </row>
    <row r="538" spans="1:47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47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682</v>
      </c>
      <c r="K538" s="155" t="s">
        <v>683</v>
      </c>
      <c r="L538" s="17" t="s">
        <v>92</v>
      </c>
      <c r="M538" s="13" t="s">
        <v>60</v>
      </c>
      <c r="N538" s="13">
        <v>1</v>
      </c>
      <c r="O538" s="13"/>
      <c r="P538" s="33" t="str">
        <f t="shared" si="164"/>
        <v>MAIN UNIT</v>
      </c>
      <c r="Q538" s="13" t="s">
        <v>68</v>
      </c>
      <c r="R538" s="13" t="s">
        <v>62</v>
      </c>
      <c r="S538" s="13" t="s">
        <v>51</v>
      </c>
      <c r="T538" s="13" t="s">
        <v>684</v>
      </c>
      <c r="U538" s="13" t="s">
        <v>149</v>
      </c>
      <c r="V538" s="13" t="s">
        <v>685</v>
      </c>
      <c r="W538" s="13" t="s">
        <v>64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59"/>
        <v>21386017.707964607</v>
      </c>
      <c r="AJ538" s="19">
        <f t="shared" si="160"/>
        <v>2238764.3265707968</v>
      </c>
      <c r="AK538" s="20">
        <f t="shared" si="169"/>
        <v>0.10468355339185161</v>
      </c>
      <c r="AL538" s="17"/>
      <c r="AM538" s="17"/>
      <c r="AN538" s="17"/>
      <c r="AO538" s="17"/>
      <c r="AP538" s="28" t="str">
        <f t="shared" si="170"/>
        <v>20198</v>
      </c>
      <c r="AQ538" s="28" t="str">
        <f t="shared" si="171"/>
        <v>20198RMB</v>
      </c>
      <c r="AR538" s="206" t="str">
        <f t="shared" si="172"/>
        <v>YAMAHA_Mounter</v>
      </c>
      <c r="AS538" s="22">
        <f t="shared" si="173"/>
        <v>2</v>
      </c>
      <c r="AT538" s="24" t="str">
        <f t="shared" si="174"/>
        <v>0-3 months</v>
      </c>
      <c r="AU538" s="22" t="s">
        <v>3240</v>
      </c>
    </row>
    <row r="539" spans="1:47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47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682</v>
      </c>
      <c r="K539" s="155" t="s">
        <v>683</v>
      </c>
      <c r="L539" s="17" t="s">
        <v>92</v>
      </c>
      <c r="M539" s="13" t="s">
        <v>60</v>
      </c>
      <c r="N539" s="13">
        <v>1</v>
      </c>
      <c r="O539" s="13"/>
      <c r="P539" s="33" t="str">
        <f t="shared" si="164"/>
        <v>MAIN UNIT</v>
      </c>
      <c r="Q539" s="13" t="s">
        <v>68</v>
      </c>
      <c r="R539" s="13" t="s">
        <v>62</v>
      </c>
      <c r="S539" s="13" t="s">
        <v>51</v>
      </c>
      <c r="T539" s="13" t="s">
        <v>684</v>
      </c>
      <c r="U539" s="13" t="s">
        <v>149</v>
      </c>
      <c r="V539" s="13" t="s">
        <v>685</v>
      </c>
      <c r="W539" s="13" t="s">
        <v>64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59"/>
        <v>21386017.707964607</v>
      </c>
      <c r="AJ539" s="19">
        <f t="shared" si="160"/>
        <v>2238764.3265707968</v>
      </c>
      <c r="AK539" s="20">
        <f t="shared" si="169"/>
        <v>0.10468355339185161</v>
      </c>
      <c r="AL539" s="17"/>
      <c r="AM539" s="17"/>
      <c r="AN539" s="17"/>
      <c r="AO539" s="17"/>
      <c r="AP539" s="28" t="str">
        <f t="shared" si="170"/>
        <v>20198</v>
      </c>
      <c r="AQ539" s="28" t="str">
        <f t="shared" si="171"/>
        <v>20198RMB</v>
      </c>
      <c r="AR539" s="206" t="str">
        <f t="shared" si="172"/>
        <v>YAMAHA_Mounter</v>
      </c>
      <c r="AS539" s="22">
        <f t="shared" si="173"/>
        <v>2</v>
      </c>
      <c r="AT539" s="24" t="str">
        <f t="shared" si="174"/>
        <v>0-3 months</v>
      </c>
      <c r="AU539" s="22" t="s">
        <v>3240</v>
      </c>
    </row>
    <row r="540" spans="1:47" s="12" customFormat="1">
      <c r="A540" s="33" t="str">
        <f t="shared" si="161"/>
        <v/>
      </c>
      <c r="B540" s="152" t="s">
        <v>2584</v>
      </c>
      <c r="C540" s="152" t="s">
        <v>2584</v>
      </c>
      <c r="D540" s="33" t="b">
        <f t="shared" si="162"/>
        <v>0</v>
      </c>
      <c r="E540" s="33" t="s">
        <v>2584</v>
      </c>
      <c r="F540" s="152" t="s">
        <v>2584</v>
      </c>
      <c r="G540" s="152" t="s">
        <v>2584</v>
      </c>
      <c r="H540" s="155"/>
      <c r="I540" s="33" t="str">
        <f t="shared" si="163"/>
        <v>TBA</v>
      </c>
      <c r="J540" s="186" t="s">
        <v>2584</v>
      </c>
      <c r="K540" s="155" t="s">
        <v>2594</v>
      </c>
      <c r="L540" s="17" t="s">
        <v>92</v>
      </c>
      <c r="M540" s="13" t="s">
        <v>60</v>
      </c>
      <c r="N540" s="13">
        <v>1</v>
      </c>
      <c r="O540" s="13"/>
      <c r="P540" s="33" t="str">
        <f t="shared" si="164"/>
        <v>MAIN UNIT</v>
      </c>
      <c r="Q540" s="13" t="s">
        <v>68</v>
      </c>
      <c r="R540" s="13" t="s">
        <v>62</v>
      </c>
      <c r="S540" s="13" t="s">
        <v>51</v>
      </c>
      <c r="T540" s="13" t="s">
        <v>1394</v>
      </c>
      <c r="U540" s="13" t="s">
        <v>149</v>
      </c>
      <c r="V540" s="13" t="s">
        <v>507</v>
      </c>
      <c r="W540" s="13" t="s">
        <v>64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59"/>
        <v>30033846.584070798</v>
      </c>
      <c r="AJ540" s="19">
        <f t="shared" si="160"/>
        <v>3534936.4750884958</v>
      </c>
      <c r="AK540" s="20">
        <f t="shared" si="169"/>
        <v>0.11769842618039268</v>
      </c>
      <c r="AL540" s="17"/>
      <c r="AM540" s="17"/>
      <c r="AN540" s="17"/>
      <c r="AO540" s="17"/>
      <c r="AP540" s="28" t="str">
        <f t="shared" si="170"/>
        <v>TBATBA</v>
      </c>
      <c r="AQ540" s="28" t="str">
        <f t="shared" si="171"/>
        <v>TBATBARMB</v>
      </c>
      <c r="AR540" s="206" t="str">
        <f t="shared" si="172"/>
        <v>YAMAHA_Mounter</v>
      </c>
      <c r="AS540" s="22" t="str">
        <f t="shared" si="173"/>
        <v/>
      </c>
      <c r="AT540" s="24" t="str">
        <f t="shared" si="174"/>
        <v/>
      </c>
      <c r="AU540" s="22" t="s">
        <v>3240</v>
      </c>
    </row>
    <row r="541" spans="1:47" s="12" customFormat="1">
      <c r="A541" s="33" t="str">
        <f t="shared" si="161"/>
        <v/>
      </c>
      <c r="B541" s="152" t="s">
        <v>2584</v>
      </c>
      <c r="C541" s="152" t="s">
        <v>2584</v>
      </c>
      <c r="D541" s="33" t="b">
        <f t="shared" si="162"/>
        <v>0</v>
      </c>
      <c r="E541" s="33" t="s">
        <v>2584</v>
      </c>
      <c r="F541" s="152" t="s">
        <v>2584</v>
      </c>
      <c r="G541" s="152" t="s">
        <v>2584</v>
      </c>
      <c r="H541" s="155"/>
      <c r="I541" s="33" t="str">
        <f t="shared" si="163"/>
        <v>TBA</v>
      </c>
      <c r="J541" s="186" t="s">
        <v>2584</v>
      </c>
      <c r="K541" s="155" t="s">
        <v>2594</v>
      </c>
      <c r="L541" s="17" t="s">
        <v>67</v>
      </c>
      <c r="M541" s="13" t="s">
        <v>60</v>
      </c>
      <c r="N541" s="13">
        <v>1</v>
      </c>
      <c r="O541" s="13"/>
      <c r="P541" s="33" t="str">
        <f t="shared" si="164"/>
        <v>MAIN UNIT</v>
      </c>
      <c r="Q541" s="13" t="s">
        <v>68</v>
      </c>
      <c r="R541" s="13" t="s">
        <v>62</v>
      </c>
      <c r="S541" s="13" t="s">
        <v>51</v>
      </c>
      <c r="T541" s="13" t="s">
        <v>1394</v>
      </c>
      <c r="U541" s="13" t="s">
        <v>149</v>
      </c>
      <c r="V541" s="13" t="s">
        <v>507</v>
      </c>
      <c r="W541" s="13" t="s">
        <v>64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59"/>
        <v>30033846.584070798</v>
      </c>
      <c r="AJ541" s="19">
        <f t="shared" si="160"/>
        <v>3534936.4750884958</v>
      </c>
      <c r="AK541" s="20">
        <f t="shared" si="169"/>
        <v>0.11769842618039268</v>
      </c>
      <c r="AL541" s="17"/>
      <c r="AM541" s="17"/>
      <c r="AN541" s="17"/>
      <c r="AO541" s="17"/>
      <c r="AP541" s="28" t="str">
        <f t="shared" si="170"/>
        <v>TBATBA</v>
      </c>
      <c r="AQ541" s="28" t="str">
        <f t="shared" si="171"/>
        <v>TBATBARMB</v>
      </c>
      <c r="AR541" s="206" t="str">
        <f t="shared" si="172"/>
        <v>YAMAHA_Mounter</v>
      </c>
      <c r="AS541" s="22" t="str">
        <f t="shared" si="173"/>
        <v/>
      </c>
      <c r="AT541" s="24" t="str">
        <f t="shared" si="174"/>
        <v/>
      </c>
      <c r="AU541" s="22" t="s">
        <v>3240</v>
      </c>
    </row>
    <row r="542" spans="1:47" s="12" customFormat="1">
      <c r="A542" s="33" t="str">
        <f t="shared" si="161"/>
        <v/>
      </c>
      <c r="B542" s="152" t="s">
        <v>2584</v>
      </c>
      <c r="C542" s="152" t="s">
        <v>2584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2584</v>
      </c>
      <c r="G542" s="152" t="s">
        <v>2584</v>
      </c>
      <c r="H542" s="155"/>
      <c r="I542" s="33" t="str">
        <f t="shared" si="163"/>
        <v>TBA</v>
      </c>
      <c r="J542" s="186" t="s">
        <v>2584</v>
      </c>
      <c r="K542" s="155" t="s">
        <v>2603</v>
      </c>
      <c r="L542" s="17" t="s">
        <v>67</v>
      </c>
      <c r="M542" s="13" t="s">
        <v>60</v>
      </c>
      <c r="N542" s="13">
        <v>1</v>
      </c>
      <c r="O542" s="13"/>
      <c r="P542" s="33" t="str">
        <f t="shared" si="164"/>
        <v>MAIN UNIT</v>
      </c>
      <c r="Q542" s="13" t="s">
        <v>68</v>
      </c>
      <c r="R542" s="13" t="s">
        <v>62</v>
      </c>
      <c r="S542" s="13" t="s">
        <v>51</v>
      </c>
      <c r="T542" s="13" t="s">
        <v>349</v>
      </c>
      <c r="U542" s="13" t="s">
        <v>149</v>
      </c>
      <c r="V542" s="13" t="s">
        <v>954</v>
      </c>
      <c r="W542" s="13" t="s">
        <v>64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59"/>
        <v>30033846.584070798</v>
      </c>
      <c r="AJ542" s="19">
        <f t="shared" si="160"/>
        <v>3534936.4750884958</v>
      </c>
      <c r="AK542" s="20">
        <f t="shared" si="169"/>
        <v>0.11769842618039268</v>
      </c>
      <c r="AL542" s="17"/>
      <c r="AM542" s="17"/>
      <c r="AN542" s="17"/>
      <c r="AO542" s="17"/>
      <c r="AP542" s="28" t="str">
        <f t="shared" si="170"/>
        <v>TBATBA</v>
      </c>
      <c r="AQ542" s="28" t="str">
        <f t="shared" si="171"/>
        <v>TBATBARMB</v>
      </c>
      <c r="AR542" s="206" t="str">
        <f t="shared" si="172"/>
        <v>YAMAHA_Mounter</v>
      </c>
      <c r="AS542" s="22" t="str">
        <f t="shared" si="173"/>
        <v/>
      </c>
      <c r="AT542" s="24" t="str">
        <f t="shared" si="174"/>
        <v/>
      </c>
      <c r="AU542" s="22" t="s">
        <v>3240</v>
      </c>
    </row>
    <row r="543" spans="1:47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54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3033</v>
      </c>
      <c r="K543" s="155" t="s">
        <v>3034</v>
      </c>
      <c r="L543" s="17" t="s">
        <v>2606</v>
      </c>
      <c r="M543" s="13" t="s">
        <v>2607</v>
      </c>
      <c r="N543" s="13">
        <v>1</v>
      </c>
      <c r="O543" s="13"/>
      <c r="P543" s="33" t="str">
        <f t="shared" si="164"/>
        <v>MAIN UNIT</v>
      </c>
      <c r="Q543" s="13" t="s">
        <v>68</v>
      </c>
      <c r="R543" s="13" t="s">
        <v>2055</v>
      </c>
      <c r="S543" s="13" t="s">
        <v>51</v>
      </c>
      <c r="T543" s="13" t="s">
        <v>349</v>
      </c>
      <c r="U543" s="13" t="s">
        <v>149</v>
      </c>
      <c r="V543" s="13" t="s">
        <v>134</v>
      </c>
      <c r="W543" s="13" t="s">
        <v>64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59"/>
        <v>31017966.201968137</v>
      </c>
      <c r="AJ543" s="19">
        <f t="shared" si="160"/>
        <v>4704250.3347305888</v>
      </c>
      <c r="AK543" s="20">
        <f t="shared" si="169"/>
        <v>0.15166211427595458</v>
      </c>
      <c r="AL543" s="17"/>
      <c r="AM543" s="17"/>
      <c r="AN543" s="17"/>
      <c r="AO543" s="17"/>
      <c r="AP543" s="28" t="str">
        <f t="shared" si="170"/>
        <v>202211</v>
      </c>
      <c r="AQ543" s="28" t="str">
        <f t="shared" si="171"/>
        <v>202211RMB</v>
      </c>
      <c r="AR543" s="206" t="str">
        <f t="shared" si="172"/>
        <v>HELLER</v>
      </c>
      <c r="AS543" s="22">
        <f t="shared" si="173"/>
        <v>1</v>
      </c>
      <c r="AT543" s="24" t="str">
        <f t="shared" si="174"/>
        <v>0-3 months</v>
      </c>
      <c r="AU543" s="22" t="s">
        <v>3240</v>
      </c>
    </row>
    <row r="544" spans="1:47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53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1732</v>
      </c>
      <c r="K544" s="155" t="s">
        <v>1733</v>
      </c>
      <c r="L544" s="17" t="s">
        <v>67</v>
      </c>
      <c r="M544" s="13" t="s">
        <v>60</v>
      </c>
      <c r="N544" s="13">
        <v>1</v>
      </c>
      <c r="O544" s="13"/>
      <c r="P544" s="33" t="str">
        <f t="shared" si="164"/>
        <v>MAIN UNIT</v>
      </c>
      <c r="Q544" s="13" t="s">
        <v>68</v>
      </c>
      <c r="R544" s="13" t="s">
        <v>62</v>
      </c>
      <c r="S544" s="13" t="s">
        <v>51</v>
      </c>
      <c r="T544" s="13" t="s">
        <v>349</v>
      </c>
      <c r="U544" s="13" t="s">
        <v>149</v>
      </c>
      <c r="V544" s="13" t="s">
        <v>134</v>
      </c>
      <c r="W544" s="13" t="s">
        <v>64</v>
      </c>
      <c r="X544" s="135">
        <v>772600</v>
      </c>
      <c r="Y544" s="157" t="str">
        <f t="shared" ref="Y544:Y552" si="175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59"/>
        <v>63006605.696460173</v>
      </c>
      <c r="AJ544" s="19">
        <f t="shared" si="160"/>
        <v>8897485.660753984</v>
      </c>
      <c r="AK544" s="20">
        <f t="shared" si="169"/>
        <v>0.141215124388995</v>
      </c>
      <c r="AL544" s="17"/>
      <c r="AM544" s="17"/>
      <c r="AN544" s="17"/>
      <c r="AO544" s="17"/>
      <c r="AP544" s="28" t="str">
        <f t="shared" si="170"/>
        <v>20215</v>
      </c>
      <c r="AQ544" s="28" t="str">
        <f t="shared" si="171"/>
        <v>20215RMB</v>
      </c>
      <c r="AR544" s="206" t="str">
        <f t="shared" si="172"/>
        <v>YAMAHA_Mounter</v>
      </c>
      <c r="AS544" s="22">
        <f t="shared" si="173"/>
        <v>2</v>
      </c>
      <c r="AT544" s="24" t="str">
        <f t="shared" si="174"/>
        <v>0-3 months</v>
      </c>
      <c r="AU544" s="22" t="s">
        <v>3240</v>
      </c>
    </row>
    <row r="545" spans="1:47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54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2025</v>
      </c>
      <c r="K545" s="155" t="s">
        <v>2026</v>
      </c>
      <c r="L545" s="17" t="s">
        <v>67</v>
      </c>
      <c r="M545" s="13" t="s">
        <v>60</v>
      </c>
      <c r="N545" s="13">
        <v>1</v>
      </c>
      <c r="O545" s="13"/>
      <c r="P545" s="33" t="str">
        <f t="shared" si="164"/>
        <v>MAIN UNIT</v>
      </c>
      <c r="Q545" s="13" t="s">
        <v>68</v>
      </c>
      <c r="R545" s="13" t="s">
        <v>62</v>
      </c>
      <c r="S545" s="13" t="s">
        <v>51</v>
      </c>
      <c r="T545" s="13" t="s">
        <v>349</v>
      </c>
      <c r="U545" s="13" t="s">
        <v>149</v>
      </c>
      <c r="V545" s="13" t="s">
        <v>954</v>
      </c>
      <c r="W545" s="13" t="s">
        <v>64</v>
      </c>
      <c r="X545" s="135">
        <v>730000</v>
      </c>
      <c r="Y545" s="157" t="str">
        <f t="shared" si="175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59"/>
        <v>44014086.982070789</v>
      </c>
      <c r="AJ545" s="19">
        <f t="shared" si="160"/>
        <v>6419974.0221889298</v>
      </c>
      <c r="AK545" s="20">
        <f t="shared" si="169"/>
        <v>0.14586180158193709</v>
      </c>
      <c r="AL545" s="17"/>
      <c r="AM545" s="17"/>
      <c r="AN545" s="17"/>
      <c r="AO545" s="17"/>
      <c r="AP545" s="28" t="str">
        <f t="shared" si="170"/>
        <v>20225</v>
      </c>
      <c r="AQ545" s="28" t="str">
        <f t="shared" si="171"/>
        <v>20225RMB</v>
      </c>
      <c r="AR545" s="206" t="str">
        <f t="shared" si="172"/>
        <v>YAMAHA_Mounter</v>
      </c>
      <c r="AS545" s="22">
        <f t="shared" si="173"/>
        <v>5</v>
      </c>
      <c r="AT545" s="24" t="str">
        <f t="shared" si="174"/>
        <v>4-6 months</v>
      </c>
      <c r="AU545" s="22" t="s">
        <v>3240</v>
      </c>
    </row>
    <row r="546" spans="1:47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48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1454</v>
      </c>
      <c r="K546" s="155" t="s">
        <v>1455</v>
      </c>
      <c r="L546" s="17" t="s">
        <v>92</v>
      </c>
      <c r="M546" s="13" t="s">
        <v>60</v>
      </c>
      <c r="N546" s="13">
        <v>1</v>
      </c>
      <c r="O546" s="13"/>
      <c r="P546" s="33" t="str">
        <f t="shared" si="164"/>
        <v>MAIN UNIT</v>
      </c>
      <c r="Q546" s="13" t="s">
        <v>68</v>
      </c>
      <c r="R546" s="13" t="s">
        <v>62</v>
      </c>
      <c r="S546" s="13" t="s">
        <v>51</v>
      </c>
      <c r="T546" s="13" t="s">
        <v>349</v>
      </c>
      <c r="U546" s="13" t="s">
        <v>149</v>
      </c>
      <c r="V546" s="13" t="s">
        <v>134</v>
      </c>
      <c r="W546" s="13" t="s">
        <v>64</v>
      </c>
      <c r="X546" s="135">
        <v>900000</v>
      </c>
      <c r="Y546" s="157" t="str">
        <f t="shared" si="175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59"/>
        <v>48763143.537654862</v>
      </c>
      <c r="AJ546" s="19">
        <f t="shared" si="160"/>
        <v>5924029.9702154724</v>
      </c>
      <c r="AK546" s="20">
        <f t="shared" si="169"/>
        <v>0.1214858095774925</v>
      </c>
      <c r="AL546" s="17"/>
      <c r="AM546" s="17"/>
      <c r="AN546" s="17"/>
      <c r="AO546" s="17"/>
      <c r="AP546" s="28" t="str">
        <f t="shared" si="170"/>
        <v>202012</v>
      </c>
      <c r="AQ546" s="28" t="str">
        <f t="shared" si="171"/>
        <v>202012RMB</v>
      </c>
      <c r="AR546" s="206" t="str">
        <f t="shared" si="172"/>
        <v>YAMAHA_Mounter</v>
      </c>
      <c r="AS546" s="22">
        <f t="shared" si="173"/>
        <v>2</v>
      </c>
      <c r="AT546" s="24" t="str">
        <f t="shared" si="174"/>
        <v>0-3 months</v>
      </c>
      <c r="AU546" s="22" t="s">
        <v>3240</v>
      </c>
    </row>
    <row r="547" spans="1:47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48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1454</v>
      </c>
      <c r="K547" s="155" t="s">
        <v>1455</v>
      </c>
      <c r="L547" s="17" t="s">
        <v>92</v>
      </c>
      <c r="M547" s="13" t="s">
        <v>60</v>
      </c>
      <c r="N547" s="13">
        <v>1</v>
      </c>
      <c r="O547" s="13"/>
      <c r="P547" s="33" t="str">
        <f t="shared" si="164"/>
        <v>MAIN UNIT</v>
      </c>
      <c r="Q547" s="13" t="s">
        <v>68</v>
      </c>
      <c r="R547" s="13" t="s">
        <v>62</v>
      </c>
      <c r="S547" s="13" t="s">
        <v>51</v>
      </c>
      <c r="T547" s="13" t="s">
        <v>349</v>
      </c>
      <c r="U547" s="13" t="s">
        <v>149</v>
      </c>
      <c r="V547" s="13" t="s">
        <v>134</v>
      </c>
      <c r="W547" s="13" t="s">
        <v>64</v>
      </c>
      <c r="X547" s="135">
        <v>900000</v>
      </c>
      <c r="Y547" s="157" t="str">
        <f t="shared" si="175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59"/>
        <v>48763143.537654862</v>
      </c>
      <c r="AJ547" s="19">
        <f t="shared" si="160"/>
        <v>5924029.9702154724</v>
      </c>
      <c r="AK547" s="20">
        <f t="shared" si="169"/>
        <v>0.1214858095774925</v>
      </c>
      <c r="AL547" s="17"/>
      <c r="AM547" s="17"/>
      <c r="AN547" s="17"/>
      <c r="AO547" s="17"/>
      <c r="AP547" s="28" t="str">
        <f t="shared" si="170"/>
        <v>202012</v>
      </c>
      <c r="AQ547" s="28" t="str">
        <f t="shared" si="171"/>
        <v>202012RMB</v>
      </c>
      <c r="AR547" s="206" t="str">
        <f t="shared" si="172"/>
        <v>YAMAHA_Mounter</v>
      </c>
      <c r="AS547" s="22">
        <f t="shared" si="173"/>
        <v>2</v>
      </c>
      <c r="AT547" s="24" t="str">
        <f t="shared" si="174"/>
        <v>0-3 months</v>
      </c>
      <c r="AU547" s="22" t="s">
        <v>3240</v>
      </c>
    </row>
    <row r="548" spans="1:47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48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1454</v>
      </c>
      <c r="K548" s="155" t="s">
        <v>1455</v>
      </c>
      <c r="L548" s="17" t="s">
        <v>92</v>
      </c>
      <c r="M548" s="13" t="s">
        <v>60</v>
      </c>
      <c r="N548" s="13">
        <v>1</v>
      </c>
      <c r="O548" s="13"/>
      <c r="P548" s="33" t="str">
        <f t="shared" si="164"/>
        <v>MAIN UNIT</v>
      </c>
      <c r="Q548" s="13" t="s">
        <v>68</v>
      </c>
      <c r="R548" s="13" t="s">
        <v>62</v>
      </c>
      <c r="S548" s="13" t="s">
        <v>51</v>
      </c>
      <c r="T548" s="13" t="s">
        <v>349</v>
      </c>
      <c r="U548" s="13" t="s">
        <v>149</v>
      </c>
      <c r="V548" s="13" t="s">
        <v>134</v>
      </c>
      <c r="W548" s="13" t="s">
        <v>64</v>
      </c>
      <c r="X548" s="135">
        <v>978000</v>
      </c>
      <c r="Y548" s="157" t="str">
        <f t="shared" si="175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59"/>
        <v>48763143.537654862</v>
      </c>
      <c r="AJ548" s="19">
        <f t="shared" si="160"/>
        <v>5924029.9702154724</v>
      </c>
      <c r="AK548" s="20">
        <f t="shared" si="169"/>
        <v>0.1214858095774925</v>
      </c>
      <c r="AL548" s="17"/>
      <c r="AM548" s="17"/>
      <c r="AN548" s="17"/>
      <c r="AO548" s="17"/>
      <c r="AP548" s="28" t="str">
        <f t="shared" si="170"/>
        <v>202012</v>
      </c>
      <c r="AQ548" s="28" t="str">
        <f t="shared" si="171"/>
        <v>202012RMB</v>
      </c>
      <c r="AR548" s="206" t="str">
        <f t="shared" si="172"/>
        <v>YAMAHA_Mounter</v>
      </c>
      <c r="AS548" s="22">
        <f t="shared" si="173"/>
        <v>2</v>
      </c>
      <c r="AT548" s="24" t="str">
        <f t="shared" si="174"/>
        <v>0-3 months</v>
      </c>
      <c r="AU548" s="22" t="s">
        <v>3240</v>
      </c>
    </row>
    <row r="549" spans="1:47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185</v>
      </c>
      <c r="F549" s="13" t="s">
        <v>185</v>
      </c>
      <c r="G549" s="152" t="s">
        <v>1616</v>
      </c>
      <c r="H549" s="155"/>
      <c r="I549" s="33" t="str">
        <f t="shared" si="163"/>
        <v>Cancel</v>
      </c>
      <c r="J549" s="186" t="s">
        <v>2364</v>
      </c>
      <c r="K549" s="155" t="s">
        <v>2365</v>
      </c>
      <c r="L549" s="17" t="s">
        <v>92</v>
      </c>
      <c r="M549" s="13" t="s">
        <v>60</v>
      </c>
      <c r="N549" s="13">
        <v>1</v>
      </c>
      <c r="O549" s="13"/>
      <c r="P549" s="33" t="str">
        <f t="shared" si="164"/>
        <v>MAIN UNIT</v>
      </c>
      <c r="Q549" s="13" t="s">
        <v>68</v>
      </c>
      <c r="R549" s="13" t="s">
        <v>62</v>
      </c>
      <c r="S549" s="13" t="s">
        <v>51</v>
      </c>
      <c r="T549" s="13" t="s">
        <v>349</v>
      </c>
      <c r="U549" s="13" t="s">
        <v>149</v>
      </c>
      <c r="V549" s="13" t="s">
        <v>134</v>
      </c>
      <c r="W549" s="13" t="s">
        <v>64</v>
      </c>
      <c r="X549" s="135">
        <v>1040000</v>
      </c>
      <c r="Y549" s="157" t="str">
        <f t="shared" si="175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59"/>
        <v>499582152.5142017</v>
      </c>
      <c r="AJ549" s="19">
        <f t="shared" si="160"/>
        <v>59520528.679470733</v>
      </c>
      <c r="AK549" s="20">
        <f t="shared" si="169"/>
        <v>0.11914062257814291</v>
      </c>
      <c r="AL549" s="17"/>
      <c r="AM549" s="17"/>
      <c r="AN549" s="17"/>
      <c r="AO549" s="17"/>
      <c r="AP549" s="28" t="str">
        <f t="shared" si="170"/>
        <v>CancelCANCEL</v>
      </c>
      <c r="AQ549" s="28" t="str">
        <f t="shared" si="171"/>
        <v>CancelCANCELRMB</v>
      </c>
      <c r="AR549" s="206" t="str">
        <f t="shared" si="172"/>
        <v>YAMAHA_Mounter</v>
      </c>
      <c r="AS549" s="22" t="str">
        <f t="shared" si="173"/>
        <v/>
      </c>
      <c r="AT549" s="24" t="str">
        <f t="shared" si="174"/>
        <v/>
      </c>
      <c r="AU549" s="22" t="s">
        <v>3240</v>
      </c>
    </row>
    <row r="550" spans="1:47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185</v>
      </c>
      <c r="F550" s="13" t="s">
        <v>185</v>
      </c>
      <c r="G550" s="152" t="s">
        <v>1616</v>
      </c>
      <c r="H550" s="155"/>
      <c r="I550" s="33" t="str">
        <f t="shared" si="163"/>
        <v>Cancel</v>
      </c>
      <c r="J550" s="186" t="s">
        <v>2364</v>
      </c>
      <c r="K550" s="155" t="s">
        <v>2365</v>
      </c>
      <c r="L550" s="17" t="s">
        <v>67</v>
      </c>
      <c r="M550" s="13" t="s">
        <v>60</v>
      </c>
      <c r="N550" s="13">
        <v>1</v>
      </c>
      <c r="O550" s="13"/>
      <c r="P550" s="33" t="str">
        <f t="shared" si="164"/>
        <v>MAIN UNIT</v>
      </c>
      <c r="Q550" s="13" t="s">
        <v>68</v>
      </c>
      <c r="R550" s="13" t="s">
        <v>62</v>
      </c>
      <c r="S550" s="13" t="s">
        <v>51</v>
      </c>
      <c r="T550" s="13" t="s">
        <v>349</v>
      </c>
      <c r="U550" s="13" t="s">
        <v>149</v>
      </c>
      <c r="V550" s="13" t="s">
        <v>134</v>
      </c>
      <c r="W550" s="13" t="s">
        <v>64</v>
      </c>
      <c r="X550" s="135">
        <v>900000</v>
      </c>
      <c r="Y550" s="157" t="str">
        <f t="shared" si="175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59"/>
        <v>499582152.5142017</v>
      </c>
      <c r="AJ550" s="19">
        <f t="shared" si="160"/>
        <v>59520528.679470733</v>
      </c>
      <c r="AK550" s="20">
        <f t="shared" si="169"/>
        <v>0.11914062257814291</v>
      </c>
      <c r="AL550" s="17"/>
      <c r="AM550" s="17"/>
      <c r="AN550" s="17"/>
      <c r="AO550" s="17"/>
      <c r="AP550" s="28" t="str">
        <f t="shared" si="170"/>
        <v>CancelCANCEL</v>
      </c>
      <c r="AQ550" s="28" t="str">
        <f t="shared" si="171"/>
        <v>CancelCANCELRMB</v>
      </c>
      <c r="AR550" s="206" t="str">
        <f t="shared" si="172"/>
        <v>YAMAHA_Mounter</v>
      </c>
      <c r="AS550" s="22" t="str">
        <f t="shared" si="173"/>
        <v/>
      </c>
      <c r="AT550" s="24" t="str">
        <f t="shared" si="174"/>
        <v/>
      </c>
      <c r="AU550" s="22" t="s">
        <v>3240</v>
      </c>
    </row>
    <row r="551" spans="1:47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55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2571</v>
      </c>
      <c r="K551" s="155" t="s">
        <v>2572</v>
      </c>
      <c r="L551" s="17" t="s">
        <v>67</v>
      </c>
      <c r="M551" s="13" t="s">
        <v>60</v>
      </c>
      <c r="N551" s="13">
        <v>1</v>
      </c>
      <c r="O551" s="13"/>
      <c r="P551" s="33" t="str">
        <f t="shared" si="164"/>
        <v>MAIN UNIT</v>
      </c>
      <c r="Q551" s="13" t="s">
        <v>68</v>
      </c>
      <c r="R551" s="13" t="s">
        <v>62</v>
      </c>
      <c r="S551" s="13" t="s">
        <v>51</v>
      </c>
      <c r="T551" s="13" t="s">
        <v>349</v>
      </c>
      <c r="U551" s="13" t="s">
        <v>149</v>
      </c>
      <c r="V551" s="13" t="s">
        <v>134</v>
      </c>
      <c r="W551" s="13" t="s">
        <v>64</v>
      </c>
      <c r="X551" s="135">
        <v>655000</v>
      </c>
      <c r="Y551" s="157" t="str">
        <f t="shared" si="175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59"/>
        <v>26078226.463097349</v>
      </c>
      <c r="AJ551" s="19">
        <f t="shared" si="160"/>
        <v>3137870.4427774516</v>
      </c>
      <c r="AK551" s="20">
        <f t="shared" si="169"/>
        <v>0.12032530077218917</v>
      </c>
      <c r="AL551" s="17"/>
      <c r="AM551" s="17"/>
      <c r="AN551" s="17"/>
      <c r="AO551" s="17"/>
      <c r="AP551" s="28" t="str">
        <f t="shared" si="170"/>
        <v>20239</v>
      </c>
      <c r="AQ551" s="28" t="str">
        <f t="shared" si="171"/>
        <v>20239RMB</v>
      </c>
      <c r="AR551" s="206" t="str">
        <f t="shared" si="172"/>
        <v>YAMAHA_Mounter</v>
      </c>
      <c r="AS551" s="22">
        <f t="shared" si="173"/>
        <v>1</v>
      </c>
      <c r="AT551" s="24" t="str">
        <f t="shared" si="174"/>
        <v>0-3 months</v>
      </c>
      <c r="AU551" s="22" t="s">
        <v>3240</v>
      </c>
    </row>
    <row r="552" spans="1:47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54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2204</v>
      </c>
      <c r="K552" s="155" t="s">
        <v>2205</v>
      </c>
      <c r="L552" s="17" t="s">
        <v>67</v>
      </c>
      <c r="M552" s="13" t="s">
        <v>60</v>
      </c>
      <c r="N552" s="13">
        <v>1</v>
      </c>
      <c r="O552" s="13"/>
      <c r="P552" s="33" t="str">
        <f t="shared" si="164"/>
        <v>MAIN UNIT</v>
      </c>
      <c r="Q552" s="13" t="s">
        <v>61</v>
      </c>
      <c r="R552" s="13" t="s">
        <v>62</v>
      </c>
      <c r="S552" s="13" t="s">
        <v>51</v>
      </c>
      <c r="T552" s="13" t="s">
        <v>349</v>
      </c>
      <c r="U552" s="13" t="s">
        <v>149</v>
      </c>
      <c r="V552" s="13" t="s">
        <v>954</v>
      </c>
      <c r="W552" s="13" t="s">
        <v>64</v>
      </c>
      <c r="X552" s="135">
        <v>605000</v>
      </c>
      <c r="Y552" s="157" t="str">
        <f t="shared" si="175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59"/>
        <v>35682787.057522126</v>
      </c>
      <c r="AJ552" s="19">
        <f t="shared" si="160"/>
        <v>5833368.3789623892</v>
      </c>
      <c r="AK552" s="20">
        <f t="shared" si="169"/>
        <v>0.16347849649632912</v>
      </c>
      <c r="AL552" s="17"/>
      <c r="AM552" s="17"/>
      <c r="AN552" s="17"/>
      <c r="AO552" s="17"/>
      <c r="AP552" s="28" t="str">
        <f t="shared" si="170"/>
        <v>20226</v>
      </c>
      <c r="AQ552" s="28" t="str">
        <f t="shared" si="171"/>
        <v>20226RMB</v>
      </c>
      <c r="AR552" s="206" t="str">
        <f t="shared" si="172"/>
        <v>YAMAHA_Mounter</v>
      </c>
      <c r="AS552" s="22">
        <f t="shared" si="173"/>
        <v>0</v>
      </c>
      <c r="AT552" s="24" t="str">
        <f t="shared" si="174"/>
        <v>0-3 months</v>
      </c>
      <c r="AU552" s="22" t="s">
        <v>3240</v>
      </c>
    </row>
    <row r="553" spans="1:47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47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932</v>
      </c>
      <c r="K553" s="155" t="s">
        <v>933</v>
      </c>
      <c r="L553" s="17" t="s">
        <v>92</v>
      </c>
      <c r="M553" s="13" t="s">
        <v>60</v>
      </c>
      <c r="N553" s="13">
        <v>1</v>
      </c>
      <c r="O553" s="13"/>
      <c r="P553" s="33" t="str">
        <f t="shared" si="164"/>
        <v>MAIN UNIT</v>
      </c>
      <c r="Q553" s="13" t="s">
        <v>61</v>
      </c>
      <c r="R553" s="13" t="s">
        <v>62</v>
      </c>
      <c r="S553" s="13" t="s">
        <v>51</v>
      </c>
      <c r="T553" s="13" t="s">
        <v>349</v>
      </c>
      <c r="U553" s="13" t="s">
        <v>149</v>
      </c>
      <c r="V553" s="13" t="s">
        <v>564</v>
      </c>
      <c r="W553" s="13" t="s">
        <v>64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59"/>
        <v>28647263.974455759</v>
      </c>
      <c r="AJ553" s="19">
        <f t="shared" si="160"/>
        <v>3219855.6912513468</v>
      </c>
      <c r="AK553" s="20">
        <f t="shared" si="169"/>
        <v>0.11239662168514358</v>
      </c>
      <c r="AL553" s="17"/>
      <c r="AM553" s="17"/>
      <c r="AN553" s="17"/>
      <c r="AO553" s="17"/>
      <c r="AP553" s="28" t="str">
        <f t="shared" si="170"/>
        <v>201910</v>
      </c>
      <c r="AQ553" s="28" t="str">
        <f t="shared" si="171"/>
        <v>201910RMB</v>
      </c>
      <c r="AR553" s="206" t="str">
        <f t="shared" si="172"/>
        <v>YAMAHA_Mounter</v>
      </c>
      <c r="AS553" s="22">
        <f t="shared" si="173"/>
        <v>0</v>
      </c>
      <c r="AT553" s="24" t="str">
        <f t="shared" si="174"/>
        <v>0-3 months</v>
      </c>
      <c r="AU553" s="22" t="s">
        <v>3240</v>
      </c>
    </row>
    <row r="554" spans="1:47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47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932</v>
      </c>
      <c r="K554" s="155" t="s">
        <v>933</v>
      </c>
      <c r="L554" s="17" t="s">
        <v>92</v>
      </c>
      <c r="M554" s="13" t="s">
        <v>60</v>
      </c>
      <c r="N554" s="13">
        <v>1</v>
      </c>
      <c r="O554" s="13"/>
      <c r="P554" s="33" t="str">
        <f t="shared" si="164"/>
        <v>MAIN UNIT</v>
      </c>
      <c r="Q554" s="13" t="s">
        <v>61</v>
      </c>
      <c r="R554" s="13" t="s">
        <v>62</v>
      </c>
      <c r="S554" s="13" t="s">
        <v>51</v>
      </c>
      <c r="T554" s="13" t="s">
        <v>349</v>
      </c>
      <c r="U554" s="13" t="s">
        <v>149</v>
      </c>
      <c r="V554" s="13" t="s">
        <v>564</v>
      </c>
      <c r="W554" s="13" t="s">
        <v>64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59"/>
        <v>28647263.974455759</v>
      </c>
      <c r="AJ554" s="19">
        <f t="shared" si="160"/>
        <v>3219855.6912513468</v>
      </c>
      <c r="AK554" s="20">
        <f t="shared" si="169"/>
        <v>0.11239662168514358</v>
      </c>
      <c r="AL554" s="17"/>
      <c r="AM554" s="17"/>
      <c r="AN554" s="17"/>
      <c r="AO554" s="17"/>
      <c r="AP554" s="28" t="str">
        <f t="shared" si="170"/>
        <v>201910</v>
      </c>
      <c r="AQ554" s="28" t="str">
        <f t="shared" si="171"/>
        <v>201910RMB</v>
      </c>
      <c r="AR554" s="206" t="str">
        <f t="shared" si="172"/>
        <v>YAMAHA_Mounter</v>
      </c>
      <c r="AS554" s="22">
        <f t="shared" si="173"/>
        <v>0</v>
      </c>
      <c r="AT554" s="24" t="str">
        <f t="shared" si="174"/>
        <v>0-3 months</v>
      </c>
      <c r="AU554" s="22" t="s">
        <v>3240</v>
      </c>
    </row>
    <row r="555" spans="1:47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47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653</v>
      </c>
      <c r="K555" s="155" t="s">
        <v>654</v>
      </c>
      <c r="L555" s="17" t="s">
        <v>67</v>
      </c>
      <c r="M555" s="13" t="s">
        <v>60</v>
      </c>
      <c r="N555" s="13">
        <v>1</v>
      </c>
      <c r="O555" s="13"/>
      <c r="P555" s="33" t="str">
        <f t="shared" si="164"/>
        <v>MAIN UNIT</v>
      </c>
      <c r="Q555" s="13" t="s">
        <v>68</v>
      </c>
      <c r="R555" s="13" t="s">
        <v>62</v>
      </c>
      <c r="S555" s="13" t="s">
        <v>51</v>
      </c>
      <c r="T555" s="13" t="s">
        <v>349</v>
      </c>
      <c r="U555" s="13" t="s">
        <v>149</v>
      </c>
      <c r="V555" s="13" t="s">
        <v>564</v>
      </c>
      <c r="W555" s="13" t="s">
        <v>64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59"/>
        <v>32843736.557277881</v>
      </c>
      <c r="AJ555" s="19">
        <f t="shared" si="160"/>
        <v>3921470.6822663117</v>
      </c>
      <c r="AK555" s="20">
        <f t="shared" si="169"/>
        <v>0.11939782416131177</v>
      </c>
      <c r="AL555" s="17"/>
      <c r="AM555" s="17"/>
      <c r="AN555" s="17"/>
      <c r="AO555" s="17"/>
      <c r="AP555" s="28" t="str">
        <f t="shared" si="170"/>
        <v>20194</v>
      </c>
      <c r="AQ555" s="28" t="str">
        <f t="shared" si="171"/>
        <v>20194RMB</v>
      </c>
      <c r="AR555" s="206" t="str">
        <f t="shared" si="172"/>
        <v>YAMAHA_Mounter</v>
      </c>
      <c r="AS555" s="22">
        <f t="shared" si="173"/>
        <v>1</v>
      </c>
      <c r="AT555" s="24" t="str">
        <f t="shared" si="174"/>
        <v>0-3 months</v>
      </c>
      <c r="AU555" s="22" t="s">
        <v>3240</v>
      </c>
    </row>
    <row r="556" spans="1:47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47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653</v>
      </c>
      <c r="K556" s="155" t="s">
        <v>654</v>
      </c>
      <c r="L556" s="17" t="s">
        <v>67</v>
      </c>
      <c r="M556" s="13" t="s">
        <v>60</v>
      </c>
      <c r="N556" s="13">
        <v>1</v>
      </c>
      <c r="O556" s="13"/>
      <c r="P556" s="33" t="str">
        <f t="shared" si="164"/>
        <v>MAIN UNIT</v>
      </c>
      <c r="Q556" s="13" t="s">
        <v>68</v>
      </c>
      <c r="R556" s="13" t="s">
        <v>62</v>
      </c>
      <c r="S556" s="13" t="s">
        <v>51</v>
      </c>
      <c r="T556" s="13" t="s">
        <v>349</v>
      </c>
      <c r="U556" s="13" t="s">
        <v>149</v>
      </c>
      <c r="V556" s="13" t="s">
        <v>564</v>
      </c>
      <c r="W556" s="13" t="s">
        <v>64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59"/>
        <v>32843736.557277881</v>
      </c>
      <c r="AJ556" s="19">
        <f t="shared" si="160"/>
        <v>3921470.6822663117</v>
      </c>
      <c r="AK556" s="20">
        <f t="shared" si="169"/>
        <v>0.11939782416131177</v>
      </c>
      <c r="AL556" s="17"/>
      <c r="AM556" s="17"/>
      <c r="AN556" s="17"/>
      <c r="AO556" s="17"/>
      <c r="AP556" s="28" t="str">
        <f t="shared" si="170"/>
        <v>20194</v>
      </c>
      <c r="AQ556" s="28" t="str">
        <f t="shared" si="171"/>
        <v>20194RMB</v>
      </c>
      <c r="AR556" s="206" t="str">
        <f t="shared" si="172"/>
        <v>YAMAHA_Mounter</v>
      </c>
      <c r="AS556" s="22">
        <f t="shared" si="173"/>
        <v>1</v>
      </c>
      <c r="AT556" s="24" t="str">
        <f t="shared" si="174"/>
        <v>0-3 months</v>
      </c>
      <c r="AU556" s="22" t="s">
        <v>3240</v>
      </c>
    </row>
    <row r="557" spans="1:47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47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653</v>
      </c>
      <c r="K557" s="155" t="s">
        <v>654</v>
      </c>
      <c r="L557" s="17" t="s">
        <v>2788</v>
      </c>
      <c r="M557" s="13" t="s">
        <v>2607</v>
      </c>
      <c r="N557" s="13">
        <v>1</v>
      </c>
      <c r="O557" s="13"/>
      <c r="P557" s="33" t="str">
        <f t="shared" si="164"/>
        <v>MAIN UNIT</v>
      </c>
      <c r="Q557" s="13" t="s">
        <v>68</v>
      </c>
      <c r="R557" s="13" t="s">
        <v>2055</v>
      </c>
      <c r="S557" s="13" t="s">
        <v>51</v>
      </c>
      <c r="T557" s="13" t="s">
        <v>349</v>
      </c>
      <c r="U557" s="13" t="s">
        <v>149</v>
      </c>
      <c r="V557" s="13" t="s">
        <v>564</v>
      </c>
      <c r="W557" s="13" t="s">
        <v>64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59"/>
        <v>32843736.557277881</v>
      </c>
      <c r="AJ557" s="19">
        <f t="shared" si="160"/>
        <v>3921470.6822663117</v>
      </c>
      <c r="AK557" s="20">
        <f t="shared" si="169"/>
        <v>0.11939782416131177</v>
      </c>
      <c r="AL557" s="17"/>
      <c r="AM557" s="17"/>
      <c r="AN557" s="17"/>
      <c r="AO557" s="17"/>
      <c r="AP557" s="28" t="str">
        <f t="shared" si="170"/>
        <v>20194</v>
      </c>
      <c r="AQ557" s="28" t="str">
        <f t="shared" si="171"/>
        <v>20194RMB</v>
      </c>
      <c r="AR557" s="206" t="str">
        <f t="shared" si="172"/>
        <v>HELLER</v>
      </c>
      <c r="AS557" s="22">
        <f t="shared" si="173"/>
        <v>1</v>
      </c>
      <c r="AT557" s="24" t="str">
        <f t="shared" si="174"/>
        <v>0-3 months</v>
      </c>
      <c r="AU557" s="22" t="s">
        <v>3240</v>
      </c>
    </row>
    <row r="558" spans="1:47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55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2459</v>
      </c>
      <c r="K558" s="155" t="s">
        <v>2460</v>
      </c>
      <c r="L558" s="17" t="s">
        <v>67</v>
      </c>
      <c r="M558" s="13" t="s">
        <v>60</v>
      </c>
      <c r="N558" s="13">
        <v>1</v>
      </c>
      <c r="O558" s="13"/>
      <c r="P558" s="33" t="str">
        <f t="shared" si="164"/>
        <v>MAIN UNIT</v>
      </c>
      <c r="Q558" s="13" t="s">
        <v>68</v>
      </c>
      <c r="R558" s="13" t="s">
        <v>62</v>
      </c>
      <c r="S558" s="13" t="s">
        <v>51</v>
      </c>
      <c r="T558" s="13" t="s">
        <v>349</v>
      </c>
      <c r="U558" s="13" t="s">
        <v>149</v>
      </c>
      <c r="V558" s="13" t="s">
        <v>134</v>
      </c>
      <c r="W558" s="13" t="s">
        <v>64</v>
      </c>
      <c r="X558" s="135">
        <v>700000</v>
      </c>
      <c r="Y558" s="157" t="str">
        <f t="shared" ref="Y558:Y566" si="176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59"/>
        <v>30573205.452778768</v>
      </c>
      <c r="AJ558" s="19">
        <f t="shared" si="160"/>
        <v>3790930.1683151261</v>
      </c>
      <c r="AK558" s="20">
        <f t="shared" si="169"/>
        <v>0.12399518179964254</v>
      </c>
      <c r="AL558" s="17"/>
      <c r="AM558" s="17"/>
      <c r="AN558" s="17"/>
      <c r="AO558" s="17"/>
      <c r="AP558" s="28" t="str">
        <f t="shared" si="170"/>
        <v>20234</v>
      </c>
      <c r="AQ558" s="28" t="str">
        <f t="shared" si="171"/>
        <v>20234RMB</v>
      </c>
      <c r="AR558" s="206" t="str">
        <f t="shared" si="172"/>
        <v>YAMAHA_Mounter</v>
      </c>
      <c r="AS558" s="22">
        <f t="shared" si="173"/>
        <v>3</v>
      </c>
      <c r="AT558" s="24" t="str">
        <f t="shared" si="174"/>
        <v>0-3 months</v>
      </c>
      <c r="AU558" s="22" t="s">
        <v>3240</v>
      </c>
    </row>
    <row r="559" spans="1:47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55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2459</v>
      </c>
      <c r="K559" s="155" t="s">
        <v>2460</v>
      </c>
      <c r="L559" s="17" t="s">
        <v>92</v>
      </c>
      <c r="M559" s="13" t="s">
        <v>60</v>
      </c>
      <c r="N559" s="13">
        <v>1</v>
      </c>
      <c r="O559" s="13"/>
      <c r="P559" s="33" t="str">
        <f t="shared" si="164"/>
        <v>MAIN UNIT</v>
      </c>
      <c r="Q559" s="13" t="s">
        <v>68</v>
      </c>
      <c r="R559" s="13" t="s">
        <v>62</v>
      </c>
      <c r="S559" s="13" t="s">
        <v>51</v>
      </c>
      <c r="T559" s="13" t="s">
        <v>349</v>
      </c>
      <c r="U559" s="13" t="s">
        <v>149</v>
      </c>
      <c r="V559" s="13" t="s">
        <v>134</v>
      </c>
      <c r="W559" s="13" t="s">
        <v>64</v>
      </c>
      <c r="X559" s="135">
        <v>730000</v>
      </c>
      <c r="Y559" s="157" t="str">
        <f t="shared" si="176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59"/>
        <v>13640480.497522123</v>
      </c>
      <c r="AJ559" s="19">
        <f t="shared" si="160"/>
        <v>1928605.8020906283</v>
      </c>
      <c r="AK559" s="20">
        <f t="shared" si="169"/>
        <v>0.1413884065477731</v>
      </c>
      <c r="AL559" s="17"/>
      <c r="AM559" s="17"/>
      <c r="AN559" s="17"/>
      <c r="AO559" s="17"/>
      <c r="AP559" s="28" t="str">
        <f t="shared" si="170"/>
        <v>20236</v>
      </c>
      <c r="AQ559" s="28" t="str">
        <f t="shared" si="171"/>
        <v>20236RMB</v>
      </c>
      <c r="AR559" s="206" t="str">
        <f t="shared" si="172"/>
        <v>YAMAHA_Mounter</v>
      </c>
      <c r="AS559" s="22">
        <f t="shared" si="173"/>
        <v>5</v>
      </c>
      <c r="AT559" s="24" t="str">
        <f t="shared" si="174"/>
        <v>4-6 months</v>
      </c>
      <c r="AU559" s="22" t="s">
        <v>3240</v>
      </c>
    </row>
    <row r="560" spans="1:47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53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1908</v>
      </c>
      <c r="K560" s="155" t="s">
        <v>1909</v>
      </c>
      <c r="L560" s="17" t="s">
        <v>92</v>
      </c>
      <c r="M560" s="13" t="s">
        <v>60</v>
      </c>
      <c r="N560" s="13">
        <v>1</v>
      </c>
      <c r="O560" s="13"/>
      <c r="P560" s="33" t="str">
        <f t="shared" si="164"/>
        <v>MAIN UNIT</v>
      </c>
      <c r="Q560" s="13" t="s">
        <v>61</v>
      </c>
      <c r="R560" s="13" t="s">
        <v>62</v>
      </c>
      <c r="S560" s="13" t="s">
        <v>51</v>
      </c>
      <c r="T560" s="13" t="s">
        <v>1910</v>
      </c>
      <c r="U560" s="13" t="s">
        <v>149</v>
      </c>
      <c r="V560" s="13" t="s">
        <v>134</v>
      </c>
      <c r="W560" s="13" t="s">
        <v>64</v>
      </c>
      <c r="X560" s="135">
        <v>884450</v>
      </c>
      <c r="Y560" s="157" t="str">
        <f t="shared" si="176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59"/>
        <v>25380121.402654871</v>
      </c>
      <c r="AJ560" s="19">
        <f t="shared" si="160"/>
        <v>3850343.1237796471</v>
      </c>
      <c r="AK560" s="20">
        <f t="shared" si="169"/>
        <v>0.1517070412191521</v>
      </c>
      <c r="AL560" s="17"/>
      <c r="AM560" s="17"/>
      <c r="AN560" s="17"/>
      <c r="AO560" s="17"/>
      <c r="AP560" s="28" t="str">
        <f t="shared" si="170"/>
        <v>202112</v>
      </c>
      <c r="AQ560" s="28" t="str">
        <f t="shared" si="171"/>
        <v>202112RMB</v>
      </c>
      <c r="AR560" s="206" t="str">
        <f t="shared" si="172"/>
        <v>YAMAHA_Mounter</v>
      </c>
      <c r="AS560" s="22">
        <f t="shared" si="173"/>
        <v>6</v>
      </c>
      <c r="AT560" s="24" t="str">
        <f t="shared" si="174"/>
        <v>4-6 months</v>
      </c>
      <c r="AU560" s="22" t="s">
        <v>3240</v>
      </c>
    </row>
    <row r="561" spans="1:47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53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1908</v>
      </c>
      <c r="K561" s="155" t="s">
        <v>1909</v>
      </c>
      <c r="L561" s="17" t="s">
        <v>92</v>
      </c>
      <c r="M561" s="13" t="s">
        <v>60</v>
      </c>
      <c r="N561" s="13">
        <v>1</v>
      </c>
      <c r="O561" s="13"/>
      <c r="P561" s="33" t="str">
        <f t="shared" si="164"/>
        <v>MAIN UNIT</v>
      </c>
      <c r="Q561" s="13" t="s">
        <v>61</v>
      </c>
      <c r="R561" s="13" t="s">
        <v>62</v>
      </c>
      <c r="S561" s="13" t="s">
        <v>51</v>
      </c>
      <c r="T561" s="13" t="s">
        <v>1910</v>
      </c>
      <c r="U561" s="13" t="s">
        <v>149</v>
      </c>
      <c r="V561" s="13" t="s">
        <v>134</v>
      </c>
      <c r="W561" s="13" t="s">
        <v>64</v>
      </c>
      <c r="X561" s="135">
        <v>884450</v>
      </c>
      <c r="Y561" s="157" t="str">
        <f t="shared" si="176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59"/>
        <v>25380121.402654871</v>
      </c>
      <c r="AJ561" s="19">
        <f t="shared" si="160"/>
        <v>3850343.1237796471</v>
      </c>
      <c r="AK561" s="20">
        <f t="shared" si="169"/>
        <v>0.1517070412191521</v>
      </c>
      <c r="AL561" s="17"/>
      <c r="AM561" s="17"/>
      <c r="AN561" s="17"/>
      <c r="AO561" s="17"/>
      <c r="AP561" s="28" t="str">
        <f t="shared" si="170"/>
        <v>202112</v>
      </c>
      <c r="AQ561" s="28" t="str">
        <f t="shared" si="171"/>
        <v>202112RMB</v>
      </c>
      <c r="AR561" s="206" t="str">
        <f t="shared" si="172"/>
        <v>YAMAHA_Mounter</v>
      </c>
      <c r="AS561" s="22">
        <f t="shared" si="173"/>
        <v>6</v>
      </c>
      <c r="AT561" s="24" t="str">
        <f t="shared" si="174"/>
        <v>4-6 months</v>
      </c>
      <c r="AU561" s="22" t="s">
        <v>3240</v>
      </c>
    </row>
    <row r="562" spans="1:47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54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2029</v>
      </c>
      <c r="K562" s="155" t="s">
        <v>1909</v>
      </c>
      <c r="L562" s="17" t="s">
        <v>67</v>
      </c>
      <c r="M562" s="13" t="s">
        <v>60</v>
      </c>
      <c r="N562" s="13">
        <v>1</v>
      </c>
      <c r="O562" s="13"/>
      <c r="P562" s="33" t="str">
        <f t="shared" si="164"/>
        <v>MAIN UNIT</v>
      </c>
      <c r="Q562" s="13" t="s">
        <v>61</v>
      </c>
      <c r="R562" s="13" t="s">
        <v>62</v>
      </c>
      <c r="S562" s="13" t="s">
        <v>51</v>
      </c>
      <c r="T562" s="13" t="s">
        <v>1910</v>
      </c>
      <c r="U562" s="13" t="s">
        <v>149</v>
      </c>
      <c r="V562" s="13" t="s">
        <v>134</v>
      </c>
      <c r="W562" s="13" t="s">
        <v>64</v>
      </c>
      <c r="X562" s="135">
        <v>495000</v>
      </c>
      <c r="Y562" s="157" t="str">
        <f t="shared" si="176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59"/>
        <v>35682787.057522126</v>
      </c>
      <c r="AJ562" s="19">
        <f t="shared" si="160"/>
        <v>5833368.3789623892</v>
      </c>
      <c r="AK562" s="20">
        <f t="shared" si="169"/>
        <v>0.16347849649632912</v>
      </c>
      <c r="AL562" s="17"/>
      <c r="AM562" s="17"/>
      <c r="AN562" s="17"/>
      <c r="AO562" s="17"/>
      <c r="AP562" s="28" t="str">
        <f t="shared" si="170"/>
        <v>20226</v>
      </c>
      <c r="AQ562" s="28" t="str">
        <f t="shared" si="171"/>
        <v>20226RMB</v>
      </c>
      <c r="AR562" s="206" t="str">
        <f t="shared" si="172"/>
        <v>YAMAHA_Mounter</v>
      </c>
      <c r="AS562" s="22">
        <f t="shared" si="173"/>
        <v>12</v>
      </c>
      <c r="AT562" s="24" t="str">
        <f t="shared" si="174"/>
        <v>&gt; 6 months</v>
      </c>
      <c r="AU562" s="22" t="s">
        <v>3240</v>
      </c>
    </row>
    <row r="563" spans="1:47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54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2029</v>
      </c>
      <c r="K563" s="155" t="s">
        <v>1909</v>
      </c>
      <c r="L563" s="17" t="s">
        <v>67</v>
      </c>
      <c r="M563" s="13" t="s">
        <v>60</v>
      </c>
      <c r="N563" s="13">
        <v>1</v>
      </c>
      <c r="O563" s="13"/>
      <c r="P563" s="33" t="str">
        <f t="shared" si="164"/>
        <v>MAIN UNIT</v>
      </c>
      <c r="Q563" s="13" t="s">
        <v>61</v>
      </c>
      <c r="R563" s="13" t="s">
        <v>62</v>
      </c>
      <c r="S563" s="13" t="s">
        <v>51</v>
      </c>
      <c r="T563" s="13" t="s">
        <v>1910</v>
      </c>
      <c r="U563" s="13" t="s">
        <v>149</v>
      </c>
      <c r="V563" s="13" t="s">
        <v>134</v>
      </c>
      <c r="W563" s="13" t="s">
        <v>64</v>
      </c>
      <c r="X563" s="135">
        <v>495000</v>
      </c>
      <c r="Y563" s="157" t="str">
        <f t="shared" si="176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59"/>
        <v>35682787.057522126</v>
      </c>
      <c r="AJ563" s="19">
        <f t="shared" si="160"/>
        <v>5833368.3789623892</v>
      </c>
      <c r="AK563" s="20">
        <f t="shared" si="169"/>
        <v>0.16347849649632912</v>
      </c>
      <c r="AL563" s="17"/>
      <c r="AM563" s="17"/>
      <c r="AN563" s="17"/>
      <c r="AO563" s="17"/>
      <c r="AP563" s="28" t="str">
        <f t="shared" si="170"/>
        <v>20226</v>
      </c>
      <c r="AQ563" s="28" t="str">
        <f t="shared" si="171"/>
        <v>20226RMB</v>
      </c>
      <c r="AR563" s="206" t="str">
        <f t="shared" si="172"/>
        <v>YAMAHA_Mounter</v>
      </c>
      <c r="AS563" s="22">
        <f t="shared" si="173"/>
        <v>12</v>
      </c>
      <c r="AT563" s="24" t="str">
        <f t="shared" si="174"/>
        <v>&gt; 6 months</v>
      </c>
      <c r="AU563" s="22" t="s">
        <v>3240</v>
      </c>
    </row>
    <row r="564" spans="1:47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54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2029</v>
      </c>
      <c r="K564" s="155" t="s">
        <v>1909</v>
      </c>
      <c r="L564" s="17" t="s">
        <v>67</v>
      </c>
      <c r="M564" s="13" t="s">
        <v>60</v>
      </c>
      <c r="N564" s="13">
        <v>1</v>
      </c>
      <c r="O564" s="13"/>
      <c r="P564" s="33" t="str">
        <f t="shared" si="164"/>
        <v>MAIN UNIT</v>
      </c>
      <c r="Q564" s="13" t="s">
        <v>61</v>
      </c>
      <c r="R564" s="13" t="s">
        <v>62</v>
      </c>
      <c r="S564" s="13" t="s">
        <v>51</v>
      </c>
      <c r="T564" s="13" t="s">
        <v>1910</v>
      </c>
      <c r="U564" s="13" t="s">
        <v>149</v>
      </c>
      <c r="V564" s="13" t="s">
        <v>134</v>
      </c>
      <c r="W564" s="13" t="s">
        <v>64</v>
      </c>
      <c r="X564" s="135">
        <v>495000</v>
      </c>
      <c r="Y564" s="157" t="str">
        <f t="shared" si="176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59"/>
        <v>35682787.057522126</v>
      </c>
      <c r="AJ564" s="19">
        <f t="shared" si="160"/>
        <v>5833368.3789623892</v>
      </c>
      <c r="AK564" s="20">
        <f t="shared" si="169"/>
        <v>0.16347849649632912</v>
      </c>
      <c r="AL564" s="17"/>
      <c r="AM564" s="17"/>
      <c r="AN564" s="17"/>
      <c r="AO564" s="17"/>
      <c r="AP564" s="28" t="str">
        <f t="shared" si="170"/>
        <v>20226</v>
      </c>
      <c r="AQ564" s="28" t="str">
        <f t="shared" si="171"/>
        <v>20226RMB</v>
      </c>
      <c r="AR564" s="206" t="str">
        <f t="shared" si="172"/>
        <v>YAMAHA_Mounter</v>
      </c>
      <c r="AS564" s="22">
        <f t="shared" si="173"/>
        <v>12</v>
      </c>
      <c r="AT564" s="24" t="str">
        <f t="shared" si="174"/>
        <v>&gt; 6 months</v>
      </c>
      <c r="AU564" s="22" t="s">
        <v>3240</v>
      </c>
    </row>
    <row r="565" spans="1:47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53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2972</v>
      </c>
      <c r="K565" s="155" t="s">
        <v>1909</v>
      </c>
      <c r="L565" s="17" t="s">
        <v>2837</v>
      </c>
      <c r="M565" s="13" t="s">
        <v>2832</v>
      </c>
      <c r="N565" s="13">
        <v>1</v>
      </c>
      <c r="O565" s="13"/>
      <c r="P565" s="33" t="str">
        <f t="shared" si="164"/>
        <v>MAIN UNIT</v>
      </c>
      <c r="Q565" s="13" t="s">
        <v>61</v>
      </c>
      <c r="R565" s="13" t="s">
        <v>2055</v>
      </c>
      <c r="S565" s="13" t="s">
        <v>51</v>
      </c>
      <c r="T565" s="13" t="s">
        <v>2973</v>
      </c>
      <c r="U565" s="13" t="s">
        <v>149</v>
      </c>
      <c r="V565" s="13" t="s">
        <v>2974</v>
      </c>
      <c r="W565" s="13" t="s">
        <v>64</v>
      </c>
      <c r="X565" s="135">
        <v>315835</v>
      </c>
      <c r="Y565" s="157" t="str">
        <f t="shared" si="176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59"/>
        <v>25380121.402654871</v>
      </c>
      <c r="AJ565" s="19">
        <f t="shared" si="160"/>
        <v>3850343.1237796471</v>
      </c>
      <c r="AK565" s="20">
        <f t="shared" si="169"/>
        <v>0.1517070412191521</v>
      </c>
      <c r="AL565" s="17"/>
      <c r="AM565" s="17"/>
      <c r="AN565" s="17"/>
      <c r="AO565" s="17"/>
      <c r="AP565" s="28" t="str">
        <f t="shared" si="170"/>
        <v>202112</v>
      </c>
      <c r="AQ565" s="28" t="str">
        <f t="shared" si="171"/>
        <v>202112RMB</v>
      </c>
      <c r="AR565" s="206" t="str">
        <f t="shared" si="172"/>
        <v>PEMTRON</v>
      </c>
      <c r="AS565" s="22">
        <f t="shared" si="173"/>
        <v>3</v>
      </c>
      <c r="AT565" s="24" t="str">
        <f t="shared" si="174"/>
        <v>0-3 months</v>
      </c>
      <c r="AU565" s="22" t="s">
        <v>3240</v>
      </c>
    </row>
    <row r="566" spans="1:47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53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2972</v>
      </c>
      <c r="K566" s="155" t="s">
        <v>1909</v>
      </c>
      <c r="L566" s="17" t="s">
        <v>2956</v>
      </c>
      <c r="M566" s="13" t="s">
        <v>2832</v>
      </c>
      <c r="N566" s="13">
        <v>1</v>
      </c>
      <c r="O566" s="13"/>
      <c r="P566" s="33" t="str">
        <f t="shared" si="164"/>
        <v>MAIN UNIT</v>
      </c>
      <c r="Q566" s="13" t="s">
        <v>61</v>
      </c>
      <c r="R566" s="13" t="s">
        <v>2055</v>
      </c>
      <c r="S566" s="13" t="s">
        <v>51</v>
      </c>
      <c r="T566" s="13" t="s">
        <v>2973</v>
      </c>
      <c r="U566" s="13" t="s">
        <v>149</v>
      </c>
      <c r="V566" s="13" t="s">
        <v>2974</v>
      </c>
      <c r="W566" s="13" t="s">
        <v>64</v>
      </c>
      <c r="X566" s="135">
        <v>602290</v>
      </c>
      <c r="Y566" s="157" t="str">
        <f t="shared" si="176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59"/>
        <v>25380121.402654871</v>
      </c>
      <c r="AJ566" s="19">
        <f t="shared" si="160"/>
        <v>3850343.1237796471</v>
      </c>
      <c r="AK566" s="20">
        <f t="shared" si="169"/>
        <v>0.1517070412191521</v>
      </c>
      <c r="AL566" s="17"/>
      <c r="AM566" s="17"/>
      <c r="AN566" s="17"/>
      <c r="AO566" s="17"/>
      <c r="AP566" s="28" t="str">
        <f t="shared" si="170"/>
        <v>202112</v>
      </c>
      <c r="AQ566" s="28" t="str">
        <f t="shared" si="171"/>
        <v>202112RMB</v>
      </c>
      <c r="AR566" s="206" t="str">
        <f t="shared" si="172"/>
        <v>PEMTRON</v>
      </c>
      <c r="AS566" s="22">
        <f t="shared" si="173"/>
        <v>3</v>
      </c>
      <c r="AT566" s="24" t="str">
        <f t="shared" si="174"/>
        <v>0-3 months</v>
      </c>
      <c r="AU566" s="22" t="s">
        <v>3240</v>
      </c>
    </row>
    <row r="567" spans="1:47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55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2972</v>
      </c>
      <c r="K567" s="155" t="s">
        <v>1909</v>
      </c>
      <c r="L567" s="17" t="s">
        <v>2988</v>
      </c>
      <c r="M567" s="13" t="s">
        <v>2832</v>
      </c>
      <c r="N567" s="13">
        <v>1</v>
      </c>
      <c r="O567" s="13"/>
      <c r="P567" s="33" t="str">
        <f t="shared" si="164"/>
        <v>MAIN UNIT</v>
      </c>
      <c r="Q567" s="13" t="s">
        <v>61</v>
      </c>
      <c r="R567" s="13" t="s">
        <v>2055</v>
      </c>
      <c r="S567" s="13" t="s">
        <v>51</v>
      </c>
      <c r="T567" s="13" t="s">
        <v>2973</v>
      </c>
      <c r="U567" s="13" t="s">
        <v>149</v>
      </c>
      <c r="V567" s="13" t="s">
        <v>2974</v>
      </c>
      <c r="W567" s="13" t="s">
        <v>64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59"/>
        <v>26078226.463097349</v>
      </c>
      <c r="AJ567" s="19">
        <f t="shared" si="160"/>
        <v>3137870.4427774516</v>
      </c>
      <c r="AK567" s="20">
        <f t="shared" si="169"/>
        <v>0.12032530077218917</v>
      </c>
      <c r="AL567" s="17"/>
      <c r="AM567" s="17"/>
      <c r="AN567" s="17"/>
      <c r="AO567" s="17" t="s">
        <v>2989</v>
      </c>
      <c r="AP567" s="28" t="str">
        <f t="shared" si="170"/>
        <v>20239</v>
      </c>
      <c r="AQ567" s="28" t="str">
        <f t="shared" si="171"/>
        <v>20239RMB</v>
      </c>
      <c r="AR567" s="206" t="str">
        <f t="shared" si="172"/>
        <v>PEMTRON</v>
      </c>
      <c r="AS567" s="22">
        <f t="shared" si="173"/>
        <v>24</v>
      </c>
      <c r="AT567" s="24" t="str">
        <f t="shared" si="174"/>
        <v>&gt; 6 months</v>
      </c>
      <c r="AU567" s="22" t="s">
        <v>3240</v>
      </c>
    </row>
    <row r="568" spans="1:47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55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2972</v>
      </c>
      <c r="K568" s="155" t="s">
        <v>1909</v>
      </c>
      <c r="L568" s="17" t="s">
        <v>2988</v>
      </c>
      <c r="M568" s="13" t="s">
        <v>2832</v>
      </c>
      <c r="N568" s="13">
        <v>1</v>
      </c>
      <c r="O568" s="13"/>
      <c r="P568" s="33" t="str">
        <f t="shared" si="164"/>
        <v>MAIN UNIT</v>
      </c>
      <c r="Q568" s="13" t="s">
        <v>61</v>
      </c>
      <c r="R568" s="13" t="s">
        <v>2055</v>
      </c>
      <c r="S568" s="13" t="s">
        <v>51</v>
      </c>
      <c r="T568" s="13" t="s">
        <v>2973</v>
      </c>
      <c r="U568" s="13" t="s">
        <v>149</v>
      </c>
      <c r="V568" s="13" t="s">
        <v>2974</v>
      </c>
      <c r="W568" s="13" t="s">
        <v>64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59"/>
        <v>26078226.463097349</v>
      </c>
      <c r="AJ568" s="19">
        <f t="shared" si="160"/>
        <v>3137870.4427774516</v>
      </c>
      <c r="AK568" s="20">
        <f t="shared" si="169"/>
        <v>0.12032530077218917</v>
      </c>
      <c r="AL568" s="17"/>
      <c r="AM568" s="17"/>
      <c r="AN568" s="17"/>
      <c r="AO568" s="17" t="s">
        <v>2989</v>
      </c>
      <c r="AP568" s="28" t="str">
        <f t="shared" si="170"/>
        <v>20239</v>
      </c>
      <c r="AQ568" s="28" t="str">
        <f t="shared" si="171"/>
        <v>20239RMB</v>
      </c>
      <c r="AR568" s="206" t="str">
        <f t="shared" si="172"/>
        <v>PEMTRON</v>
      </c>
      <c r="AS568" s="22">
        <f t="shared" si="173"/>
        <v>24</v>
      </c>
      <c r="AT568" s="24" t="str">
        <f t="shared" si="174"/>
        <v>&gt; 6 months</v>
      </c>
      <c r="AU568" s="22" t="s">
        <v>3240</v>
      </c>
    </row>
    <row r="569" spans="1:47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41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386</v>
      </c>
      <c r="K569" s="155" t="s">
        <v>387</v>
      </c>
      <c r="L569" s="17" t="s">
        <v>77</v>
      </c>
      <c r="M569" s="13" t="s">
        <v>60</v>
      </c>
      <c r="N569" s="13">
        <v>1</v>
      </c>
      <c r="O569" s="13"/>
      <c r="P569" s="33" t="str">
        <f t="shared" si="164"/>
        <v>MAIN UNIT</v>
      </c>
      <c r="Q569" s="13" t="s">
        <v>61</v>
      </c>
      <c r="R569" s="13" t="s">
        <v>62</v>
      </c>
      <c r="S569" s="13" t="s">
        <v>51</v>
      </c>
      <c r="T569" s="13" t="s">
        <v>349</v>
      </c>
      <c r="U569" s="13" t="s">
        <v>149</v>
      </c>
      <c r="V569" s="13" t="s">
        <v>220</v>
      </c>
      <c r="W569" s="13" t="s">
        <v>64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59"/>
        <v>26754147.763010349</v>
      </c>
      <c r="AJ569" s="19">
        <f t="shared" si="160"/>
        <v>3429137.9965357962</v>
      </c>
      <c r="AK569" s="20">
        <f t="shared" si="169"/>
        <v>0.12817220069617921</v>
      </c>
      <c r="AL569" s="17"/>
      <c r="AM569" s="17"/>
      <c r="AN569" s="17"/>
      <c r="AO569" s="17" t="s">
        <v>388</v>
      </c>
      <c r="AP569" s="28" t="str">
        <f t="shared" si="170"/>
        <v>20188</v>
      </c>
      <c r="AQ569" s="28" t="str">
        <f t="shared" si="171"/>
        <v>20188RMB</v>
      </c>
      <c r="AR569" s="206" t="str">
        <f t="shared" si="172"/>
        <v>YAMAHA_Mounter</v>
      </c>
      <c r="AS569" s="22">
        <f t="shared" si="173"/>
        <v>2</v>
      </c>
      <c r="AT569" s="24" t="str">
        <f t="shared" si="174"/>
        <v>0-3 months</v>
      </c>
      <c r="AU569" s="22" t="s">
        <v>3240</v>
      </c>
    </row>
    <row r="570" spans="1:47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41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386</v>
      </c>
      <c r="K570" s="155" t="s">
        <v>387</v>
      </c>
      <c r="L570" s="17" t="s">
        <v>67</v>
      </c>
      <c r="M570" s="13" t="s">
        <v>60</v>
      </c>
      <c r="N570" s="13">
        <v>1</v>
      </c>
      <c r="O570" s="13"/>
      <c r="P570" s="33" t="str">
        <f t="shared" si="164"/>
        <v>MAIN UNIT</v>
      </c>
      <c r="Q570" s="13" t="s">
        <v>61</v>
      </c>
      <c r="R570" s="13" t="s">
        <v>62</v>
      </c>
      <c r="S570" s="13" t="s">
        <v>51</v>
      </c>
      <c r="T570" s="13" t="s">
        <v>349</v>
      </c>
      <c r="U570" s="13" t="s">
        <v>149</v>
      </c>
      <c r="V570" s="13" t="s">
        <v>220</v>
      </c>
      <c r="W570" s="13" t="s">
        <v>64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59"/>
        <v>26754147.763010349</v>
      </c>
      <c r="AJ570" s="19">
        <f t="shared" si="160"/>
        <v>3429137.9965357962</v>
      </c>
      <c r="AK570" s="20">
        <f t="shared" si="169"/>
        <v>0.12817220069617921</v>
      </c>
      <c r="AL570" s="17"/>
      <c r="AM570" s="17"/>
      <c r="AN570" s="17"/>
      <c r="AO570" s="17" t="s">
        <v>388</v>
      </c>
      <c r="AP570" s="28" t="str">
        <f t="shared" si="170"/>
        <v>20188</v>
      </c>
      <c r="AQ570" s="28" t="str">
        <f t="shared" si="171"/>
        <v>20188RMB</v>
      </c>
      <c r="AR570" s="206" t="str">
        <f t="shared" si="172"/>
        <v>YAMAHA_Mounter</v>
      </c>
      <c r="AS570" s="22">
        <f t="shared" si="173"/>
        <v>2</v>
      </c>
      <c r="AT570" s="24" t="str">
        <f t="shared" si="174"/>
        <v>0-3 months</v>
      </c>
      <c r="AU570" s="22" t="s">
        <v>3240</v>
      </c>
    </row>
    <row r="571" spans="1:47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56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347</v>
      </c>
      <c r="K571" s="155" t="s">
        <v>348</v>
      </c>
      <c r="L571" s="17" t="s">
        <v>77</v>
      </c>
      <c r="M571" s="13" t="s">
        <v>60</v>
      </c>
      <c r="N571" s="13">
        <v>1</v>
      </c>
      <c r="O571" s="13"/>
      <c r="P571" s="33" t="str">
        <f t="shared" si="164"/>
        <v>MAIN UNIT</v>
      </c>
      <c r="Q571" s="13" t="s">
        <v>68</v>
      </c>
      <c r="R571" s="13" t="s">
        <v>62</v>
      </c>
      <c r="S571" s="13" t="s">
        <v>51</v>
      </c>
      <c r="T571" s="13" t="s">
        <v>349</v>
      </c>
      <c r="U571" s="13" t="s">
        <v>149</v>
      </c>
      <c r="V571" s="13" t="s">
        <v>220</v>
      </c>
      <c r="W571" s="13" t="s">
        <v>64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59"/>
        <v>13250187.062905986</v>
      </c>
      <c r="AJ571" s="19">
        <f t="shared" si="160"/>
        <v>1545643.7555487182</v>
      </c>
      <c r="AK571" s="20">
        <f t="shared" si="169"/>
        <v>0.11665071203981424</v>
      </c>
      <c r="AL571" s="17" t="s">
        <v>350</v>
      </c>
      <c r="AM571" s="17">
        <v>800000</v>
      </c>
      <c r="AN571" s="17" t="s">
        <v>351</v>
      </c>
      <c r="AO571" s="17"/>
      <c r="AP571" s="28" t="str">
        <f t="shared" si="170"/>
        <v>20183</v>
      </c>
      <c r="AQ571" s="28" t="str">
        <f t="shared" si="171"/>
        <v>20183RMB</v>
      </c>
      <c r="AR571" s="206" t="str">
        <f t="shared" si="172"/>
        <v>YAMAHA_Mounter</v>
      </c>
      <c r="AS571" s="22">
        <f t="shared" si="173"/>
        <v>2</v>
      </c>
      <c r="AT571" s="24" t="str">
        <f t="shared" si="174"/>
        <v>0-3 months</v>
      </c>
      <c r="AU571" s="22" t="s">
        <v>3240</v>
      </c>
    </row>
    <row r="572" spans="1:47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56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347</v>
      </c>
      <c r="K572" s="155" t="s">
        <v>348</v>
      </c>
      <c r="L572" s="17" t="s">
        <v>59</v>
      </c>
      <c r="M572" s="13" t="s">
        <v>60</v>
      </c>
      <c r="N572" s="13">
        <v>1</v>
      </c>
      <c r="O572" s="13"/>
      <c r="P572" s="33" t="str">
        <f t="shared" si="164"/>
        <v>MAIN UNIT</v>
      </c>
      <c r="Q572" s="13" t="s">
        <v>68</v>
      </c>
      <c r="R572" s="13" t="s">
        <v>62</v>
      </c>
      <c r="S572" s="13" t="s">
        <v>51</v>
      </c>
      <c r="T572" s="13" t="s">
        <v>349</v>
      </c>
      <c r="U572" s="13" t="s">
        <v>149</v>
      </c>
      <c r="V572" s="13" t="s">
        <v>220</v>
      </c>
      <c r="W572" s="13" t="s">
        <v>64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59"/>
        <v>13250187.062905986</v>
      </c>
      <c r="AJ572" s="19">
        <f t="shared" si="160"/>
        <v>1545643.7555487182</v>
      </c>
      <c r="AK572" s="20">
        <f t="shared" si="169"/>
        <v>0.11665071203981424</v>
      </c>
      <c r="AL572" s="17" t="s">
        <v>350</v>
      </c>
      <c r="AM572" s="17">
        <v>544500</v>
      </c>
      <c r="AN572" s="17" t="s">
        <v>352</v>
      </c>
      <c r="AO572" s="17"/>
      <c r="AP572" s="28" t="str">
        <f t="shared" si="170"/>
        <v>20183</v>
      </c>
      <c r="AQ572" s="28" t="str">
        <f t="shared" si="171"/>
        <v>20183RMB</v>
      </c>
      <c r="AR572" s="206" t="str">
        <f t="shared" si="172"/>
        <v>YAMAHA_Mounter</v>
      </c>
      <c r="AS572" s="22">
        <f t="shared" si="173"/>
        <v>2</v>
      </c>
      <c r="AT572" s="24" t="str">
        <f t="shared" si="174"/>
        <v>0-3 months</v>
      </c>
      <c r="AU572" s="22" t="s">
        <v>3240</v>
      </c>
    </row>
    <row r="573" spans="1:47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47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651</v>
      </c>
      <c r="K573" s="155" t="s">
        <v>652</v>
      </c>
      <c r="L573" s="17" t="s">
        <v>92</v>
      </c>
      <c r="M573" s="13" t="s">
        <v>60</v>
      </c>
      <c r="N573" s="13">
        <v>1</v>
      </c>
      <c r="O573" s="13"/>
      <c r="P573" s="33" t="str">
        <f t="shared" si="164"/>
        <v>MAIN UNIT</v>
      </c>
      <c r="Q573" s="13" t="s">
        <v>68</v>
      </c>
      <c r="R573" s="13" t="s">
        <v>62</v>
      </c>
      <c r="S573" s="13" t="s">
        <v>51</v>
      </c>
      <c r="T573" s="13" t="s">
        <v>349</v>
      </c>
      <c r="U573" s="13" t="s">
        <v>149</v>
      </c>
      <c r="V573" s="13" t="s">
        <v>564</v>
      </c>
      <c r="W573" s="13" t="s">
        <v>64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59"/>
        <v>32843736.557277881</v>
      </c>
      <c r="AJ573" s="19">
        <f t="shared" si="160"/>
        <v>3921470.6822663117</v>
      </c>
      <c r="AK573" s="20">
        <f t="shared" si="169"/>
        <v>0.11939782416131177</v>
      </c>
      <c r="AL573" s="17"/>
      <c r="AM573" s="17"/>
      <c r="AN573" s="17"/>
      <c r="AO573" s="17"/>
      <c r="AP573" s="28" t="str">
        <f t="shared" si="170"/>
        <v>20194</v>
      </c>
      <c r="AQ573" s="28" t="str">
        <f t="shared" si="171"/>
        <v>20194RMB</v>
      </c>
      <c r="AR573" s="206" t="str">
        <f t="shared" si="172"/>
        <v>YAMAHA_Mounter</v>
      </c>
      <c r="AS573" s="22">
        <f t="shared" si="173"/>
        <v>0</v>
      </c>
      <c r="AT573" s="24" t="str">
        <f t="shared" si="174"/>
        <v>0-3 months</v>
      </c>
      <c r="AU573" s="22" t="s">
        <v>3240</v>
      </c>
    </row>
    <row r="574" spans="1:47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47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651</v>
      </c>
      <c r="K574" s="155" t="s">
        <v>652</v>
      </c>
      <c r="L574" s="17" t="s">
        <v>67</v>
      </c>
      <c r="M574" s="13" t="s">
        <v>60</v>
      </c>
      <c r="N574" s="13">
        <v>1</v>
      </c>
      <c r="O574" s="13"/>
      <c r="P574" s="33" t="str">
        <f t="shared" si="164"/>
        <v>MAIN UNIT</v>
      </c>
      <c r="Q574" s="13" t="s">
        <v>68</v>
      </c>
      <c r="R574" s="13" t="s">
        <v>62</v>
      </c>
      <c r="S574" s="13" t="s">
        <v>51</v>
      </c>
      <c r="T574" s="13" t="s">
        <v>349</v>
      </c>
      <c r="U574" s="13" t="s">
        <v>149</v>
      </c>
      <c r="V574" s="13" t="s">
        <v>564</v>
      </c>
      <c r="W574" s="13" t="s">
        <v>64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59"/>
        <v>32843736.557277881</v>
      </c>
      <c r="AJ574" s="19">
        <f t="shared" si="160"/>
        <v>3921470.6822663117</v>
      </c>
      <c r="AK574" s="20">
        <f t="shared" si="169"/>
        <v>0.11939782416131177</v>
      </c>
      <c r="AL574" s="17"/>
      <c r="AM574" s="17"/>
      <c r="AN574" s="17"/>
      <c r="AO574" s="17"/>
      <c r="AP574" s="28" t="str">
        <f t="shared" si="170"/>
        <v>20194</v>
      </c>
      <c r="AQ574" s="28" t="str">
        <f t="shared" si="171"/>
        <v>20194RMB</v>
      </c>
      <c r="AR574" s="206" t="str">
        <f t="shared" si="172"/>
        <v>YAMAHA_Mounter</v>
      </c>
      <c r="AS574" s="22">
        <f t="shared" si="173"/>
        <v>0</v>
      </c>
      <c r="AT574" s="24" t="str">
        <f t="shared" si="174"/>
        <v>0-3 months</v>
      </c>
      <c r="AU574" s="22" t="s">
        <v>3240</v>
      </c>
    </row>
    <row r="575" spans="1:47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53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1809</v>
      </c>
      <c r="K575" s="155" t="s">
        <v>1810</v>
      </c>
      <c r="L575" s="17" t="s">
        <v>516</v>
      </c>
      <c r="M575" s="13" t="s">
        <v>60</v>
      </c>
      <c r="N575" s="13">
        <v>0</v>
      </c>
      <c r="O575" s="13">
        <v>1</v>
      </c>
      <c r="P575" s="33" t="str">
        <f t="shared" si="164"/>
        <v>SERVICE/ PARTS</v>
      </c>
      <c r="Q575" s="13" t="s">
        <v>61</v>
      </c>
      <c r="R575" s="13" t="s">
        <v>62</v>
      </c>
      <c r="S575" s="13" t="s">
        <v>51</v>
      </c>
      <c r="T575" s="13" t="s">
        <v>349</v>
      </c>
      <c r="U575" s="13" t="s">
        <v>149</v>
      </c>
      <c r="V575" s="13" t="s">
        <v>564</v>
      </c>
      <c r="W575" s="13" t="s">
        <v>64</v>
      </c>
      <c r="X575" s="135">
        <v>305000</v>
      </c>
      <c r="Y575" s="157" t="str">
        <f t="shared" ref="Y575:Y581" si="177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59"/>
        <v>54700260.692079648</v>
      </c>
      <c r="AJ575" s="19">
        <f t="shared" si="160"/>
        <v>7482899.5749188727</v>
      </c>
      <c r="AK575" s="20">
        <f t="shared" si="169"/>
        <v>0.13679824337660537</v>
      </c>
      <c r="AL575" s="17"/>
      <c r="AM575" s="17"/>
      <c r="AN575" s="17"/>
      <c r="AO575" s="17"/>
      <c r="AP575" s="28" t="str">
        <f t="shared" si="170"/>
        <v>20216</v>
      </c>
      <c r="AQ575" s="28" t="str">
        <f t="shared" si="171"/>
        <v>20216RMB</v>
      </c>
      <c r="AR575" s="206" t="str">
        <f t="shared" si="172"/>
        <v>YAMAHA_Mounter</v>
      </c>
      <c r="AS575" s="22">
        <f t="shared" si="173"/>
        <v>1</v>
      </c>
      <c r="AT575" s="24" t="str">
        <f t="shared" si="174"/>
        <v>0-3 months</v>
      </c>
      <c r="AU575" s="22" t="s">
        <v>3240</v>
      </c>
    </row>
    <row r="576" spans="1:47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53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1809</v>
      </c>
      <c r="K576" s="155" t="s">
        <v>1810</v>
      </c>
      <c r="L576" s="17" t="s">
        <v>67</v>
      </c>
      <c r="M576" s="13" t="s">
        <v>60</v>
      </c>
      <c r="N576" s="13">
        <v>1</v>
      </c>
      <c r="O576" s="13"/>
      <c r="P576" s="33" t="str">
        <f t="shared" si="164"/>
        <v>MAIN UNIT</v>
      </c>
      <c r="Q576" s="13" t="s">
        <v>61</v>
      </c>
      <c r="R576" s="13" t="s">
        <v>62</v>
      </c>
      <c r="S576" s="13" t="s">
        <v>51</v>
      </c>
      <c r="T576" s="13" t="s">
        <v>349</v>
      </c>
      <c r="U576" s="13" t="s">
        <v>149</v>
      </c>
      <c r="V576" s="13" t="s">
        <v>564</v>
      </c>
      <c r="W576" s="13" t="s">
        <v>64</v>
      </c>
      <c r="X576" s="135">
        <v>555000</v>
      </c>
      <c r="Y576" s="157" t="str">
        <f t="shared" si="177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59"/>
        <v>10844605.840707963</v>
      </c>
      <c r="AJ576" s="19">
        <f t="shared" si="160"/>
        <v>1523130.9860707966</v>
      </c>
      <c r="AK576" s="20">
        <f t="shared" si="169"/>
        <v>0.14045056209911663</v>
      </c>
      <c r="AL576" s="17"/>
      <c r="AM576" s="17"/>
      <c r="AN576" s="17"/>
      <c r="AO576" s="17"/>
      <c r="AP576" s="28" t="str">
        <f t="shared" si="170"/>
        <v>20219</v>
      </c>
      <c r="AQ576" s="28" t="str">
        <f t="shared" si="171"/>
        <v>20219RMB</v>
      </c>
      <c r="AR576" s="206" t="str">
        <f t="shared" si="172"/>
        <v>YAMAHA_Mounter</v>
      </c>
      <c r="AS576" s="22">
        <f t="shared" si="173"/>
        <v>4</v>
      </c>
      <c r="AT576" s="24" t="str">
        <f t="shared" si="174"/>
        <v>4-6 months</v>
      </c>
      <c r="AU576" s="22" t="s">
        <v>3240</v>
      </c>
    </row>
    <row r="577" spans="1:47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53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1957</v>
      </c>
      <c r="K577" s="155" t="s">
        <v>1810</v>
      </c>
      <c r="L577" s="17" t="s">
        <v>67</v>
      </c>
      <c r="M577" s="13" t="s">
        <v>60</v>
      </c>
      <c r="N577" s="13">
        <v>1</v>
      </c>
      <c r="O577" s="13"/>
      <c r="P577" s="33" t="str">
        <f t="shared" si="164"/>
        <v>MAIN UNIT</v>
      </c>
      <c r="Q577" s="13" t="s">
        <v>61</v>
      </c>
      <c r="R577" s="13" t="s">
        <v>62</v>
      </c>
      <c r="S577" s="13" t="s">
        <v>51</v>
      </c>
      <c r="T577" s="13" t="s">
        <v>349</v>
      </c>
      <c r="U577" s="13" t="s">
        <v>149</v>
      </c>
      <c r="V577" s="13" t="s">
        <v>564</v>
      </c>
      <c r="W577" s="13" t="s">
        <v>64</v>
      </c>
      <c r="X577" s="135">
        <v>620000</v>
      </c>
      <c r="Y577" s="157" t="str">
        <f t="shared" si="177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59"/>
        <v>31750699.113741599</v>
      </c>
      <c r="AJ577" s="19">
        <f t="shared" si="160"/>
        <v>4396077.3195289988</v>
      </c>
      <c r="AK577" s="20">
        <f t="shared" si="169"/>
        <v>0.13845607946397598</v>
      </c>
      <c r="AL577" s="17"/>
      <c r="AM577" s="17"/>
      <c r="AN577" s="17"/>
      <c r="AO577" s="17"/>
      <c r="AP577" s="28" t="str">
        <f t="shared" si="170"/>
        <v>20222</v>
      </c>
      <c r="AQ577" s="28" t="str">
        <f t="shared" si="171"/>
        <v>20222RMB</v>
      </c>
      <c r="AR577" s="206" t="str">
        <f t="shared" si="172"/>
        <v>YAMAHA_Mounter</v>
      </c>
      <c r="AS577" s="22">
        <f t="shared" si="173"/>
        <v>9</v>
      </c>
      <c r="AT577" s="24" t="str">
        <f t="shared" si="174"/>
        <v>&gt; 6 months</v>
      </c>
      <c r="AU577" s="22" t="s">
        <v>3240</v>
      </c>
    </row>
    <row r="578" spans="1:47" s="12" customFormat="1">
      <c r="A578" s="33" t="str">
        <f t="shared" si="161"/>
        <v>cancel</v>
      </c>
      <c r="B578" s="152"/>
      <c r="C578" s="152" t="s">
        <v>185</v>
      </c>
      <c r="D578" s="33" t="str">
        <f t="shared" si="162"/>
        <v/>
      </c>
      <c r="E578" s="33" t="s">
        <v>185</v>
      </c>
      <c r="F578" s="13" t="s">
        <v>185</v>
      </c>
      <c r="G578" s="152" t="s">
        <v>1616</v>
      </c>
      <c r="H578" s="155" t="s">
        <v>2774</v>
      </c>
      <c r="I578" s="33" t="str">
        <f t="shared" si="163"/>
        <v>Cancel</v>
      </c>
      <c r="J578" s="186" t="s">
        <v>2775</v>
      </c>
      <c r="K578" s="155" t="s">
        <v>1810</v>
      </c>
      <c r="L578" s="17" t="s">
        <v>92</v>
      </c>
      <c r="M578" s="13" t="s">
        <v>60</v>
      </c>
      <c r="N578" s="13">
        <v>1</v>
      </c>
      <c r="O578" s="13"/>
      <c r="P578" s="33" t="str">
        <f t="shared" si="164"/>
        <v>MAIN UNIT</v>
      </c>
      <c r="Q578" s="13" t="s">
        <v>61</v>
      </c>
      <c r="R578" s="13" t="s">
        <v>62</v>
      </c>
      <c r="S578" s="13" t="s">
        <v>51</v>
      </c>
      <c r="T578" s="13" t="s">
        <v>349</v>
      </c>
      <c r="U578" s="13" t="s">
        <v>149</v>
      </c>
      <c r="V578" s="13" t="s">
        <v>954</v>
      </c>
      <c r="W578" s="13" t="s">
        <v>64</v>
      </c>
      <c r="X578" s="135">
        <v>835000</v>
      </c>
      <c r="Y578" s="157" t="str">
        <f t="shared" si="177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ref="AI578:AI641" si="178">IF(P578="C66 SERVICE","",SUMIFS(AB:AB,F:F,F578,G:G,G578,E:E,E578))</f>
        <v>499582152.5142017</v>
      </c>
      <c r="AJ578" s="19">
        <f t="shared" ref="AJ578:AJ641" si="179">IF(P578="C66 SERVICE","",SUMIFS(AC:AC,F:F,F578,G:G,G578,E:E,E578))</f>
        <v>59520528.679470733</v>
      </c>
      <c r="AK578" s="20">
        <f t="shared" si="169"/>
        <v>0.11914062257814291</v>
      </c>
      <c r="AL578" s="17"/>
      <c r="AM578" s="17"/>
      <c r="AN578" s="17"/>
      <c r="AO578" s="17"/>
      <c r="AP578" s="28" t="str">
        <f t="shared" si="170"/>
        <v>CancelCANCEL</v>
      </c>
      <c r="AQ578" s="28" t="str">
        <f t="shared" si="171"/>
        <v>CancelCANCELRMB</v>
      </c>
      <c r="AR578" s="206" t="str">
        <f t="shared" si="172"/>
        <v>YAMAHA_Mounter</v>
      </c>
      <c r="AS578" s="22" t="str">
        <f t="shared" si="173"/>
        <v/>
      </c>
      <c r="AT578" s="24" t="str">
        <f t="shared" si="174"/>
        <v/>
      </c>
      <c r="AU578" s="22" t="s">
        <v>3240</v>
      </c>
    </row>
    <row r="579" spans="1:47" s="12" customFormat="1">
      <c r="A579" s="33" t="str">
        <f t="shared" si="161"/>
        <v>cancel</v>
      </c>
      <c r="B579" s="152"/>
      <c r="C579" s="152" t="s">
        <v>185</v>
      </c>
      <c r="D579" s="33" t="str">
        <f t="shared" si="162"/>
        <v/>
      </c>
      <c r="E579" s="33" t="s">
        <v>185</v>
      </c>
      <c r="F579" s="13" t="s">
        <v>185</v>
      </c>
      <c r="G579" s="152" t="s">
        <v>1616</v>
      </c>
      <c r="H579" s="155" t="s">
        <v>2774</v>
      </c>
      <c r="I579" s="33" t="str">
        <f t="shared" si="163"/>
        <v>Cancel</v>
      </c>
      <c r="J579" s="186" t="s">
        <v>2775</v>
      </c>
      <c r="K579" s="155" t="s">
        <v>1810</v>
      </c>
      <c r="L579" s="17" t="s">
        <v>67</v>
      </c>
      <c r="M579" s="13" t="s">
        <v>60</v>
      </c>
      <c r="N579" s="13">
        <v>1</v>
      </c>
      <c r="O579" s="13"/>
      <c r="P579" s="33" t="str">
        <f t="shared" si="164"/>
        <v>MAIN UNIT</v>
      </c>
      <c r="Q579" s="13" t="s">
        <v>61</v>
      </c>
      <c r="R579" s="13" t="s">
        <v>62</v>
      </c>
      <c r="S579" s="13" t="s">
        <v>51</v>
      </c>
      <c r="T579" s="13" t="s">
        <v>349</v>
      </c>
      <c r="U579" s="13" t="s">
        <v>149</v>
      </c>
      <c r="V579" s="13" t="s">
        <v>954</v>
      </c>
      <c r="W579" s="13" t="s">
        <v>64</v>
      </c>
      <c r="X579" s="135">
        <v>700000</v>
      </c>
      <c r="Y579" s="157" t="str">
        <f t="shared" si="177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78"/>
        <v>499582152.5142017</v>
      </c>
      <c r="AJ579" s="19">
        <f t="shared" si="179"/>
        <v>59520528.679470733</v>
      </c>
      <c r="AK579" s="20">
        <f t="shared" si="169"/>
        <v>0.11914062257814291</v>
      </c>
      <c r="AL579" s="17"/>
      <c r="AM579" s="17"/>
      <c r="AN579" s="17"/>
      <c r="AO579" s="17"/>
      <c r="AP579" s="28" t="str">
        <f t="shared" si="170"/>
        <v>CancelCANCEL</v>
      </c>
      <c r="AQ579" s="28" t="str">
        <f t="shared" si="171"/>
        <v>CancelCANCELRMB</v>
      </c>
      <c r="AR579" s="206" t="str">
        <f t="shared" si="172"/>
        <v>YAMAHA_Mounter</v>
      </c>
      <c r="AS579" s="22" t="str">
        <f t="shared" si="173"/>
        <v/>
      </c>
      <c r="AT579" s="24" t="str">
        <f t="shared" si="174"/>
        <v/>
      </c>
      <c r="AU579" s="22" t="s">
        <v>3240</v>
      </c>
    </row>
    <row r="580" spans="1:47" s="12" customFormat="1">
      <c r="A580" s="33" t="str">
        <f t="shared" si="161"/>
        <v>cancel</v>
      </c>
      <c r="B580" s="152"/>
      <c r="C580" s="152" t="s">
        <v>185</v>
      </c>
      <c r="D580" s="33" t="str">
        <f t="shared" si="162"/>
        <v/>
      </c>
      <c r="E580" s="33" t="s">
        <v>185</v>
      </c>
      <c r="F580" s="13" t="s">
        <v>185</v>
      </c>
      <c r="G580" s="152" t="s">
        <v>1616</v>
      </c>
      <c r="H580" s="155" t="s">
        <v>2774</v>
      </c>
      <c r="I580" s="33" t="str">
        <f t="shared" si="163"/>
        <v>Cancel</v>
      </c>
      <c r="J580" s="186" t="s">
        <v>2775</v>
      </c>
      <c r="K580" s="155" t="s">
        <v>1810</v>
      </c>
      <c r="L580" s="17" t="s">
        <v>92</v>
      </c>
      <c r="M580" s="13" t="s">
        <v>60</v>
      </c>
      <c r="N580" s="13">
        <v>1</v>
      </c>
      <c r="O580" s="13"/>
      <c r="P580" s="33" t="str">
        <f t="shared" si="164"/>
        <v>MAIN UNIT</v>
      </c>
      <c r="Q580" s="13" t="s">
        <v>61</v>
      </c>
      <c r="R580" s="13" t="s">
        <v>62</v>
      </c>
      <c r="S580" s="13" t="s">
        <v>51</v>
      </c>
      <c r="T580" s="13" t="s">
        <v>349</v>
      </c>
      <c r="U580" s="13" t="s">
        <v>149</v>
      </c>
      <c r="V580" s="13" t="s">
        <v>954</v>
      </c>
      <c r="W580" s="13" t="s">
        <v>64</v>
      </c>
      <c r="X580" s="135">
        <v>835000</v>
      </c>
      <c r="Y580" s="157" t="str">
        <f t="shared" si="177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78"/>
        <v>499582152.5142017</v>
      </c>
      <c r="AJ580" s="19">
        <f t="shared" si="179"/>
        <v>59520528.679470733</v>
      </c>
      <c r="AK580" s="20">
        <f t="shared" si="169"/>
        <v>0.11914062257814291</v>
      </c>
      <c r="AL580" s="17"/>
      <c r="AM580" s="17"/>
      <c r="AN580" s="17"/>
      <c r="AO580" s="17"/>
      <c r="AP580" s="28" t="str">
        <f t="shared" si="170"/>
        <v>CancelCANCEL</v>
      </c>
      <c r="AQ580" s="28" t="str">
        <f t="shared" si="171"/>
        <v>CancelCANCELRMB</v>
      </c>
      <c r="AR580" s="206" t="str">
        <f t="shared" si="172"/>
        <v>YAMAHA_Mounter</v>
      </c>
      <c r="AS580" s="22" t="str">
        <f t="shared" si="173"/>
        <v/>
      </c>
      <c r="AT580" s="24" t="str">
        <f t="shared" si="174"/>
        <v/>
      </c>
      <c r="AU580" s="22" t="s">
        <v>3240</v>
      </c>
    </row>
    <row r="581" spans="1:47" s="12" customFormat="1">
      <c r="A581" s="33" t="str">
        <f t="shared" si="161"/>
        <v>cancel</v>
      </c>
      <c r="B581" s="152"/>
      <c r="C581" s="152" t="s">
        <v>185</v>
      </c>
      <c r="D581" s="33" t="str">
        <f t="shared" si="162"/>
        <v/>
      </c>
      <c r="E581" s="33" t="s">
        <v>185</v>
      </c>
      <c r="F581" s="13" t="s">
        <v>185</v>
      </c>
      <c r="G581" s="152" t="s">
        <v>1616</v>
      </c>
      <c r="H581" s="155" t="s">
        <v>2774</v>
      </c>
      <c r="I581" s="33" t="str">
        <f t="shared" si="163"/>
        <v>Cancel</v>
      </c>
      <c r="J581" s="186" t="s">
        <v>2775</v>
      </c>
      <c r="K581" s="155" t="s">
        <v>1810</v>
      </c>
      <c r="L581" s="17" t="s">
        <v>67</v>
      </c>
      <c r="M581" s="13" t="s">
        <v>60</v>
      </c>
      <c r="N581" s="13">
        <v>1</v>
      </c>
      <c r="O581" s="13"/>
      <c r="P581" s="33" t="str">
        <f t="shared" si="164"/>
        <v>MAIN UNIT</v>
      </c>
      <c r="Q581" s="13" t="s">
        <v>61</v>
      </c>
      <c r="R581" s="13" t="s">
        <v>62</v>
      </c>
      <c r="S581" s="13" t="s">
        <v>51</v>
      </c>
      <c r="T581" s="13" t="s">
        <v>349</v>
      </c>
      <c r="U581" s="13" t="s">
        <v>149</v>
      </c>
      <c r="V581" s="13" t="s">
        <v>954</v>
      </c>
      <c r="W581" s="13" t="s">
        <v>64</v>
      </c>
      <c r="X581" s="135">
        <v>700000</v>
      </c>
      <c r="Y581" s="157" t="str">
        <f t="shared" si="177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78"/>
        <v>499582152.5142017</v>
      </c>
      <c r="AJ581" s="19">
        <f t="shared" si="179"/>
        <v>59520528.679470733</v>
      </c>
      <c r="AK581" s="20">
        <f t="shared" si="169"/>
        <v>0.11914062257814291</v>
      </c>
      <c r="AL581" s="17"/>
      <c r="AM581" s="17"/>
      <c r="AN581" s="17"/>
      <c r="AO581" s="17"/>
      <c r="AP581" s="28" t="str">
        <f t="shared" si="170"/>
        <v>CancelCANCEL</v>
      </c>
      <c r="AQ581" s="28" t="str">
        <f t="shared" si="171"/>
        <v>CancelCANCELRMB</v>
      </c>
      <c r="AR581" s="206" t="str">
        <f t="shared" si="172"/>
        <v>YAMAHA_Mounter</v>
      </c>
      <c r="AS581" s="22" t="str">
        <f t="shared" si="173"/>
        <v/>
      </c>
      <c r="AT581" s="24" t="str">
        <f t="shared" si="174"/>
        <v/>
      </c>
      <c r="AU581" s="22" t="s">
        <v>3240</v>
      </c>
    </row>
    <row r="582" spans="1:47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41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732</v>
      </c>
      <c r="K582" s="155" t="s">
        <v>733</v>
      </c>
      <c r="L582" s="17" t="s">
        <v>77</v>
      </c>
      <c r="M582" s="13" t="s">
        <v>60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68</v>
      </c>
      <c r="R582" s="13" t="s">
        <v>62</v>
      </c>
      <c r="S582" s="13" t="s">
        <v>51</v>
      </c>
      <c r="T582" s="13" t="s">
        <v>349</v>
      </c>
      <c r="U582" s="13" t="s">
        <v>149</v>
      </c>
      <c r="V582" s="13" t="s">
        <v>734</v>
      </c>
      <c r="W582" s="13" t="s">
        <v>64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si="178"/>
        <v>16455710.386637932</v>
      </c>
      <c r="AJ582" s="19">
        <f t="shared" si="179"/>
        <v>2150644.6466930606</v>
      </c>
      <c r="AK582" s="20">
        <f t="shared" ref="AK582:AK645" si="188">IF(AJ582&gt;0,AJ582/AI582,"")</f>
        <v>0.13069290818580451</v>
      </c>
      <c r="AL582" s="17"/>
      <c r="AM582" s="17"/>
      <c r="AN582" s="17"/>
      <c r="AO582" s="17"/>
      <c r="AP582" s="28" t="str">
        <f t="shared" ref="AP582:AP645" si="189">IF(F582="","",F582&amp;G582)</f>
        <v>20192</v>
      </c>
      <c r="AQ582" s="28" t="str">
        <f t="shared" ref="AQ582:AQ645" si="190">IF(W582="","",F582&amp;G582&amp;W582)</f>
        <v>20192RMB</v>
      </c>
      <c r="AR582" s="206" t="str">
        <f t="shared" ref="AR582:AR645" si="191">IFERROR(IF(AND(M582="YAMAHA", R582="C28"), "YAMAHA_Non_Mounter", IF(AND(M582="YAMAHA", R582="C49"), "YAMAHA_Mounter", M582)),"")</f>
        <v>YAMAHA_Mounter</v>
      </c>
      <c r="AS582" s="22">
        <f t="shared" ref="AS582:AS645" si="192">IFERROR(IF(OR(G582="TBA", G582=""), "", DATEDIF(DATE(B582, C582, 1), DATE(F582, G582, 1), "M")),"")</f>
        <v>1</v>
      </c>
      <c r="AT582" s="24" t="str">
        <f t="shared" ref="AT582:AT645" si="193">IF(ISNUMBER(AS582), IF(AS582&gt;=0, IF(AS582&lt;=3, "0-3 months", IF(AS582&lt;=6, "4-6 months", "&gt; 6 months"))), "")</f>
        <v>0-3 months</v>
      </c>
      <c r="AU582" s="22" t="s">
        <v>3240</v>
      </c>
    </row>
    <row r="583" spans="1:47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48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2930</v>
      </c>
      <c r="K583" s="155" t="s">
        <v>2931</v>
      </c>
      <c r="L583" s="17" t="s">
        <v>2788</v>
      </c>
      <c r="M583" s="13" t="s">
        <v>2607</v>
      </c>
      <c r="N583" s="13">
        <v>1</v>
      </c>
      <c r="O583" s="13"/>
      <c r="P583" s="33" t="str">
        <f t="shared" si="183"/>
        <v>MAIN UNIT</v>
      </c>
      <c r="Q583" s="13" t="s">
        <v>68</v>
      </c>
      <c r="R583" s="13" t="s">
        <v>2055</v>
      </c>
      <c r="S583" s="13" t="s">
        <v>51</v>
      </c>
      <c r="T583" s="13" t="s">
        <v>349</v>
      </c>
      <c r="U583" s="13" t="s">
        <v>149</v>
      </c>
      <c r="V583" s="13" t="s">
        <v>564</v>
      </c>
      <c r="W583" s="13" t="s">
        <v>64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78"/>
        <v>44078731.611185849</v>
      </c>
      <c r="AJ583" s="19">
        <f t="shared" si="179"/>
        <v>5508173.2163771465</v>
      </c>
      <c r="AK583" s="20">
        <f t="shared" si="188"/>
        <v>0.12496215328889679</v>
      </c>
      <c r="AL583" s="17"/>
      <c r="AM583" s="17"/>
      <c r="AN583" s="17"/>
      <c r="AO583" s="17"/>
      <c r="AP583" s="28" t="str">
        <f t="shared" si="189"/>
        <v>202011</v>
      </c>
      <c r="AQ583" s="28" t="str">
        <f t="shared" si="190"/>
        <v>202011RMB</v>
      </c>
      <c r="AR583" s="206" t="str">
        <f t="shared" si="191"/>
        <v>HELLER</v>
      </c>
      <c r="AS583" s="22">
        <f t="shared" si="192"/>
        <v>1</v>
      </c>
      <c r="AT583" s="24" t="str">
        <f t="shared" si="193"/>
        <v>0-3 months</v>
      </c>
      <c r="AU583" s="22" t="s">
        <v>3240</v>
      </c>
    </row>
    <row r="584" spans="1:47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41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2868</v>
      </c>
      <c r="K584" s="155" t="s">
        <v>2869</v>
      </c>
      <c r="L584" s="17" t="s">
        <v>2788</v>
      </c>
      <c r="M584" s="13" t="s">
        <v>2607</v>
      </c>
      <c r="N584" s="13">
        <v>1</v>
      </c>
      <c r="O584" s="13"/>
      <c r="P584" s="33" t="str">
        <f t="shared" si="183"/>
        <v>MAIN UNIT</v>
      </c>
      <c r="Q584" s="13" t="s">
        <v>61</v>
      </c>
      <c r="R584" s="13" t="s">
        <v>2055</v>
      </c>
      <c r="S584" s="13" t="s">
        <v>51</v>
      </c>
      <c r="T584" s="13" t="s">
        <v>349</v>
      </c>
      <c r="U584" s="13" t="s">
        <v>149</v>
      </c>
      <c r="V584" s="13" t="s">
        <v>734</v>
      </c>
      <c r="W584" s="13" t="s">
        <v>64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78"/>
        <v>47416008.333399981</v>
      </c>
      <c r="AJ584" s="19">
        <f t="shared" si="179"/>
        <v>6981738.4465290187</v>
      </c>
      <c r="AK584" s="20">
        <f t="shared" si="188"/>
        <v>0.14724433143839863</v>
      </c>
      <c r="AL584" s="17"/>
      <c r="AM584" s="17"/>
      <c r="AN584" s="17"/>
      <c r="AO584" s="17"/>
      <c r="AP584" s="28" t="str">
        <f t="shared" si="189"/>
        <v>20193</v>
      </c>
      <c r="AQ584" s="28" t="str">
        <f t="shared" si="190"/>
        <v>20193RMB</v>
      </c>
      <c r="AR584" s="206" t="str">
        <f t="shared" si="191"/>
        <v>HELLER</v>
      </c>
      <c r="AS584" s="22">
        <f t="shared" si="192"/>
        <v>2</v>
      </c>
      <c r="AT584" s="24" t="str">
        <f t="shared" si="193"/>
        <v>0-3 months</v>
      </c>
      <c r="AU584" s="22" t="s">
        <v>3240</v>
      </c>
    </row>
    <row r="585" spans="1:47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3061</v>
      </c>
      <c r="K585" s="155" t="s">
        <v>2869</v>
      </c>
      <c r="L585" s="17" t="s">
        <v>2611</v>
      </c>
      <c r="M585" s="13" t="s">
        <v>2607</v>
      </c>
      <c r="N585" s="13">
        <v>1</v>
      </c>
      <c r="O585" s="13"/>
      <c r="P585" s="33" t="str">
        <f t="shared" si="183"/>
        <v>MAIN UNIT</v>
      </c>
      <c r="Q585" s="13" t="s">
        <v>61</v>
      </c>
      <c r="R585" s="13" t="s">
        <v>2055</v>
      </c>
      <c r="S585" s="13" t="s">
        <v>51</v>
      </c>
      <c r="T585" s="13" t="s">
        <v>349</v>
      </c>
      <c r="U585" s="13" t="s">
        <v>149</v>
      </c>
      <c r="V585" s="13" t="s">
        <v>134</v>
      </c>
      <c r="W585" s="13" t="s">
        <v>64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78"/>
        <v>28177779.013274338</v>
      </c>
      <c r="AJ585" s="19">
        <f t="shared" si="179"/>
        <v>4727216.6376190251</v>
      </c>
      <c r="AK585" s="20">
        <f t="shared" si="188"/>
        <v>0.1677639900359808</v>
      </c>
      <c r="AL585" s="17"/>
      <c r="AM585" s="17"/>
      <c r="AN585" s="17"/>
      <c r="AO585" s="17"/>
      <c r="AP585" s="28" t="str">
        <f t="shared" si="189"/>
        <v>20235</v>
      </c>
      <c r="AQ585" s="28" t="str">
        <f t="shared" si="190"/>
        <v>20235RMB</v>
      </c>
      <c r="AR585" s="206" t="str">
        <f t="shared" si="191"/>
        <v>HELLER</v>
      </c>
      <c r="AS585" s="22">
        <f t="shared" si="192"/>
        <v>2</v>
      </c>
      <c r="AT585" s="24" t="str">
        <f t="shared" si="193"/>
        <v>0-3 months</v>
      </c>
      <c r="AU585" s="22" t="s">
        <v>3240</v>
      </c>
    </row>
    <row r="586" spans="1:47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54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2407</v>
      </c>
      <c r="K586" s="155" t="s">
        <v>2408</v>
      </c>
      <c r="L586" s="17" t="s">
        <v>92</v>
      </c>
      <c r="M586" s="13" t="s">
        <v>60</v>
      </c>
      <c r="N586" s="13">
        <v>1</v>
      </c>
      <c r="O586" s="13"/>
      <c r="P586" s="33" t="str">
        <f t="shared" si="183"/>
        <v>MAIN UNIT</v>
      </c>
      <c r="Q586" s="13" t="s">
        <v>61</v>
      </c>
      <c r="R586" s="13" t="s">
        <v>62</v>
      </c>
      <c r="S586" s="13" t="s">
        <v>51</v>
      </c>
      <c r="T586" s="13" t="s">
        <v>349</v>
      </c>
      <c r="U586" s="13" t="s">
        <v>149</v>
      </c>
      <c r="V586" s="13" t="s">
        <v>134</v>
      </c>
      <c r="W586" s="13" t="s">
        <v>64</v>
      </c>
      <c r="X586" s="135">
        <v>675500</v>
      </c>
      <c r="Y586" s="157" t="str">
        <f t="shared" ref="Y586:Y595" si="194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78"/>
        <v>7502645.9971681423</v>
      </c>
      <c r="AJ586" s="19">
        <f t="shared" si="179"/>
        <v>664841.72044240718</v>
      </c>
      <c r="AK586" s="20">
        <f t="shared" si="188"/>
        <v>8.861429963420242E-2</v>
      </c>
      <c r="AL586" s="17"/>
      <c r="AM586" s="17"/>
      <c r="AN586" s="17"/>
      <c r="AO586" s="17"/>
      <c r="AP586" s="28" t="str">
        <f t="shared" si="189"/>
        <v>20231</v>
      </c>
      <c r="AQ586" s="28" t="str">
        <f t="shared" si="190"/>
        <v>20231RMB</v>
      </c>
      <c r="AR586" s="206" t="str">
        <f t="shared" si="191"/>
        <v>YAMAHA_Mounter</v>
      </c>
      <c r="AS586" s="22">
        <f t="shared" si="192"/>
        <v>0</v>
      </c>
      <c r="AT586" s="24" t="str">
        <f t="shared" si="193"/>
        <v>0-3 months</v>
      </c>
      <c r="AU586" s="22" t="s">
        <v>3240</v>
      </c>
    </row>
    <row r="587" spans="1:47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54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2996</v>
      </c>
      <c r="K587" s="155" t="s">
        <v>2997</v>
      </c>
      <c r="L587" s="17" t="s">
        <v>2837</v>
      </c>
      <c r="M587" s="13" t="s">
        <v>2832</v>
      </c>
      <c r="N587" s="13">
        <v>1</v>
      </c>
      <c r="O587" s="13"/>
      <c r="P587" s="33" t="str">
        <f t="shared" si="183"/>
        <v>MAIN UNIT</v>
      </c>
      <c r="Q587" s="13" t="s">
        <v>68</v>
      </c>
      <c r="R587" s="13" t="s">
        <v>2055</v>
      </c>
      <c r="S587" s="13" t="s">
        <v>51</v>
      </c>
      <c r="T587" s="13" t="s">
        <v>349</v>
      </c>
      <c r="U587" s="13" t="s">
        <v>149</v>
      </c>
      <c r="V587" s="13" t="s">
        <v>2998</v>
      </c>
      <c r="W587" s="13" t="s">
        <v>64</v>
      </c>
      <c r="X587" s="135">
        <v>371000</v>
      </c>
      <c r="Y587" s="157" t="str">
        <f t="shared" si="194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78"/>
        <v>35682787.057522126</v>
      </c>
      <c r="AJ587" s="19">
        <f t="shared" si="179"/>
        <v>5833368.3789623892</v>
      </c>
      <c r="AK587" s="20">
        <f t="shared" si="188"/>
        <v>0.16347849649632912</v>
      </c>
      <c r="AL587" s="17"/>
      <c r="AM587" s="17"/>
      <c r="AN587" s="17"/>
      <c r="AO587" s="17"/>
      <c r="AP587" s="28" t="str">
        <f t="shared" si="189"/>
        <v>20226</v>
      </c>
      <c r="AQ587" s="28" t="str">
        <f t="shared" si="190"/>
        <v>20226RMB</v>
      </c>
      <c r="AR587" s="206" t="str">
        <f t="shared" si="191"/>
        <v>PEMTRON</v>
      </c>
      <c r="AS587" s="22">
        <f t="shared" si="192"/>
        <v>3</v>
      </c>
      <c r="AT587" s="24" t="str">
        <f t="shared" si="193"/>
        <v>0-3 months</v>
      </c>
      <c r="AU587" s="22" t="s">
        <v>3240</v>
      </c>
    </row>
    <row r="588" spans="1:47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54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2996</v>
      </c>
      <c r="K588" s="155" t="s">
        <v>2997</v>
      </c>
      <c r="L588" s="17" t="s">
        <v>2956</v>
      </c>
      <c r="M588" s="13" t="s">
        <v>2832</v>
      </c>
      <c r="N588" s="13">
        <v>1</v>
      </c>
      <c r="O588" s="13"/>
      <c r="P588" s="33" t="str">
        <f t="shared" si="183"/>
        <v>MAIN UNIT</v>
      </c>
      <c r="Q588" s="13" t="s">
        <v>68</v>
      </c>
      <c r="R588" s="13" t="s">
        <v>2055</v>
      </c>
      <c r="S588" s="13" t="s">
        <v>51</v>
      </c>
      <c r="T588" s="13" t="s">
        <v>349</v>
      </c>
      <c r="U588" s="13" t="s">
        <v>149</v>
      </c>
      <c r="V588" s="13" t="s">
        <v>2998</v>
      </c>
      <c r="W588" s="13" t="s">
        <v>64</v>
      </c>
      <c r="X588" s="135">
        <v>643000</v>
      </c>
      <c r="Y588" s="157" t="str">
        <f t="shared" si="194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78"/>
        <v>35682787.057522126</v>
      </c>
      <c r="AJ588" s="19">
        <f t="shared" si="179"/>
        <v>5833368.3789623892</v>
      </c>
      <c r="AK588" s="20">
        <f t="shared" si="188"/>
        <v>0.16347849649632912</v>
      </c>
      <c r="AL588" s="17"/>
      <c r="AM588" s="17"/>
      <c r="AN588" s="17"/>
      <c r="AO588" s="17"/>
      <c r="AP588" s="28" t="str">
        <f t="shared" si="189"/>
        <v>20226</v>
      </c>
      <c r="AQ588" s="28" t="str">
        <f t="shared" si="190"/>
        <v>20226RMB</v>
      </c>
      <c r="AR588" s="206" t="str">
        <f t="shared" si="191"/>
        <v>PEMTRON</v>
      </c>
      <c r="AS588" s="22">
        <f t="shared" si="192"/>
        <v>3</v>
      </c>
      <c r="AT588" s="24" t="str">
        <f t="shared" si="193"/>
        <v>0-3 months</v>
      </c>
      <c r="AU588" s="22" t="s">
        <v>3240</v>
      </c>
    </row>
    <row r="589" spans="1:47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54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3000</v>
      </c>
      <c r="K589" s="155" t="s">
        <v>2997</v>
      </c>
      <c r="L589" s="17" t="s">
        <v>3001</v>
      </c>
      <c r="M589" s="13" t="s">
        <v>377</v>
      </c>
      <c r="N589" s="13">
        <v>1</v>
      </c>
      <c r="O589" s="13"/>
      <c r="P589" s="33" t="str">
        <f t="shared" si="183"/>
        <v>MAIN UNIT</v>
      </c>
      <c r="Q589" s="13" t="s">
        <v>61</v>
      </c>
      <c r="R589" s="13" t="s">
        <v>2055</v>
      </c>
      <c r="S589" s="13" t="s">
        <v>51</v>
      </c>
      <c r="T589" s="13" t="s">
        <v>349</v>
      </c>
      <c r="U589" s="13" t="s">
        <v>149</v>
      </c>
      <c r="V589" s="13" t="s">
        <v>2998</v>
      </c>
      <c r="W589" s="13" t="s">
        <v>64</v>
      </c>
      <c r="X589" s="135">
        <v>239000</v>
      </c>
      <c r="Y589" s="157" t="str">
        <f t="shared" si="194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78"/>
        <v>35682787.057522126</v>
      </c>
      <c r="AJ589" s="19">
        <f t="shared" si="179"/>
        <v>5833368.3789623892</v>
      </c>
      <c r="AK589" s="20">
        <f t="shared" si="188"/>
        <v>0.16347849649632912</v>
      </c>
      <c r="AL589" s="17"/>
      <c r="AM589" s="17"/>
      <c r="AN589" s="17"/>
      <c r="AO589" s="17"/>
      <c r="AP589" s="28" t="str">
        <f t="shared" si="189"/>
        <v>20226</v>
      </c>
      <c r="AQ589" s="28" t="str">
        <f t="shared" si="190"/>
        <v>20226RMB</v>
      </c>
      <c r="AR589" s="206" t="str">
        <f t="shared" si="191"/>
        <v>LOCAL SUPPLIER</v>
      </c>
      <c r="AS589" s="22">
        <f t="shared" si="192"/>
        <v>2</v>
      </c>
      <c r="AT589" s="24" t="str">
        <f t="shared" si="193"/>
        <v>0-3 months</v>
      </c>
      <c r="AU589" s="22" t="s">
        <v>3240</v>
      </c>
    </row>
    <row r="590" spans="1:47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54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3002</v>
      </c>
      <c r="K590" s="155" t="s">
        <v>2997</v>
      </c>
      <c r="L590" s="17" t="s">
        <v>2609</v>
      </c>
      <c r="M590" s="13" t="s">
        <v>2607</v>
      </c>
      <c r="N590" s="13">
        <v>1</v>
      </c>
      <c r="O590" s="13"/>
      <c r="P590" s="33" t="str">
        <f t="shared" si="183"/>
        <v>MAIN UNIT</v>
      </c>
      <c r="Q590" s="13" t="s">
        <v>68</v>
      </c>
      <c r="R590" s="13" t="s">
        <v>2055</v>
      </c>
      <c r="S590" s="13" t="s">
        <v>51</v>
      </c>
      <c r="T590" s="13" t="s">
        <v>349</v>
      </c>
      <c r="U590" s="13" t="s">
        <v>149</v>
      </c>
      <c r="V590" s="13" t="s">
        <v>564</v>
      </c>
      <c r="W590" s="13" t="s">
        <v>64</v>
      </c>
      <c r="X590" s="135">
        <v>567000</v>
      </c>
      <c r="Y590" s="157" t="str">
        <f t="shared" si="194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78"/>
        <v>36480247.665929198</v>
      </c>
      <c r="AJ590" s="19">
        <f t="shared" si="179"/>
        <v>5330996.6372757526</v>
      </c>
      <c r="AK590" s="20">
        <f t="shared" si="188"/>
        <v>0.14613378412599562</v>
      </c>
      <c r="AL590" s="17"/>
      <c r="AM590" s="17"/>
      <c r="AN590" s="17"/>
      <c r="AO590" s="17"/>
      <c r="AP590" s="28" t="str">
        <f t="shared" si="189"/>
        <v>20227</v>
      </c>
      <c r="AQ590" s="28" t="str">
        <f t="shared" si="190"/>
        <v>20227RMB</v>
      </c>
      <c r="AR590" s="206" t="str">
        <f t="shared" si="191"/>
        <v>HELLER</v>
      </c>
      <c r="AS590" s="22">
        <f t="shared" si="192"/>
        <v>4</v>
      </c>
      <c r="AT590" s="24" t="str">
        <f t="shared" si="193"/>
        <v>4-6 months</v>
      </c>
      <c r="AU590" s="22" t="s">
        <v>3240</v>
      </c>
    </row>
    <row r="591" spans="1:47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54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3002</v>
      </c>
      <c r="K591" s="155" t="s">
        <v>2997</v>
      </c>
      <c r="L591" s="17" t="s">
        <v>3003</v>
      </c>
      <c r="M591" s="13" t="s">
        <v>377</v>
      </c>
      <c r="N591" s="13">
        <v>1</v>
      </c>
      <c r="O591" s="13"/>
      <c r="P591" s="33" t="str">
        <f t="shared" si="183"/>
        <v>MAIN UNIT</v>
      </c>
      <c r="Q591" s="13" t="s">
        <v>68</v>
      </c>
      <c r="R591" s="13" t="s">
        <v>2055</v>
      </c>
      <c r="S591" s="13" t="s">
        <v>51</v>
      </c>
      <c r="T591" s="13" t="s">
        <v>349</v>
      </c>
      <c r="U591" s="13" t="s">
        <v>149</v>
      </c>
      <c r="V591" s="13" t="s">
        <v>2998</v>
      </c>
      <c r="W591" s="13" t="s">
        <v>64</v>
      </c>
      <c r="X591" s="135">
        <v>340000</v>
      </c>
      <c r="Y591" s="157" t="str">
        <f t="shared" si="194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78"/>
        <v>36480247.665929198</v>
      </c>
      <c r="AJ591" s="19">
        <f t="shared" si="179"/>
        <v>5330996.6372757526</v>
      </c>
      <c r="AK591" s="20">
        <f t="shared" si="188"/>
        <v>0.14613378412599562</v>
      </c>
      <c r="AL591" s="17"/>
      <c r="AM591" s="17"/>
      <c r="AN591" s="17"/>
      <c r="AO591" s="17"/>
      <c r="AP591" s="28" t="str">
        <f t="shared" si="189"/>
        <v>20227</v>
      </c>
      <c r="AQ591" s="28" t="str">
        <f t="shared" si="190"/>
        <v>20227RMB</v>
      </c>
      <c r="AR591" s="206" t="str">
        <f t="shared" si="191"/>
        <v>LOCAL SUPPLIER</v>
      </c>
      <c r="AS591" s="22">
        <f t="shared" si="192"/>
        <v>4</v>
      </c>
      <c r="AT591" s="24" t="str">
        <f t="shared" si="193"/>
        <v>4-6 months</v>
      </c>
      <c r="AU591" s="22" t="s">
        <v>3240</v>
      </c>
    </row>
    <row r="592" spans="1:47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48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1558</v>
      </c>
      <c r="K592" s="155" t="s">
        <v>1559</v>
      </c>
      <c r="L592" s="17" t="s">
        <v>92</v>
      </c>
      <c r="M592" s="13" t="s">
        <v>60</v>
      </c>
      <c r="N592" s="13">
        <v>1</v>
      </c>
      <c r="O592" s="13"/>
      <c r="P592" s="33" t="str">
        <f t="shared" si="183"/>
        <v>MAIN UNIT</v>
      </c>
      <c r="Q592" s="13" t="s">
        <v>68</v>
      </c>
      <c r="R592" s="13" t="s">
        <v>62</v>
      </c>
      <c r="S592" s="13" t="s">
        <v>51</v>
      </c>
      <c r="T592" s="13" t="s">
        <v>349</v>
      </c>
      <c r="U592" s="13" t="s">
        <v>149</v>
      </c>
      <c r="V592" s="13" t="s">
        <v>564</v>
      </c>
      <c r="W592" s="13" t="s">
        <v>64</v>
      </c>
      <c r="X592" s="135">
        <v>1004000</v>
      </c>
      <c r="Y592" s="157" t="str">
        <f t="shared" si="194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78"/>
        <v>45803245.025628321</v>
      </c>
      <c r="AJ592" s="19">
        <f t="shared" si="179"/>
        <v>5664636.2584379362</v>
      </c>
      <c r="AK592" s="20">
        <f t="shared" si="188"/>
        <v>0.12367325186825515</v>
      </c>
      <c r="AL592" s="17"/>
      <c r="AM592" s="17"/>
      <c r="AN592" s="17"/>
      <c r="AO592" s="17"/>
      <c r="AP592" s="28" t="str">
        <f t="shared" si="189"/>
        <v>20211</v>
      </c>
      <c r="AQ592" s="28" t="str">
        <f t="shared" si="190"/>
        <v>20211RMB</v>
      </c>
      <c r="AR592" s="206" t="str">
        <f t="shared" si="191"/>
        <v>YAMAHA_Mounter</v>
      </c>
      <c r="AS592" s="22">
        <f t="shared" si="192"/>
        <v>1</v>
      </c>
      <c r="AT592" s="24" t="str">
        <f t="shared" si="193"/>
        <v>0-3 months</v>
      </c>
      <c r="AU592" s="22" t="s">
        <v>3240</v>
      </c>
    </row>
    <row r="593" spans="1:47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48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1558</v>
      </c>
      <c r="K593" s="155" t="s">
        <v>1559</v>
      </c>
      <c r="L593" s="17" t="s">
        <v>67</v>
      </c>
      <c r="M593" s="13" t="s">
        <v>60</v>
      </c>
      <c r="N593" s="13">
        <v>1</v>
      </c>
      <c r="O593" s="13"/>
      <c r="P593" s="33" t="str">
        <f t="shared" si="183"/>
        <v>MAIN UNIT</v>
      </c>
      <c r="Q593" s="13" t="s">
        <v>68</v>
      </c>
      <c r="R593" s="13" t="s">
        <v>62</v>
      </c>
      <c r="S593" s="13" t="s">
        <v>51</v>
      </c>
      <c r="T593" s="13" t="s">
        <v>349</v>
      </c>
      <c r="U593" s="13" t="s">
        <v>149</v>
      </c>
      <c r="V593" s="13" t="s">
        <v>564</v>
      </c>
      <c r="W593" s="13" t="s">
        <v>64</v>
      </c>
      <c r="X593" s="135">
        <v>696000</v>
      </c>
      <c r="Y593" s="157" t="str">
        <f t="shared" si="194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78"/>
        <v>45803245.025628321</v>
      </c>
      <c r="AJ593" s="19">
        <f t="shared" si="179"/>
        <v>5664636.2584379362</v>
      </c>
      <c r="AK593" s="20">
        <f t="shared" si="188"/>
        <v>0.12367325186825515</v>
      </c>
      <c r="AL593" s="17"/>
      <c r="AM593" s="17"/>
      <c r="AN593" s="17"/>
      <c r="AO593" s="17"/>
      <c r="AP593" s="28" t="str">
        <f t="shared" si="189"/>
        <v>20211</v>
      </c>
      <c r="AQ593" s="28" t="str">
        <f t="shared" si="190"/>
        <v>20211RMB</v>
      </c>
      <c r="AR593" s="206" t="str">
        <f t="shared" si="191"/>
        <v>YAMAHA_Mounter</v>
      </c>
      <c r="AS593" s="22">
        <f t="shared" si="192"/>
        <v>1</v>
      </c>
      <c r="AT593" s="24" t="str">
        <f t="shared" si="193"/>
        <v>0-3 months</v>
      </c>
      <c r="AU593" s="22" t="s">
        <v>3240</v>
      </c>
    </row>
    <row r="594" spans="1:47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54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2325</v>
      </c>
      <c r="K594" s="155" t="s">
        <v>2326</v>
      </c>
      <c r="L594" s="17" t="s">
        <v>67</v>
      </c>
      <c r="M594" s="13" t="s">
        <v>60</v>
      </c>
      <c r="N594" s="13">
        <v>1</v>
      </c>
      <c r="O594" s="13"/>
      <c r="P594" s="33" t="str">
        <f t="shared" si="183"/>
        <v>MAIN UNIT</v>
      </c>
      <c r="Q594" s="13" t="s">
        <v>68</v>
      </c>
      <c r="R594" s="13" t="s">
        <v>62</v>
      </c>
      <c r="S594" s="13" t="s">
        <v>51</v>
      </c>
      <c r="T594" s="13" t="s">
        <v>349</v>
      </c>
      <c r="U594" s="13" t="s">
        <v>149</v>
      </c>
      <c r="V594" s="13" t="s">
        <v>954</v>
      </c>
      <c r="W594" s="13" t="s">
        <v>64</v>
      </c>
      <c r="X594" s="135">
        <v>606500</v>
      </c>
      <c r="Y594" s="157" t="str">
        <f t="shared" si="194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78"/>
        <v>31017966.201968137</v>
      </c>
      <c r="AJ594" s="19">
        <f t="shared" si="179"/>
        <v>4704250.3347305888</v>
      </c>
      <c r="AK594" s="20">
        <f t="shared" si="188"/>
        <v>0.15166211427595458</v>
      </c>
      <c r="AL594" s="17"/>
      <c r="AM594" s="17"/>
      <c r="AN594" s="17"/>
      <c r="AO594" s="17"/>
      <c r="AP594" s="28" t="str">
        <f t="shared" si="189"/>
        <v>202211</v>
      </c>
      <c r="AQ594" s="28" t="str">
        <f t="shared" si="190"/>
        <v>202211RMB</v>
      </c>
      <c r="AR594" s="206" t="str">
        <f t="shared" si="191"/>
        <v>YAMAHA_Mounter</v>
      </c>
      <c r="AS594" s="22">
        <f t="shared" si="192"/>
        <v>0</v>
      </c>
      <c r="AT594" s="24" t="str">
        <f t="shared" si="193"/>
        <v>0-3 months</v>
      </c>
      <c r="AU594" s="22" t="s">
        <v>3240</v>
      </c>
    </row>
    <row r="595" spans="1:47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54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2325</v>
      </c>
      <c r="K595" s="155" t="s">
        <v>2326</v>
      </c>
      <c r="L595" s="17" t="s">
        <v>67</v>
      </c>
      <c r="M595" s="13" t="s">
        <v>60</v>
      </c>
      <c r="N595" s="13">
        <v>1</v>
      </c>
      <c r="O595" s="13"/>
      <c r="P595" s="33" t="str">
        <f t="shared" si="183"/>
        <v>MAIN UNIT</v>
      </c>
      <c r="Q595" s="13" t="s">
        <v>68</v>
      </c>
      <c r="R595" s="13" t="s">
        <v>62</v>
      </c>
      <c r="S595" s="13" t="s">
        <v>51</v>
      </c>
      <c r="T595" s="13" t="s">
        <v>349</v>
      </c>
      <c r="U595" s="13" t="s">
        <v>149</v>
      </c>
      <c r="V595" s="13" t="s">
        <v>954</v>
      </c>
      <c r="W595" s="13" t="s">
        <v>64</v>
      </c>
      <c r="X595" s="135">
        <v>606500</v>
      </c>
      <c r="Y595" s="157" t="str">
        <f t="shared" si="194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78"/>
        <v>31017966.201968137</v>
      </c>
      <c r="AJ595" s="19">
        <f t="shared" si="179"/>
        <v>4704250.3347305888</v>
      </c>
      <c r="AK595" s="20">
        <f t="shared" si="188"/>
        <v>0.15166211427595458</v>
      </c>
      <c r="AL595" s="17"/>
      <c r="AM595" s="17"/>
      <c r="AN595" s="17"/>
      <c r="AO595" s="17"/>
      <c r="AP595" s="28" t="str">
        <f t="shared" si="189"/>
        <v>202211</v>
      </c>
      <c r="AQ595" s="28" t="str">
        <f t="shared" si="190"/>
        <v>202211RMB</v>
      </c>
      <c r="AR595" s="206" t="str">
        <f t="shared" si="191"/>
        <v>YAMAHA_Mounter</v>
      </c>
      <c r="AS595" s="22">
        <f t="shared" si="192"/>
        <v>0</v>
      </c>
      <c r="AT595" s="24" t="str">
        <f t="shared" si="193"/>
        <v>0-3 months</v>
      </c>
      <c r="AU595" s="22" t="s">
        <v>3240</v>
      </c>
    </row>
    <row r="596" spans="1:47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47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952</v>
      </c>
      <c r="K596" s="155" t="s">
        <v>953</v>
      </c>
      <c r="L596" s="17" t="s">
        <v>92</v>
      </c>
      <c r="M596" s="13" t="s">
        <v>60</v>
      </c>
      <c r="N596" s="13">
        <v>1</v>
      </c>
      <c r="O596" s="13"/>
      <c r="P596" s="33" t="str">
        <f t="shared" si="183"/>
        <v>MAIN UNIT</v>
      </c>
      <c r="Q596" s="13" t="s">
        <v>68</v>
      </c>
      <c r="R596" s="13" t="s">
        <v>62</v>
      </c>
      <c r="S596" s="13" t="s">
        <v>51</v>
      </c>
      <c r="T596" s="13" t="s">
        <v>349</v>
      </c>
      <c r="U596" s="13" t="s">
        <v>149</v>
      </c>
      <c r="V596" s="13" t="s">
        <v>954</v>
      </c>
      <c r="W596" s="13" t="s">
        <v>64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78"/>
        <v>28647263.974455759</v>
      </c>
      <c r="AJ596" s="19">
        <f t="shared" si="179"/>
        <v>3219855.6912513468</v>
      </c>
      <c r="AK596" s="20">
        <f t="shared" si="188"/>
        <v>0.11239662168514358</v>
      </c>
      <c r="AL596" s="17"/>
      <c r="AM596" s="17"/>
      <c r="AN596" s="17"/>
      <c r="AO596" s="17"/>
      <c r="AP596" s="28" t="str">
        <f t="shared" si="189"/>
        <v>201910</v>
      </c>
      <c r="AQ596" s="28" t="str">
        <f t="shared" si="190"/>
        <v>201910RMB</v>
      </c>
      <c r="AR596" s="206" t="str">
        <f t="shared" si="191"/>
        <v>YAMAHA_Mounter</v>
      </c>
      <c r="AS596" s="22">
        <f t="shared" si="192"/>
        <v>1</v>
      </c>
      <c r="AT596" s="24" t="str">
        <f t="shared" si="193"/>
        <v>0-3 months</v>
      </c>
      <c r="AU596" s="22" t="s">
        <v>3240</v>
      </c>
    </row>
    <row r="597" spans="1:47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53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1795</v>
      </c>
      <c r="K597" s="155" t="s">
        <v>1796</v>
      </c>
      <c r="L597" s="17" t="s">
        <v>67</v>
      </c>
      <c r="M597" s="13" t="s">
        <v>60</v>
      </c>
      <c r="N597" s="13">
        <v>1</v>
      </c>
      <c r="O597" s="13"/>
      <c r="P597" s="33" t="str">
        <f t="shared" si="183"/>
        <v>MAIN UNIT</v>
      </c>
      <c r="Q597" s="13" t="s">
        <v>61</v>
      </c>
      <c r="R597" s="13" t="s">
        <v>62</v>
      </c>
      <c r="S597" s="13" t="s">
        <v>51</v>
      </c>
      <c r="T597" s="13" t="s">
        <v>349</v>
      </c>
      <c r="U597" s="13" t="s">
        <v>149</v>
      </c>
      <c r="V597" s="13" t="s">
        <v>954</v>
      </c>
      <c r="W597" s="13" t="s">
        <v>64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78"/>
        <v>54700260.692079648</v>
      </c>
      <c r="AJ597" s="19">
        <f t="shared" si="179"/>
        <v>7482899.5749188727</v>
      </c>
      <c r="AK597" s="20">
        <f t="shared" si="188"/>
        <v>0.13679824337660537</v>
      </c>
      <c r="AL597" s="17"/>
      <c r="AM597" s="17"/>
      <c r="AN597" s="17"/>
      <c r="AO597" s="17"/>
      <c r="AP597" s="28" t="str">
        <f t="shared" si="189"/>
        <v>20216</v>
      </c>
      <c r="AQ597" s="28" t="str">
        <f t="shared" si="190"/>
        <v>20216RMB</v>
      </c>
      <c r="AR597" s="206" t="str">
        <f t="shared" si="191"/>
        <v>YAMAHA_Mounter</v>
      </c>
      <c r="AS597" s="22">
        <f t="shared" si="192"/>
        <v>2</v>
      </c>
      <c r="AT597" s="24" t="str">
        <f t="shared" si="193"/>
        <v>0-3 months</v>
      </c>
      <c r="AU597" s="22" t="s">
        <v>3240</v>
      </c>
    </row>
    <row r="598" spans="1:47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55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2274</v>
      </c>
      <c r="K598" s="155" t="s">
        <v>1796</v>
      </c>
      <c r="L598" s="17" t="s">
        <v>92</v>
      </c>
      <c r="M598" s="13" t="s">
        <v>60</v>
      </c>
      <c r="N598" s="13">
        <v>1</v>
      </c>
      <c r="O598" s="13"/>
      <c r="P598" s="33" t="str">
        <f t="shared" si="183"/>
        <v>MAIN UNIT</v>
      </c>
      <c r="Q598" s="13" t="s">
        <v>61</v>
      </c>
      <c r="R598" s="13" t="s">
        <v>62</v>
      </c>
      <c r="S598" s="13" t="s">
        <v>51</v>
      </c>
      <c r="T598" s="13" t="s">
        <v>349</v>
      </c>
      <c r="U598" s="13" t="s">
        <v>149</v>
      </c>
      <c r="V598" s="13" t="s">
        <v>954</v>
      </c>
      <c r="W598" s="13" t="s">
        <v>64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78"/>
        <v>30573205.452778768</v>
      </c>
      <c r="AJ598" s="19">
        <f t="shared" si="179"/>
        <v>3790930.1683151261</v>
      </c>
      <c r="AK598" s="20">
        <f t="shared" si="188"/>
        <v>0.12399518179964254</v>
      </c>
      <c r="AL598" s="17"/>
      <c r="AM598" s="17"/>
      <c r="AN598" s="17"/>
      <c r="AO598" s="17"/>
      <c r="AP598" s="28" t="str">
        <f t="shared" si="189"/>
        <v>20234</v>
      </c>
      <c r="AQ598" s="28" t="str">
        <f t="shared" si="190"/>
        <v>20234RMB</v>
      </c>
      <c r="AR598" s="206" t="str">
        <f t="shared" si="191"/>
        <v>YAMAHA_Mounter</v>
      </c>
      <c r="AS598" s="22">
        <f t="shared" si="192"/>
        <v>5</v>
      </c>
      <c r="AT598" s="24" t="str">
        <f t="shared" si="193"/>
        <v>4-6 months</v>
      </c>
      <c r="AU598" s="22" t="s">
        <v>3240</v>
      </c>
    </row>
    <row r="599" spans="1:47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55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2274</v>
      </c>
      <c r="K599" s="155" t="s">
        <v>1796</v>
      </c>
      <c r="L599" s="17" t="s">
        <v>67</v>
      </c>
      <c r="M599" s="13" t="s">
        <v>60</v>
      </c>
      <c r="N599" s="13">
        <v>1</v>
      </c>
      <c r="O599" s="13"/>
      <c r="P599" s="33" t="str">
        <f t="shared" si="183"/>
        <v>MAIN UNIT</v>
      </c>
      <c r="Q599" s="13" t="s">
        <v>61</v>
      </c>
      <c r="R599" s="13" t="s">
        <v>62</v>
      </c>
      <c r="S599" s="13" t="s">
        <v>51</v>
      </c>
      <c r="T599" s="13" t="s">
        <v>349</v>
      </c>
      <c r="U599" s="13" t="s">
        <v>149</v>
      </c>
      <c r="V599" s="13" t="s">
        <v>954</v>
      </c>
      <c r="W599" s="13" t="s">
        <v>64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78"/>
        <v>30573205.452778768</v>
      </c>
      <c r="AJ599" s="19">
        <f t="shared" si="179"/>
        <v>3790930.1683151261</v>
      </c>
      <c r="AK599" s="20">
        <f t="shared" si="188"/>
        <v>0.12399518179964254</v>
      </c>
      <c r="AL599" s="17"/>
      <c r="AM599" s="17"/>
      <c r="AN599" s="17"/>
      <c r="AO599" s="17"/>
      <c r="AP599" s="28" t="str">
        <f t="shared" si="189"/>
        <v>20234</v>
      </c>
      <c r="AQ599" s="28" t="str">
        <f t="shared" si="190"/>
        <v>20234RMB</v>
      </c>
      <c r="AR599" s="206" t="str">
        <f t="shared" si="191"/>
        <v>YAMAHA_Mounter</v>
      </c>
      <c r="AS599" s="22">
        <f t="shared" si="192"/>
        <v>5</v>
      </c>
      <c r="AT599" s="24" t="str">
        <f t="shared" si="193"/>
        <v>4-6 months</v>
      </c>
      <c r="AU599" s="22" t="s">
        <v>3240</v>
      </c>
    </row>
    <row r="600" spans="1:47" s="12" customFormat="1">
      <c r="A600" s="33" t="str">
        <f t="shared" si="180"/>
        <v>cancel</v>
      </c>
      <c r="B600" s="152"/>
      <c r="C600" s="152" t="s">
        <v>185</v>
      </c>
      <c r="D600" s="33" t="str">
        <f t="shared" si="181"/>
        <v/>
      </c>
      <c r="E600" s="33" t="s">
        <v>185</v>
      </c>
      <c r="F600" s="13" t="s">
        <v>185</v>
      </c>
      <c r="G600" s="152" t="s">
        <v>185</v>
      </c>
      <c r="H600" s="155" t="s">
        <v>2349</v>
      </c>
      <c r="I600" s="33" t="str">
        <f t="shared" si="182"/>
        <v>Cancel</v>
      </c>
      <c r="J600" s="186" t="s">
        <v>2773</v>
      </c>
      <c r="K600" s="155" t="s">
        <v>1796</v>
      </c>
      <c r="L600" s="17" t="s">
        <v>67</v>
      </c>
      <c r="M600" s="13" t="s">
        <v>60</v>
      </c>
      <c r="N600" s="13">
        <v>1</v>
      </c>
      <c r="O600" s="13"/>
      <c r="P600" s="33" t="str">
        <f t="shared" si="183"/>
        <v>MAIN UNIT</v>
      </c>
      <c r="Q600" s="13" t="s">
        <v>61</v>
      </c>
      <c r="R600" s="13" t="s">
        <v>62</v>
      </c>
      <c r="S600" s="13" t="s">
        <v>51</v>
      </c>
      <c r="T600" s="13" t="s">
        <v>349</v>
      </c>
      <c r="U600" s="13" t="s">
        <v>149</v>
      </c>
      <c r="V600" s="13" t="s">
        <v>954</v>
      </c>
      <c r="W600" s="13" t="s">
        <v>64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78"/>
        <v>499582152.5142017</v>
      </c>
      <c r="AJ600" s="19">
        <f t="shared" si="179"/>
        <v>59520528.679470733</v>
      </c>
      <c r="AK600" s="20">
        <f t="shared" si="188"/>
        <v>0.11914062257814291</v>
      </c>
      <c r="AL600" s="17"/>
      <c r="AM600" s="17"/>
      <c r="AN600" s="17"/>
      <c r="AO600" s="17"/>
      <c r="AP600" s="28" t="str">
        <f t="shared" si="189"/>
        <v>CancelCancel</v>
      </c>
      <c r="AQ600" s="28" t="str">
        <f t="shared" si="190"/>
        <v>CancelCancelRMB</v>
      </c>
      <c r="AR600" s="206" t="str">
        <f t="shared" si="191"/>
        <v>YAMAHA_Mounter</v>
      </c>
      <c r="AS600" s="22" t="str">
        <f t="shared" si="192"/>
        <v/>
      </c>
      <c r="AT600" s="24" t="str">
        <f t="shared" si="193"/>
        <v/>
      </c>
      <c r="AU600" s="22" t="s">
        <v>3240</v>
      </c>
    </row>
    <row r="601" spans="1:47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3364</v>
      </c>
      <c r="K601" s="29" t="s">
        <v>918</v>
      </c>
      <c r="L601" s="17" t="s">
        <v>92</v>
      </c>
      <c r="M601" s="22" t="s">
        <v>60</v>
      </c>
      <c r="N601" s="22">
        <v>1</v>
      </c>
      <c r="O601" s="22"/>
      <c r="P601" s="33" t="str">
        <f t="shared" si="183"/>
        <v>MAIN UNIT</v>
      </c>
      <c r="Q601" s="13" t="s">
        <v>61</v>
      </c>
      <c r="R601" s="22" t="s">
        <v>62</v>
      </c>
      <c r="S601" s="22" t="s">
        <v>49</v>
      </c>
      <c r="T601" s="22" t="s">
        <v>78</v>
      </c>
      <c r="U601" s="22" t="s">
        <v>78</v>
      </c>
      <c r="V601" s="22" t="s">
        <v>112</v>
      </c>
      <c r="W601" s="22" t="s">
        <v>64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78"/>
        <v>20319282.700884953</v>
      </c>
      <c r="AJ601" s="27">
        <f t="shared" si="179"/>
        <v>2408851.9638623013</v>
      </c>
      <c r="AK601" s="28">
        <f t="shared" si="188"/>
        <v>0.11855004919821259</v>
      </c>
      <c r="AL601" s="24"/>
      <c r="AM601" s="24"/>
      <c r="AN601" s="24"/>
      <c r="AO601" s="24"/>
      <c r="AP601" s="28" t="str">
        <f t="shared" si="189"/>
        <v>20244</v>
      </c>
      <c r="AQ601" s="28" t="str">
        <f t="shared" si="190"/>
        <v>20244RMB</v>
      </c>
      <c r="AR601" s="206" t="str">
        <f t="shared" si="191"/>
        <v>YAMAHA_Mounter</v>
      </c>
      <c r="AS601" s="22">
        <f t="shared" si="192"/>
        <v>1</v>
      </c>
      <c r="AT601" s="24" t="str">
        <f t="shared" si="193"/>
        <v>0-3 months</v>
      </c>
      <c r="AU601" s="22" t="s">
        <v>3751</v>
      </c>
    </row>
    <row r="602" spans="1:47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3364</v>
      </c>
      <c r="K602" s="29" t="s">
        <v>918</v>
      </c>
      <c r="L602" s="17" t="s">
        <v>67</v>
      </c>
      <c r="M602" s="22" t="s">
        <v>60</v>
      </c>
      <c r="N602" s="22">
        <v>1</v>
      </c>
      <c r="O602" s="22"/>
      <c r="P602" s="33" t="str">
        <f t="shared" si="183"/>
        <v>MAIN UNIT</v>
      </c>
      <c r="Q602" s="13" t="s">
        <v>61</v>
      </c>
      <c r="R602" s="22" t="s">
        <v>62</v>
      </c>
      <c r="S602" s="22" t="s">
        <v>49</v>
      </c>
      <c r="T602" s="22" t="s">
        <v>78</v>
      </c>
      <c r="U602" s="22" t="s">
        <v>78</v>
      </c>
      <c r="V602" s="22" t="s">
        <v>112</v>
      </c>
      <c r="W602" s="22" t="s">
        <v>64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78"/>
        <v>20319282.700884953</v>
      </c>
      <c r="AJ602" s="27">
        <f t="shared" si="179"/>
        <v>2408851.9638623013</v>
      </c>
      <c r="AK602" s="28">
        <f t="shared" si="188"/>
        <v>0.11855004919821259</v>
      </c>
      <c r="AL602" s="24"/>
      <c r="AM602" s="24"/>
      <c r="AN602" s="24"/>
      <c r="AO602" s="24"/>
      <c r="AP602" s="28" t="str">
        <f t="shared" si="189"/>
        <v>20244</v>
      </c>
      <c r="AQ602" s="28" t="str">
        <f t="shared" si="190"/>
        <v>20244RMB</v>
      </c>
      <c r="AR602" s="206" t="str">
        <f t="shared" si="191"/>
        <v>YAMAHA_Mounter</v>
      </c>
      <c r="AS602" s="22">
        <f t="shared" si="192"/>
        <v>1</v>
      </c>
      <c r="AT602" s="24" t="str">
        <f t="shared" si="193"/>
        <v>0-3 months</v>
      </c>
      <c r="AU602" s="22" t="s">
        <v>3751</v>
      </c>
    </row>
    <row r="603" spans="1:47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47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950</v>
      </c>
      <c r="K603" s="155" t="s">
        <v>951</v>
      </c>
      <c r="L603" s="17" t="s">
        <v>67</v>
      </c>
      <c r="M603" s="13" t="s">
        <v>60</v>
      </c>
      <c r="N603" s="13">
        <v>1</v>
      </c>
      <c r="O603" s="13"/>
      <c r="P603" s="33" t="str">
        <f t="shared" si="183"/>
        <v>MAIN UNIT</v>
      </c>
      <c r="Q603" s="13" t="s">
        <v>68</v>
      </c>
      <c r="R603" s="13" t="s">
        <v>62</v>
      </c>
      <c r="S603" s="13" t="s">
        <v>51</v>
      </c>
      <c r="T603" s="13" t="s">
        <v>349</v>
      </c>
      <c r="U603" s="13" t="s">
        <v>149</v>
      </c>
      <c r="V603" s="13" t="s">
        <v>507</v>
      </c>
      <c r="W603" s="13" t="s">
        <v>64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78"/>
        <v>28647263.974455759</v>
      </c>
      <c r="AJ603" s="19">
        <f t="shared" si="179"/>
        <v>3219855.6912513468</v>
      </c>
      <c r="AK603" s="20">
        <f t="shared" si="188"/>
        <v>0.11239662168514358</v>
      </c>
      <c r="AL603" s="17"/>
      <c r="AM603" s="17"/>
      <c r="AN603" s="17"/>
      <c r="AO603" s="17"/>
      <c r="AP603" s="28" t="str">
        <f t="shared" si="189"/>
        <v>201910</v>
      </c>
      <c r="AQ603" s="28" t="str">
        <f t="shared" si="190"/>
        <v>201910RMB</v>
      </c>
      <c r="AR603" s="206" t="str">
        <f t="shared" si="191"/>
        <v>YAMAHA_Mounter</v>
      </c>
      <c r="AS603" s="22">
        <f t="shared" si="192"/>
        <v>1</v>
      </c>
      <c r="AT603" s="24" t="str">
        <f t="shared" si="193"/>
        <v>0-3 months</v>
      </c>
      <c r="AU603" s="22" t="s">
        <v>3240</v>
      </c>
    </row>
    <row r="604" spans="1:47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48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1355</v>
      </c>
      <c r="K604" s="155" t="s">
        <v>951</v>
      </c>
      <c r="L604" s="17" t="s">
        <v>67</v>
      </c>
      <c r="M604" s="13" t="s">
        <v>60</v>
      </c>
      <c r="N604" s="13">
        <v>1</v>
      </c>
      <c r="O604" s="13"/>
      <c r="P604" s="33" t="str">
        <f t="shared" si="183"/>
        <v>MAIN UNIT</v>
      </c>
      <c r="Q604" s="13" t="s">
        <v>61</v>
      </c>
      <c r="R604" s="13" t="s">
        <v>62</v>
      </c>
      <c r="S604" s="13" t="s">
        <v>51</v>
      </c>
      <c r="T604" s="13" t="s">
        <v>349</v>
      </c>
      <c r="U604" s="13" t="s">
        <v>149</v>
      </c>
      <c r="V604" s="13" t="s">
        <v>954</v>
      </c>
      <c r="W604" s="13" t="s">
        <v>64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78"/>
        <v>44078731.611185849</v>
      </c>
      <c r="AJ604" s="19">
        <f t="shared" si="179"/>
        <v>5508173.2163771465</v>
      </c>
      <c r="AK604" s="20">
        <f t="shared" si="188"/>
        <v>0.12496215328889679</v>
      </c>
      <c r="AL604" s="17"/>
      <c r="AM604" s="17"/>
      <c r="AN604" s="17"/>
      <c r="AO604" s="17"/>
      <c r="AP604" s="28" t="str">
        <f t="shared" si="189"/>
        <v>202011</v>
      </c>
      <c r="AQ604" s="28" t="str">
        <f t="shared" si="190"/>
        <v>202011RMB</v>
      </c>
      <c r="AR604" s="206" t="str">
        <f t="shared" si="191"/>
        <v>YAMAHA_Mounter</v>
      </c>
      <c r="AS604" s="22">
        <f t="shared" si="192"/>
        <v>3</v>
      </c>
      <c r="AT604" s="24" t="str">
        <f t="shared" si="193"/>
        <v>0-3 months</v>
      </c>
      <c r="AU604" s="22" t="s">
        <v>3240</v>
      </c>
    </row>
    <row r="605" spans="1:47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48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950</v>
      </c>
      <c r="K605" s="155" t="s">
        <v>951</v>
      </c>
      <c r="L605" s="17" t="s">
        <v>2890</v>
      </c>
      <c r="M605" s="13" t="s">
        <v>60</v>
      </c>
      <c r="N605" s="13">
        <v>0</v>
      </c>
      <c r="O605" s="13">
        <v>1</v>
      </c>
      <c r="P605" s="33" t="str">
        <f t="shared" si="183"/>
        <v>SERVICE/ PARTS</v>
      </c>
      <c r="Q605" s="13" t="s">
        <v>61</v>
      </c>
      <c r="R605" s="13" t="s">
        <v>2055</v>
      </c>
      <c r="S605" s="13" t="s">
        <v>51</v>
      </c>
      <c r="T605" s="13" t="s">
        <v>349</v>
      </c>
      <c r="U605" s="13" t="s">
        <v>149</v>
      </c>
      <c r="V605" s="13"/>
      <c r="W605" s="13" t="s">
        <v>64</v>
      </c>
      <c r="X605" s="135">
        <v>28000</v>
      </c>
      <c r="Y605" s="157" t="str">
        <f t="shared" ref="Y605:Y611" si="195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78"/>
        <v>47907808.356810622</v>
      </c>
      <c r="AJ605" s="19">
        <f t="shared" si="179"/>
        <v>6027384.8806384448</v>
      </c>
      <c r="AK605" s="20">
        <f t="shared" si="188"/>
        <v>0.12581216063459488</v>
      </c>
      <c r="AL605" s="17"/>
      <c r="AM605" s="17"/>
      <c r="AN605" s="17"/>
      <c r="AO605" s="17"/>
      <c r="AP605" s="28" t="str">
        <f t="shared" si="189"/>
        <v>20209</v>
      </c>
      <c r="AQ605" s="28" t="str">
        <f t="shared" si="190"/>
        <v>20209RMB</v>
      </c>
      <c r="AR605" s="206" t="str">
        <f t="shared" si="191"/>
        <v>YAMAHA_Non_Mounter</v>
      </c>
      <c r="AS605" s="22">
        <f t="shared" si="192"/>
        <v>12</v>
      </c>
      <c r="AT605" s="24" t="str">
        <f t="shared" si="193"/>
        <v>&gt; 6 months</v>
      </c>
      <c r="AU605" s="22" t="s">
        <v>3240</v>
      </c>
    </row>
    <row r="606" spans="1:47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54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2169</v>
      </c>
      <c r="K606" s="155" t="s">
        <v>2170</v>
      </c>
      <c r="L606" s="17" t="s">
        <v>67</v>
      </c>
      <c r="M606" s="13" t="s">
        <v>60</v>
      </c>
      <c r="N606" s="13">
        <v>1</v>
      </c>
      <c r="O606" s="13"/>
      <c r="P606" s="33" t="str">
        <f t="shared" si="183"/>
        <v>MAIN UNIT</v>
      </c>
      <c r="Q606" s="13" t="s">
        <v>61</v>
      </c>
      <c r="R606" s="13" t="s">
        <v>62</v>
      </c>
      <c r="S606" s="13" t="s">
        <v>51</v>
      </c>
      <c r="T606" s="13" t="s">
        <v>2168</v>
      </c>
      <c r="U606" s="13" t="s">
        <v>149</v>
      </c>
      <c r="V606" s="13" t="s">
        <v>954</v>
      </c>
      <c r="W606" s="13" t="s">
        <v>64</v>
      </c>
      <c r="X606" s="135">
        <v>647900</v>
      </c>
      <c r="Y606" s="157" t="str">
        <f t="shared" si="195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78"/>
        <v>44014086.982070789</v>
      </c>
      <c r="AJ606" s="19">
        <f t="shared" si="179"/>
        <v>6419974.0221889298</v>
      </c>
      <c r="AK606" s="20">
        <f t="shared" si="188"/>
        <v>0.14586180158193709</v>
      </c>
      <c r="AL606" s="17"/>
      <c r="AM606" s="17"/>
      <c r="AN606" s="17"/>
      <c r="AO606" s="17"/>
      <c r="AP606" s="28" t="str">
        <f t="shared" si="189"/>
        <v>20225</v>
      </c>
      <c r="AQ606" s="28" t="str">
        <f t="shared" si="190"/>
        <v>20225RMB</v>
      </c>
      <c r="AR606" s="206" t="str">
        <f t="shared" si="191"/>
        <v>YAMAHA_Mounter</v>
      </c>
      <c r="AS606" s="22">
        <f t="shared" si="192"/>
        <v>2</v>
      </c>
      <c r="AT606" s="24" t="str">
        <f t="shared" si="193"/>
        <v>0-3 months</v>
      </c>
      <c r="AU606" s="22" t="s">
        <v>3240</v>
      </c>
    </row>
    <row r="607" spans="1:47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54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2304</v>
      </c>
      <c r="K607" s="155" t="s">
        <v>2170</v>
      </c>
      <c r="L607" s="17" t="s">
        <v>67</v>
      </c>
      <c r="M607" s="13" t="s">
        <v>60</v>
      </c>
      <c r="N607" s="13">
        <v>1</v>
      </c>
      <c r="O607" s="13"/>
      <c r="P607" s="33" t="str">
        <f t="shared" si="183"/>
        <v>MAIN UNIT</v>
      </c>
      <c r="Q607" s="13" t="s">
        <v>61</v>
      </c>
      <c r="R607" s="13" t="s">
        <v>62</v>
      </c>
      <c r="S607" s="13" t="s">
        <v>51</v>
      </c>
      <c r="T607" s="13" t="s">
        <v>349</v>
      </c>
      <c r="U607" s="13" t="s">
        <v>149</v>
      </c>
      <c r="V607" s="13" t="s">
        <v>954</v>
      </c>
      <c r="W607" s="13" t="s">
        <v>64</v>
      </c>
      <c r="X607" s="135">
        <v>470000</v>
      </c>
      <c r="Y607" s="157" t="str">
        <f t="shared" si="195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78"/>
        <v>22717528.991150443</v>
      </c>
      <c r="AJ607" s="19">
        <f t="shared" si="179"/>
        <v>3947747.192555753</v>
      </c>
      <c r="AK607" s="20">
        <f t="shared" si="188"/>
        <v>0.1737753782153679</v>
      </c>
      <c r="AL607" s="17"/>
      <c r="AM607" s="17"/>
      <c r="AN607" s="17"/>
      <c r="AO607" s="17"/>
      <c r="AP607" s="28" t="str">
        <f t="shared" si="189"/>
        <v>202210</v>
      </c>
      <c r="AQ607" s="28" t="str">
        <f t="shared" si="190"/>
        <v>202210RMB</v>
      </c>
      <c r="AR607" s="206" t="str">
        <f t="shared" si="191"/>
        <v>YAMAHA_Mounter</v>
      </c>
      <c r="AS607" s="22">
        <f t="shared" si="192"/>
        <v>0</v>
      </c>
      <c r="AT607" s="24" t="str">
        <f t="shared" si="193"/>
        <v>0-3 months</v>
      </c>
      <c r="AU607" s="22" t="s">
        <v>3240</v>
      </c>
    </row>
    <row r="608" spans="1:47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185</v>
      </c>
      <c r="F608" s="13" t="s">
        <v>185</v>
      </c>
      <c r="G608" s="152" t="s">
        <v>1616</v>
      </c>
      <c r="H608" s="155"/>
      <c r="I608" s="33" t="str">
        <f t="shared" si="182"/>
        <v>Cancel</v>
      </c>
      <c r="J608" s="186" t="s">
        <v>2366</v>
      </c>
      <c r="K608" s="155" t="s">
        <v>2170</v>
      </c>
      <c r="L608" s="17" t="s">
        <v>67</v>
      </c>
      <c r="M608" s="13" t="s">
        <v>60</v>
      </c>
      <c r="N608" s="13">
        <v>1</v>
      </c>
      <c r="O608" s="13"/>
      <c r="P608" s="33" t="str">
        <f t="shared" si="183"/>
        <v>MAIN UNIT</v>
      </c>
      <c r="Q608" s="13" t="s">
        <v>61</v>
      </c>
      <c r="R608" s="13" t="s">
        <v>62</v>
      </c>
      <c r="S608" s="13" t="s">
        <v>51</v>
      </c>
      <c r="T608" s="13" t="s">
        <v>349</v>
      </c>
      <c r="U608" s="13" t="s">
        <v>149</v>
      </c>
      <c r="V608" s="13" t="s">
        <v>954</v>
      </c>
      <c r="W608" s="13" t="s">
        <v>64</v>
      </c>
      <c r="X608" s="135">
        <v>598000</v>
      </c>
      <c r="Y608" s="157" t="str">
        <f t="shared" si="195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78"/>
        <v>499582152.5142017</v>
      </c>
      <c r="AJ608" s="19">
        <f t="shared" si="179"/>
        <v>59520528.679470733</v>
      </c>
      <c r="AK608" s="20">
        <f t="shared" si="188"/>
        <v>0.11914062257814291</v>
      </c>
      <c r="AL608" s="17"/>
      <c r="AM608" s="17"/>
      <c r="AN608" s="17"/>
      <c r="AO608" s="17"/>
      <c r="AP608" s="28" t="str">
        <f t="shared" si="189"/>
        <v>CancelCANCEL</v>
      </c>
      <c r="AQ608" s="28" t="str">
        <f t="shared" si="190"/>
        <v>CancelCANCELRMB</v>
      </c>
      <c r="AR608" s="206" t="str">
        <f t="shared" si="191"/>
        <v>YAMAHA_Mounter</v>
      </c>
      <c r="AS608" s="22" t="str">
        <f t="shared" si="192"/>
        <v/>
      </c>
      <c r="AT608" s="24" t="str">
        <f t="shared" si="193"/>
        <v/>
      </c>
      <c r="AU608" s="22" t="s">
        <v>3240</v>
      </c>
    </row>
    <row r="609" spans="1:47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185</v>
      </c>
      <c r="F609" s="13" t="s">
        <v>185</v>
      </c>
      <c r="G609" s="152" t="s">
        <v>1616</v>
      </c>
      <c r="H609" s="155"/>
      <c r="I609" s="33" t="str">
        <f t="shared" si="182"/>
        <v>Cancel</v>
      </c>
      <c r="J609" s="186" t="s">
        <v>2366</v>
      </c>
      <c r="K609" s="155" t="s">
        <v>2170</v>
      </c>
      <c r="L609" s="17" t="s">
        <v>67</v>
      </c>
      <c r="M609" s="13" t="s">
        <v>60</v>
      </c>
      <c r="N609" s="13">
        <v>1</v>
      </c>
      <c r="O609" s="13"/>
      <c r="P609" s="33" t="str">
        <f t="shared" si="183"/>
        <v>MAIN UNIT</v>
      </c>
      <c r="Q609" s="13" t="s">
        <v>61</v>
      </c>
      <c r="R609" s="13" t="s">
        <v>62</v>
      </c>
      <c r="S609" s="13" t="s">
        <v>51</v>
      </c>
      <c r="T609" s="13" t="s">
        <v>349</v>
      </c>
      <c r="U609" s="13" t="s">
        <v>149</v>
      </c>
      <c r="V609" s="13" t="s">
        <v>954</v>
      </c>
      <c r="W609" s="13" t="s">
        <v>64</v>
      </c>
      <c r="X609" s="135">
        <v>600000</v>
      </c>
      <c r="Y609" s="157" t="str">
        <f t="shared" si="195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78"/>
        <v>499582152.5142017</v>
      </c>
      <c r="AJ609" s="19">
        <f t="shared" si="179"/>
        <v>59520528.679470733</v>
      </c>
      <c r="AK609" s="20">
        <f t="shared" si="188"/>
        <v>0.11914062257814291</v>
      </c>
      <c r="AL609" s="17"/>
      <c r="AM609" s="17"/>
      <c r="AN609" s="17"/>
      <c r="AO609" s="17"/>
      <c r="AP609" s="28" t="str">
        <f t="shared" si="189"/>
        <v>CancelCANCEL</v>
      </c>
      <c r="AQ609" s="28" t="str">
        <f t="shared" si="190"/>
        <v>CancelCANCELRMB</v>
      </c>
      <c r="AR609" s="206" t="str">
        <f t="shared" si="191"/>
        <v>YAMAHA_Mounter</v>
      </c>
      <c r="AS609" s="22" t="str">
        <f t="shared" si="192"/>
        <v/>
      </c>
      <c r="AT609" s="24" t="str">
        <f t="shared" si="193"/>
        <v/>
      </c>
      <c r="AU609" s="22" t="s">
        <v>3240</v>
      </c>
    </row>
    <row r="610" spans="1:47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55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2469</v>
      </c>
      <c r="K610" s="155" t="s">
        <v>2170</v>
      </c>
      <c r="L610" s="17" t="s">
        <v>92</v>
      </c>
      <c r="M610" s="13" t="s">
        <v>60</v>
      </c>
      <c r="N610" s="13">
        <v>1</v>
      </c>
      <c r="O610" s="13"/>
      <c r="P610" s="33" t="str">
        <f t="shared" si="183"/>
        <v>MAIN UNIT</v>
      </c>
      <c r="Q610" s="13" t="s">
        <v>61</v>
      </c>
      <c r="R610" s="13" t="s">
        <v>62</v>
      </c>
      <c r="S610" s="13" t="s">
        <v>51</v>
      </c>
      <c r="T610" s="13" t="s">
        <v>349</v>
      </c>
      <c r="U610" s="13" t="s">
        <v>149</v>
      </c>
      <c r="V610" s="13" t="s">
        <v>954</v>
      </c>
      <c r="W610" s="13" t="s">
        <v>64</v>
      </c>
      <c r="X610" s="135">
        <v>713000</v>
      </c>
      <c r="Y610" s="157" t="str">
        <f t="shared" si="195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78"/>
        <v>30573205.452778768</v>
      </c>
      <c r="AJ610" s="19">
        <f t="shared" si="179"/>
        <v>3790930.1683151261</v>
      </c>
      <c r="AK610" s="20">
        <f t="shared" si="188"/>
        <v>0.12399518179964254</v>
      </c>
      <c r="AL610" s="17"/>
      <c r="AM610" s="17"/>
      <c r="AN610" s="17"/>
      <c r="AO610" s="17"/>
      <c r="AP610" s="28" t="str">
        <f t="shared" si="189"/>
        <v>20234</v>
      </c>
      <c r="AQ610" s="28" t="str">
        <f t="shared" si="190"/>
        <v>20234RMB</v>
      </c>
      <c r="AR610" s="206" t="str">
        <f t="shared" si="191"/>
        <v>YAMAHA_Mounter</v>
      </c>
      <c r="AS610" s="22">
        <f t="shared" si="192"/>
        <v>1</v>
      </c>
      <c r="AT610" s="24" t="str">
        <f t="shared" si="193"/>
        <v>0-3 months</v>
      </c>
      <c r="AU610" s="22" t="s">
        <v>3240</v>
      </c>
    </row>
    <row r="611" spans="1:47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55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2516</v>
      </c>
      <c r="K611" s="155" t="s">
        <v>2170</v>
      </c>
      <c r="L611" s="17" t="s">
        <v>92</v>
      </c>
      <c r="M611" s="13" t="s">
        <v>60</v>
      </c>
      <c r="N611" s="13">
        <v>2</v>
      </c>
      <c r="O611" s="13"/>
      <c r="P611" s="33" t="str">
        <f t="shared" si="183"/>
        <v>MAIN UNIT</v>
      </c>
      <c r="Q611" s="13" t="s">
        <v>61</v>
      </c>
      <c r="R611" s="13" t="s">
        <v>62</v>
      </c>
      <c r="S611" s="13" t="s">
        <v>51</v>
      </c>
      <c r="T611" s="13" t="s">
        <v>349</v>
      </c>
      <c r="U611" s="13" t="s">
        <v>149</v>
      </c>
      <c r="V611" s="13" t="s">
        <v>954</v>
      </c>
      <c r="W611" s="13" t="s">
        <v>64</v>
      </c>
      <c r="X611" s="135">
        <v>1178500</v>
      </c>
      <c r="Y611" s="157" t="str">
        <f t="shared" si="195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78"/>
        <v>13640480.497522123</v>
      </c>
      <c r="AJ611" s="19">
        <f t="shared" si="179"/>
        <v>1928605.8020906283</v>
      </c>
      <c r="AK611" s="20">
        <f t="shared" si="188"/>
        <v>0.1413884065477731</v>
      </c>
      <c r="AL611" s="17"/>
      <c r="AM611" s="17"/>
      <c r="AN611" s="17"/>
      <c r="AO611" s="17"/>
      <c r="AP611" s="28" t="str">
        <f t="shared" si="189"/>
        <v>20236</v>
      </c>
      <c r="AQ611" s="28" t="str">
        <f t="shared" si="190"/>
        <v>20236RMB</v>
      </c>
      <c r="AR611" s="206" t="str">
        <f t="shared" si="191"/>
        <v>YAMAHA_Mounter</v>
      </c>
      <c r="AS611" s="22">
        <f t="shared" si="192"/>
        <v>3</v>
      </c>
      <c r="AT611" s="24" t="str">
        <f t="shared" si="193"/>
        <v>0-3 months</v>
      </c>
      <c r="AU611" s="22" t="s">
        <v>3240</v>
      </c>
    </row>
    <row r="612" spans="1:47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3317</v>
      </c>
      <c r="K612" s="29" t="s">
        <v>2170</v>
      </c>
      <c r="L612" s="17" t="s">
        <v>2620</v>
      </c>
      <c r="M612" s="13" t="s">
        <v>60</v>
      </c>
      <c r="N612" s="22">
        <v>1</v>
      </c>
      <c r="O612" s="22"/>
      <c r="P612" s="33" t="str">
        <f t="shared" si="183"/>
        <v>MAIN UNIT</v>
      </c>
      <c r="Q612" s="13" t="s">
        <v>61</v>
      </c>
      <c r="R612" s="22" t="s">
        <v>2055</v>
      </c>
      <c r="S612" s="22" t="s">
        <v>51</v>
      </c>
      <c r="T612" s="22" t="s">
        <v>349</v>
      </c>
      <c r="U612" s="22" t="s">
        <v>149</v>
      </c>
      <c r="V612" s="22" t="s">
        <v>954</v>
      </c>
      <c r="W612" s="22" t="s">
        <v>64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78"/>
        <v>21241742.157380536</v>
      </c>
      <c r="AJ612" s="27">
        <f t="shared" si="179"/>
        <v>2987081.1613773629</v>
      </c>
      <c r="AK612" s="28">
        <f t="shared" si="188"/>
        <v>0.14062317201884914</v>
      </c>
      <c r="AL612" s="24"/>
      <c r="AM612" s="24"/>
      <c r="AN612" s="24"/>
      <c r="AO612" s="24"/>
      <c r="AP612" s="28" t="str">
        <f t="shared" si="189"/>
        <v>20243</v>
      </c>
      <c r="AQ612" s="28" t="str">
        <f t="shared" si="190"/>
        <v>20243RMB</v>
      </c>
      <c r="AR612" s="206" t="str">
        <f t="shared" si="191"/>
        <v>YAMAHA_Non_Mounter</v>
      </c>
      <c r="AS612" s="22">
        <f t="shared" si="192"/>
        <v>0</v>
      </c>
      <c r="AT612" s="24" t="str">
        <f t="shared" si="193"/>
        <v>0-3 months</v>
      </c>
      <c r="AU612" s="22" t="s">
        <v>3240</v>
      </c>
    </row>
    <row r="613" spans="1:47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48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1456</v>
      </c>
      <c r="K613" s="155" t="s">
        <v>1457</v>
      </c>
      <c r="L613" s="17" t="s">
        <v>92</v>
      </c>
      <c r="M613" s="13" t="s">
        <v>60</v>
      </c>
      <c r="N613" s="13">
        <v>1</v>
      </c>
      <c r="O613" s="13"/>
      <c r="P613" s="33" t="str">
        <f t="shared" si="183"/>
        <v>MAIN UNIT</v>
      </c>
      <c r="Q613" s="13" t="s">
        <v>68</v>
      </c>
      <c r="R613" s="13" t="s">
        <v>62</v>
      </c>
      <c r="S613" s="13" t="s">
        <v>51</v>
      </c>
      <c r="T613" s="13" t="s">
        <v>349</v>
      </c>
      <c r="U613" s="13" t="s">
        <v>149</v>
      </c>
      <c r="V613" s="13" t="s">
        <v>564</v>
      </c>
      <c r="W613" s="13" t="s">
        <v>64</v>
      </c>
      <c r="X613" s="135">
        <v>1180000</v>
      </c>
      <c r="Y613" s="157" t="str">
        <f t="shared" ref="Y613:Y618" si="196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78"/>
        <v>44078731.611185849</v>
      </c>
      <c r="AJ613" s="19">
        <f t="shared" si="179"/>
        <v>5508173.2163771465</v>
      </c>
      <c r="AK613" s="20">
        <f t="shared" si="188"/>
        <v>0.12496215328889679</v>
      </c>
      <c r="AL613" s="17"/>
      <c r="AM613" s="17"/>
      <c r="AN613" s="17"/>
      <c r="AO613" s="17"/>
      <c r="AP613" s="28" t="str">
        <f t="shared" si="189"/>
        <v>202011</v>
      </c>
      <c r="AQ613" s="28" t="str">
        <f t="shared" si="190"/>
        <v>202011RMB</v>
      </c>
      <c r="AR613" s="206" t="str">
        <f t="shared" si="191"/>
        <v>YAMAHA_Mounter</v>
      </c>
      <c r="AS613" s="22">
        <f t="shared" si="192"/>
        <v>1</v>
      </c>
      <c r="AT613" s="24" t="str">
        <f t="shared" si="193"/>
        <v>0-3 months</v>
      </c>
      <c r="AU613" s="22" t="s">
        <v>3240</v>
      </c>
    </row>
    <row r="614" spans="1:47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48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1456</v>
      </c>
      <c r="K614" s="155" t="s">
        <v>1457</v>
      </c>
      <c r="L614" s="17" t="s">
        <v>67</v>
      </c>
      <c r="M614" s="13" t="s">
        <v>60</v>
      </c>
      <c r="N614" s="13">
        <v>1</v>
      </c>
      <c r="O614" s="13"/>
      <c r="P614" s="33" t="str">
        <f t="shared" si="183"/>
        <v>MAIN UNIT</v>
      </c>
      <c r="Q614" s="13" t="s">
        <v>68</v>
      </c>
      <c r="R614" s="13" t="s">
        <v>62</v>
      </c>
      <c r="S614" s="13" t="s">
        <v>51</v>
      </c>
      <c r="T614" s="13" t="s">
        <v>349</v>
      </c>
      <c r="U614" s="13" t="s">
        <v>149</v>
      </c>
      <c r="V614" s="13" t="s">
        <v>564</v>
      </c>
      <c r="W614" s="13" t="s">
        <v>64</v>
      </c>
      <c r="X614" s="135">
        <v>1000000</v>
      </c>
      <c r="Y614" s="157" t="str">
        <f t="shared" si="196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78"/>
        <v>44078731.611185849</v>
      </c>
      <c r="AJ614" s="19">
        <f t="shared" si="179"/>
        <v>5508173.2163771465</v>
      </c>
      <c r="AK614" s="20">
        <f t="shared" si="188"/>
        <v>0.12496215328889679</v>
      </c>
      <c r="AL614" s="17"/>
      <c r="AM614" s="17"/>
      <c r="AN614" s="17"/>
      <c r="AO614" s="17"/>
      <c r="AP614" s="28" t="str">
        <f t="shared" si="189"/>
        <v>202011</v>
      </c>
      <c r="AQ614" s="28" t="str">
        <f t="shared" si="190"/>
        <v>202011RMB</v>
      </c>
      <c r="AR614" s="206" t="str">
        <f t="shared" si="191"/>
        <v>YAMAHA_Mounter</v>
      </c>
      <c r="AS614" s="22">
        <f t="shared" si="192"/>
        <v>1</v>
      </c>
      <c r="AT614" s="24" t="str">
        <f t="shared" si="193"/>
        <v>0-3 months</v>
      </c>
      <c r="AU614" s="22" t="s">
        <v>3240</v>
      </c>
    </row>
    <row r="615" spans="1:47" s="12" customFormat="1">
      <c r="A615" s="33" t="str">
        <f t="shared" si="180"/>
        <v>cancel</v>
      </c>
      <c r="B615" s="152" t="s">
        <v>185</v>
      </c>
      <c r="C615" s="152" t="s">
        <v>185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185</v>
      </c>
      <c r="G615" s="152" t="s">
        <v>1616</v>
      </c>
      <c r="H615" s="155"/>
      <c r="I615" s="33" t="str">
        <f t="shared" si="182"/>
        <v>Cancel</v>
      </c>
      <c r="J615" s="186" t="s">
        <v>185</v>
      </c>
      <c r="K615" s="155" t="s">
        <v>2604</v>
      </c>
      <c r="L615" s="17" t="s">
        <v>92</v>
      </c>
      <c r="M615" s="13" t="s">
        <v>60</v>
      </c>
      <c r="N615" s="13">
        <v>1</v>
      </c>
      <c r="O615" s="13"/>
      <c r="P615" s="33" t="str">
        <f t="shared" si="183"/>
        <v>MAIN UNIT</v>
      </c>
      <c r="Q615" s="13" t="s">
        <v>68</v>
      </c>
      <c r="R615" s="13" t="s">
        <v>62</v>
      </c>
      <c r="S615" s="13" t="s">
        <v>51</v>
      </c>
      <c r="T615" s="13" t="s">
        <v>349</v>
      </c>
      <c r="U615" s="13" t="s">
        <v>149</v>
      </c>
      <c r="V615" s="13" t="s">
        <v>134</v>
      </c>
      <c r="W615" s="13" t="s">
        <v>64</v>
      </c>
      <c r="X615" s="135">
        <v>800000</v>
      </c>
      <c r="Y615" s="157" t="str">
        <f t="shared" si="196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78"/>
        <v>499582152.5142017</v>
      </c>
      <c r="AJ615" s="19">
        <f t="shared" si="179"/>
        <v>59520528.679470733</v>
      </c>
      <c r="AK615" s="20">
        <f t="shared" si="188"/>
        <v>0.11914062257814291</v>
      </c>
      <c r="AL615" s="17"/>
      <c r="AM615" s="17"/>
      <c r="AN615" s="17"/>
      <c r="AO615" s="17"/>
      <c r="AP615" s="28" t="str">
        <f t="shared" si="189"/>
        <v>CancelCANCEL</v>
      </c>
      <c r="AQ615" s="28" t="str">
        <f t="shared" si="190"/>
        <v>CancelCANCELRMB</v>
      </c>
      <c r="AR615" s="206" t="str">
        <f t="shared" si="191"/>
        <v>YAMAHA_Mounter</v>
      </c>
      <c r="AS615" s="22" t="str">
        <f t="shared" si="192"/>
        <v/>
      </c>
      <c r="AT615" s="24" t="str">
        <f t="shared" si="193"/>
        <v/>
      </c>
      <c r="AU615" s="22" t="s">
        <v>3240</v>
      </c>
    </row>
    <row r="616" spans="1:47" s="12" customFormat="1">
      <c r="A616" s="33" t="str">
        <f t="shared" si="180"/>
        <v>cancel</v>
      </c>
      <c r="B616" s="152" t="s">
        <v>185</v>
      </c>
      <c r="C616" s="152" t="s">
        <v>185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185</v>
      </c>
      <c r="G616" s="152" t="s">
        <v>1616</v>
      </c>
      <c r="H616" s="155"/>
      <c r="I616" s="33" t="str">
        <f t="shared" si="182"/>
        <v>Cancel</v>
      </c>
      <c r="J616" s="186" t="s">
        <v>185</v>
      </c>
      <c r="K616" s="155" t="s">
        <v>2604</v>
      </c>
      <c r="L616" s="17" t="s">
        <v>67</v>
      </c>
      <c r="M616" s="13" t="s">
        <v>60</v>
      </c>
      <c r="N616" s="13">
        <v>1</v>
      </c>
      <c r="O616" s="13"/>
      <c r="P616" s="33" t="str">
        <f t="shared" si="183"/>
        <v>MAIN UNIT</v>
      </c>
      <c r="Q616" s="13" t="s">
        <v>68</v>
      </c>
      <c r="R616" s="13" t="s">
        <v>62</v>
      </c>
      <c r="S616" s="13" t="s">
        <v>51</v>
      </c>
      <c r="T616" s="13" t="s">
        <v>349</v>
      </c>
      <c r="U616" s="13" t="s">
        <v>149</v>
      </c>
      <c r="V616" s="13" t="s">
        <v>134</v>
      </c>
      <c r="W616" s="13" t="s">
        <v>64</v>
      </c>
      <c r="X616" s="135">
        <v>770000</v>
      </c>
      <c r="Y616" s="157" t="str">
        <f t="shared" si="196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78"/>
        <v>499582152.5142017</v>
      </c>
      <c r="AJ616" s="19">
        <f t="shared" si="179"/>
        <v>59520528.679470733</v>
      </c>
      <c r="AK616" s="20">
        <f t="shared" si="188"/>
        <v>0.11914062257814291</v>
      </c>
      <c r="AL616" s="17"/>
      <c r="AM616" s="17"/>
      <c r="AN616" s="17"/>
      <c r="AO616" s="17"/>
      <c r="AP616" s="28" t="str">
        <f t="shared" si="189"/>
        <v>CancelCANCEL</v>
      </c>
      <c r="AQ616" s="28" t="str">
        <f t="shared" si="190"/>
        <v>CancelCANCELRMB</v>
      </c>
      <c r="AR616" s="206" t="str">
        <f t="shared" si="191"/>
        <v>YAMAHA_Mounter</v>
      </c>
      <c r="AS616" s="22" t="str">
        <f t="shared" si="192"/>
        <v/>
      </c>
      <c r="AT616" s="24" t="str">
        <f t="shared" si="193"/>
        <v/>
      </c>
      <c r="AU616" s="22" t="s">
        <v>3240</v>
      </c>
    </row>
    <row r="617" spans="1:47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54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2113</v>
      </c>
      <c r="K617" s="155" t="s">
        <v>2114</v>
      </c>
      <c r="L617" s="17" t="s">
        <v>67</v>
      </c>
      <c r="M617" s="13" t="s">
        <v>60</v>
      </c>
      <c r="N617" s="13">
        <v>1</v>
      </c>
      <c r="O617" s="13"/>
      <c r="P617" s="33" t="str">
        <f t="shared" si="183"/>
        <v>MAIN UNIT</v>
      </c>
      <c r="Q617" s="13" t="s">
        <v>68</v>
      </c>
      <c r="R617" s="13" t="s">
        <v>62</v>
      </c>
      <c r="S617" s="13" t="s">
        <v>51</v>
      </c>
      <c r="T617" s="13" t="s">
        <v>349</v>
      </c>
      <c r="U617" s="13" t="s">
        <v>149</v>
      </c>
      <c r="V617" s="13" t="s">
        <v>134</v>
      </c>
      <c r="W617" s="13" t="s">
        <v>64</v>
      </c>
      <c r="X617" s="135">
        <v>624000</v>
      </c>
      <c r="Y617" s="157" t="str">
        <f t="shared" si="196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78"/>
        <v>7502645.9971681423</v>
      </c>
      <c r="AJ617" s="19">
        <f t="shared" si="179"/>
        <v>664841.72044240718</v>
      </c>
      <c r="AK617" s="20">
        <f t="shared" si="188"/>
        <v>8.861429963420242E-2</v>
      </c>
      <c r="AL617" s="17"/>
      <c r="AM617" s="17"/>
      <c r="AN617" s="17"/>
      <c r="AO617" s="17"/>
      <c r="AP617" s="28" t="str">
        <f t="shared" si="189"/>
        <v>20231</v>
      </c>
      <c r="AQ617" s="28" t="str">
        <f t="shared" si="190"/>
        <v>20231RMB</v>
      </c>
      <c r="AR617" s="206" t="str">
        <f t="shared" si="191"/>
        <v>YAMAHA_Mounter</v>
      </c>
      <c r="AS617" s="22">
        <f t="shared" si="192"/>
        <v>3</v>
      </c>
      <c r="AT617" s="24" t="str">
        <f t="shared" si="193"/>
        <v>0-3 months</v>
      </c>
      <c r="AU617" s="22" t="s">
        <v>3240</v>
      </c>
    </row>
    <row r="618" spans="1:47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48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2932</v>
      </c>
      <c r="K618" s="155" t="s">
        <v>2933</v>
      </c>
      <c r="L618" s="17" t="s">
        <v>2060</v>
      </c>
      <c r="M618" s="13" t="s">
        <v>2054</v>
      </c>
      <c r="N618" s="13">
        <v>1</v>
      </c>
      <c r="O618" s="13"/>
      <c r="P618" s="33" t="str">
        <f t="shared" si="183"/>
        <v>MAIN UNIT</v>
      </c>
      <c r="Q618" s="13" t="s">
        <v>68</v>
      </c>
      <c r="R618" s="13" t="s">
        <v>2934</v>
      </c>
      <c r="S618" s="13" t="s">
        <v>51</v>
      </c>
      <c r="T618" s="13" t="s">
        <v>2935</v>
      </c>
      <c r="U618" s="13" t="s">
        <v>149</v>
      </c>
      <c r="V618" s="13" t="s">
        <v>2936</v>
      </c>
      <c r="W618" s="13" t="s">
        <v>64</v>
      </c>
      <c r="X618" s="135">
        <v>34488</v>
      </c>
      <c r="Y618" s="157" t="str">
        <f t="shared" si="196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78"/>
        <v>28011162.254106201</v>
      </c>
      <c r="AJ618" s="19">
        <f t="shared" si="179"/>
        <v>3401347.1124888416</v>
      </c>
      <c r="AK618" s="20">
        <f t="shared" si="188"/>
        <v>0.12142827497242578</v>
      </c>
      <c r="AL618" s="17"/>
      <c r="AM618" s="17"/>
      <c r="AN618" s="17"/>
      <c r="AO618" s="17"/>
      <c r="AP618" s="28" t="str">
        <f t="shared" si="189"/>
        <v>202010</v>
      </c>
      <c r="AQ618" s="28" t="str">
        <f t="shared" si="190"/>
        <v>202010RMB</v>
      </c>
      <c r="AR618" s="206" t="str">
        <f t="shared" si="191"/>
        <v>SOLDERSTAR</v>
      </c>
      <c r="AS618" s="22">
        <f t="shared" si="192"/>
        <v>3</v>
      </c>
      <c r="AT618" s="24" t="str">
        <f t="shared" si="193"/>
        <v>0-3 months</v>
      </c>
      <c r="AU618" s="22" t="s">
        <v>3240</v>
      </c>
    </row>
    <row r="619" spans="1:47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185</v>
      </c>
      <c r="F619" s="13" t="s">
        <v>185</v>
      </c>
      <c r="G619" s="152" t="s">
        <v>185</v>
      </c>
      <c r="H619" s="155"/>
      <c r="I619" s="33" t="str">
        <f t="shared" si="182"/>
        <v>Cancel</v>
      </c>
      <c r="J619" s="186" t="s">
        <v>585</v>
      </c>
      <c r="K619" s="155" t="s">
        <v>586</v>
      </c>
      <c r="L619" s="17" t="s">
        <v>92</v>
      </c>
      <c r="M619" s="13" t="s">
        <v>60</v>
      </c>
      <c r="N619" s="13">
        <v>1</v>
      </c>
      <c r="O619" s="13"/>
      <c r="P619" s="33" t="str">
        <f t="shared" si="183"/>
        <v>MAIN UNIT</v>
      </c>
      <c r="Q619" s="13" t="s">
        <v>68</v>
      </c>
      <c r="R619" s="13" t="s">
        <v>62</v>
      </c>
      <c r="S619" s="13" t="s">
        <v>51</v>
      </c>
      <c r="T619" s="13"/>
      <c r="U619" s="13" t="s">
        <v>149</v>
      </c>
      <c r="V619" s="13" t="s">
        <v>160</v>
      </c>
      <c r="W619" s="13" t="s">
        <v>64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78"/>
        <v>499582152.5142017</v>
      </c>
      <c r="AJ619" s="19">
        <f t="shared" si="179"/>
        <v>59520528.679470733</v>
      </c>
      <c r="AK619" s="20">
        <f t="shared" si="188"/>
        <v>0.11914062257814291</v>
      </c>
      <c r="AL619" s="17"/>
      <c r="AM619" s="17"/>
      <c r="AN619" s="17"/>
      <c r="AO619" s="17" t="s">
        <v>587</v>
      </c>
      <c r="AP619" s="28" t="str">
        <f t="shared" si="189"/>
        <v>CancelCancel</v>
      </c>
      <c r="AQ619" s="28" t="str">
        <f t="shared" si="190"/>
        <v>CancelCancelRMB</v>
      </c>
      <c r="AR619" s="206" t="str">
        <f t="shared" si="191"/>
        <v>YAMAHA_Mounter</v>
      </c>
      <c r="AS619" s="22" t="str">
        <f t="shared" si="192"/>
        <v/>
      </c>
      <c r="AT619" s="24" t="str">
        <f t="shared" si="193"/>
        <v/>
      </c>
      <c r="AU619" s="22" t="s">
        <v>3240</v>
      </c>
    </row>
    <row r="620" spans="1:47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41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465</v>
      </c>
      <c r="K620" s="155" t="s">
        <v>466</v>
      </c>
      <c r="L620" s="17" t="s">
        <v>77</v>
      </c>
      <c r="M620" s="13" t="s">
        <v>60</v>
      </c>
      <c r="N620" s="13">
        <v>1</v>
      </c>
      <c r="O620" s="13"/>
      <c r="P620" s="33" t="str">
        <f t="shared" si="183"/>
        <v>MAIN UNIT</v>
      </c>
      <c r="Q620" s="13" t="s">
        <v>61</v>
      </c>
      <c r="R620" s="13" t="s">
        <v>62</v>
      </c>
      <c r="S620" s="13" t="s">
        <v>51</v>
      </c>
      <c r="T620" s="13" t="s">
        <v>349</v>
      </c>
      <c r="U620" s="13" t="s">
        <v>149</v>
      </c>
      <c r="V620" s="13" t="s">
        <v>220</v>
      </c>
      <c r="W620" s="13" t="s">
        <v>64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78"/>
        <v>29840797.698275864</v>
      </c>
      <c r="AJ620" s="19">
        <f t="shared" si="179"/>
        <v>3940167.6555448272</v>
      </c>
      <c r="AK620" s="20">
        <f t="shared" si="188"/>
        <v>0.13203962224416277</v>
      </c>
      <c r="AL620" s="17"/>
      <c r="AM620" s="17"/>
      <c r="AN620" s="17"/>
      <c r="AO620" s="17"/>
      <c r="AP620" s="28" t="str">
        <f t="shared" si="189"/>
        <v>201812</v>
      </c>
      <c r="AQ620" s="28" t="str">
        <f t="shared" si="190"/>
        <v>201812RMB</v>
      </c>
      <c r="AR620" s="206" t="str">
        <f t="shared" si="191"/>
        <v>YAMAHA_Mounter</v>
      </c>
      <c r="AS620" s="22">
        <f t="shared" si="192"/>
        <v>7</v>
      </c>
      <c r="AT620" s="24" t="str">
        <f t="shared" si="193"/>
        <v>&gt; 6 months</v>
      </c>
      <c r="AU620" s="22" t="s">
        <v>3240</v>
      </c>
    </row>
    <row r="621" spans="1:47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41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465</v>
      </c>
      <c r="K621" s="155" t="s">
        <v>466</v>
      </c>
      <c r="L621" s="17" t="s">
        <v>67</v>
      </c>
      <c r="M621" s="13" t="s">
        <v>60</v>
      </c>
      <c r="N621" s="13">
        <v>1</v>
      </c>
      <c r="O621" s="13"/>
      <c r="P621" s="33" t="str">
        <f t="shared" si="183"/>
        <v>MAIN UNIT</v>
      </c>
      <c r="Q621" s="13" t="s">
        <v>61</v>
      </c>
      <c r="R621" s="13" t="s">
        <v>62</v>
      </c>
      <c r="S621" s="13" t="s">
        <v>51</v>
      </c>
      <c r="T621" s="13" t="s">
        <v>349</v>
      </c>
      <c r="U621" s="13" t="s">
        <v>149</v>
      </c>
      <c r="V621" s="13" t="s">
        <v>220</v>
      </c>
      <c r="W621" s="13" t="s">
        <v>64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78"/>
        <v>29840797.698275864</v>
      </c>
      <c r="AJ621" s="19">
        <f t="shared" si="179"/>
        <v>3940167.6555448272</v>
      </c>
      <c r="AK621" s="20">
        <f t="shared" si="188"/>
        <v>0.13203962224416277</v>
      </c>
      <c r="AL621" s="17"/>
      <c r="AM621" s="17"/>
      <c r="AN621" s="17"/>
      <c r="AO621" s="17"/>
      <c r="AP621" s="28" t="str">
        <f t="shared" si="189"/>
        <v>201812</v>
      </c>
      <c r="AQ621" s="28" t="str">
        <f t="shared" si="190"/>
        <v>201812RMB</v>
      </c>
      <c r="AR621" s="206" t="str">
        <f t="shared" si="191"/>
        <v>YAMAHA_Mounter</v>
      </c>
      <c r="AS621" s="22">
        <f t="shared" si="192"/>
        <v>7</v>
      </c>
      <c r="AT621" s="24" t="str">
        <f t="shared" si="193"/>
        <v>&gt; 6 months</v>
      </c>
      <c r="AU621" s="22" t="s">
        <v>3240</v>
      </c>
    </row>
    <row r="622" spans="1:47" s="12" customFormat="1">
      <c r="A622" s="33" t="str">
        <f t="shared" si="180"/>
        <v/>
      </c>
      <c r="B622" s="152" t="s">
        <v>2584</v>
      </c>
      <c r="C622" s="152" t="s">
        <v>2584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2584</v>
      </c>
      <c r="G622" s="152" t="s">
        <v>2584</v>
      </c>
      <c r="H622" s="155"/>
      <c r="I622" s="33" t="str">
        <f t="shared" si="182"/>
        <v>TBA</v>
      </c>
      <c r="J622" s="186" t="s">
        <v>2584</v>
      </c>
      <c r="K622" s="155" t="s">
        <v>2610</v>
      </c>
      <c r="L622" s="17" t="s">
        <v>2611</v>
      </c>
      <c r="M622" s="13" t="s">
        <v>2607</v>
      </c>
      <c r="N622" s="13">
        <v>1</v>
      </c>
      <c r="O622" s="13"/>
      <c r="P622" s="33" t="str">
        <f t="shared" si="183"/>
        <v>MAIN UNIT</v>
      </c>
      <c r="Q622" s="13" t="s">
        <v>61</v>
      </c>
      <c r="R622" s="13" t="s">
        <v>2055</v>
      </c>
      <c r="S622" s="13" t="s">
        <v>51</v>
      </c>
      <c r="T622" s="13" t="s">
        <v>349</v>
      </c>
      <c r="U622" s="13" t="s">
        <v>149</v>
      </c>
      <c r="V622" s="13" t="s">
        <v>134</v>
      </c>
      <c r="W622" s="13" t="s">
        <v>64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78"/>
        <v>30033846.584070798</v>
      </c>
      <c r="AJ622" s="19">
        <f t="shared" si="179"/>
        <v>3534936.4750884958</v>
      </c>
      <c r="AK622" s="20">
        <f t="shared" si="188"/>
        <v>0.11769842618039268</v>
      </c>
      <c r="AL622" s="17"/>
      <c r="AM622" s="17"/>
      <c r="AN622" s="17"/>
      <c r="AO622" s="17"/>
      <c r="AP622" s="28" t="str">
        <f t="shared" si="189"/>
        <v>TBATBA</v>
      </c>
      <c r="AQ622" s="28" t="str">
        <f t="shared" si="190"/>
        <v>TBATBARMB</v>
      </c>
      <c r="AR622" s="206" t="str">
        <f t="shared" si="191"/>
        <v>HELLER</v>
      </c>
      <c r="AS622" s="22" t="str">
        <f t="shared" si="192"/>
        <v/>
      </c>
      <c r="AT622" s="24" t="str">
        <f t="shared" si="193"/>
        <v/>
      </c>
      <c r="AU622" s="22" t="s">
        <v>3240</v>
      </c>
    </row>
    <row r="623" spans="1:47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54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2288</v>
      </c>
      <c r="K623" s="155" t="s">
        <v>2289</v>
      </c>
      <c r="L623" s="17" t="s">
        <v>67</v>
      </c>
      <c r="M623" s="13" t="s">
        <v>60</v>
      </c>
      <c r="N623" s="13">
        <v>1</v>
      </c>
      <c r="O623" s="13"/>
      <c r="P623" s="33" t="str">
        <f t="shared" si="183"/>
        <v>MAIN UNIT</v>
      </c>
      <c r="Q623" s="13" t="s">
        <v>68</v>
      </c>
      <c r="R623" s="13" t="s">
        <v>62</v>
      </c>
      <c r="S623" s="13" t="s">
        <v>51</v>
      </c>
      <c r="T623" s="13" t="s">
        <v>349</v>
      </c>
      <c r="U623" s="13" t="s">
        <v>149</v>
      </c>
      <c r="V623" s="13" t="s">
        <v>954</v>
      </c>
      <c r="W623" s="13" t="s">
        <v>64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78"/>
        <v>15948576.102654871</v>
      </c>
      <c r="AJ623" s="19">
        <f t="shared" si="179"/>
        <v>2739848.7004853105</v>
      </c>
      <c r="AK623" s="20">
        <f t="shared" si="188"/>
        <v>0.17179268436567344</v>
      </c>
      <c r="AL623" s="17"/>
      <c r="AM623" s="17"/>
      <c r="AN623" s="17"/>
      <c r="AO623" s="17"/>
      <c r="AP623" s="28" t="str">
        <f t="shared" si="189"/>
        <v>20229</v>
      </c>
      <c r="AQ623" s="28" t="str">
        <f t="shared" si="190"/>
        <v>20229RMB</v>
      </c>
      <c r="AR623" s="206" t="str">
        <f t="shared" si="191"/>
        <v>YAMAHA_Mounter</v>
      </c>
      <c r="AS623" s="22">
        <f t="shared" si="192"/>
        <v>3</v>
      </c>
      <c r="AT623" s="24" t="str">
        <f t="shared" si="193"/>
        <v>0-3 months</v>
      </c>
      <c r="AU623" s="22" t="s">
        <v>3240</v>
      </c>
    </row>
    <row r="624" spans="1:47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54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2288</v>
      </c>
      <c r="K624" s="155" t="s">
        <v>2289</v>
      </c>
      <c r="L624" s="17" t="s">
        <v>67</v>
      </c>
      <c r="M624" s="13" t="s">
        <v>60</v>
      </c>
      <c r="N624" s="13">
        <v>1</v>
      </c>
      <c r="O624" s="13"/>
      <c r="P624" s="33" t="str">
        <f t="shared" si="183"/>
        <v>MAIN UNIT</v>
      </c>
      <c r="Q624" s="13" t="s">
        <v>68</v>
      </c>
      <c r="R624" s="13" t="s">
        <v>62</v>
      </c>
      <c r="S624" s="13" t="s">
        <v>51</v>
      </c>
      <c r="T624" s="13" t="s">
        <v>349</v>
      </c>
      <c r="U624" s="13" t="s">
        <v>149</v>
      </c>
      <c r="V624" s="13" t="s">
        <v>954</v>
      </c>
      <c r="W624" s="13" t="s">
        <v>64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78"/>
        <v>15948576.102654871</v>
      </c>
      <c r="AJ624" s="19">
        <f t="shared" si="179"/>
        <v>2739848.7004853105</v>
      </c>
      <c r="AK624" s="20">
        <f t="shared" si="188"/>
        <v>0.17179268436567344</v>
      </c>
      <c r="AL624" s="17"/>
      <c r="AM624" s="17"/>
      <c r="AN624" s="17"/>
      <c r="AO624" s="17"/>
      <c r="AP624" s="28" t="str">
        <f t="shared" si="189"/>
        <v>20229</v>
      </c>
      <c r="AQ624" s="28" t="str">
        <f t="shared" si="190"/>
        <v>20229RMB</v>
      </c>
      <c r="AR624" s="206" t="str">
        <f t="shared" si="191"/>
        <v>YAMAHA_Mounter</v>
      </c>
      <c r="AS624" s="22">
        <f t="shared" si="192"/>
        <v>3</v>
      </c>
      <c r="AT624" s="24" t="str">
        <f t="shared" si="193"/>
        <v>0-3 months</v>
      </c>
      <c r="AU624" s="22" t="s">
        <v>3240</v>
      </c>
    </row>
    <row r="625" spans="1:47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54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2318</v>
      </c>
      <c r="K625" s="155" t="s">
        <v>2319</v>
      </c>
      <c r="L625" s="17" t="s">
        <v>92</v>
      </c>
      <c r="M625" s="13" t="s">
        <v>60</v>
      </c>
      <c r="N625" s="13">
        <v>1</v>
      </c>
      <c r="O625" s="13"/>
      <c r="P625" s="33" t="str">
        <f t="shared" si="183"/>
        <v>MAIN UNIT</v>
      </c>
      <c r="Q625" s="13" t="s">
        <v>61</v>
      </c>
      <c r="R625" s="13" t="s">
        <v>62</v>
      </c>
      <c r="S625" s="13" t="s">
        <v>51</v>
      </c>
      <c r="T625" s="13" t="s">
        <v>349</v>
      </c>
      <c r="U625" s="13" t="s">
        <v>149</v>
      </c>
      <c r="V625" s="13" t="s">
        <v>954</v>
      </c>
      <c r="W625" s="13" t="s">
        <v>64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78"/>
        <v>31017966.201968137</v>
      </c>
      <c r="AJ625" s="19">
        <f t="shared" si="179"/>
        <v>4704250.3347305888</v>
      </c>
      <c r="AK625" s="20">
        <f t="shared" si="188"/>
        <v>0.15166211427595458</v>
      </c>
      <c r="AL625" s="17"/>
      <c r="AM625" s="17"/>
      <c r="AN625" s="17"/>
      <c r="AO625" s="17"/>
      <c r="AP625" s="28" t="str">
        <f t="shared" si="189"/>
        <v>202211</v>
      </c>
      <c r="AQ625" s="28" t="str">
        <f t="shared" si="190"/>
        <v>202211RMB</v>
      </c>
      <c r="AR625" s="206" t="str">
        <f t="shared" si="191"/>
        <v>YAMAHA_Mounter</v>
      </c>
      <c r="AS625" s="22">
        <f t="shared" si="192"/>
        <v>1</v>
      </c>
      <c r="AT625" s="24" t="str">
        <f t="shared" si="193"/>
        <v>0-3 months</v>
      </c>
      <c r="AU625" s="22" t="s">
        <v>3240</v>
      </c>
    </row>
    <row r="626" spans="1:47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54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2318</v>
      </c>
      <c r="K626" s="155" t="s">
        <v>2319</v>
      </c>
      <c r="L626" s="17" t="s">
        <v>67</v>
      </c>
      <c r="M626" s="13" t="s">
        <v>60</v>
      </c>
      <c r="N626" s="13">
        <v>1</v>
      </c>
      <c r="O626" s="13"/>
      <c r="P626" s="33" t="str">
        <f t="shared" si="183"/>
        <v>MAIN UNIT</v>
      </c>
      <c r="Q626" s="13" t="s">
        <v>61</v>
      </c>
      <c r="R626" s="13" t="s">
        <v>62</v>
      </c>
      <c r="S626" s="13" t="s">
        <v>51</v>
      </c>
      <c r="T626" s="13" t="s">
        <v>349</v>
      </c>
      <c r="U626" s="13" t="s">
        <v>149</v>
      </c>
      <c r="V626" s="13" t="s">
        <v>954</v>
      </c>
      <c r="W626" s="13" t="s">
        <v>64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78"/>
        <v>31017966.201968137</v>
      </c>
      <c r="AJ626" s="19">
        <f t="shared" si="179"/>
        <v>4704250.3347305888</v>
      </c>
      <c r="AK626" s="20">
        <f t="shared" si="188"/>
        <v>0.15166211427595458</v>
      </c>
      <c r="AL626" s="17"/>
      <c r="AM626" s="17"/>
      <c r="AN626" s="17"/>
      <c r="AO626" s="17"/>
      <c r="AP626" s="28" t="str">
        <f t="shared" si="189"/>
        <v>202211</v>
      </c>
      <c r="AQ626" s="28" t="str">
        <f t="shared" si="190"/>
        <v>202211RMB</v>
      </c>
      <c r="AR626" s="206" t="str">
        <f t="shared" si="191"/>
        <v>YAMAHA_Mounter</v>
      </c>
      <c r="AS626" s="22">
        <f t="shared" si="192"/>
        <v>1</v>
      </c>
      <c r="AT626" s="24" t="str">
        <f t="shared" si="193"/>
        <v>0-3 months</v>
      </c>
      <c r="AU626" s="22" t="s">
        <v>3240</v>
      </c>
    </row>
    <row r="627" spans="1:47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41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544</v>
      </c>
      <c r="K627" s="155" t="s">
        <v>545</v>
      </c>
      <c r="L627" s="17" t="s">
        <v>92</v>
      </c>
      <c r="M627" s="13" t="s">
        <v>60</v>
      </c>
      <c r="N627" s="13">
        <v>1</v>
      </c>
      <c r="O627" s="13"/>
      <c r="P627" s="33" t="str">
        <f t="shared" si="183"/>
        <v>MAIN UNIT</v>
      </c>
      <c r="Q627" s="13" t="s">
        <v>61</v>
      </c>
      <c r="R627" s="13" t="s">
        <v>62</v>
      </c>
      <c r="S627" s="13" t="s">
        <v>51</v>
      </c>
      <c r="T627" s="13" t="s">
        <v>349</v>
      </c>
      <c r="U627" s="13" t="s">
        <v>149</v>
      </c>
      <c r="V627" s="13" t="s">
        <v>160</v>
      </c>
      <c r="W627" s="13" t="s">
        <v>64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78"/>
        <v>23237072.69172414</v>
      </c>
      <c r="AJ627" s="19">
        <f t="shared" si="179"/>
        <v>2402195.7372206897</v>
      </c>
      <c r="AK627" s="20">
        <f t="shared" si="188"/>
        <v>0.10337772614862238</v>
      </c>
      <c r="AL627" s="17"/>
      <c r="AM627" s="17"/>
      <c r="AN627" s="17"/>
      <c r="AO627" s="17" t="s">
        <v>61</v>
      </c>
      <c r="AP627" s="28" t="str">
        <f t="shared" si="189"/>
        <v>20191</v>
      </c>
      <c r="AQ627" s="28" t="str">
        <f t="shared" si="190"/>
        <v>20191RMB</v>
      </c>
      <c r="AR627" s="206" t="str">
        <f t="shared" si="191"/>
        <v>YAMAHA_Mounter</v>
      </c>
      <c r="AS627" s="22">
        <f t="shared" si="192"/>
        <v>6</v>
      </c>
      <c r="AT627" s="24" t="str">
        <f t="shared" si="193"/>
        <v>4-6 months</v>
      </c>
      <c r="AU627" s="22" t="s">
        <v>3240</v>
      </c>
    </row>
    <row r="628" spans="1:47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41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544</v>
      </c>
      <c r="K628" s="155" t="s">
        <v>545</v>
      </c>
      <c r="L628" s="17" t="s">
        <v>59</v>
      </c>
      <c r="M628" s="13" t="s">
        <v>60</v>
      </c>
      <c r="N628" s="13">
        <v>1</v>
      </c>
      <c r="O628" s="13"/>
      <c r="P628" s="33" t="str">
        <f t="shared" si="183"/>
        <v>MAIN UNIT</v>
      </c>
      <c r="Q628" s="13" t="s">
        <v>61</v>
      </c>
      <c r="R628" s="13" t="s">
        <v>62</v>
      </c>
      <c r="S628" s="13" t="s">
        <v>51</v>
      </c>
      <c r="T628" s="13" t="s">
        <v>349</v>
      </c>
      <c r="U628" s="13" t="s">
        <v>149</v>
      </c>
      <c r="V628" s="13" t="s">
        <v>160</v>
      </c>
      <c r="W628" s="13" t="s">
        <v>64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78"/>
        <v>23237072.69172414</v>
      </c>
      <c r="AJ628" s="19">
        <f t="shared" si="179"/>
        <v>2402195.7372206897</v>
      </c>
      <c r="AK628" s="20">
        <f t="shared" si="188"/>
        <v>0.10337772614862238</v>
      </c>
      <c r="AL628" s="17"/>
      <c r="AM628" s="17"/>
      <c r="AN628" s="17"/>
      <c r="AO628" s="17" t="s">
        <v>61</v>
      </c>
      <c r="AP628" s="28" t="str">
        <f t="shared" si="189"/>
        <v>20191</v>
      </c>
      <c r="AQ628" s="28" t="str">
        <f t="shared" si="190"/>
        <v>20191RMB</v>
      </c>
      <c r="AR628" s="206" t="str">
        <f t="shared" si="191"/>
        <v>YAMAHA_Mounter</v>
      </c>
      <c r="AS628" s="22">
        <f t="shared" si="192"/>
        <v>6</v>
      </c>
      <c r="AT628" s="24" t="str">
        <f t="shared" si="193"/>
        <v>4-6 months</v>
      </c>
      <c r="AU628" s="22" t="s">
        <v>3240</v>
      </c>
    </row>
    <row r="629" spans="1:47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47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898</v>
      </c>
      <c r="K629" s="155" t="s">
        <v>545</v>
      </c>
      <c r="L629" s="17" t="s">
        <v>92</v>
      </c>
      <c r="M629" s="13" t="s">
        <v>60</v>
      </c>
      <c r="N629" s="13">
        <v>1</v>
      </c>
      <c r="O629" s="13"/>
      <c r="P629" s="33" t="str">
        <f t="shared" si="183"/>
        <v>MAIN UNIT</v>
      </c>
      <c r="Q629" s="13" t="s">
        <v>61</v>
      </c>
      <c r="R629" s="13" t="s">
        <v>62</v>
      </c>
      <c r="S629" s="13" t="s">
        <v>51</v>
      </c>
      <c r="T629" s="13" t="s">
        <v>349</v>
      </c>
      <c r="U629" s="13" t="s">
        <v>149</v>
      </c>
      <c r="V629" s="13" t="s">
        <v>564</v>
      </c>
      <c r="W629" s="13" t="s">
        <v>64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78"/>
        <v>26147030.909862842</v>
      </c>
      <c r="AJ629" s="19">
        <f t="shared" si="179"/>
        <v>2743862.8630715334</v>
      </c>
      <c r="AK629" s="20">
        <f t="shared" si="188"/>
        <v>0.10493974908778378</v>
      </c>
      <c r="AL629" s="17"/>
      <c r="AM629" s="17"/>
      <c r="AN629" s="17"/>
      <c r="AO629" s="17"/>
      <c r="AP629" s="28" t="str">
        <f t="shared" si="189"/>
        <v>201911</v>
      </c>
      <c r="AQ629" s="28" t="str">
        <f t="shared" si="190"/>
        <v>201911RMB</v>
      </c>
      <c r="AR629" s="206" t="str">
        <f t="shared" si="191"/>
        <v>YAMAHA_Mounter</v>
      </c>
      <c r="AS629" s="22">
        <f t="shared" si="192"/>
        <v>0</v>
      </c>
      <c r="AT629" s="24" t="str">
        <f t="shared" si="193"/>
        <v>0-3 months</v>
      </c>
      <c r="AU629" s="22" t="s">
        <v>3240</v>
      </c>
    </row>
    <row r="630" spans="1:47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48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1490</v>
      </c>
      <c r="K630" s="155" t="s">
        <v>1491</v>
      </c>
      <c r="L630" s="17" t="s">
        <v>67</v>
      </c>
      <c r="M630" s="13" t="s">
        <v>60</v>
      </c>
      <c r="N630" s="13">
        <v>1</v>
      </c>
      <c r="O630" s="13"/>
      <c r="P630" s="33" t="str">
        <f t="shared" si="183"/>
        <v>MAIN UNIT</v>
      </c>
      <c r="Q630" s="13" t="s">
        <v>68</v>
      </c>
      <c r="R630" s="13" t="s">
        <v>62</v>
      </c>
      <c r="S630" s="13" t="s">
        <v>51</v>
      </c>
      <c r="T630" s="13" t="s">
        <v>349</v>
      </c>
      <c r="U630" s="13" t="s">
        <v>149</v>
      </c>
      <c r="V630" s="13" t="s">
        <v>954</v>
      </c>
      <c r="W630" s="13" t="s">
        <v>64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78"/>
        <v>48763143.537654862</v>
      </c>
      <c r="AJ630" s="19">
        <f t="shared" si="179"/>
        <v>5924029.9702154724</v>
      </c>
      <c r="AK630" s="20">
        <f t="shared" si="188"/>
        <v>0.1214858095774925</v>
      </c>
      <c r="AL630" s="17"/>
      <c r="AM630" s="17"/>
      <c r="AN630" s="17"/>
      <c r="AO630" s="17"/>
      <c r="AP630" s="28" t="str">
        <f t="shared" si="189"/>
        <v>202012</v>
      </c>
      <c r="AQ630" s="28" t="str">
        <f t="shared" si="190"/>
        <v>202012RMB</v>
      </c>
      <c r="AR630" s="206" t="str">
        <f t="shared" si="191"/>
        <v>YAMAHA_Mounter</v>
      </c>
      <c r="AS630" s="22">
        <f t="shared" si="192"/>
        <v>0</v>
      </c>
      <c r="AT630" s="24" t="str">
        <f t="shared" si="193"/>
        <v>0-3 months</v>
      </c>
      <c r="AU630" s="22" t="s">
        <v>3240</v>
      </c>
    </row>
    <row r="631" spans="1:47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185</v>
      </c>
      <c r="F631" s="13" t="s">
        <v>185</v>
      </c>
      <c r="G631" s="152" t="s">
        <v>185</v>
      </c>
      <c r="H631" s="155"/>
      <c r="I631" s="33" t="str">
        <f t="shared" si="182"/>
        <v>Cancel</v>
      </c>
      <c r="J631" s="186" t="s">
        <v>2359</v>
      </c>
      <c r="K631" s="155" t="s">
        <v>1491</v>
      </c>
      <c r="L631" s="17" t="s">
        <v>67</v>
      </c>
      <c r="M631" s="13" t="s">
        <v>60</v>
      </c>
      <c r="N631" s="13">
        <v>1</v>
      </c>
      <c r="O631" s="13"/>
      <c r="P631" s="33" t="str">
        <f t="shared" si="183"/>
        <v>MAIN UNIT</v>
      </c>
      <c r="Q631" s="13" t="s">
        <v>61</v>
      </c>
      <c r="R631" s="13" t="s">
        <v>62</v>
      </c>
      <c r="S631" s="13" t="s">
        <v>51</v>
      </c>
      <c r="T631" s="13" t="s">
        <v>349</v>
      </c>
      <c r="U631" s="13" t="s">
        <v>149</v>
      </c>
      <c r="V631" s="13" t="s">
        <v>954</v>
      </c>
      <c r="W631" s="13" t="s">
        <v>64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78"/>
        <v>499582152.5142017</v>
      </c>
      <c r="AJ631" s="19">
        <f t="shared" si="179"/>
        <v>59520528.679470733</v>
      </c>
      <c r="AK631" s="20">
        <f t="shared" si="188"/>
        <v>0.11914062257814291</v>
      </c>
      <c r="AL631" s="17"/>
      <c r="AM631" s="17"/>
      <c r="AN631" s="17"/>
      <c r="AO631" s="17"/>
      <c r="AP631" s="28" t="str">
        <f t="shared" si="189"/>
        <v>CancelCancel</v>
      </c>
      <c r="AQ631" s="28" t="str">
        <f t="shared" si="190"/>
        <v>CancelCancelRMB</v>
      </c>
      <c r="AR631" s="206" t="str">
        <f t="shared" si="191"/>
        <v>YAMAHA_Mounter</v>
      </c>
      <c r="AS631" s="22" t="str">
        <f t="shared" si="192"/>
        <v/>
      </c>
      <c r="AT631" s="24" t="str">
        <f t="shared" si="193"/>
        <v/>
      </c>
      <c r="AU631" s="22" t="s">
        <v>3240</v>
      </c>
    </row>
    <row r="632" spans="1:47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185</v>
      </c>
      <c r="F632" s="13" t="s">
        <v>185</v>
      </c>
      <c r="G632" s="152" t="s">
        <v>185</v>
      </c>
      <c r="H632" s="155"/>
      <c r="I632" s="33" t="str">
        <f t="shared" si="182"/>
        <v>Cancel</v>
      </c>
      <c r="J632" s="186" t="s">
        <v>2359</v>
      </c>
      <c r="K632" s="155" t="s">
        <v>1491</v>
      </c>
      <c r="L632" s="17" t="s">
        <v>67</v>
      </c>
      <c r="M632" s="13" t="s">
        <v>60</v>
      </c>
      <c r="N632" s="13">
        <v>1</v>
      </c>
      <c r="O632" s="13"/>
      <c r="P632" s="33" t="str">
        <f t="shared" si="183"/>
        <v>MAIN UNIT</v>
      </c>
      <c r="Q632" s="13" t="s">
        <v>61</v>
      </c>
      <c r="R632" s="13" t="s">
        <v>62</v>
      </c>
      <c r="S632" s="13" t="s">
        <v>51</v>
      </c>
      <c r="T632" s="13" t="s">
        <v>349</v>
      </c>
      <c r="U632" s="13" t="s">
        <v>149</v>
      </c>
      <c r="V632" s="13" t="s">
        <v>954</v>
      </c>
      <c r="W632" s="13" t="s">
        <v>64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78"/>
        <v>499582152.5142017</v>
      </c>
      <c r="AJ632" s="19">
        <f t="shared" si="179"/>
        <v>59520528.679470733</v>
      </c>
      <c r="AK632" s="20">
        <f t="shared" si="188"/>
        <v>0.11914062257814291</v>
      </c>
      <c r="AL632" s="17"/>
      <c r="AM632" s="17"/>
      <c r="AN632" s="17"/>
      <c r="AO632" s="17"/>
      <c r="AP632" s="28" t="str">
        <f t="shared" si="189"/>
        <v>CancelCancel</v>
      </c>
      <c r="AQ632" s="28" t="str">
        <f t="shared" si="190"/>
        <v>CancelCancelRMB</v>
      </c>
      <c r="AR632" s="206" t="str">
        <f t="shared" si="191"/>
        <v>YAMAHA_Mounter</v>
      </c>
      <c r="AS632" s="22" t="str">
        <f t="shared" si="192"/>
        <v/>
      </c>
      <c r="AT632" s="24" t="str">
        <f t="shared" si="193"/>
        <v/>
      </c>
      <c r="AU632" s="22" t="s">
        <v>3240</v>
      </c>
    </row>
    <row r="633" spans="1:47" s="12" customFormat="1">
      <c r="A633" s="33" t="str">
        <f t="shared" si="180"/>
        <v/>
      </c>
      <c r="B633" s="152" t="s">
        <v>2584</v>
      </c>
      <c r="C633" s="152" t="s">
        <v>2584</v>
      </c>
      <c r="D633" s="33" t="b">
        <f t="shared" si="181"/>
        <v>0</v>
      </c>
      <c r="E633" s="33" t="s">
        <v>2584</v>
      </c>
      <c r="F633" s="152" t="s">
        <v>2584</v>
      </c>
      <c r="G633" s="152" t="s">
        <v>2584</v>
      </c>
      <c r="H633" s="155"/>
      <c r="I633" s="33" t="str">
        <f t="shared" si="182"/>
        <v>TBA</v>
      </c>
      <c r="J633" s="186" t="s">
        <v>2584</v>
      </c>
      <c r="K633" s="155" t="s">
        <v>1491</v>
      </c>
      <c r="L633" s="17" t="s">
        <v>92</v>
      </c>
      <c r="M633" s="13" t="s">
        <v>60</v>
      </c>
      <c r="N633" s="13">
        <v>1</v>
      </c>
      <c r="O633" s="13"/>
      <c r="P633" s="33" t="str">
        <f t="shared" si="183"/>
        <v>MAIN UNIT</v>
      </c>
      <c r="Q633" s="13" t="s">
        <v>61</v>
      </c>
      <c r="R633" s="13" t="s">
        <v>62</v>
      </c>
      <c r="S633" s="13" t="s">
        <v>51</v>
      </c>
      <c r="T633" s="13" t="s">
        <v>349</v>
      </c>
      <c r="U633" s="13" t="s">
        <v>149</v>
      </c>
      <c r="V633" s="13" t="s">
        <v>954</v>
      </c>
      <c r="W633" s="13" t="s">
        <v>64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78"/>
        <v>30033846.584070798</v>
      </c>
      <c r="AJ633" s="19">
        <f t="shared" si="179"/>
        <v>3534936.4750884958</v>
      </c>
      <c r="AK633" s="20">
        <f t="shared" si="188"/>
        <v>0.11769842618039268</v>
      </c>
      <c r="AL633" s="17"/>
      <c r="AM633" s="17"/>
      <c r="AN633" s="17"/>
      <c r="AO633" s="17"/>
      <c r="AP633" s="28" t="str">
        <f t="shared" si="189"/>
        <v>TBATBA</v>
      </c>
      <c r="AQ633" s="28" t="str">
        <f t="shared" si="190"/>
        <v>TBATBARMB</v>
      </c>
      <c r="AR633" s="206" t="str">
        <f t="shared" si="191"/>
        <v>YAMAHA_Mounter</v>
      </c>
      <c r="AS633" s="22" t="str">
        <f t="shared" si="192"/>
        <v/>
      </c>
      <c r="AT633" s="24" t="str">
        <f t="shared" si="193"/>
        <v/>
      </c>
      <c r="AU633" s="22" t="s">
        <v>3240</v>
      </c>
    </row>
    <row r="634" spans="1:47" s="12" customFormat="1">
      <c r="A634" s="33" t="str">
        <f t="shared" si="180"/>
        <v/>
      </c>
      <c r="B634" s="152" t="s">
        <v>2584</v>
      </c>
      <c r="C634" s="152" t="s">
        <v>2584</v>
      </c>
      <c r="D634" s="33" t="b">
        <f t="shared" si="181"/>
        <v>0</v>
      </c>
      <c r="E634" s="33" t="s">
        <v>2584</v>
      </c>
      <c r="F634" s="152" t="s">
        <v>2584</v>
      </c>
      <c r="G634" s="152" t="s">
        <v>2584</v>
      </c>
      <c r="H634" s="155"/>
      <c r="I634" s="33" t="str">
        <f t="shared" si="182"/>
        <v>TBA</v>
      </c>
      <c r="J634" s="186" t="s">
        <v>2584</v>
      </c>
      <c r="K634" s="155" t="s">
        <v>1491</v>
      </c>
      <c r="L634" s="17" t="s">
        <v>67</v>
      </c>
      <c r="M634" s="13" t="s">
        <v>60</v>
      </c>
      <c r="N634" s="13">
        <v>1</v>
      </c>
      <c r="O634" s="13"/>
      <c r="P634" s="33" t="str">
        <f t="shared" si="183"/>
        <v>MAIN UNIT</v>
      </c>
      <c r="Q634" s="13" t="s">
        <v>61</v>
      </c>
      <c r="R634" s="13" t="s">
        <v>62</v>
      </c>
      <c r="S634" s="13" t="s">
        <v>51</v>
      </c>
      <c r="T634" s="13" t="s">
        <v>349</v>
      </c>
      <c r="U634" s="13" t="s">
        <v>149</v>
      </c>
      <c r="V634" s="13" t="s">
        <v>954</v>
      </c>
      <c r="W634" s="13" t="s">
        <v>64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78"/>
        <v>30033846.584070798</v>
      </c>
      <c r="AJ634" s="19">
        <f t="shared" si="179"/>
        <v>3534936.4750884958</v>
      </c>
      <c r="AK634" s="20">
        <f t="shared" si="188"/>
        <v>0.11769842618039268</v>
      </c>
      <c r="AL634" s="17"/>
      <c r="AM634" s="17"/>
      <c r="AN634" s="17"/>
      <c r="AO634" s="17"/>
      <c r="AP634" s="28" t="str">
        <f t="shared" si="189"/>
        <v>TBATBA</v>
      </c>
      <c r="AQ634" s="28" t="str">
        <f t="shared" si="190"/>
        <v>TBATBARMB</v>
      </c>
      <c r="AR634" s="206" t="str">
        <f t="shared" si="191"/>
        <v>YAMAHA_Mounter</v>
      </c>
      <c r="AS634" s="22" t="str">
        <f t="shared" si="192"/>
        <v/>
      </c>
      <c r="AT634" s="24" t="str">
        <f t="shared" si="193"/>
        <v/>
      </c>
      <c r="AU634" s="22" t="s">
        <v>3240</v>
      </c>
    </row>
    <row r="635" spans="1:47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47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637</v>
      </c>
      <c r="K635" s="155" t="s">
        <v>638</v>
      </c>
      <c r="L635" s="17" t="s">
        <v>67</v>
      </c>
      <c r="M635" s="13" t="s">
        <v>60</v>
      </c>
      <c r="N635" s="13">
        <v>1</v>
      </c>
      <c r="O635" s="13"/>
      <c r="P635" s="33" t="str">
        <f t="shared" si="183"/>
        <v>MAIN UNIT</v>
      </c>
      <c r="Q635" s="13" t="s">
        <v>68</v>
      </c>
      <c r="R635" s="13" t="s">
        <v>62</v>
      </c>
      <c r="S635" s="13" t="s">
        <v>49</v>
      </c>
      <c r="T635" s="13" t="s">
        <v>78</v>
      </c>
      <c r="U635" s="13" t="s">
        <v>79</v>
      </c>
      <c r="V635" s="13" t="s">
        <v>311</v>
      </c>
      <c r="W635" s="13" t="s">
        <v>109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78"/>
        <v>32843736.557277881</v>
      </c>
      <c r="AJ635" s="19">
        <f t="shared" si="179"/>
        <v>3921470.6822663117</v>
      </c>
      <c r="AK635" s="20">
        <f t="shared" si="188"/>
        <v>0.11939782416131177</v>
      </c>
      <c r="AL635" s="17"/>
      <c r="AM635" s="17"/>
      <c r="AN635" s="17"/>
      <c r="AO635" s="17"/>
      <c r="AP635" s="28" t="str">
        <f t="shared" si="189"/>
        <v>20194</v>
      </c>
      <c r="AQ635" s="28" t="str">
        <f t="shared" si="190"/>
        <v>20194JPY</v>
      </c>
      <c r="AR635" s="206" t="str">
        <f t="shared" si="191"/>
        <v>YAMAHA_Mounter</v>
      </c>
      <c r="AS635" s="22">
        <f t="shared" si="192"/>
        <v>0</v>
      </c>
      <c r="AT635" s="24" t="str">
        <f t="shared" si="193"/>
        <v>0-3 months</v>
      </c>
      <c r="AU635" s="22" t="s">
        <v>3745</v>
      </c>
    </row>
    <row r="636" spans="1:47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41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575</v>
      </c>
      <c r="K636" s="155" t="s">
        <v>576</v>
      </c>
      <c r="L636" s="17" t="s">
        <v>92</v>
      </c>
      <c r="M636" s="13" t="s">
        <v>60</v>
      </c>
      <c r="N636" s="13">
        <v>1</v>
      </c>
      <c r="O636" s="13"/>
      <c r="P636" s="33" t="str">
        <f t="shared" si="183"/>
        <v>MAIN UNIT</v>
      </c>
      <c r="Q636" s="13" t="s">
        <v>68</v>
      </c>
      <c r="R636" s="13" t="s">
        <v>62</v>
      </c>
      <c r="S636" s="13" t="s">
        <v>49</v>
      </c>
      <c r="T636" s="13" t="s">
        <v>577</v>
      </c>
      <c r="U636" s="13" t="s">
        <v>79</v>
      </c>
      <c r="V636" s="13" t="s">
        <v>112</v>
      </c>
      <c r="W636" s="13" t="s">
        <v>109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78"/>
        <v>47416008.333399981</v>
      </c>
      <c r="AJ636" s="19">
        <f t="shared" si="179"/>
        <v>6981738.4465290187</v>
      </c>
      <c r="AK636" s="20">
        <f t="shared" si="188"/>
        <v>0.14724433143839863</v>
      </c>
      <c r="AL636" s="17"/>
      <c r="AM636" s="17"/>
      <c r="AN636" s="17"/>
      <c r="AO636" s="17"/>
      <c r="AP636" s="28" t="str">
        <f t="shared" si="189"/>
        <v>20193</v>
      </c>
      <c r="AQ636" s="28" t="str">
        <f t="shared" si="190"/>
        <v>20193JPY</v>
      </c>
      <c r="AR636" s="206" t="str">
        <f t="shared" si="191"/>
        <v>YAMAHA_Mounter</v>
      </c>
      <c r="AS636" s="22">
        <f t="shared" si="192"/>
        <v>5</v>
      </c>
      <c r="AT636" s="24" t="str">
        <f t="shared" si="193"/>
        <v>4-6 months</v>
      </c>
      <c r="AU636" s="22" t="s">
        <v>3745</v>
      </c>
    </row>
    <row r="637" spans="1:47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41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575</v>
      </c>
      <c r="K637" s="155" t="s">
        <v>576</v>
      </c>
      <c r="L637" s="17" t="s">
        <v>92</v>
      </c>
      <c r="M637" s="13" t="s">
        <v>60</v>
      </c>
      <c r="N637" s="13">
        <v>1</v>
      </c>
      <c r="O637" s="13"/>
      <c r="P637" s="33" t="str">
        <f t="shared" si="183"/>
        <v>MAIN UNIT</v>
      </c>
      <c r="Q637" s="13" t="s">
        <v>68</v>
      </c>
      <c r="R637" s="13" t="s">
        <v>62</v>
      </c>
      <c r="S637" s="13" t="s">
        <v>49</v>
      </c>
      <c r="T637" s="13" t="s">
        <v>577</v>
      </c>
      <c r="U637" s="13" t="s">
        <v>79</v>
      </c>
      <c r="V637" s="13" t="s">
        <v>112</v>
      </c>
      <c r="W637" s="13" t="s">
        <v>109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78"/>
        <v>47416008.333399981</v>
      </c>
      <c r="AJ637" s="19">
        <f t="shared" si="179"/>
        <v>6981738.4465290187</v>
      </c>
      <c r="AK637" s="20">
        <f t="shared" si="188"/>
        <v>0.14724433143839863</v>
      </c>
      <c r="AL637" s="17"/>
      <c r="AM637" s="17"/>
      <c r="AN637" s="17"/>
      <c r="AO637" s="17"/>
      <c r="AP637" s="28" t="str">
        <f t="shared" si="189"/>
        <v>20193</v>
      </c>
      <c r="AQ637" s="28" t="str">
        <f t="shared" si="190"/>
        <v>20193JPY</v>
      </c>
      <c r="AR637" s="206" t="str">
        <f t="shared" si="191"/>
        <v>YAMAHA_Mounter</v>
      </c>
      <c r="AS637" s="22">
        <f t="shared" si="192"/>
        <v>5</v>
      </c>
      <c r="AT637" s="24" t="str">
        <f t="shared" si="193"/>
        <v>4-6 months</v>
      </c>
      <c r="AU637" s="22" t="s">
        <v>3745</v>
      </c>
    </row>
    <row r="638" spans="1:47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48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1552</v>
      </c>
      <c r="K638" s="155" t="s">
        <v>1553</v>
      </c>
      <c r="L638" s="17" t="s">
        <v>67</v>
      </c>
      <c r="M638" s="13" t="s">
        <v>60</v>
      </c>
      <c r="N638" s="13">
        <v>1</v>
      </c>
      <c r="O638" s="13"/>
      <c r="P638" s="33" t="str">
        <f t="shared" si="183"/>
        <v>MAIN UNIT</v>
      </c>
      <c r="Q638" s="13" t="s">
        <v>61</v>
      </c>
      <c r="R638" s="13" t="s">
        <v>62</v>
      </c>
      <c r="S638" s="13" t="s">
        <v>49</v>
      </c>
      <c r="T638" s="13" t="s">
        <v>78</v>
      </c>
      <c r="U638" s="13" t="s">
        <v>79</v>
      </c>
      <c r="V638" s="13" t="s">
        <v>112</v>
      </c>
      <c r="W638" s="13" t="s">
        <v>109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78"/>
        <v>57778307.282035396</v>
      </c>
      <c r="AJ638" s="19">
        <f t="shared" si="179"/>
        <v>7259860.7225420559</v>
      </c>
      <c r="AK638" s="20">
        <f t="shared" si="188"/>
        <v>0.12565028406083667</v>
      </c>
      <c r="AL638" s="17"/>
      <c r="AM638" s="17"/>
      <c r="AN638" s="17"/>
      <c r="AO638" s="17"/>
      <c r="AP638" s="28" t="str">
        <f t="shared" si="189"/>
        <v>20213</v>
      </c>
      <c r="AQ638" s="28" t="str">
        <f t="shared" si="190"/>
        <v>20213JPY</v>
      </c>
      <c r="AR638" s="206" t="str">
        <f t="shared" si="191"/>
        <v>YAMAHA_Mounter</v>
      </c>
      <c r="AS638" s="22">
        <f t="shared" si="192"/>
        <v>4</v>
      </c>
      <c r="AT638" s="24" t="str">
        <f t="shared" si="193"/>
        <v>4-6 months</v>
      </c>
      <c r="AU638" s="22" t="s">
        <v>3745</v>
      </c>
    </row>
    <row r="639" spans="1:47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48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1552</v>
      </c>
      <c r="K639" s="155" t="s">
        <v>1553</v>
      </c>
      <c r="L639" s="17" t="s">
        <v>67</v>
      </c>
      <c r="M639" s="13" t="s">
        <v>60</v>
      </c>
      <c r="N639" s="13">
        <v>1</v>
      </c>
      <c r="O639" s="13"/>
      <c r="P639" s="33" t="str">
        <f t="shared" si="183"/>
        <v>MAIN UNIT</v>
      </c>
      <c r="Q639" s="13" t="s">
        <v>61</v>
      </c>
      <c r="R639" s="13" t="s">
        <v>62</v>
      </c>
      <c r="S639" s="13" t="s">
        <v>49</v>
      </c>
      <c r="T639" s="13" t="s">
        <v>78</v>
      </c>
      <c r="U639" s="13" t="s">
        <v>79</v>
      </c>
      <c r="V639" s="13" t="s">
        <v>112</v>
      </c>
      <c r="W639" s="13" t="s">
        <v>109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78"/>
        <v>57778307.282035396</v>
      </c>
      <c r="AJ639" s="19">
        <f t="shared" si="179"/>
        <v>7259860.7225420559</v>
      </c>
      <c r="AK639" s="20">
        <f t="shared" si="188"/>
        <v>0.12565028406083667</v>
      </c>
      <c r="AL639" s="17"/>
      <c r="AM639" s="17"/>
      <c r="AN639" s="17"/>
      <c r="AO639" s="17"/>
      <c r="AP639" s="28" t="str">
        <f t="shared" si="189"/>
        <v>20213</v>
      </c>
      <c r="AQ639" s="28" t="str">
        <f t="shared" si="190"/>
        <v>20213JPY</v>
      </c>
      <c r="AR639" s="206" t="str">
        <f t="shared" si="191"/>
        <v>YAMAHA_Mounter</v>
      </c>
      <c r="AS639" s="22">
        <f t="shared" si="192"/>
        <v>4</v>
      </c>
      <c r="AT639" s="24" t="str">
        <f t="shared" si="193"/>
        <v>4-6 months</v>
      </c>
      <c r="AU639" s="22" t="s">
        <v>3745</v>
      </c>
    </row>
    <row r="640" spans="1:47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48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1231</v>
      </c>
      <c r="K640" s="155" t="s">
        <v>1232</v>
      </c>
      <c r="L640" s="17" t="s">
        <v>92</v>
      </c>
      <c r="M640" s="13" t="s">
        <v>60</v>
      </c>
      <c r="N640" s="13">
        <v>1</v>
      </c>
      <c r="O640" s="13"/>
      <c r="P640" s="33" t="str">
        <f t="shared" si="183"/>
        <v>MAIN UNIT</v>
      </c>
      <c r="Q640" s="13" t="s">
        <v>61</v>
      </c>
      <c r="R640" s="13" t="s">
        <v>62</v>
      </c>
      <c r="S640" s="13" t="s">
        <v>50</v>
      </c>
      <c r="T640" s="13" t="s">
        <v>88</v>
      </c>
      <c r="U640" s="13" t="s">
        <v>70</v>
      </c>
      <c r="V640" s="13" t="s">
        <v>169</v>
      </c>
      <c r="W640" s="13" t="s">
        <v>64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78"/>
        <v>29183109.05575221</v>
      </c>
      <c r="AJ640" s="19">
        <f t="shared" si="179"/>
        <v>3741266.5648721238</v>
      </c>
      <c r="AK640" s="20">
        <f t="shared" si="188"/>
        <v>0.12819972531798121</v>
      </c>
      <c r="AL640" s="17"/>
      <c r="AM640" s="17"/>
      <c r="AN640" s="17"/>
      <c r="AO640" s="17"/>
      <c r="AP640" s="28" t="str">
        <f t="shared" si="189"/>
        <v>20206</v>
      </c>
      <c r="AQ640" s="28" t="str">
        <f t="shared" si="190"/>
        <v>20206RMB</v>
      </c>
      <c r="AR640" s="206" t="str">
        <f t="shared" si="191"/>
        <v>YAMAHA_Mounter</v>
      </c>
      <c r="AS640" s="22">
        <f t="shared" si="192"/>
        <v>0</v>
      </c>
      <c r="AT640" s="24" t="str">
        <f t="shared" si="193"/>
        <v>0-3 months</v>
      </c>
      <c r="AU640" s="22" t="s">
        <v>3240</v>
      </c>
    </row>
    <row r="641" spans="1:47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48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1231</v>
      </c>
      <c r="K641" s="155" t="s">
        <v>1232</v>
      </c>
      <c r="L641" s="17" t="s">
        <v>67</v>
      </c>
      <c r="M641" s="13" t="s">
        <v>60</v>
      </c>
      <c r="N641" s="13">
        <v>1</v>
      </c>
      <c r="O641" s="13"/>
      <c r="P641" s="33" t="str">
        <f t="shared" si="183"/>
        <v>MAIN UNIT</v>
      </c>
      <c r="Q641" s="13" t="s">
        <v>61</v>
      </c>
      <c r="R641" s="13" t="s">
        <v>62</v>
      </c>
      <c r="S641" s="13" t="s">
        <v>50</v>
      </c>
      <c r="T641" s="13" t="s">
        <v>88</v>
      </c>
      <c r="U641" s="13" t="s">
        <v>70</v>
      </c>
      <c r="V641" s="13" t="s">
        <v>169</v>
      </c>
      <c r="W641" s="13" t="s">
        <v>64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78"/>
        <v>29183109.05575221</v>
      </c>
      <c r="AJ641" s="19">
        <f t="shared" si="179"/>
        <v>3741266.5648721238</v>
      </c>
      <c r="AK641" s="20">
        <f t="shared" si="188"/>
        <v>0.12819972531798121</v>
      </c>
      <c r="AL641" s="17"/>
      <c r="AM641" s="17"/>
      <c r="AN641" s="17"/>
      <c r="AO641" s="17"/>
      <c r="AP641" s="28" t="str">
        <f t="shared" si="189"/>
        <v>20206</v>
      </c>
      <c r="AQ641" s="28" t="str">
        <f t="shared" si="190"/>
        <v>20206RMB</v>
      </c>
      <c r="AR641" s="206" t="str">
        <f t="shared" si="191"/>
        <v>YAMAHA_Mounter</v>
      </c>
      <c r="AS641" s="22">
        <f t="shared" si="192"/>
        <v>0</v>
      </c>
      <c r="AT641" s="24" t="str">
        <f t="shared" si="193"/>
        <v>0-3 months</v>
      </c>
      <c r="AU641" s="22" t="s">
        <v>3240</v>
      </c>
    </row>
    <row r="642" spans="1:47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55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2518</v>
      </c>
      <c r="K642" s="155" t="s">
        <v>2519</v>
      </c>
      <c r="L642" s="17" t="s">
        <v>67</v>
      </c>
      <c r="M642" s="13" t="s">
        <v>60</v>
      </c>
      <c r="N642" s="13">
        <v>1</v>
      </c>
      <c r="O642" s="13"/>
      <c r="P642" s="33" t="str">
        <f t="shared" si="183"/>
        <v>MAIN UNIT</v>
      </c>
      <c r="Q642" s="13" t="s">
        <v>68</v>
      </c>
      <c r="R642" s="13" t="s">
        <v>62</v>
      </c>
      <c r="S642" s="13" t="s">
        <v>49</v>
      </c>
      <c r="T642" s="13" t="s">
        <v>78</v>
      </c>
      <c r="U642" s="13" t="s">
        <v>79</v>
      </c>
      <c r="V642" s="13" t="s">
        <v>112</v>
      </c>
      <c r="W642" s="13" t="s">
        <v>64</v>
      </c>
      <c r="X642" s="135">
        <v>500000</v>
      </c>
      <c r="Y642" s="157" t="str">
        <f t="shared" ref="Y642:Y650" si="197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ref="AI642:AI705" si="198">IF(P642="C66 SERVICE","",SUMIFS(AB:AB,F:F,F642,G:G,G642,E:E,E642))</f>
        <v>13640480.497522123</v>
      </c>
      <c r="AJ642" s="19">
        <f t="shared" ref="AJ642:AJ705" si="199">IF(P642="C66 SERVICE","",SUMIFS(AC:AC,F:F,F642,G:G,G642,E:E,E642))</f>
        <v>1928605.8020906283</v>
      </c>
      <c r="AK642" s="20">
        <f t="shared" si="188"/>
        <v>0.1413884065477731</v>
      </c>
      <c r="AL642" s="17"/>
      <c r="AM642" s="17"/>
      <c r="AN642" s="17"/>
      <c r="AO642" s="17"/>
      <c r="AP642" s="28" t="str">
        <f t="shared" si="189"/>
        <v>20236</v>
      </c>
      <c r="AQ642" s="28" t="str">
        <f t="shared" si="190"/>
        <v>20236RMB</v>
      </c>
      <c r="AR642" s="206" t="str">
        <f t="shared" si="191"/>
        <v>YAMAHA_Mounter</v>
      </c>
      <c r="AS642" s="22">
        <f t="shared" si="192"/>
        <v>2</v>
      </c>
      <c r="AT642" s="24" t="str">
        <f t="shared" si="193"/>
        <v>0-3 months</v>
      </c>
      <c r="AU642" s="22" t="s">
        <v>3751</v>
      </c>
    </row>
    <row r="643" spans="1:47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55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2518</v>
      </c>
      <c r="K643" s="155" t="s">
        <v>2519</v>
      </c>
      <c r="L643" s="17" t="s">
        <v>67</v>
      </c>
      <c r="M643" s="13" t="s">
        <v>60</v>
      </c>
      <c r="N643" s="13">
        <v>1</v>
      </c>
      <c r="O643" s="13"/>
      <c r="P643" s="33" t="str">
        <f t="shared" si="183"/>
        <v>MAIN UNIT</v>
      </c>
      <c r="Q643" s="13" t="s">
        <v>68</v>
      </c>
      <c r="R643" s="13" t="s">
        <v>62</v>
      </c>
      <c r="S643" s="13" t="s">
        <v>49</v>
      </c>
      <c r="T643" s="13" t="s">
        <v>78</v>
      </c>
      <c r="U643" s="13" t="s">
        <v>79</v>
      </c>
      <c r="V643" s="13" t="s">
        <v>112</v>
      </c>
      <c r="W643" s="13" t="s">
        <v>64</v>
      </c>
      <c r="X643" s="135">
        <v>500000</v>
      </c>
      <c r="Y643" s="157" t="str">
        <f t="shared" si="197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98"/>
        <v>13640480.497522123</v>
      </c>
      <c r="AJ643" s="19">
        <f t="shared" si="199"/>
        <v>1928605.8020906283</v>
      </c>
      <c r="AK643" s="20">
        <f t="shared" si="188"/>
        <v>0.1413884065477731</v>
      </c>
      <c r="AL643" s="17"/>
      <c r="AM643" s="17"/>
      <c r="AN643" s="17"/>
      <c r="AO643" s="17"/>
      <c r="AP643" s="28" t="str">
        <f t="shared" si="189"/>
        <v>20236</v>
      </c>
      <c r="AQ643" s="28" t="str">
        <f t="shared" si="190"/>
        <v>20236RMB</v>
      </c>
      <c r="AR643" s="206" t="str">
        <f t="shared" si="191"/>
        <v>YAMAHA_Mounter</v>
      </c>
      <c r="AS643" s="22">
        <f t="shared" si="192"/>
        <v>2</v>
      </c>
      <c r="AT643" s="24" t="str">
        <f t="shared" si="193"/>
        <v>0-3 months</v>
      </c>
      <c r="AU643" s="22" t="s">
        <v>3751</v>
      </c>
    </row>
    <row r="644" spans="1:47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54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2117</v>
      </c>
      <c r="K644" s="155" t="s">
        <v>2118</v>
      </c>
      <c r="L644" s="17" t="s">
        <v>92</v>
      </c>
      <c r="M644" s="13" t="s">
        <v>60</v>
      </c>
      <c r="N644" s="13">
        <v>1</v>
      </c>
      <c r="O644" s="13"/>
      <c r="P644" s="33" t="str">
        <f t="shared" si="183"/>
        <v>MAIN UNIT</v>
      </c>
      <c r="Q644" s="13" t="s">
        <v>68</v>
      </c>
      <c r="R644" s="13" t="s">
        <v>62</v>
      </c>
      <c r="S644" s="13" t="s">
        <v>52</v>
      </c>
      <c r="T644" s="13" t="s">
        <v>1659</v>
      </c>
      <c r="U644" s="13" t="s">
        <v>177</v>
      </c>
      <c r="V644" s="13" t="s">
        <v>178</v>
      </c>
      <c r="W644" s="13" t="s">
        <v>64</v>
      </c>
      <c r="X644" s="135">
        <v>936666.66</v>
      </c>
      <c r="Y644" s="157" t="str">
        <f t="shared" si="197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98"/>
        <v>7502645.9971681423</v>
      </c>
      <c r="AJ644" s="19">
        <f t="shared" si="199"/>
        <v>664841.72044240718</v>
      </c>
      <c r="AK644" s="20">
        <f t="shared" si="188"/>
        <v>8.861429963420242E-2</v>
      </c>
      <c r="AL644" s="17"/>
      <c r="AM644" s="17"/>
      <c r="AN644" s="17"/>
      <c r="AO644" s="17"/>
      <c r="AP644" s="28" t="str">
        <f t="shared" si="189"/>
        <v>20231</v>
      </c>
      <c r="AQ644" s="28" t="str">
        <f t="shared" si="190"/>
        <v>20231RMB</v>
      </c>
      <c r="AR644" s="206" t="str">
        <f t="shared" si="191"/>
        <v>YAMAHA_Mounter</v>
      </c>
      <c r="AS644" s="22">
        <f t="shared" si="192"/>
        <v>1</v>
      </c>
      <c r="AT644" s="24" t="str">
        <f t="shared" si="193"/>
        <v>0-3 months</v>
      </c>
      <c r="AU644" s="22" t="s">
        <v>3240</v>
      </c>
    </row>
    <row r="645" spans="1:47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54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2117</v>
      </c>
      <c r="K645" s="155" t="s">
        <v>2118</v>
      </c>
      <c r="L645" s="17" t="s">
        <v>92</v>
      </c>
      <c r="M645" s="13" t="s">
        <v>60</v>
      </c>
      <c r="N645" s="13">
        <v>1</v>
      </c>
      <c r="O645" s="13"/>
      <c r="P645" s="33" t="str">
        <f t="shared" si="183"/>
        <v>MAIN UNIT</v>
      </c>
      <c r="Q645" s="13" t="s">
        <v>68</v>
      </c>
      <c r="R645" s="13" t="s">
        <v>62</v>
      </c>
      <c r="S645" s="13" t="s">
        <v>52</v>
      </c>
      <c r="T645" s="13" t="s">
        <v>1659</v>
      </c>
      <c r="U645" s="13" t="s">
        <v>177</v>
      </c>
      <c r="V645" s="13" t="s">
        <v>178</v>
      </c>
      <c r="W645" s="13" t="s">
        <v>64</v>
      </c>
      <c r="X645" s="135">
        <v>936666.66</v>
      </c>
      <c r="Y645" s="157" t="str">
        <f t="shared" si="197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98"/>
        <v>7502645.9971681423</v>
      </c>
      <c r="AJ645" s="19">
        <f t="shared" si="199"/>
        <v>664841.72044240718</v>
      </c>
      <c r="AK645" s="20">
        <f t="shared" si="188"/>
        <v>8.861429963420242E-2</v>
      </c>
      <c r="AL645" s="17"/>
      <c r="AM645" s="17"/>
      <c r="AN645" s="17"/>
      <c r="AO645" s="17"/>
      <c r="AP645" s="28" t="str">
        <f t="shared" si="189"/>
        <v>20231</v>
      </c>
      <c r="AQ645" s="28" t="str">
        <f t="shared" si="190"/>
        <v>20231RMB</v>
      </c>
      <c r="AR645" s="206" t="str">
        <f t="shared" si="191"/>
        <v>YAMAHA_Mounter</v>
      </c>
      <c r="AS645" s="22">
        <f t="shared" si="192"/>
        <v>1</v>
      </c>
      <c r="AT645" s="24" t="str">
        <f t="shared" si="193"/>
        <v>0-3 months</v>
      </c>
      <c r="AU645" s="22" t="s">
        <v>3240</v>
      </c>
    </row>
    <row r="646" spans="1:47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54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2117</v>
      </c>
      <c r="K646" s="155" t="s">
        <v>2118</v>
      </c>
      <c r="L646" s="17" t="s">
        <v>92</v>
      </c>
      <c r="M646" s="13" t="s">
        <v>60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68</v>
      </c>
      <c r="R646" s="13" t="s">
        <v>62</v>
      </c>
      <c r="S646" s="13" t="s">
        <v>52</v>
      </c>
      <c r="T646" s="13" t="s">
        <v>1659</v>
      </c>
      <c r="U646" s="13" t="s">
        <v>177</v>
      </c>
      <c r="V646" s="13" t="s">
        <v>178</v>
      </c>
      <c r="W646" s="13" t="s">
        <v>64</v>
      </c>
      <c r="X646" s="135">
        <v>936666.66</v>
      </c>
      <c r="Y646" s="157" t="str">
        <f t="shared" si="197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si="198"/>
        <v>7502645.9971681423</v>
      </c>
      <c r="AJ646" s="19">
        <f t="shared" si="199"/>
        <v>664841.72044240718</v>
      </c>
      <c r="AK646" s="20">
        <f t="shared" ref="AK646:AK709" si="208">IF(AJ646&gt;0,AJ646/AI646,"")</f>
        <v>8.861429963420242E-2</v>
      </c>
      <c r="AL646" s="17"/>
      <c r="AM646" s="17"/>
      <c r="AN646" s="17"/>
      <c r="AO646" s="17"/>
      <c r="AP646" s="28" t="str">
        <f t="shared" ref="AP646:AP709" si="209">IF(F646="","",F646&amp;G646)</f>
        <v>20231</v>
      </c>
      <c r="AQ646" s="28" t="str">
        <f t="shared" ref="AQ646:AQ709" si="210">IF(W646="","",F646&amp;G646&amp;W646)</f>
        <v>20231RMB</v>
      </c>
      <c r="AR646" s="206" t="str">
        <f t="shared" ref="AR646:AR709" si="211">IFERROR(IF(AND(M646="YAMAHA", R646="C28"), "YAMAHA_Non_Mounter", IF(AND(M646="YAMAHA", R646="C49"), "YAMAHA_Mounter", M646)),"")</f>
        <v>YAMAHA_Mounter</v>
      </c>
      <c r="AS646" s="22">
        <f t="shared" ref="AS646:AS709" si="212">IFERROR(IF(OR(G646="TBA", G646=""), "", DATEDIF(DATE(B646, C646, 1), DATE(F646, G646, 1), "M")),"")</f>
        <v>1</v>
      </c>
      <c r="AT646" s="24" t="str">
        <f t="shared" ref="AT646:AT709" si="213">IF(ISNUMBER(AS646), IF(AS646&gt;=0, IF(AS646&lt;=3, "0-3 months", IF(AS646&lt;=6, "4-6 months", "&gt; 6 months"))), "")</f>
        <v>0-3 months</v>
      </c>
      <c r="AU646" s="22" t="s">
        <v>3240</v>
      </c>
    </row>
    <row r="647" spans="1:47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53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1834</v>
      </c>
      <c r="K647" s="155" t="s">
        <v>1835</v>
      </c>
      <c r="L647" s="17" t="s">
        <v>67</v>
      </c>
      <c r="M647" s="13" t="s">
        <v>60</v>
      </c>
      <c r="N647" s="13">
        <v>1</v>
      </c>
      <c r="O647" s="13"/>
      <c r="P647" s="33" t="str">
        <f t="shared" si="203"/>
        <v>MAIN UNIT</v>
      </c>
      <c r="Q647" s="13" t="s">
        <v>68</v>
      </c>
      <c r="R647" s="13" t="s">
        <v>62</v>
      </c>
      <c r="S647" s="13" t="s">
        <v>52</v>
      </c>
      <c r="T647" s="13" t="s">
        <v>1659</v>
      </c>
      <c r="U647" s="13" t="s">
        <v>177</v>
      </c>
      <c r="V647" s="13" t="s">
        <v>178</v>
      </c>
      <c r="W647" s="13" t="s">
        <v>64</v>
      </c>
      <c r="X647" s="135">
        <v>520000</v>
      </c>
      <c r="Y647" s="157" t="str">
        <f t="shared" si="197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198"/>
        <v>41443303.53761062</v>
      </c>
      <c r="AJ647" s="19">
        <f t="shared" si="199"/>
        <v>6194988.76643031</v>
      </c>
      <c r="AK647" s="20">
        <f t="shared" si="208"/>
        <v>0.1494810557466355</v>
      </c>
      <c r="AL647" s="17"/>
      <c r="AM647" s="17"/>
      <c r="AN647" s="17"/>
      <c r="AO647" s="17"/>
      <c r="AP647" s="28" t="str">
        <f t="shared" si="209"/>
        <v>20217</v>
      </c>
      <c r="AQ647" s="28" t="str">
        <f t="shared" si="210"/>
        <v>20217RMB</v>
      </c>
      <c r="AR647" s="206" t="str">
        <f t="shared" si="211"/>
        <v>YAMAHA_Mounter</v>
      </c>
      <c r="AS647" s="22">
        <f t="shared" si="212"/>
        <v>3</v>
      </c>
      <c r="AT647" s="24" t="str">
        <f t="shared" si="213"/>
        <v>0-3 months</v>
      </c>
      <c r="AU647" s="22" t="s">
        <v>3240</v>
      </c>
    </row>
    <row r="648" spans="1:47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54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2435</v>
      </c>
      <c r="K648" s="155" t="s">
        <v>1835</v>
      </c>
      <c r="L648" s="17" t="s">
        <v>92</v>
      </c>
      <c r="M648" s="13" t="s">
        <v>60</v>
      </c>
      <c r="N648" s="13">
        <v>1</v>
      </c>
      <c r="O648" s="13"/>
      <c r="P648" s="33" t="str">
        <f t="shared" si="203"/>
        <v>MAIN UNIT</v>
      </c>
      <c r="Q648" s="13" t="s">
        <v>61</v>
      </c>
      <c r="R648" s="13" t="s">
        <v>62</v>
      </c>
      <c r="S648" s="13" t="s">
        <v>52</v>
      </c>
      <c r="T648" s="13" t="s">
        <v>1659</v>
      </c>
      <c r="U648" s="13" t="s">
        <v>177</v>
      </c>
      <c r="V648" s="13" t="s">
        <v>178</v>
      </c>
      <c r="W648" s="13" t="s">
        <v>64</v>
      </c>
      <c r="X648" s="135">
        <v>680000</v>
      </c>
      <c r="Y648" s="157" t="str">
        <f t="shared" si="197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198"/>
        <v>33543315.897345133</v>
      </c>
      <c r="AJ648" s="19">
        <f t="shared" si="199"/>
        <v>4706169.3252984071</v>
      </c>
      <c r="AK648" s="20">
        <f t="shared" si="208"/>
        <v>0.14030125523967318</v>
      </c>
      <c r="AL648" s="17"/>
      <c r="AM648" s="17"/>
      <c r="AN648" s="17"/>
      <c r="AO648" s="17"/>
      <c r="AP648" s="28" t="str">
        <f t="shared" si="209"/>
        <v>20233</v>
      </c>
      <c r="AQ648" s="28" t="str">
        <f t="shared" si="210"/>
        <v>20233RMB</v>
      </c>
      <c r="AR648" s="206" t="str">
        <f t="shared" si="211"/>
        <v>YAMAHA_Mounter</v>
      </c>
      <c r="AS648" s="22">
        <f t="shared" si="212"/>
        <v>1</v>
      </c>
      <c r="AT648" s="24" t="str">
        <f t="shared" si="213"/>
        <v>0-3 months</v>
      </c>
      <c r="AU648" s="22" t="s">
        <v>3240</v>
      </c>
    </row>
    <row r="649" spans="1:47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55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2539</v>
      </c>
      <c r="K649" s="155" t="s">
        <v>1835</v>
      </c>
      <c r="L649" s="17" t="s">
        <v>2540</v>
      </c>
      <c r="M649" s="13" t="s">
        <v>60</v>
      </c>
      <c r="N649" s="13">
        <v>0</v>
      </c>
      <c r="O649" s="13">
        <v>1</v>
      </c>
      <c r="P649" s="33" t="str">
        <f t="shared" si="203"/>
        <v>SERVICE/ PARTS</v>
      </c>
      <c r="Q649" s="13" t="s">
        <v>61</v>
      </c>
      <c r="R649" s="13" t="s">
        <v>62</v>
      </c>
      <c r="S649" s="13" t="s">
        <v>52</v>
      </c>
      <c r="T649" s="13" t="s">
        <v>1659</v>
      </c>
      <c r="U649" s="13" t="s">
        <v>177</v>
      </c>
      <c r="V649" s="13" t="s">
        <v>178</v>
      </c>
      <c r="W649" s="13" t="s">
        <v>64</v>
      </c>
      <c r="X649" s="135">
        <v>30000</v>
      </c>
      <c r="Y649" s="157" t="str">
        <f t="shared" si="197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198"/>
        <v>15951056.41591504</v>
      </c>
      <c r="AJ649" s="19">
        <f t="shared" si="199"/>
        <v>1966354.6022462982</v>
      </c>
      <c r="AK649" s="20">
        <f t="shared" si="208"/>
        <v>0.12327425538313459</v>
      </c>
      <c r="AL649" s="17"/>
      <c r="AM649" s="17"/>
      <c r="AN649" s="17"/>
      <c r="AO649" s="17"/>
      <c r="AP649" s="28" t="str">
        <f t="shared" si="209"/>
        <v>20237</v>
      </c>
      <c r="AQ649" s="28" t="str">
        <f t="shared" si="210"/>
        <v>20237RMB</v>
      </c>
      <c r="AR649" s="206" t="str">
        <f t="shared" si="211"/>
        <v>YAMAHA_Mounter</v>
      </c>
      <c r="AS649" s="22">
        <f t="shared" si="212"/>
        <v>0</v>
      </c>
      <c r="AT649" s="24" t="str">
        <f t="shared" si="213"/>
        <v>0-3 months</v>
      </c>
      <c r="AU649" s="22" t="s">
        <v>3240</v>
      </c>
    </row>
    <row r="650" spans="1:47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55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2557</v>
      </c>
      <c r="K650" s="155" t="s">
        <v>1835</v>
      </c>
      <c r="L650" s="17" t="s">
        <v>67</v>
      </c>
      <c r="M650" s="13" t="s">
        <v>60</v>
      </c>
      <c r="N650" s="13">
        <v>1</v>
      </c>
      <c r="O650" s="13"/>
      <c r="P650" s="33" t="str">
        <f t="shared" si="203"/>
        <v>MAIN UNIT</v>
      </c>
      <c r="Q650" s="13" t="s">
        <v>61</v>
      </c>
      <c r="R650" s="13" t="s">
        <v>62</v>
      </c>
      <c r="S650" s="13" t="s">
        <v>52</v>
      </c>
      <c r="T650" s="13" t="s">
        <v>1659</v>
      </c>
      <c r="U650" s="13" t="s">
        <v>177</v>
      </c>
      <c r="V650" s="13" t="s">
        <v>178</v>
      </c>
      <c r="W650" s="13" t="s">
        <v>64</v>
      </c>
      <c r="X650" s="135">
        <v>505300</v>
      </c>
      <c r="Y650" s="157" t="str">
        <f t="shared" si="197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198"/>
        <v>22953677.784070797</v>
      </c>
      <c r="AJ650" s="19">
        <f t="shared" si="199"/>
        <v>4168706.6744155753</v>
      </c>
      <c r="AK650" s="20">
        <f t="shared" si="208"/>
        <v>0.18161388835511752</v>
      </c>
      <c r="AL650" s="17"/>
      <c r="AM650" s="17"/>
      <c r="AN650" s="17"/>
      <c r="AO650" s="17"/>
      <c r="AP650" s="28" t="str">
        <f t="shared" si="209"/>
        <v>20238</v>
      </c>
      <c r="AQ650" s="28" t="str">
        <f t="shared" si="210"/>
        <v>20238RMB</v>
      </c>
      <c r="AR650" s="206" t="str">
        <f t="shared" si="211"/>
        <v>YAMAHA_Mounter</v>
      </c>
      <c r="AS650" s="22">
        <f t="shared" si="212"/>
        <v>1</v>
      </c>
      <c r="AT650" s="24" t="str">
        <f t="shared" si="213"/>
        <v>0-3 months</v>
      </c>
      <c r="AU650" s="22" t="s">
        <v>3240</v>
      </c>
    </row>
    <row r="651" spans="1:47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3352</v>
      </c>
      <c r="K651" s="29" t="s">
        <v>1214</v>
      </c>
      <c r="L651" s="17" t="s">
        <v>3353</v>
      </c>
      <c r="M651" s="22" t="s">
        <v>3357</v>
      </c>
      <c r="N651" s="22">
        <v>1</v>
      </c>
      <c r="O651" s="22"/>
      <c r="P651" s="33" t="str">
        <f t="shared" si="203"/>
        <v>MAIN UNIT</v>
      </c>
      <c r="Q651" s="13" t="s">
        <v>61</v>
      </c>
      <c r="R651" s="22" t="s">
        <v>2055</v>
      </c>
      <c r="S651" s="22" t="s">
        <v>49</v>
      </c>
      <c r="T651" s="22" t="s">
        <v>78</v>
      </c>
      <c r="U651" s="22" t="s">
        <v>246</v>
      </c>
      <c r="V651" s="22" t="s">
        <v>2057</v>
      </c>
      <c r="W651" s="22" t="s">
        <v>64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198"/>
        <v>20319282.700884953</v>
      </c>
      <c r="AJ651" s="27">
        <f t="shared" si="199"/>
        <v>2408851.9638623013</v>
      </c>
      <c r="AK651" s="28">
        <f t="shared" si="208"/>
        <v>0.11855004919821259</v>
      </c>
      <c r="AL651" s="24"/>
      <c r="AM651" s="24"/>
      <c r="AN651" s="24"/>
      <c r="AO651" s="24"/>
      <c r="AP651" s="28" t="str">
        <f t="shared" si="209"/>
        <v>20244</v>
      </c>
      <c r="AQ651" s="28" t="str">
        <f t="shared" si="210"/>
        <v>20244RMB</v>
      </c>
      <c r="AR651" s="206" t="str">
        <f t="shared" si="211"/>
        <v>HELLER</v>
      </c>
      <c r="AS651" s="22">
        <f t="shared" si="212"/>
        <v>1</v>
      </c>
      <c r="AT651" s="24" t="str">
        <f t="shared" si="213"/>
        <v>0-3 months</v>
      </c>
      <c r="AU651" s="22" t="s">
        <v>3751</v>
      </c>
    </row>
    <row r="652" spans="1:47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54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2430</v>
      </c>
      <c r="K652" s="155" t="s">
        <v>2431</v>
      </c>
      <c r="L652" s="17" t="s">
        <v>92</v>
      </c>
      <c r="M652" s="13" t="s">
        <v>60</v>
      </c>
      <c r="N652" s="13">
        <v>1</v>
      </c>
      <c r="O652" s="13"/>
      <c r="P652" s="33" t="str">
        <f t="shared" si="203"/>
        <v>MAIN UNIT</v>
      </c>
      <c r="Q652" s="13" t="s">
        <v>61</v>
      </c>
      <c r="R652" s="13" t="s">
        <v>62</v>
      </c>
      <c r="S652" s="13" t="s">
        <v>49</v>
      </c>
      <c r="T652" s="13" t="s">
        <v>78</v>
      </c>
      <c r="U652" s="13" t="s">
        <v>79</v>
      </c>
      <c r="V652" s="13" t="s">
        <v>311</v>
      </c>
      <c r="W652" s="13" t="s">
        <v>64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198"/>
        <v>33543315.897345133</v>
      </c>
      <c r="AJ652" s="19">
        <f t="shared" si="199"/>
        <v>4706169.3252984071</v>
      </c>
      <c r="AK652" s="20">
        <f t="shared" si="208"/>
        <v>0.14030125523967318</v>
      </c>
      <c r="AL652" s="17"/>
      <c r="AM652" s="17"/>
      <c r="AN652" s="17"/>
      <c r="AO652" s="17"/>
      <c r="AP652" s="28" t="str">
        <f t="shared" si="209"/>
        <v>20233</v>
      </c>
      <c r="AQ652" s="28" t="str">
        <f t="shared" si="210"/>
        <v>20233RMB</v>
      </c>
      <c r="AR652" s="206" t="str">
        <f t="shared" si="211"/>
        <v>YAMAHA_Mounter</v>
      </c>
      <c r="AS652" s="22">
        <f t="shared" si="212"/>
        <v>1</v>
      </c>
      <c r="AT652" s="24" t="str">
        <f t="shared" si="213"/>
        <v>0-3 months</v>
      </c>
      <c r="AU652" s="22" t="s">
        <v>3751</v>
      </c>
    </row>
    <row r="653" spans="1:47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41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2824</v>
      </c>
      <c r="L653" s="17" t="s">
        <v>2060</v>
      </c>
      <c r="M653" s="13" t="s">
        <v>2054</v>
      </c>
      <c r="N653" s="13">
        <v>0.5</v>
      </c>
      <c r="O653" s="13"/>
      <c r="P653" s="33" t="str">
        <f t="shared" si="203"/>
        <v>MAIN UNIT</v>
      </c>
      <c r="Q653" s="13" t="s">
        <v>61</v>
      </c>
      <c r="R653" s="13" t="s">
        <v>2825</v>
      </c>
      <c r="S653" s="13" t="s">
        <v>51</v>
      </c>
      <c r="T653" s="13" t="s">
        <v>1659</v>
      </c>
      <c r="U653" s="13" t="s">
        <v>316</v>
      </c>
      <c r="V653" s="13" t="s">
        <v>2826</v>
      </c>
      <c r="W653" s="13" t="s">
        <v>64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198"/>
        <v>24398045.86045352</v>
      </c>
      <c r="AJ653" s="19">
        <f t="shared" si="199"/>
        <v>3478417.4064663448</v>
      </c>
      <c r="AK653" s="20">
        <f t="shared" si="208"/>
        <v>0.14256950849102498</v>
      </c>
      <c r="AL653" s="17"/>
      <c r="AM653" s="17"/>
      <c r="AN653" s="17"/>
      <c r="AO653" s="17"/>
      <c r="AP653" s="28" t="str">
        <f t="shared" si="209"/>
        <v>20186</v>
      </c>
      <c r="AQ653" s="28" t="str">
        <f t="shared" si="210"/>
        <v>20186RMB</v>
      </c>
      <c r="AR653" s="206" t="str">
        <f t="shared" si="211"/>
        <v>SOLDERSTAR</v>
      </c>
      <c r="AS653" s="22">
        <f t="shared" si="212"/>
        <v>1</v>
      </c>
      <c r="AT653" s="24" t="str">
        <f t="shared" si="213"/>
        <v>0-3 months</v>
      </c>
      <c r="AU653" s="22" t="s">
        <v>3240</v>
      </c>
    </row>
    <row r="654" spans="1:47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41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2827</v>
      </c>
      <c r="L654" s="17" t="s">
        <v>2060</v>
      </c>
      <c r="M654" s="13" t="s">
        <v>2054</v>
      </c>
      <c r="N654" s="13">
        <v>0.5</v>
      </c>
      <c r="O654" s="13"/>
      <c r="P654" s="33" t="str">
        <f t="shared" si="203"/>
        <v>MAIN UNIT</v>
      </c>
      <c r="Q654" s="13" t="s">
        <v>61</v>
      </c>
      <c r="R654" s="13" t="s">
        <v>2055</v>
      </c>
      <c r="S654" s="13" t="s">
        <v>49</v>
      </c>
      <c r="T654" s="13" t="s">
        <v>78</v>
      </c>
      <c r="U654" s="13" t="s">
        <v>79</v>
      </c>
      <c r="V654" s="13" t="s">
        <v>2828</v>
      </c>
      <c r="W654" s="13" t="s">
        <v>64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198"/>
        <v>24398045.86045352</v>
      </c>
      <c r="AJ654" s="19">
        <f t="shared" si="199"/>
        <v>3478417.4064663448</v>
      </c>
      <c r="AK654" s="20">
        <f t="shared" si="208"/>
        <v>0.14256950849102498</v>
      </c>
      <c r="AL654" s="17"/>
      <c r="AM654" s="17"/>
      <c r="AN654" s="17"/>
      <c r="AO654" s="17"/>
      <c r="AP654" s="28" t="str">
        <f t="shared" si="209"/>
        <v>20186</v>
      </c>
      <c r="AQ654" s="28" t="str">
        <f t="shared" si="210"/>
        <v>20186RMB</v>
      </c>
      <c r="AR654" s="206" t="str">
        <f t="shared" si="211"/>
        <v>SOLDERSTAR</v>
      </c>
      <c r="AS654" s="22">
        <f t="shared" si="212"/>
        <v>1</v>
      </c>
      <c r="AT654" s="24" t="str">
        <f t="shared" si="213"/>
        <v>0-3 months</v>
      </c>
      <c r="AU654" s="22" t="s">
        <v>3240</v>
      </c>
    </row>
    <row r="655" spans="1:47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53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1934</v>
      </c>
      <c r="K655" s="155" t="s">
        <v>1935</v>
      </c>
      <c r="L655" s="17" t="s">
        <v>67</v>
      </c>
      <c r="M655" s="13" t="s">
        <v>60</v>
      </c>
      <c r="N655" s="13">
        <v>1</v>
      </c>
      <c r="O655" s="13"/>
      <c r="P655" s="33" t="str">
        <f t="shared" si="203"/>
        <v>MAIN UNIT</v>
      </c>
      <c r="Q655" s="13" t="s">
        <v>61</v>
      </c>
      <c r="R655" s="13" t="s">
        <v>62</v>
      </c>
      <c r="S655" s="13" t="s">
        <v>52</v>
      </c>
      <c r="T655" s="13" t="s">
        <v>1659</v>
      </c>
      <c r="U655" s="13" t="s">
        <v>177</v>
      </c>
      <c r="V655" s="13" t="s">
        <v>178</v>
      </c>
      <c r="W655" s="13" t="s">
        <v>64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198"/>
        <v>26407088.359292038</v>
      </c>
      <c r="AJ655" s="19">
        <f t="shared" si="199"/>
        <v>3424510.6998470789</v>
      </c>
      <c r="AK655" s="20">
        <f t="shared" si="208"/>
        <v>0.12968149510667554</v>
      </c>
      <c r="AL655" s="17"/>
      <c r="AM655" s="17"/>
      <c r="AN655" s="17"/>
      <c r="AO655" s="17"/>
      <c r="AP655" s="28" t="str">
        <f t="shared" si="209"/>
        <v>20221</v>
      </c>
      <c r="AQ655" s="28" t="str">
        <f t="shared" si="210"/>
        <v>20221RMB</v>
      </c>
      <c r="AR655" s="206" t="str">
        <f t="shared" si="211"/>
        <v>YAMAHA_Mounter</v>
      </c>
      <c r="AS655" s="22">
        <f t="shared" si="212"/>
        <v>7</v>
      </c>
      <c r="AT655" s="24" t="str">
        <f t="shared" si="213"/>
        <v>&gt; 6 months</v>
      </c>
      <c r="AU655" s="22" t="s">
        <v>3240</v>
      </c>
    </row>
    <row r="656" spans="1:47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48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1128</v>
      </c>
      <c r="K656" s="155" t="s">
        <v>1129</v>
      </c>
      <c r="L656" s="17" t="s">
        <v>67</v>
      </c>
      <c r="M656" s="13" t="s">
        <v>60</v>
      </c>
      <c r="N656" s="13">
        <v>1</v>
      </c>
      <c r="O656" s="13"/>
      <c r="P656" s="33" t="str">
        <f t="shared" si="203"/>
        <v>MAIN UNIT</v>
      </c>
      <c r="Q656" s="13" t="s">
        <v>68</v>
      </c>
      <c r="R656" s="13" t="s">
        <v>62</v>
      </c>
      <c r="S656" s="13" t="s">
        <v>52</v>
      </c>
      <c r="T656" s="13" t="s">
        <v>176</v>
      </c>
      <c r="U656" s="13" t="s">
        <v>177</v>
      </c>
      <c r="V656" s="13" t="s">
        <v>178</v>
      </c>
      <c r="W656" s="13" t="s">
        <v>64</v>
      </c>
      <c r="X656" s="135">
        <v>698000</v>
      </c>
      <c r="Y656" s="156" t="s">
        <v>1058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198"/>
        <v>37969334.083628319</v>
      </c>
      <c r="AJ656" s="19">
        <f t="shared" si="199"/>
        <v>5097226.4551657084</v>
      </c>
      <c r="AK656" s="20">
        <f t="shared" si="208"/>
        <v>0.13424587441904964</v>
      </c>
      <c r="AL656" s="17"/>
      <c r="AM656" s="17"/>
      <c r="AN656" s="17"/>
      <c r="AO656" s="17"/>
      <c r="AP656" s="28" t="str">
        <f t="shared" si="209"/>
        <v>20208</v>
      </c>
      <c r="AQ656" s="28" t="str">
        <f t="shared" si="210"/>
        <v>20208RMB</v>
      </c>
      <c r="AR656" s="206" t="str">
        <f t="shared" si="211"/>
        <v>YAMAHA_Mounter</v>
      </c>
      <c r="AS656" s="22">
        <f t="shared" si="212"/>
        <v>1</v>
      </c>
      <c r="AT656" s="24" t="str">
        <f t="shared" si="213"/>
        <v>0-3 months</v>
      </c>
      <c r="AU656" s="22" t="s">
        <v>3240</v>
      </c>
    </row>
    <row r="657" spans="1:47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48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1108</v>
      </c>
      <c r="K657" s="155" t="s">
        <v>1109</v>
      </c>
      <c r="L657" s="17" t="s">
        <v>67</v>
      </c>
      <c r="M657" s="13" t="s">
        <v>60</v>
      </c>
      <c r="N657" s="13">
        <v>1</v>
      </c>
      <c r="O657" s="13"/>
      <c r="P657" s="33" t="str">
        <f t="shared" si="203"/>
        <v>MAIN UNIT</v>
      </c>
      <c r="Q657" s="13" t="s">
        <v>68</v>
      </c>
      <c r="R657" s="13" t="s">
        <v>62</v>
      </c>
      <c r="S657" s="13" t="s">
        <v>52</v>
      </c>
      <c r="T657" s="13" t="s">
        <v>176</v>
      </c>
      <c r="U657" s="13" t="s">
        <v>177</v>
      </c>
      <c r="V657" s="13" t="s">
        <v>178</v>
      </c>
      <c r="W657" s="13" t="s">
        <v>64</v>
      </c>
      <c r="X657" s="135">
        <v>760000</v>
      </c>
      <c r="Y657" s="156" t="s">
        <v>1110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198"/>
        <v>37969334.083628319</v>
      </c>
      <c r="AJ657" s="19">
        <f t="shared" si="199"/>
        <v>5097226.4551657084</v>
      </c>
      <c r="AK657" s="20">
        <f t="shared" si="208"/>
        <v>0.13424587441904964</v>
      </c>
      <c r="AL657" s="17"/>
      <c r="AM657" s="17"/>
      <c r="AN657" s="17"/>
      <c r="AO657" s="17"/>
      <c r="AP657" s="28" t="str">
        <f t="shared" si="209"/>
        <v>20208</v>
      </c>
      <c r="AQ657" s="28" t="str">
        <f t="shared" si="210"/>
        <v>20208RMB</v>
      </c>
      <c r="AR657" s="206" t="str">
        <f t="shared" si="211"/>
        <v>YAMAHA_Mounter</v>
      </c>
      <c r="AS657" s="22">
        <f t="shared" si="212"/>
        <v>2</v>
      </c>
      <c r="AT657" s="24" t="str">
        <f t="shared" si="213"/>
        <v>0-3 months</v>
      </c>
      <c r="AU657" s="22" t="s">
        <v>3240</v>
      </c>
    </row>
    <row r="658" spans="1:47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48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1108</v>
      </c>
      <c r="K658" s="155" t="s">
        <v>1109</v>
      </c>
      <c r="L658" s="17" t="s">
        <v>92</v>
      </c>
      <c r="M658" s="13" t="s">
        <v>60</v>
      </c>
      <c r="N658" s="13">
        <v>1</v>
      </c>
      <c r="O658" s="13"/>
      <c r="P658" s="33" t="str">
        <f t="shared" si="203"/>
        <v>MAIN UNIT</v>
      </c>
      <c r="Q658" s="13" t="s">
        <v>68</v>
      </c>
      <c r="R658" s="13" t="s">
        <v>62</v>
      </c>
      <c r="S658" s="13" t="s">
        <v>52</v>
      </c>
      <c r="T658" s="13" t="s">
        <v>176</v>
      </c>
      <c r="U658" s="13" t="s">
        <v>177</v>
      </c>
      <c r="V658" s="13" t="s">
        <v>178</v>
      </c>
      <c r="W658" s="13" t="s">
        <v>64</v>
      </c>
      <c r="X658" s="135">
        <v>1000000</v>
      </c>
      <c r="Y658" s="156" t="s">
        <v>1110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198"/>
        <v>37969334.083628319</v>
      </c>
      <c r="AJ658" s="19">
        <f t="shared" si="199"/>
        <v>5097226.4551657084</v>
      </c>
      <c r="AK658" s="20">
        <f t="shared" si="208"/>
        <v>0.13424587441904964</v>
      </c>
      <c r="AL658" s="17"/>
      <c r="AM658" s="17"/>
      <c r="AN658" s="17"/>
      <c r="AO658" s="17"/>
      <c r="AP658" s="28" t="str">
        <f t="shared" si="209"/>
        <v>20208</v>
      </c>
      <c r="AQ658" s="28" t="str">
        <f t="shared" si="210"/>
        <v>20208RMB</v>
      </c>
      <c r="AR658" s="206" t="str">
        <f t="shared" si="211"/>
        <v>YAMAHA_Mounter</v>
      </c>
      <c r="AS658" s="22">
        <f t="shared" si="212"/>
        <v>2</v>
      </c>
      <c r="AT658" s="24" t="str">
        <f t="shared" si="213"/>
        <v>0-3 months</v>
      </c>
      <c r="AU658" s="22" t="s">
        <v>3240</v>
      </c>
    </row>
    <row r="659" spans="1:47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54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2002</v>
      </c>
      <c r="K659" s="155" t="s">
        <v>2003</v>
      </c>
      <c r="L659" s="17" t="s">
        <v>67</v>
      </c>
      <c r="M659" s="13" t="s">
        <v>60</v>
      </c>
      <c r="N659" s="13">
        <v>1</v>
      </c>
      <c r="O659" s="13"/>
      <c r="P659" s="33" t="str">
        <f t="shared" si="203"/>
        <v>MAIN UNIT</v>
      </c>
      <c r="Q659" s="13" t="s">
        <v>68</v>
      </c>
      <c r="R659" s="13" t="s">
        <v>62</v>
      </c>
      <c r="S659" s="13" t="s">
        <v>52</v>
      </c>
      <c r="T659" s="13" t="s">
        <v>1659</v>
      </c>
      <c r="U659" s="13" t="s">
        <v>177</v>
      </c>
      <c r="V659" s="13" t="s">
        <v>178</v>
      </c>
      <c r="W659" s="13" t="s">
        <v>64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198"/>
        <v>46600814.041769907</v>
      </c>
      <c r="AJ659" s="19">
        <f t="shared" si="199"/>
        <v>5956366.3435927071</v>
      </c>
      <c r="AK659" s="20">
        <f t="shared" si="208"/>
        <v>0.1278167874546958</v>
      </c>
      <c r="AL659" s="17"/>
      <c r="AM659" s="17"/>
      <c r="AN659" s="17"/>
      <c r="AO659" s="17"/>
      <c r="AP659" s="28" t="str">
        <f t="shared" si="209"/>
        <v>20224</v>
      </c>
      <c r="AQ659" s="28" t="str">
        <f t="shared" si="210"/>
        <v>20224RMB</v>
      </c>
      <c r="AR659" s="206" t="str">
        <f t="shared" si="211"/>
        <v>YAMAHA_Mounter</v>
      </c>
      <c r="AS659" s="22">
        <f t="shared" si="212"/>
        <v>7</v>
      </c>
      <c r="AT659" s="24" t="str">
        <f t="shared" si="213"/>
        <v>&gt; 6 months</v>
      </c>
      <c r="AU659" s="22" t="s">
        <v>3240</v>
      </c>
    </row>
    <row r="660" spans="1:47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48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1529</v>
      </c>
      <c r="K660" s="155" t="s">
        <v>1530</v>
      </c>
      <c r="L660" s="17" t="s">
        <v>67</v>
      </c>
      <c r="M660" s="13" t="s">
        <v>60</v>
      </c>
      <c r="N660" s="13">
        <v>1</v>
      </c>
      <c r="O660" s="13"/>
      <c r="P660" s="33" t="str">
        <f t="shared" si="203"/>
        <v>MAIN UNIT</v>
      </c>
      <c r="Q660" s="13" t="s">
        <v>61</v>
      </c>
      <c r="R660" s="13" t="s">
        <v>62</v>
      </c>
      <c r="S660" s="13" t="s">
        <v>52</v>
      </c>
      <c r="T660" s="13" t="s">
        <v>176</v>
      </c>
      <c r="U660" s="13" t="s">
        <v>177</v>
      </c>
      <c r="V660" s="13" t="s">
        <v>178</v>
      </c>
      <c r="W660" s="13" t="s">
        <v>64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198"/>
        <v>45803245.025628321</v>
      </c>
      <c r="AJ660" s="19">
        <f t="shared" si="199"/>
        <v>5664636.2584379362</v>
      </c>
      <c r="AK660" s="20">
        <f t="shared" si="208"/>
        <v>0.12367325186825515</v>
      </c>
      <c r="AL660" s="17"/>
      <c r="AM660" s="17"/>
      <c r="AN660" s="17"/>
      <c r="AO660" s="17"/>
      <c r="AP660" s="28" t="str">
        <f t="shared" si="209"/>
        <v>20211</v>
      </c>
      <c r="AQ660" s="28" t="str">
        <f t="shared" si="210"/>
        <v>20211RMB</v>
      </c>
      <c r="AR660" s="206" t="str">
        <f t="shared" si="211"/>
        <v>YAMAHA_Mounter</v>
      </c>
      <c r="AS660" s="22">
        <f t="shared" si="212"/>
        <v>2</v>
      </c>
      <c r="AT660" s="24" t="str">
        <f t="shared" si="213"/>
        <v>0-3 months</v>
      </c>
      <c r="AU660" s="22" t="s">
        <v>3240</v>
      </c>
    </row>
    <row r="661" spans="1:47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48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1445</v>
      </c>
      <c r="K661" s="155" t="s">
        <v>1446</v>
      </c>
      <c r="L661" s="17" t="s">
        <v>67</v>
      </c>
      <c r="M661" s="13" t="s">
        <v>60</v>
      </c>
      <c r="N661" s="13">
        <v>1</v>
      </c>
      <c r="O661" s="13"/>
      <c r="P661" s="33" t="str">
        <f t="shared" si="203"/>
        <v>MAIN UNIT</v>
      </c>
      <c r="Q661" s="13" t="s">
        <v>61</v>
      </c>
      <c r="R661" s="13" t="s">
        <v>62</v>
      </c>
      <c r="S661" s="13" t="s">
        <v>52</v>
      </c>
      <c r="T661" s="13" t="s">
        <v>176</v>
      </c>
      <c r="U661" s="13" t="s">
        <v>177</v>
      </c>
      <c r="V661" s="13" t="s">
        <v>178</v>
      </c>
      <c r="W661" s="13" t="s">
        <v>64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198"/>
        <v>44078731.611185849</v>
      </c>
      <c r="AJ661" s="19">
        <f t="shared" si="199"/>
        <v>5508173.2163771465</v>
      </c>
      <c r="AK661" s="20">
        <f t="shared" si="208"/>
        <v>0.12496215328889679</v>
      </c>
      <c r="AL661" s="17"/>
      <c r="AM661" s="17"/>
      <c r="AN661" s="17"/>
      <c r="AO661" s="17"/>
      <c r="AP661" s="28" t="str">
        <f t="shared" si="209"/>
        <v>202011</v>
      </c>
      <c r="AQ661" s="28" t="str">
        <f t="shared" si="210"/>
        <v>202011RMB</v>
      </c>
      <c r="AR661" s="206" t="str">
        <f t="shared" si="211"/>
        <v>YAMAHA_Mounter</v>
      </c>
      <c r="AS661" s="22">
        <f t="shared" si="212"/>
        <v>2</v>
      </c>
      <c r="AT661" s="24" t="str">
        <f t="shared" si="213"/>
        <v>0-3 months</v>
      </c>
      <c r="AU661" s="22" t="s">
        <v>3240</v>
      </c>
    </row>
    <row r="662" spans="1:47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48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1658</v>
      </c>
      <c r="K662" s="155" t="s">
        <v>1446</v>
      </c>
      <c r="L662" s="17" t="s">
        <v>67</v>
      </c>
      <c r="M662" s="13" t="s">
        <v>60</v>
      </c>
      <c r="N662" s="13">
        <v>1</v>
      </c>
      <c r="O662" s="13"/>
      <c r="P662" s="33" t="str">
        <f t="shared" si="203"/>
        <v>MAIN UNIT</v>
      </c>
      <c r="Q662" s="13" t="s">
        <v>61</v>
      </c>
      <c r="R662" s="13" t="s">
        <v>62</v>
      </c>
      <c r="S662" s="13" t="s">
        <v>52</v>
      </c>
      <c r="T662" s="13" t="s">
        <v>1659</v>
      </c>
      <c r="U662" s="13" t="s">
        <v>177</v>
      </c>
      <c r="V662" s="13" t="s">
        <v>178</v>
      </c>
      <c r="W662" s="13" t="s">
        <v>64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198"/>
        <v>57778307.282035396</v>
      </c>
      <c r="AJ662" s="19">
        <f t="shared" si="199"/>
        <v>7259860.7225420559</v>
      </c>
      <c r="AK662" s="20">
        <f t="shared" si="208"/>
        <v>0.12565028406083667</v>
      </c>
      <c r="AL662" s="17"/>
      <c r="AM662" s="17"/>
      <c r="AN662" s="17"/>
      <c r="AO662" s="17"/>
      <c r="AP662" s="28" t="str">
        <f t="shared" si="209"/>
        <v>20213</v>
      </c>
      <c r="AQ662" s="28" t="str">
        <f t="shared" si="210"/>
        <v>20213RMB</v>
      </c>
      <c r="AR662" s="206" t="str">
        <f t="shared" si="211"/>
        <v>YAMAHA_Mounter</v>
      </c>
      <c r="AS662" s="22">
        <f t="shared" si="212"/>
        <v>2</v>
      </c>
      <c r="AT662" s="24" t="str">
        <f t="shared" si="213"/>
        <v>0-3 months</v>
      </c>
      <c r="AU662" s="22" t="s">
        <v>3240</v>
      </c>
    </row>
    <row r="663" spans="1:47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48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1658</v>
      </c>
      <c r="K663" s="155" t="s">
        <v>1446</v>
      </c>
      <c r="L663" s="17" t="s">
        <v>67</v>
      </c>
      <c r="M663" s="13" t="s">
        <v>60</v>
      </c>
      <c r="N663" s="13">
        <v>1</v>
      </c>
      <c r="O663" s="13"/>
      <c r="P663" s="33" t="str">
        <f t="shared" si="203"/>
        <v>MAIN UNIT</v>
      </c>
      <c r="Q663" s="13" t="s">
        <v>61</v>
      </c>
      <c r="R663" s="13" t="s">
        <v>62</v>
      </c>
      <c r="S663" s="13" t="s">
        <v>52</v>
      </c>
      <c r="T663" s="13" t="s">
        <v>1659</v>
      </c>
      <c r="U663" s="13" t="s">
        <v>177</v>
      </c>
      <c r="V663" s="13" t="s">
        <v>178</v>
      </c>
      <c r="W663" s="13" t="s">
        <v>64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198"/>
        <v>57778307.282035396</v>
      </c>
      <c r="AJ663" s="19">
        <f t="shared" si="199"/>
        <v>7259860.7225420559</v>
      </c>
      <c r="AK663" s="20">
        <f t="shared" si="208"/>
        <v>0.12565028406083667</v>
      </c>
      <c r="AL663" s="17"/>
      <c r="AM663" s="17"/>
      <c r="AN663" s="17"/>
      <c r="AO663" s="17"/>
      <c r="AP663" s="28" t="str">
        <f t="shared" si="209"/>
        <v>20213</v>
      </c>
      <c r="AQ663" s="28" t="str">
        <f t="shared" si="210"/>
        <v>20213RMB</v>
      </c>
      <c r="AR663" s="206" t="str">
        <f t="shared" si="211"/>
        <v>YAMAHA_Mounter</v>
      </c>
      <c r="AS663" s="22">
        <f t="shared" si="212"/>
        <v>2</v>
      </c>
      <c r="AT663" s="24" t="str">
        <f t="shared" si="213"/>
        <v>0-3 months</v>
      </c>
      <c r="AU663" s="22" t="s">
        <v>3240</v>
      </c>
    </row>
    <row r="664" spans="1:47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41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314</v>
      </c>
      <c r="K664" s="155" t="s">
        <v>315</v>
      </c>
      <c r="L664" s="17" t="s">
        <v>92</v>
      </c>
      <c r="M664" s="13" t="s">
        <v>60</v>
      </c>
      <c r="N664" s="13">
        <v>1</v>
      </c>
      <c r="O664" s="13"/>
      <c r="P664" s="33" t="str">
        <f t="shared" si="203"/>
        <v>MAIN UNIT</v>
      </c>
      <c r="Q664" s="13" t="s">
        <v>61</v>
      </c>
      <c r="R664" s="13" t="s">
        <v>62</v>
      </c>
      <c r="S664" s="13" t="s">
        <v>52</v>
      </c>
      <c r="T664" s="13" t="s">
        <v>316</v>
      </c>
      <c r="U664" s="13" t="s">
        <v>275</v>
      </c>
      <c r="V664" s="13" t="s">
        <v>178</v>
      </c>
      <c r="W664" s="13" t="s">
        <v>64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198"/>
        <v>29946107.503386207</v>
      </c>
      <c r="AJ664" s="19">
        <f t="shared" si="199"/>
        <v>3987206.4954923098</v>
      </c>
      <c r="AK664" s="20">
        <f t="shared" si="208"/>
        <v>0.13314606898547499</v>
      </c>
      <c r="AL664" s="17"/>
      <c r="AM664" s="17"/>
      <c r="AN664" s="17"/>
      <c r="AO664" s="17"/>
      <c r="AP664" s="28" t="str">
        <f t="shared" si="209"/>
        <v>20187</v>
      </c>
      <c r="AQ664" s="28" t="str">
        <f t="shared" si="210"/>
        <v>20187RMB</v>
      </c>
      <c r="AR664" s="206" t="str">
        <f t="shared" si="211"/>
        <v>YAMAHA_Mounter</v>
      </c>
      <c r="AS664" s="22">
        <f t="shared" si="212"/>
        <v>5</v>
      </c>
      <c r="AT664" s="24" t="str">
        <f t="shared" si="213"/>
        <v>4-6 months</v>
      </c>
      <c r="AU664" s="22" t="s">
        <v>3240</v>
      </c>
    </row>
    <row r="665" spans="1:47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47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752</v>
      </c>
      <c r="K665" s="155" t="s">
        <v>315</v>
      </c>
      <c r="L665" s="17" t="s">
        <v>92</v>
      </c>
      <c r="M665" s="13" t="s">
        <v>60</v>
      </c>
      <c r="N665" s="13">
        <v>1</v>
      </c>
      <c r="O665" s="13"/>
      <c r="P665" s="33" t="str">
        <f t="shared" si="203"/>
        <v>MAIN UNIT</v>
      </c>
      <c r="Q665" s="13" t="s">
        <v>61</v>
      </c>
      <c r="R665" s="13" t="s">
        <v>62</v>
      </c>
      <c r="S665" s="13" t="s">
        <v>52</v>
      </c>
      <c r="T665" s="13" t="s">
        <v>316</v>
      </c>
      <c r="U665" s="13" t="s">
        <v>275</v>
      </c>
      <c r="V665" s="13" t="s">
        <v>178</v>
      </c>
      <c r="W665" s="13" t="s">
        <v>64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198"/>
        <v>34015877.71150443</v>
      </c>
      <c r="AJ665" s="19">
        <f t="shared" si="199"/>
        <v>4446292.375441948</v>
      </c>
      <c r="AK665" s="20">
        <f t="shared" si="208"/>
        <v>0.13071226364205143</v>
      </c>
      <c r="AL665" s="17"/>
      <c r="AM665" s="17"/>
      <c r="AN665" s="17"/>
      <c r="AO665" s="17"/>
      <c r="AP665" s="28" t="str">
        <f t="shared" si="209"/>
        <v>20197</v>
      </c>
      <c r="AQ665" s="28" t="str">
        <f t="shared" si="210"/>
        <v>20197RMB</v>
      </c>
      <c r="AR665" s="206" t="str">
        <f t="shared" si="211"/>
        <v>YAMAHA_Mounter</v>
      </c>
      <c r="AS665" s="22">
        <f t="shared" si="212"/>
        <v>4</v>
      </c>
      <c r="AT665" s="24" t="str">
        <f t="shared" si="213"/>
        <v>4-6 months</v>
      </c>
      <c r="AU665" s="22" t="s">
        <v>3240</v>
      </c>
    </row>
    <row r="666" spans="1:47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53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1761</v>
      </c>
      <c r="K666" s="155" t="s">
        <v>1762</v>
      </c>
      <c r="L666" s="17" t="s">
        <v>67</v>
      </c>
      <c r="M666" s="13" t="s">
        <v>60</v>
      </c>
      <c r="N666" s="13">
        <v>1</v>
      </c>
      <c r="O666" s="13"/>
      <c r="P666" s="33" t="str">
        <f t="shared" si="203"/>
        <v>MAIN UNIT</v>
      </c>
      <c r="Q666" s="13" t="s">
        <v>61</v>
      </c>
      <c r="R666" s="13" t="s">
        <v>62</v>
      </c>
      <c r="S666" s="13" t="s">
        <v>49</v>
      </c>
      <c r="T666" s="13" t="s">
        <v>78</v>
      </c>
      <c r="U666" s="13" t="s">
        <v>79</v>
      </c>
      <c r="V666" s="13" t="s">
        <v>126</v>
      </c>
      <c r="W666" s="13" t="s">
        <v>109</v>
      </c>
      <c r="X666" s="135">
        <v>7000000</v>
      </c>
      <c r="Y666" s="157" t="str">
        <f t="shared" ref="Y666:Y681" si="214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198"/>
        <v>63006605.696460173</v>
      </c>
      <c r="AJ666" s="19">
        <f t="shared" si="199"/>
        <v>8897485.660753984</v>
      </c>
      <c r="AK666" s="20">
        <f t="shared" si="208"/>
        <v>0.141215124388995</v>
      </c>
      <c r="AL666" s="17"/>
      <c r="AM666" s="17"/>
      <c r="AN666" s="17"/>
      <c r="AO666" s="17"/>
      <c r="AP666" s="28" t="str">
        <f t="shared" si="209"/>
        <v>20215</v>
      </c>
      <c r="AQ666" s="28" t="str">
        <f t="shared" si="210"/>
        <v>20215JPY</v>
      </c>
      <c r="AR666" s="206" t="str">
        <f t="shared" si="211"/>
        <v>YAMAHA_Mounter</v>
      </c>
      <c r="AS666" s="22">
        <f t="shared" si="212"/>
        <v>1</v>
      </c>
      <c r="AT666" s="24" t="str">
        <f t="shared" si="213"/>
        <v>0-3 months</v>
      </c>
      <c r="AU666" s="22" t="s">
        <v>3745</v>
      </c>
    </row>
    <row r="667" spans="1:47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53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1761</v>
      </c>
      <c r="K667" s="155" t="s">
        <v>1762</v>
      </c>
      <c r="L667" s="17" t="s">
        <v>67</v>
      </c>
      <c r="M667" s="13" t="s">
        <v>60</v>
      </c>
      <c r="N667" s="13">
        <v>1</v>
      </c>
      <c r="O667" s="13"/>
      <c r="P667" s="33" t="str">
        <f t="shared" si="203"/>
        <v>MAIN UNIT</v>
      </c>
      <c r="Q667" s="13" t="s">
        <v>61</v>
      </c>
      <c r="R667" s="13" t="s">
        <v>62</v>
      </c>
      <c r="S667" s="13" t="s">
        <v>49</v>
      </c>
      <c r="T667" s="13" t="s">
        <v>78</v>
      </c>
      <c r="U667" s="13" t="s">
        <v>79</v>
      </c>
      <c r="V667" s="13" t="s">
        <v>126</v>
      </c>
      <c r="W667" s="13" t="s">
        <v>109</v>
      </c>
      <c r="X667" s="135">
        <v>7000000</v>
      </c>
      <c r="Y667" s="157" t="str">
        <f t="shared" si="214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198"/>
        <v>54700260.692079648</v>
      </c>
      <c r="AJ667" s="19">
        <f t="shared" si="199"/>
        <v>7482899.5749188727</v>
      </c>
      <c r="AK667" s="20">
        <f t="shared" si="208"/>
        <v>0.13679824337660537</v>
      </c>
      <c r="AL667" s="17"/>
      <c r="AM667" s="17"/>
      <c r="AN667" s="17"/>
      <c r="AO667" s="17"/>
      <c r="AP667" s="28" t="str">
        <f t="shared" si="209"/>
        <v>20216</v>
      </c>
      <c r="AQ667" s="28" t="str">
        <f t="shared" si="210"/>
        <v>20216JPY</v>
      </c>
      <c r="AR667" s="206" t="str">
        <f t="shared" si="211"/>
        <v>YAMAHA_Mounter</v>
      </c>
      <c r="AS667" s="22">
        <f t="shared" si="212"/>
        <v>2</v>
      </c>
      <c r="AT667" s="24" t="str">
        <f t="shared" si="213"/>
        <v>0-3 months</v>
      </c>
      <c r="AU667" s="22" t="s">
        <v>3745</v>
      </c>
    </row>
    <row r="668" spans="1:47" s="12" customFormat="1">
      <c r="A668" s="33" t="str">
        <f t="shared" si="200"/>
        <v>cancel</v>
      </c>
      <c r="B668" s="152"/>
      <c r="C668" s="152" t="s">
        <v>185</v>
      </c>
      <c r="D668" s="33" t="str">
        <f t="shared" si="201"/>
        <v/>
      </c>
      <c r="E668" s="33" t="s">
        <v>185</v>
      </c>
      <c r="F668" s="13" t="s">
        <v>185</v>
      </c>
      <c r="G668" s="152" t="s">
        <v>185</v>
      </c>
      <c r="H668" s="155"/>
      <c r="I668" s="33" t="str">
        <f t="shared" si="202"/>
        <v>Cancel</v>
      </c>
      <c r="J668" s="186" t="s">
        <v>2739</v>
      </c>
      <c r="K668" s="155" t="s">
        <v>2740</v>
      </c>
      <c r="L668" s="17" t="s">
        <v>92</v>
      </c>
      <c r="M668" s="13" t="s">
        <v>60</v>
      </c>
      <c r="N668" s="13">
        <v>1</v>
      </c>
      <c r="O668" s="13"/>
      <c r="P668" s="33" t="str">
        <f t="shared" si="203"/>
        <v>MAIN UNIT</v>
      </c>
      <c r="Q668" s="13" t="s">
        <v>68</v>
      </c>
      <c r="R668" s="13" t="s">
        <v>62</v>
      </c>
      <c r="S668" s="13" t="s">
        <v>49</v>
      </c>
      <c r="T668" s="13" t="s">
        <v>78</v>
      </c>
      <c r="U668" s="13" t="s">
        <v>79</v>
      </c>
      <c r="V668" s="13" t="s">
        <v>112</v>
      </c>
      <c r="W668" s="13" t="s">
        <v>64</v>
      </c>
      <c r="X668" s="135">
        <v>864000</v>
      </c>
      <c r="Y668" s="157" t="str">
        <f t="shared" si="214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198"/>
        <v>499582152.5142017</v>
      </c>
      <c r="AJ668" s="19">
        <f t="shared" si="199"/>
        <v>59520528.679470733</v>
      </c>
      <c r="AK668" s="20">
        <f t="shared" si="208"/>
        <v>0.11914062257814291</v>
      </c>
      <c r="AL668" s="17"/>
      <c r="AM668" s="17"/>
      <c r="AN668" s="17"/>
      <c r="AO668" s="17"/>
      <c r="AP668" s="28" t="str">
        <f t="shared" si="209"/>
        <v>CancelCancel</v>
      </c>
      <c r="AQ668" s="28" t="str">
        <f t="shared" si="210"/>
        <v>CancelCancelRMB</v>
      </c>
      <c r="AR668" s="206" t="str">
        <f t="shared" si="211"/>
        <v>YAMAHA_Mounter</v>
      </c>
      <c r="AS668" s="22" t="str">
        <f t="shared" si="212"/>
        <v/>
      </c>
      <c r="AT668" s="24" t="str">
        <f t="shared" si="213"/>
        <v/>
      </c>
      <c r="AU668" s="22" t="s">
        <v>3751</v>
      </c>
    </row>
    <row r="669" spans="1:47" s="12" customFormat="1">
      <c r="A669" s="33" t="str">
        <f t="shared" si="200"/>
        <v>cancel</v>
      </c>
      <c r="B669" s="152"/>
      <c r="C669" s="152" t="s">
        <v>185</v>
      </c>
      <c r="D669" s="33" t="str">
        <f t="shared" si="201"/>
        <v/>
      </c>
      <c r="E669" s="33" t="s">
        <v>185</v>
      </c>
      <c r="F669" s="13" t="s">
        <v>185</v>
      </c>
      <c r="G669" s="152" t="s">
        <v>185</v>
      </c>
      <c r="H669" s="155"/>
      <c r="I669" s="33" t="str">
        <f t="shared" si="202"/>
        <v>Cancel</v>
      </c>
      <c r="J669" s="186" t="s">
        <v>2739</v>
      </c>
      <c r="K669" s="155" t="s">
        <v>2740</v>
      </c>
      <c r="L669" s="17" t="s">
        <v>92</v>
      </c>
      <c r="M669" s="13" t="s">
        <v>60</v>
      </c>
      <c r="N669" s="13">
        <v>1</v>
      </c>
      <c r="O669" s="13"/>
      <c r="P669" s="33" t="str">
        <f t="shared" si="203"/>
        <v>MAIN UNIT</v>
      </c>
      <c r="Q669" s="13" t="s">
        <v>68</v>
      </c>
      <c r="R669" s="13" t="s">
        <v>62</v>
      </c>
      <c r="S669" s="13" t="s">
        <v>49</v>
      </c>
      <c r="T669" s="13" t="s">
        <v>78</v>
      </c>
      <c r="U669" s="13" t="s">
        <v>79</v>
      </c>
      <c r="V669" s="13" t="s">
        <v>112</v>
      </c>
      <c r="W669" s="13" t="s">
        <v>64</v>
      </c>
      <c r="X669" s="135">
        <v>864000</v>
      </c>
      <c r="Y669" s="157" t="str">
        <f t="shared" si="214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198"/>
        <v>499582152.5142017</v>
      </c>
      <c r="AJ669" s="19">
        <f t="shared" si="199"/>
        <v>59520528.679470733</v>
      </c>
      <c r="AK669" s="20">
        <f t="shared" si="208"/>
        <v>0.11914062257814291</v>
      </c>
      <c r="AL669" s="17"/>
      <c r="AM669" s="17"/>
      <c r="AN669" s="17"/>
      <c r="AO669" s="17"/>
      <c r="AP669" s="28" t="str">
        <f t="shared" si="209"/>
        <v>CancelCancel</v>
      </c>
      <c r="AQ669" s="28" t="str">
        <f t="shared" si="210"/>
        <v>CancelCancelRMB</v>
      </c>
      <c r="AR669" s="206" t="str">
        <f t="shared" si="211"/>
        <v>YAMAHA_Mounter</v>
      </c>
      <c r="AS669" s="22" t="str">
        <f t="shared" si="212"/>
        <v/>
      </c>
      <c r="AT669" s="24" t="str">
        <f t="shared" si="213"/>
        <v/>
      </c>
      <c r="AU669" s="22" t="s">
        <v>3751</v>
      </c>
    </row>
    <row r="670" spans="1:47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53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1738</v>
      </c>
      <c r="K670" s="155" t="s">
        <v>1739</v>
      </c>
      <c r="L670" s="17" t="s">
        <v>92</v>
      </c>
      <c r="M670" s="13" t="s">
        <v>60</v>
      </c>
      <c r="N670" s="13">
        <v>1</v>
      </c>
      <c r="O670" s="13"/>
      <c r="P670" s="33" t="str">
        <f t="shared" si="203"/>
        <v>MAIN UNIT</v>
      </c>
      <c r="Q670" s="13" t="s">
        <v>61</v>
      </c>
      <c r="R670" s="13" t="s">
        <v>62</v>
      </c>
      <c r="S670" s="13" t="s">
        <v>49</v>
      </c>
      <c r="T670" s="13" t="s">
        <v>78</v>
      </c>
      <c r="U670" s="13" t="s">
        <v>79</v>
      </c>
      <c r="V670" s="13" t="s">
        <v>1516</v>
      </c>
      <c r="W670" s="13" t="s">
        <v>109</v>
      </c>
      <c r="X670" s="135">
        <v>13250000</v>
      </c>
      <c r="Y670" s="157" t="str">
        <f t="shared" si="214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198"/>
        <v>63006605.696460173</v>
      </c>
      <c r="AJ670" s="19">
        <f t="shared" si="199"/>
        <v>8897485.660753984</v>
      </c>
      <c r="AK670" s="20">
        <f t="shared" si="208"/>
        <v>0.141215124388995</v>
      </c>
      <c r="AL670" s="17"/>
      <c r="AM670" s="17"/>
      <c r="AN670" s="17"/>
      <c r="AO670" s="17"/>
      <c r="AP670" s="28" t="str">
        <f t="shared" si="209"/>
        <v>20215</v>
      </c>
      <c r="AQ670" s="28" t="str">
        <f t="shared" si="210"/>
        <v>20215JPY</v>
      </c>
      <c r="AR670" s="206" t="str">
        <f t="shared" si="211"/>
        <v>YAMAHA_Mounter</v>
      </c>
      <c r="AS670" s="22">
        <f t="shared" si="212"/>
        <v>2</v>
      </c>
      <c r="AT670" s="24" t="str">
        <f t="shared" si="213"/>
        <v>0-3 months</v>
      </c>
      <c r="AU670" s="22" t="s">
        <v>3745</v>
      </c>
    </row>
    <row r="671" spans="1:47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53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1738</v>
      </c>
      <c r="K671" s="155" t="s">
        <v>1739</v>
      </c>
      <c r="L671" s="17" t="s">
        <v>92</v>
      </c>
      <c r="M671" s="13" t="s">
        <v>60</v>
      </c>
      <c r="N671" s="13">
        <v>1</v>
      </c>
      <c r="O671" s="13"/>
      <c r="P671" s="33" t="str">
        <f t="shared" si="203"/>
        <v>MAIN UNIT</v>
      </c>
      <c r="Q671" s="13" t="s">
        <v>61</v>
      </c>
      <c r="R671" s="13" t="s">
        <v>62</v>
      </c>
      <c r="S671" s="13" t="s">
        <v>49</v>
      </c>
      <c r="T671" s="13" t="s">
        <v>78</v>
      </c>
      <c r="U671" s="13" t="s">
        <v>79</v>
      </c>
      <c r="V671" s="13" t="s">
        <v>1516</v>
      </c>
      <c r="W671" s="13" t="s">
        <v>109</v>
      </c>
      <c r="X671" s="135">
        <v>13250000</v>
      </c>
      <c r="Y671" s="157" t="str">
        <f t="shared" si="214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198"/>
        <v>63006605.696460173</v>
      </c>
      <c r="AJ671" s="19">
        <f t="shared" si="199"/>
        <v>8897485.660753984</v>
      </c>
      <c r="AK671" s="20">
        <f t="shared" si="208"/>
        <v>0.141215124388995</v>
      </c>
      <c r="AL671" s="17"/>
      <c r="AM671" s="17"/>
      <c r="AN671" s="17"/>
      <c r="AO671" s="17"/>
      <c r="AP671" s="28" t="str">
        <f t="shared" si="209"/>
        <v>20215</v>
      </c>
      <c r="AQ671" s="28" t="str">
        <f t="shared" si="210"/>
        <v>20215JPY</v>
      </c>
      <c r="AR671" s="206" t="str">
        <f t="shared" si="211"/>
        <v>YAMAHA_Mounter</v>
      </c>
      <c r="AS671" s="22">
        <f t="shared" si="212"/>
        <v>2</v>
      </c>
      <c r="AT671" s="24" t="str">
        <f t="shared" si="213"/>
        <v>0-3 months</v>
      </c>
      <c r="AU671" s="22" t="s">
        <v>3745</v>
      </c>
    </row>
    <row r="672" spans="1:47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55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2501</v>
      </c>
      <c r="K672" s="155" t="s">
        <v>1739</v>
      </c>
      <c r="L672" s="17" t="s">
        <v>92</v>
      </c>
      <c r="M672" s="13" t="s">
        <v>60</v>
      </c>
      <c r="N672" s="13">
        <v>1</v>
      </c>
      <c r="O672" s="13"/>
      <c r="P672" s="33" t="str">
        <f t="shared" si="203"/>
        <v>MAIN UNIT</v>
      </c>
      <c r="Q672" s="13" t="s">
        <v>61</v>
      </c>
      <c r="R672" s="13" t="s">
        <v>62</v>
      </c>
      <c r="S672" s="13" t="s">
        <v>49</v>
      </c>
      <c r="T672" s="13" t="s">
        <v>78</v>
      </c>
      <c r="U672" s="13" t="s">
        <v>79</v>
      </c>
      <c r="V672" s="13" t="s">
        <v>1407</v>
      </c>
      <c r="W672" s="13" t="s">
        <v>64</v>
      </c>
      <c r="X672" s="135">
        <v>770000</v>
      </c>
      <c r="Y672" s="157" t="str">
        <f t="shared" si="214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198"/>
        <v>28177779.013274338</v>
      </c>
      <c r="AJ672" s="19">
        <f t="shared" si="199"/>
        <v>4727216.6376190251</v>
      </c>
      <c r="AK672" s="20">
        <f t="shared" si="208"/>
        <v>0.1677639900359808</v>
      </c>
      <c r="AL672" s="17"/>
      <c r="AM672" s="17"/>
      <c r="AN672" s="17"/>
      <c r="AO672" s="17"/>
      <c r="AP672" s="28" t="str">
        <f t="shared" si="209"/>
        <v>20235</v>
      </c>
      <c r="AQ672" s="28" t="str">
        <f t="shared" si="210"/>
        <v>20235RMB</v>
      </c>
      <c r="AR672" s="206" t="str">
        <f t="shared" si="211"/>
        <v>YAMAHA_Mounter</v>
      </c>
      <c r="AS672" s="22">
        <f t="shared" si="212"/>
        <v>1</v>
      </c>
      <c r="AT672" s="24" t="str">
        <f t="shared" si="213"/>
        <v>0-3 months</v>
      </c>
      <c r="AU672" s="22" t="s">
        <v>3751</v>
      </c>
    </row>
    <row r="673" spans="1:47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54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2383</v>
      </c>
      <c r="K673" s="155" t="s">
        <v>2384</v>
      </c>
      <c r="L673" s="17" t="s">
        <v>516</v>
      </c>
      <c r="M673" s="13" t="s">
        <v>60</v>
      </c>
      <c r="N673" s="13">
        <v>0</v>
      </c>
      <c r="O673" s="13">
        <v>10</v>
      </c>
      <c r="P673" s="33" t="str">
        <f t="shared" si="203"/>
        <v>SERVICE/ PARTS</v>
      </c>
      <c r="Q673" s="13" t="s">
        <v>61</v>
      </c>
      <c r="R673" s="13" t="s">
        <v>62</v>
      </c>
      <c r="S673" s="13" t="s">
        <v>50</v>
      </c>
      <c r="T673" s="13" t="s">
        <v>238</v>
      </c>
      <c r="U673" s="13" t="s">
        <v>70</v>
      </c>
      <c r="V673" s="13" t="s">
        <v>1400</v>
      </c>
      <c r="W673" s="13" t="s">
        <v>64</v>
      </c>
      <c r="X673" s="135">
        <v>3600</v>
      </c>
      <c r="Y673" s="157" t="str">
        <f t="shared" si="214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198"/>
        <v>31017966.201968137</v>
      </c>
      <c r="AJ673" s="19">
        <f t="shared" si="199"/>
        <v>4704250.3347305888</v>
      </c>
      <c r="AK673" s="20">
        <f t="shared" si="208"/>
        <v>0.15166211427595458</v>
      </c>
      <c r="AL673" s="17"/>
      <c r="AM673" s="17"/>
      <c r="AN673" s="17"/>
      <c r="AO673" s="17"/>
      <c r="AP673" s="28" t="str">
        <f t="shared" si="209"/>
        <v>202211</v>
      </c>
      <c r="AQ673" s="28" t="str">
        <f t="shared" si="210"/>
        <v>202211RMB</v>
      </c>
      <c r="AR673" s="206" t="str">
        <f t="shared" si="211"/>
        <v>YAMAHA_Mounter</v>
      </c>
      <c r="AS673" s="22">
        <f t="shared" si="212"/>
        <v>0</v>
      </c>
      <c r="AT673" s="24" t="str">
        <f t="shared" si="213"/>
        <v>0-3 months</v>
      </c>
      <c r="AU673" s="22" t="s">
        <v>3240</v>
      </c>
    </row>
    <row r="674" spans="1:47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48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1581</v>
      </c>
      <c r="K674" s="155" t="s">
        <v>1582</v>
      </c>
      <c r="L674" s="17" t="s">
        <v>67</v>
      </c>
      <c r="M674" s="13" t="s">
        <v>60</v>
      </c>
      <c r="N674" s="13">
        <v>1</v>
      </c>
      <c r="O674" s="13"/>
      <c r="P674" s="33" t="str">
        <f t="shared" si="203"/>
        <v>MAIN UNIT</v>
      </c>
      <c r="Q674" s="13" t="s">
        <v>68</v>
      </c>
      <c r="R674" s="13" t="s">
        <v>62</v>
      </c>
      <c r="S674" s="13" t="s">
        <v>50</v>
      </c>
      <c r="T674" s="13" t="s">
        <v>238</v>
      </c>
      <c r="U674" s="13" t="s">
        <v>70</v>
      </c>
      <c r="V674" s="13" t="s">
        <v>1400</v>
      </c>
      <c r="W674" s="13" t="s">
        <v>64</v>
      </c>
      <c r="X674" s="135">
        <v>606750</v>
      </c>
      <c r="Y674" s="157" t="str">
        <f t="shared" si="214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198"/>
        <v>45803245.025628321</v>
      </c>
      <c r="AJ674" s="19">
        <f t="shared" si="199"/>
        <v>5664636.2584379362</v>
      </c>
      <c r="AK674" s="20">
        <f t="shared" si="208"/>
        <v>0.12367325186825515</v>
      </c>
      <c r="AL674" s="17"/>
      <c r="AM674" s="17"/>
      <c r="AN674" s="17"/>
      <c r="AO674" s="17"/>
      <c r="AP674" s="28" t="str">
        <f t="shared" si="209"/>
        <v>20211</v>
      </c>
      <c r="AQ674" s="28" t="str">
        <f t="shared" si="210"/>
        <v>20211RMB</v>
      </c>
      <c r="AR674" s="206" t="str">
        <f t="shared" si="211"/>
        <v>YAMAHA_Mounter</v>
      </c>
      <c r="AS674" s="22">
        <f t="shared" si="212"/>
        <v>1</v>
      </c>
      <c r="AT674" s="24" t="str">
        <f t="shared" si="213"/>
        <v>0-3 months</v>
      </c>
      <c r="AU674" s="22" t="s">
        <v>3240</v>
      </c>
    </row>
    <row r="675" spans="1:47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48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2893</v>
      </c>
      <c r="K675" s="155" t="s">
        <v>2894</v>
      </c>
      <c r="L675" s="17" t="s">
        <v>2889</v>
      </c>
      <c r="M675" s="13" t="s">
        <v>377</v>
      </c>
      <c r="N675" s="13">
        <v>1</v>
      </c>
      <c r="O675" s="13"/>
      <c r="P675" s="33" t="str">
        <f t="shared" si="203"/>
        <v>MAIN UNIT</v>
      </c>
      <c r="Q675" s="13" t="s">
        <v>68</v>
      </c>
      <c r="R675" s="13" t="s">
        <v>2055</v>
      </c>
      <c r="S675" s="13" t="s">
        <v>50</v>
      </c>
      <c r="T675" s="13" t="s">
        <v>325</v>
      </c>
      <c r="U675" s="13" t="s">
        <v>70</v>
      </c>
      <c r="V675" s="13" t="s">
        <v>102</v>
      </c>
      <c r="W675" s="13" t="s">
        <v>64</v>
      </c>
      <c r="X675" s="135">
        <v>1075700</v>
      </c>
      <c r="Y675" s="157" t="str">
        <f t="shared" si="214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198"/>
        <v>37969334.083628319</v>
      </c>
      <c r="AJ675" s="19">
        <f t="shared" si="199"/>
        <v>5097226.4551657084</v>
      </c>
      <c r="AK675" s="20">
        <f t="shared" si="208"/>
        <v>0.13424587441904964</v>
      </c>
      <c r="AL675" s="17"/>
      <c r="AM675" s="17"/>
      <c r="AN675" s="17"/>
      <c r="AO675" s="17"/>
      <c r="AP675" s="28" t="str">
        <f t="shared" si="209"/>
        <v>20208</v>
      </c>
      <c r="AQ675" s="28" t="str">
        <f t="shared" si="210"/>
        <v>20208RMB</v>
      </c>
      <c r="AR675" s="206" t="str">
        <f t="shared" si="211"/>
        <v>LOCAL SUPPLIER</v>
      </c>
      <c r="AS675" s="22">
        <f t="shared" si="212"/>
        <v>5</v>
      </c>
      <c r="AT675" s="24" t="str">
        <f t="shared" si="213"/>
        <v>4-6 months</v>
      </c>
      <c r="AU675" s="22" t="s">
        <v>3240</v>
      </c>
    </row>
    <row r="676" spans="1:47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48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2893</v>
      </c>
      <c r="K676" s="155" t="s">
        <v>2894</v>
      </c>
      <c r="L676" s="17" t="s">
        <v>2889</v>
      </c>
      <c r="M676" s="13" t="s">
        <v>377</v>
      </c>
      <c r="N676" s="13">
        <v>1</v>
      </c>
      <c r="O676" s="13"/>
      <c r="P676" s="33" t="str">
        <f t="shared" si="203"/>
        <v>MAIN UNIT</v>
      </c>
      <c r="Q676" s="13" t="s">
        <v>68</v>
      </c>
      <c r="R676" s="13" t="s">
        <v>2055</v>
      </c>
      <c r="S676" s="13" t="s">
        <v>50</v>
      </c>
      <c r="T676" s="13" t="s">
        <v>325</v>
      </c>
      <c r="U676" s="13" t="s">
        <v>70</v>
      </c>
      <c r="V676" s="13" t="s">
        <v>102</v>
      </c>
      <c r="W676" s="13" t="s">
        <v>64</v>
      </c>
      <c r="X676" s="135">
        <v>441000</v>
      </c>
      <c r="Y676" s="157" t="str">
        <f t="shared" si="214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198"/>
        <v>37969334.083628319</v>
      </c>
      <c r="AJ676" s="19">
        <f t="shared" si="199"/>
        <v>5097226.4551657084</v>
      </c>
      <c r="AK676" s="20">
        <f t="shared" si="208"/>
        <v>0.13424587441904964</v>
      </c>
      <c r="AL676" s="17"/>
      <c r="AM676" s="17"/>
      <c r="AN676" s="17"/>
      <c r="AO676" s="17"/>
      <c r="AP676" s="28" t="str">
        <f t="shared" si="209"/>
        <v>20208</v>
      </c>
      <c r="AQ676" s="28" t="str">
        <f t="shared" si="210"/>
        <v>20208RMB</v>
      </c>
      <c r="AR676" s="206" t="str">
        <f t="shared" si="211"/>
        <v>LOCAL SUPPLIER</v>
      </c>
      <c r="AS676" s="22">
        <f t="shared" si="212"/>
        <v>5</v>
      </c>
      <c r="AT676" s="24" t="str">
        <f t="shared" si="213"/>
        <v>4-6 months</v>
      </c>
      <c r="AU676" s="22" t="s">
        <v>3240</v>
      </c>
    </row>
    <row r="677" spans="1:47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48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2893</v>
      </c>
      <c r="K677" s="155" t="s">
        <v>2894</v>
      </c>
      <c r="L677" s="17" t="s">
        <v>2889</v>
      </c>
      <c r="M677" s="13" t="s">
        <v>377</v>
      </c>
      <c r="N677" s="13">
        <v>1</v>
      </c>
      <c r="O677" s="13"/>
      <c r="P677" s="33" t="str">
        <f t="shared" si="203"/>
        <v>MAIN UNIT</v>
      </c>
      <c r="Q677" s="13" t="s">
        <v>68</v>
      </c>
      <c r="R677" s="13" t="s">
        <v>2055</v>
      </c>
      <c r="S677" s="13" t="s">
        <v>50</v>
      </c>
      <c r="T677" s="13" t="s">
        <v>325</v>
      </c>
      <c r="U677" s="13" t="s">
        <v>70</v>
      </c>
      <c r="V677" s="13" t="s">
        <v>102</v>
      </c>
      <c r="W677" s="13" t="s">
        <v>64</v>
      </c>
      <c r="X677" s="135">
        <v>360000</v>
      </c>
      <c r="Y677" s="157" t="str">
        <f t="shared" si="214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198"/>
        <v>37969334.083628319</v>
      </c>
      <c r="AJ677" s="19">
        <f t="shared" si="199"/>
        <v>5097226.4551657084</v>
      </c>
      <c r="AK677" s="20">
        <f t="shared" si="208"/>
        <v>0.13424587441904964</v>
      </c>
      <c r="AL677" s="17"/>
      <c r="AM677" s="17"/>
      <c r="AN677" s="17"/>
      <c r="AO677" s="17"/>
      <c r="AP677" s="28" t="str">
        <f t="shared" si="209"/>
        <v>20208</v>
      </c>
      <c r="AQ677" s="28" t="str">
        <f t="shared" si="210"/>
        <v>20208RMB</v>
      </c>
      <c r="AR677" s="206" t="str">
        <f t="shared" si="211"/>
        <v>LOCAL SUPPLIER</v>
      </c>
      <c r="AS677" s="22">
        <f t="shared" si="212"/>
        <v>5</v>
      </c>
      <c r="AT677" s="24" t="str">
        <f t="shared" si="213"/>
        <v>4-6 months</v>
      </c>
      <c r="AU677" s="22" t="s">
        <v>3240</v>
      </c>
    </row>
    <row r="678" spans="1:47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48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2893</v>
      </c>
      <c r="K678" s="155" t="s">
        <v>2894</v>
      </c>
      <c r="L678" s="17" t="s">
        <v>2620</v>
      </c>
      <c r="M678" s="13" t="s">
        <v>60</v>
      </c>
      <c r="N678" s="13">
        <v>1</v>
      </c>
      <c r="O678" s="13"/>
      <c r="P678" s="33" t="str">
        <f t="shared" si="203"/>
        <v>MAIN UNIT</v>
      </c>
      <c r="Q678" s="13" t="s">
        <v>68</v>
      </c>
      <c r="R678" s="13" t="s">
        <v>2055</v>
      </c>
      <c r="S678" s="13" t="s">
        <v>50</v>
      </c>
      <c r="T678" s="13" t="s">
        <v>325</v>
      </c>
      <c r="U678" s="13" t="s">
        <v>70</v>
      </c>
      <c r="V678" s="13" t="s">
        <v>102</v>
      </c>
      <c r="W678" s="13" t="s">
        <v>64</v>
      </c>
      <c r="X678" s="135">
        <v>539000</v>
      </c>
      <c r="Y678" s="157" t="str">
        <f t="shared" si="214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198"/>
        <v>37969334.083628319</v>
      </c>
      <c r="AJ678" s="19">
        <f t="shared" si="199"/>
        <v>5097226.4551657084</v>
      </c>
      <c r="AK678" s="20">
        <f t="shared" si="208"/>
        <v>0.13424587441904964</v>
      </c>
      <c r="AL678" s="17"/>
      <c r="AM678" s="17"/>
      <c r="AN678" s="17"/>
      <c r="AO678" s="17"/>
      <c r="AP678" s="28" t="str">
        <f t="shared" si="209"/>
        <v>20208</v>
      </c>
      <c r="AQ678" s="28" t="str">
        <f t="shared" si="210"/>
        <v>20208RMB</v>
      </c>
      <c r="AR678" s="206" t="str">
        <f t="shared" si="211"/>
        <v>YAMAHA_Non_Mounter</v>
      </c>
      <c r="AS678" s="22">
        <f t="shared" si="212"/>
        <v>5</v>
      </c>
      <c r="AT678" s="24" t="str">
        <f t="shared" si="213"/>
        <v>4-6 months</v>
      </c>
      <c r="AU678" s="22" t="s">
        <v>3240</v>
      </c>
    </row>
    <row r="679" spans="1:47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48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2893</v>
      </c>
      <c r="K679" s="155" t="s">
        <v>2894</v>
      </c>
      <c r="L679" s="17" t="s">
        <v>2889</v>
      </c>
      <c r="M679" s="13" t="s">
        <v>377</v>
      </c>
      <c r="N679" s="13">
        <v>1</v>
      </c>
      <c r="O679" s="13"/>
      <c r="P679" s="33" t="str">
        <f t="shared" si="203"/>
        <v>MAIN UNIT</v>
      </c>
      <c r="Q679" s="13" t="s">
        <v>68</v>
      </c>
      <c r="R679" s="13" t="s">
        <v>2055</v>
      </c>
      <c r="S679" s="13" t="s">
        <v>50</v>
      </c>
      <c r="T679" s="13" t="s">
        <v>325</v>
      </c>
      <c r="U679" s="13" t="s">
        <v>70</v>
      </c>
      <c r="V679" s="13" t="s">
        <v>102</v>
      </c>
      <c r="W679" s="13" t="s">
        <v>64</v>
      </c>
      <c r="X679" s="135">
        <v>34300</v>
      </c>
      <c r="Y679" s="157" t="str">
        <f t="shared" si="214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198"/>
        <v>37969334.083628319</v>
      </c>
      <c r="AJ679" s="19">
        <f t="shared" si="199"/>
        <v>5097226.4551657084</v>
      </c>
      <c r="AK679" s="20">
        <f t="shared" si="208"/>
        <v>0.13424587441904964</v>
      </c>
      <c r="AL679" s="17"/>
      <c r="AM679" s="17"/>
      <c r="AN679" s="17"/>
      <c r="AO679" s="17"/>
      <c r="AP679" s="28" t="str">
        <f t="shared" si="209"/>
        <v>20208</v>
      </c>
      <c r="AQ679" s="28" t="str">
        <f t="shared" si="210"/>
        <v>20208RMB</v>
      </c>
      <c r="AR679" s="206" t="str">
        <f t="shared" si="211"/>
        <v>LOCAL SUPPLIER</v>
      </c>
      <c r="AS679" s="22">
        <f t="shared" si="212"/>
        <v>5</v>
      </c>
      <c r="AT679" s="24" t="str">
        <f t="shared" si="213"/>
        <v>4-6 months</v>
      </c>
      <c r="AU679" s="22" t="s">
        <v>3240</v>
      </c>
    </row>
    <row r="680" spans="1:47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53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1862</v>
      </c>
      <c r="K680" s="155" t="s">
        <v>1863</v>
      </c>
      <c r="L680" s="17" t="s">
        <v>516</v>
      </c>
      <c r="M680" s="13" t="s">
        <v>60</v>
      </c>
      <c r="N680" s="13">
        <v>0</v>
      </c>
      <c r="O680" s="13">
        <v>2</v>
      </c>
      <c r="P680" s="33" t="str">
        <f t="shared" si="203"/>
        <v>SERVICE/ PARTS</v>
      </c>
      <c r="Q680" s="13" t="s">
        <v>61</v>
      </c>
      <c r="R680" s="13" t="s">
        <v>62</v>
      </c>
      <c r="S680" s="13" t="s">
        <v>50</v>
      </c>
      <c r="T680" s="13" t="s">
        <v>325</v>
      </c>
      <c r="U680" s="13" t="s">
        <v>70</v>
      </c>
      <c r="V680" s="13" t="s">
        <v>169</v>
      </c>
      <c r="W680" s="13" t="s">
        <v>64</v>
      </c>
      <c r="X680" s="135">
        <v>5100</v>
      </c>
      <c r="Y680" s="157" t="str">
        <f t="shared" si="214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198"/>
        <v>47458373.787610628</v>
      </c>
      <c r="AJ680" s="19">
        <f t="shared" si="199"/>
        <v>7436880.1411522133</v>
      </c>
      <c r="AK680" s="20">
        <f t="shared" si="208"/>
        <v>0.15670322321692506</v>
      </c>
      <c r="AL680" s="17"/>
      <c r="AM680" s="17"/>
      <c r="AN680" s="17"/>
      <c r="AO680" s="17"/>
      <c r="AP680" s="28" t="str">
        <f t="shared" si="209"/>
        <v>20218</v>
      </c>
      <c r="AQ680" s="28" t="str">
        <f t="shared" si="210"/>
        <v>20218RMB</v>
      </c>
      <c r="AR680" s="206" t="str">
        <f t="shared" si="211"/>
        <v>YAMAHA_Mounter</v>
      </c>
      <c r="AS680" s="22">
        <f t="shared" si="212"/>
        <v>0</v>
      </c>
      <c r="AT680" s="24" t="str">
        <f t="shared" si="213"/>
        <v>0-3 months</v>
      </c>
      <c r="AU680" s="22" t="s">
        <v>3240</v>
      </c>
    </row>
    <row r="681" spans="1:47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54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2381</v>
      </c>
      <c r="K681" s="155" t="s">
        <v>2382</v>
      </c>
      <c r="L681" s="17" t="s">
        <v>67</v>
      </c>
      <c r="M681" s="13" t="s">
        <v>60</v>
      </c>
      <c r="N681" s="13">
        <v>1</v>
      </c>
      <c r="O681" s="13"/>
      <c r="P681" s="33" t="str">
        <f t="shared" si="203"/>
        <v>MAIN UNIT</v>
      </c>
      <c r="Q681" s="13" t="s">
        <v>61</v>
      </c>
      <c r="R681" s="13" t="s">
        <v>62</v>
      </c>
      <c r="S681" s="13" t="s">
        <v>50</v>
      </c>
      <c r="T681" s="13" t="s">
        <v>325</v>
      </c>
      <c r="U681" s="13" t="s">
        <v>70</v>
      </c>
      <c r="V681" s="13" t="s">
        <v>169</v>
      </c>
      <c r="W681" s="13" t="s">
        <v>64</v>
      </c>
      <c r="X681" s="135">
        <v>430000</v>
      </c>
      <c r="Y681" s="157" t="str">
        <f t="shared" si="214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198"/>
        <v>31017966.201968137</v>
      </c>
      <c r="AJ681" s="19">
        <f t="shared" si="199"/>
        <v>4704250.3347305888</v>
      </c>
      <c r="AK681" s="20">
        <f t="shared" si="208"/>
        <v>0.15166211427595458</v>
      </c>
      <c r="AL681" s="17"/>
      <c r="AM681" s="17"/>
      <c r="AN681" s="17"/>
      <c r="AO681" s="17"/>
      <c r="AP681" s="28" t="str">
        <f t="shared" si="209"/>
        <v>202211</v>
      </c>
      <c r="AQ681" s="28" t="str">
        <f t="shared" si="210"/>
        <v>202211RMB</v>
      </c>
      <c r="AR681" s="206" t="str">
        <f t="shared" si="211"/>
        <v>YAMAHA_Mounter</v>
      </c>
      <c r="AS681" s="22">
        <f t="shared" si="212"/>
        <v>0</v>
      </c>
      <c r="AT681" s="24" t="str">
        <f t="shared" si="213"/>
        <v>0-3 months</v>
      </c>
      <c r="AU681" s="22" t="s">
        <v>3240</v>
      </c>
    </row>
    <row r="682" spans="1:47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41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508</v>
      </c>
      <c r="K682" s="155" t="s">
        <v>509</v>
      </c>
      <c r="L682" s="17" t="s">
        <v>67</v>
      </c>
      <c r="M682" s="13" t="s">
        <v>60</v>
      </c>
      <c r="N682" s="13">
        <v>0.5</v>
      </c>
      <c r="O682" s="13"/>
      <c r="P682" s="33" t="str">
        <f t="shared" si="203"/>
        <v>MAIN UNIT</v>
      </c>
      <c r="Q682" s="13" t="s">
        <v>68</v>
      </c>
      <c r="R682" s="13" t="s">
        <v>62</v>
      </c>
      <c r="S682" s="13" t="s">
        <v>50</v>
      </c>
      <c r="T682" s="13" t="s">
        <v>101</v>
      </c>
      <c r="U682" s="13" t="s">
        <v>70</v>
      </c>
      <c r="V682" s="13" t="s">
        <v>169</v>
      </c>
      <c r="W682" s="13" t="s">
        <v>64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198"/>
        <v>29840797.698275864</v>
      </c>
      <c r="AJ682" s="19">
        <f t="shared" si="199"/>
        <v>3940167.6555448272</v>
      </c>
      <c r="AK682" s="20">
        <f t="shared" si="208"/>
        <v>0.13203962224416277</v>
      </c>
      <c r="AL682" s="17"/>
      <c r="AM682" s="17"/>
      <c r="AN682" s="17"/>
      <c r="AO682" s="17"/>
      <c r="AP682" s="28" t="str">
        <f t="shared" si="209"/>
        <v>201812</v>
      </c>
      <c r="AQ682" s="28" t="str">
        <f t="shared" si="210"/>
        <v>201812RMB</v>
      </c>
      <c r="AR682" s="206" t="str">
        <f t="shared" si="211"/>
        <v>YAMAHA_Mounter</v>
      </c>
      <c r="AS682" s="22">
        <f t="shared" si="212"/>
        <v>2</v>
      </c>
      <c r="AT682" s="24" t="str">
        <f t="shared" si="213"/>
        <v>0-3 months</v>
      </c>
      <c r="AU682" s="22" t="s">
        <v>3240</v>
      </c>
    </row>
    <row r="683" spans="1:47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41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508</v>
      </c>
      <c r="K683" s="155" t="s">
        <v>509</v>
      </c>
      <c r="L683" s="17" t="s">
        <v>67</v>
      </c>
      <c r="M683" s="13" t="s">
        <v>60</v>
      </c>
      <c r="N683" s="13">
        <v>0.5</v>
      </c>
      <c r="O683" s="13"/>
      <c r="P683" s="33" t="str">
        <f t="shared" si="203"/>
        <v>MAIN UNIT</v>
      </c>
      <c r="Q683" s="13" t="s">
        <v>68</v>
      </c>
      <c r="R683" s="13" t="s">
        <v>62</v>
      </c>
      <c r="S683" s="13" t="s">
        <v>50</v>
      </c>
      <c r="T683" s="13" t="s">
        <v>101</v>
      </c>
      <c r="U683" s="13" t="s">
        <v>70</v>
      </c>
      <c r="V683" s="13" t="s">
        <v>169</v>
      </c>
      <c r="W683" s="13" t="s">
        <v>64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198"/>
        <v>10785027.603448275</v>
      </c>
      <c r="AJ683" s="19">
        <f t="shared" si="199"/>
        <v>1540894.1297982759</v>
      </c>
      <c r="AK683" s="20">
        <f t="shared" si="208"/>
        <v>0.1428734525728621</v>
      </c>
      <c r="AL683" s="17"/>
      <c r="AM683" s="17"/>
      <c r="AN683" s="17"/>
      <c r="AO683" s="17"/>
      <c r="AP683" s="28" t="str">
        <f t="shared" si="209"/>
        <v>201811</v>
      </c>
      <c r="AQ683" s="28" t="str">
        <f t="shared" si="210"/>
        <v>201811RMB</v>
      </c>
      <c r="AR683" s="206" t="str">
        <f t="shared" si="211"/>
        <v>YAMAHA_Mounter</v>
      </c>
      <c r="AS683" s="22">
        <f t="shared" si="212"/>
        <v>1</v>
      </c>
      <c r="AT683" s="24" t="str">
        <f t="shared" si="213"/>
        <v>0-3 months</v>
      </c>
      <c r="AU683" s="22" t="s">
        <v>3240</v>
      </c>
    </row>
    <row r="684" spans="1:47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47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784</v>
      </c>
      <c r="K684" s="155" t="s">
        <v>509</v>
      </c>
      <c r="L684" s="17" t="s">
        <v>92</v>
      </c>
      <c r="M684" s="13" t="s">
        <v>60</v>
      </c>
      <c r="N684" s="13">
        <v>1</v>
      </c>
      <c r="O684" s="13"/>
      <c r="P684" s="33" t="str">
        <f t="shared" si="203"/>
        <v>MAIN UNIT</v>
      </c>
      <c r="Q684" s="13" t="s">
        <v>61</v>
      </c>
      <c r="R684" s="13" t="s">
        <v>62</v>
      </c>
      <c r="S684" s="13" t="s">
        <v>50</v>
      </c>
      <c r="T684" s="13" t="s">
        <v>325</v>
      </c>
      <c r="U684" s="13" t="s">
        <v>70</v>
      </c>
      <c r="V684" s="13" t="s">
        <v>169</v>
      </c>
      <c r="W684" s="13" t="s">
        <v>64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198"/>
        <v>34015877.71150443</v>
      </c>
      <c r="AJ684" s="19">
        <f t="shared" si="199"/>
        <v>4446292.375441948</v>
      </c>
      <c r="AK684" s="20">
        <f t="shared" si="208"/>
        <v>0.13071226364205143</v>
      </c>
      <c r="AL684" s="17"/>
      <c r="AM684" s="17"/>
      <c r="AN684" s="17"/>
      <c r="AO684" s="17"/>
      <c r="AP684" s="28" t="str">
        <f t="shared" si="209"/>
        <v>20197</v>
      </c>
      <c r="AQ684" s="28" t="str">
        <f t="shared" si="210"/>
        <v>20197RMB</v>
      </c>
      <c r="AR684" s="206" t="str">
        <f t="shared" si="211"/>
        <v>YAMAHA_Mounter</v>
      </c>
      <c r="AS684" s="22">
        <f t="shared" si="212"/>
        <v>1</v>
      </c>
      <c r="AT684" s="24" t="str">
        <f t="shared" si="213"/>
        <v>0-3 months</v>
      </c>
      <c r="AU684" s="22" t="s">
        <v>3240</v>
      </c>
    </row>
    <row r="685" spans="1:47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48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1579</v>
      </c>
      <c r="K685" s="155" t="s">
        <v>1580</v>
      </c>
      <c r="L685" s="17" t="s">
        <v>67</v>
      </c>
      <c r="M685" s="13" t="s">
        <v>60</v>
      </c>
      <c r="N685" s="13">
        <v>3</v>
      </c>
      <c r="O685" s="13"/>
      <c r="P685" s="33" t="str">
        <f t="shared" si="203"/>
        <v>MAIN UNIT</v>
      </c>
      <c r="Q685" s="13" t="s">
        <v>68</v>
      </c>
      <c r="R685" s="13" t="s">
        <v>62</v>
      </c>
      <c r="S685" s="13" t="s">
        <v>50</v>
      </c>
      <c r="T685" s="13" t="s">
        <v>88</v>
      </c>
      <c r="U685" s="13" t="s">
        <v>70</v>
      </c>
      <c r="V685" s="13" t="s">
        <v>1010</v>
      </c>
      <c r="W685" s="13" t="s">
        <v>64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198"/>
        <v>45803245.025628321</v>
      </c>
      <c r="AJ685" s="19">
        <f t="shared" si="199"/>
        <v>5664636.2584379362</v>
      </c>
      <c r="AK685" s="20">
        <f t="shared" si="208"/>
        <v>0.12367325186825515</v>
      </c>
      <c r="AL685" s="17"/>
      <c r="AM685" s="17"/>
      <c r="AN685" s="17"/>
      <c r="AO685" s="17"/>
      <c r="AP685" s="28" t="str">
        <f t="shared" si="209"/>
        <v>20211</v>
      </c>
      <c r="AQ685" s="28" t="str">
        <f t="shared" si="210"/>
        <v>20211RMB</v>
      </c>
      <c r="AR685" s="206" t="str">
        <f t="shared" si="211"/>
        <v>YAMAHA_Mounter</v>
      </c>
      <c r="AS685" s="22">
        <f t="shared" si="212"/>
        <v>1</v>
      </c>
      <c r="AT685" s="24" t="str">
        <f t="shared" si="213"/>
        <v>0-3 months</v>
      </c>
      <c r="AU685" s="22" t="s">
        <v>3240</v>
      </c>
    </row>
    <row r="686" spans="1:47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48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1579</v>
      </c>
      <c r="K686" s="155" t="s">
        <v>1580</v>
      </c>
      <c r="L686" s="17" t="s">
        <v>92</v>
      </c>
      <c r="M686" s="13" t="s">
        <v>60</v>
      </c>
      <c r="N686" s="13">
        <v>1</v>
      </c>
      <c r="O686" s="13"/>
      <c r="P686" s="33" t="str">
        <f t="shared" si="203"/>
        <v>MAIN UNIT</v>
      </c>
      <c r="Q686" s="13" t="s">
        <v>61</v>
      </c>
      <c r="R686" s="13" t="s">
        <v>62</v>
      </c>
      <c r="S686" s="13" t="s">
        <v>50</v>
      </c>
      <c r="T686" s="13" t="s">
        <v>88</v>
      </c>
      <c r="U686" s="13" t="s">
        <v>70</v>
      </c>
      <c r="V686" s="13" t="s">
        <v>1010</v>
      </c>
      <c r="W686" s="13" t="s">
        <v>64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198"/>
        <v>57778307.282035396</v>
      </c>
      <c r="AJ686" s="19">
        <f t="shared" si="199"/>
        <v>7259860.7225420559</v>
      </c>
      <c r="AK686" s="20">
        <f t="shared" si="208"/>
        <v>0.12565028406083667</v>
      </c>
      <c r="AL686" s="17"/>
      <c r="AM686" s="17"/>
      <c r="AN686" s="17"/>
      <c r="AO686" s="17"/>
      <c r="AP686" s="28" t="str">
        <f t="shared" si="209"/>
        <v>20213</v>
      </c>
      <c r="AQ686" s="28" t="str">
        <f t="shared" si="210"/>
        <v>20213RMB</v>
      </c>
      <c r="AR686" s="206" t="str">
        <f t="shared" si="211"/>
        <v>YAMAHA_Mounter</v>
      </c>
      <c r="AS686" s="22">
        <f t="shared" si="212"/>
        <v>3</v>
      </c>
      <c r="AT686" s="24" t="str">
        <f t="shared" si="213"/>
        <v>0-3 months</v>
      </c>
      <c r="AU686" s="22" t="s">
        <v>3240</v>
      </c>
    </row>
    <row r="687" spans="1:47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55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2560</v>
      </c>
      <c r="K687" s="155" t="s">
        <v>2561</v>
      </c>
      <c r="L687" s="17" t="s">
        <v>67</v>
      </c>
      <c r="M687" s="13" t="s">
        <v>60</v>
      </c>
      <c r="N687" s="13">
        <v>1</v>
      </c>
      <c r="O687" s="13"/>
      <c r="P687" s="33" t="str">
        <f t="shared" si="203"/>
        <v>MAIN UNIT</v>
      </c>
      <c r="Q687" s="13" t="s">
        <v>68</v>
      </c>
      <c r="R687" s="13" t="s">
        <v>62</v>
      </c>
      <c r="S687" s="13" t="s">
        <v>50</v>
      </c>
      <c r="T687" s="13" t="s">
        <v>88</v>
      </c>
      <c r="U687" s="13" t="s">
        <v>70</v>
      </c>
      <c r="V687" s="13" t="s">
        <v>1010</v>
      </c>
      <c r="W687" s="13" t="s">
        <v>64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198"/>
        <v>22953677.784070797</v>
      </c>
      <c r="AJ687" s="19">
        <f t="shared" si="199"/>
        <v>4168706.6744155753</v>
      </c>
      <c r="AK687" s="20">
        <f t="shared" si="208"/>
        <v>0.18161388835511752</v>
      </c>
      <c r="AL687" s="17"/>
      <c r="AM687" s="17"/>
      <c r="AN687" s="17"/>
      <c r="AO687" s="17"/>
      <c r="AP687" s="28" t="str">
        <f t="shared" si="209"/>
        <v>20238</v>
      </c>
      <c r="AQ687" s="28" t="str">
        <f t="shared" si="210"/>
        <v>20238RMB</v>
      </c>
      <c r="AR687" s="206" t="str">
        <f t="shared" si="211"/>
        <v>YAMAHA_Mounter</v>
      </c>
      <c r="AS687" s="22">
        <f t="shared" si="212"/>
        <v>0</v>
      </c>
      <c r="AT687" s="24" t="str">
        <f t="shared" si="213"/>
        <v>0-3 months</v>
      </c>
      <c r="AU687" s="22" t="s">
        <v>3240</v>
      </c>
    </row>
    <row r="688" spans="1:47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3354</v>
      </c>
      <c r="K688" s="29" t="s">
        <v>1214</v>
      </c>
      <c r="L688" s="17" t="s">
        <v>92</v>
      </c>
      <c r="M688" s="22" t="s">
        <v>60</v>
      </c>
      <c r="N688" s="22">
        <v>1</v>
      </c>
      <c r="O688" s="22"/>
      <c r="P688" s="33" t="str">
        <f t="shared" si="203"/>
        <v>MAIN UNIT</v>
      </c>
      <c r="Q688" s="13" t="s">
        <v>61</v>
      </c>
      <c r="R688" s="22" t="s">
        <v>62</v>
      </c>
      <c r="S688" s="22" t="s">
        <v>49</v>
      </c>
      <c r="T688" s="22" t="s">
        <v>78</v>
      </c>
      <c r="U688" s="22" t="s">
        <v>78</v>
      </c>
      <c r="V688" s="22" t="s">
        <v>131</v>
      </c>
      <c r="W688" s="22" t="s">
        <v>64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198"/>
        <v>20319282.700884953</v>
      </c>
      <c r="AJ688" s="27">
        <f t="shared" si="199"/>
        <v>2408851.9638623013</v>
      </c>
      <c r="AK688" s="28">
        <f t="shared" si="208"/>
        <v>0.11855004919821259</v>
      </c>
      <c r="AL688" s="24"/>
      <c r="AM688" s="24"/>
      <c r="AN688" s="24"/>
      <c r="AO688" s="24"/>
      <c r="AP688" s="28" t="str">
        <f t="shared" si="209"/>
        <v>20244</v>
      </c>
      <c r="AQ688" s="28" t="str">
        <f t="shared" si="210"/>
        <v>20244RMB</v>
      </c>
      <c r="AR688" s="206" t="str">
        <f t="shared" si="211"/>
        <v>YAMAHA_Mounter</v>
      </c>
      <c r="AS688" s="22">
        <f t="shared" si="212"/>
        <v>1</v>
      </c>
      <c r="AT688" s="24" t="str">
        <f t="shared" si="213"/>
        <v>0-3 months</v>
      </c>
      <c r="AU688" s="22" t="s">
        <v>3751</v>
      </c>
    </row>
    <row r="689" spans="1:47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3354</v>
      </c>
      <c r="K689" s="29" t="s">
        <v>1214</v>
      </c>
      <c r="L689" s="17" t="s">
        <v>92</v>
      </c>
      <c r="M689" s="22" t="s">
        <v>60</v>
      </c>
      <c r="N689" s="22">
        <v>1</v>
      </c>
      <c r="O689" s="22"/>
      <c r="P689" s="33" t="str">
        <f t="shared" si="203"/>
        <v>MAIN UNIT</v>
      </c>
      <c r="Q689" s="13" t="s">
        <v>61</v>
      </c>
      <c r="R689" s="22" t="s">
        <v>62</v>
      </c>
      <c r="S689" s="22" t="s">
        <v>49</v>
      </c>
      <c r="T689" s="22" t="s">
        <v>78</v>
      </c>
      <c r="U689" s="22" t="s">
        <v>78</v>
      </c>
      <c r="V689" s="22" t="s">
        <v>131</v>
      </c>
      <c r="W689" s="22" t="s">
        <v>64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198"/>
        <v>20319282.700884953</v>
      </c>
      <c r="AJ689" s="27">
        <f t="shared" si="199"/>
        <v>2408851.9638623013</v>
      </c>
      <c r="AK689" s="28">
        <f t="shared" si="208"/>
        <v>0.11855004919821259</v>
      </c>
      <c r="AL689" s="24"/>
      <c r="AM689" s="24"/>
      <c r="AN689" s="24"/>
      <c r="AO689" s="24"/>
      <c r="AP689" s="28" t="str">
        <f t="shared" si="209"/>
        <v>20244</v>
      </c>
      <c r="AQ689" s="28" t="str">
        <f t="shared" si="210"/>
        <v>20244RMB</v>
      </c>
      <c r="AR689" s="206" t="str">
        <f t="shared" si="211"/>
        <v>YAMAHA_Mounter</v>
      </c>
      <c r="AS689" s="22">
        <f t="shared" si="212"/>
        <v>1</v>
      </c>
      <c r="AT689" s="24" t="str">
        <f t="shared" si="213"/>
        <v>0-3 months</v>
      </c>
      <c r="AU689" s="22" t="s">
        <v>3751</v>
      </c>
    </row>
    <row r="690" spans="1:47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3354</v>
      </c>
      <c r="K690" s="29" t="s">
        <v>1214</v>
      </c>
      <c r="L690" s="17" t="s">
        <v>92</v>
      </c>
      <c r="M690" s="22" t="s">
        <v>60</v>
      </c>
      <c r="N690" s="22">
        <v>1</v>
      </c>
      <c r="O690" s="22"/>
      <c r="P690" s="33" t="str">
        <f t="shared" si="203"/>
        <v>MAIN UNIT</v>
      </c>
      <c r="Q690" s="13" t="s">
        <v>61</v>
      </c>
      <c r="R690" s="22" t="s">
        <v>62</v>
      </c>
      <c r="S690" s="22" t="s">
        <v>49</v>
      </c>
      <c r="T690" s="22" t="s">
        <v>78</v>
      </c>
      <c r="U690" s="22" t="s">
        <v>78</v>
      </c>
      <c r="V690" s="22" t="s">
        <v>131</v>
      </c>
      <c r="W690" s="22" t="s">
        <v>64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198"/>
        <v>20319282.700884953</v>
      </c>
      <c r="AJ690" s="27">
        <f t="shared" si="199"/>
        <v>2408851.9638623013</v>
      </c>
      <c r="AK690" s="28">
        <f t="shared" si="208"/>
        <v>0.11855004919821259</v>
      </c>
      <c r="AL690" s="24"/>
      <c r="AM690" s="24"/>
      <c r="AN690" s="24"/>
      <c r="AO690" s="24"/>
      <c r="AP690" s="28" t="str">
        <f t="shared" si="209"/>
        <v>20244</v>
      </c>
      <c r="AQ690" s="28" t="str">
        <f t="shared" si="210"/>
        <v>20244RMB</v>
      </c>
      <c r="AR690" s="206" t="str">
        <f t="shared" si="211"/>
        <v>YAMAHA_Mounter</v>
      </c>
      <c r="AS690" s="22">
        <f t="shared" si="212"/>
        <v>1</v>
      </c>
      <c r="AT690" s="24" t="str">
        <f t="shared" si="213"/>
        <v>0-3 months</v>
      </c>
      <c r="AU690" s="22" t="s">
        <v>3751</v>
      </c>
    </row>
    <row r="691" spans="1:47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54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2400</v>
      </c>
      <c r="K691" s="155" t="s">
        <v>2401</v>
      </c>
      <c r="L691" s="17" t="s">
        <v>67</v>
      </c>
      <c r="M691" s="13" t="s">
        <v>60</v>
      </c>
      <c r="N691" s="13">
        <v>1</v>
      </c>
      <c r="O691" s="13"/>
      <c r="P691" s="33" t="str">
        <f t="shared" si="203"/>
        <v>MAIN UNIT</v>
      </c>
      <c r="Q691" s="13" t="s">
        <v>68</v>
      </c>
      <c r="R691" s="13" t="s">
        <v>62</v>
      </c>
      <c r="S691" s="13" t="s">
        <v>50</v>
      </c>
      <c r="T691" s="13" t="s">
        <v>325</v>
      </c>
      <c r="U691" s="13" t="s">
        <v>70</v>
      </c>
      <c r="V691" s="13" t="s">
        <v>102</v>
      </c>
      <c r="W691" s="13" t="s">
        <v>64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198"/>
        <v>17329060.066371687</v>
      </c>
      <c r="AJ691" s="19">
        <f t="shared" si="199"/>
        <v>2472600.2142256643</v>
      </c>
      <c r="AK691" s="20">
        <f t="shared" si="208"/>
        <v>0.14268518919984163</v>
      </c>
      <c r="AL691" s="17"/>
      <c r="AM691" s="17"/>
      <c r="AN691" s="17"/>
      <c r="AO691" s="17"/>
      <c r="AP691" s="28" t="str">
        <f t="shared" si="209"/>
        <v>202212</v>
      </c>
      <c r="AQ691" s="28" t="str">
        <f t="shared" si="210"/>
        <v>202212RMB</v>
      </c>
      <c r="AR691" s="206" t="str">
        <f t="shared" si="211"/>
        <v>YAMAHA_Mounter</v>
      </c>
      <c r="AS691" s="22">
        <f t="shared" si="212"/>
        <v>0</v>
      </c>
      <c r="AT691" s="24" t="str">
        <f t="shared" si="213"/>
        <v>0-3 months</v>
      </c>
      <c r="AU691" s="22" t="s">
        <v>3240</v>
      </c>
    </row>
    <row r="692" spans="1:47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54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2400</v>
      </c>
      <c r="K692" s="155" t="s">
        <v>2401</v>
      </c>
      <c r="L692" s="17" t="s">
        <v>92</v>
      </c>
      <c r="M692" s="13" t="s">
        <v>60</v>
      </c>
      <c r="N692" s="13">
        <v>1</v>
      </c>
      <c r="O692" s="13"/>
      <c r="P692" s="33" t="str">
        <f t="shared" si="203"/>
        <v>MAIN UNIT</v>
      </c>
      <c r="Q692" s="13" t="s">
        <v>68</v>
      </c>
      <c r="R692" s="13" t="s">
        <v>62</v>
      </c>
      <c r="S692" s="13" t="s">
        <v>50</v>
      </c>
      <c r="T692" s="13" t="s">
        <v>325</v>
      </c>
      <c r="U692" s="13" t="s">
        <v>70</v>
      </c>
      <c r="V692" s="13" t="s">
        <v>102</v>
      </c>
      <c r="W692" s="13" t="s">
        <v>64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198"/>
        <v>17329060.066371687</v>
      </c>
      <c r="AJ692" s="19">
        <f t="shared" si="199"/>
        <v>2472600.2142256643</v>
      </c>
      <c r="AK692" s="20">
        <f t="shared" si="208"/>
        <v>0.14268518919984163</v>
      </c>
      <c r="AL692" s="17"/>
      <c r="AM692" s="17"/>
      <c r="AN692" s="17"/>
      <c r="AO692" s="17"/>
      <c r="AP692" s="28" t="str">
        <f t="shared" si="209"/>
        <v>202212</v>
      </c>
      <c r="AQ692" s="28" t="str">
        <f t="shared" si="210"/>
        <v>202212RMB</v>
      </c>
      <c r="AR692" s="206" t="str">
        <f t="shared" si="211"/>
        <v>YAMAHA_Mounter</v>
      </c>
      <c r="AS692" s="22">
        <f t="shared" si="212"/>
        <v>0</v>
      </c>
      <c r="AT692" s="24" t="str">
        <f t="shared" si="213"/>
        <v>0-3 months</v>
      </c>
      <c r="AU692" s="22" t="s">
        <v>3240</v>
      </c>
    </row>
    <row r="693" spans="1:47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54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2027</v>
      </c>
      <c r="K693" s="155" t="s">
        <v>2028</v>
      </c>
      <c r="L693" s="17" t="s">
        <v>67</v>
      </c>
      <c r="M693" s="13" t="s">
        <v>60</v>
      </c>
      <c r="N693" s="13">
        <v>1</v>
      </c>
      <c r="O693" s="13"/>
      <c r="P693" s="33" t="str">
        <f t="shared" si="203"/>
        <v>MAIN UNIT</v>
      </c>
      <c r="Q693" s="13" t="s">
        <v>61</v>
      </c>
      <c r="R693" s="13" t="s">
        <v>62</v>
      </c>
      <c r="S693" s="13" t="s">
        <v>50</v>
      </c>
      <c r="T693" s="13" t="s">
        <v>325</v>
      </c>
      <c r="U693" s="13" t="s">
        <v>70</v>
      </c>
      <c r="V693" s="13" t="s">
        <v>102</v>
      </c>
      <c r="W693" s="13" t="s">
        <v>64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198"/>
        <v>35682787.057522126</v>
      </c>
      <c r="AJ693" s="19">
        <f t="shared" si="199"/>
        <v>5833368.3789623892</v>
      </c>
      <c r="AK693" s="20">
        <f t="shared" si="208"/>
        <v>0.16347849649632912</v>
      </c>
      <c r="AL693" s="17"/>
      <c r="AM693" s="17"/>
      <c r="AN693" s="17"/>
      <c r="AO693" s="17"/>
      <c r="AP693" s="28" t="str">
        <f t="shared" si="209"/>
        <v>20226</v>
      </c>
      <c r="AQ693" s="28" t="str">
        <f t="shared" si="210"/>
        <v>20226RMB</v>
      </c>
      <c r="AR693" s="206" t="str">
        <f t="shared" si="211"/>
        <v>YAMAHA_Mounter</v>
      </c>
      <c r="AS693" s="22">
        <f t="shared" si="212"/>
        <v>12</v>
      </c>
      <c r="AT693" s="24" t="str">
        <f t="shared" si="213"/>
        <v>&gt; 6 months</v>
      </c>
      <c r="AU693" s="22" t="s">
        <v>3240</v>
      </c>
    </row>
    <row r="694" spans="1:47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47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1243</v>
      </c>
      <c r="K694" s="155" t="s">
        <v>1244</v>
      </c>
      <c r="L694" s="17" t="s">
        <v>67</v>
      </c>
      <c r="M694" s="13" t="s">
        <v>60</v>
      </c>
      <c r="N694" s="13">
        <v>1</v>
      </c>
      <c r="O694" s="13"/>
      <c r="P694" s="33" t="str">
        <f t="shared" si="203"/>
        <v>MAIN UNIT</v>
      </c>
      <c r="Q694" s="13" t="s">
        <v>68</v>
      </c>
      <c r="R694" s="13" t="s">
        <v>62</v>
      </c>
      <c r="S694" s="13" t="s">
        <v>50</v>
      </c>
      <c r="T694" s="13" t="s">
        <v>88</v>
      </c>
      <c r="U694" s="13" t="s">
        <v>70</v>
      </c>
      <c r="V694" s="13" t="s">
        <v>102</v>
      </c>
      <c r="W694" s="13" t="s">
        <v>64</v>
      </c>
      <c r="X694" s="135">
        <v>600000</v>
      </c>
      <c r="Y694" s="156" t="s">
        <v>1058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198"/>
        <v>23168285.927433632</v>
      </c>
      <c r="AJ694" s="19">
        <f t="shared" si="199"/>
        <v>2764878.916878053</v>
      </c>
      <c r="AK694" s="20">
        <f t="shared" si="208"/>
        <v>0.11933895004309111</v>
      </c>
      <c r="AL694" s="17"/>
      <c r="AM694" s="17"/>
      <c r="AN694" s="17"/>
      <c r="AO694" s="17"/>
      <c r="AP694" s="28" t="str">
        <f t="shared" si="209"/>
        <v>20203</v>
      </c>
      <c r="AQ694" s="28" t="str">
        <f t="shared" si="210"/>
        <v>20203RMB</v>
      </c>
      <c r="AR694" s="206" t="str">
        <f t="shared" si="211"/>
        <v>YAMAHA_Mounter</v>
      </c>
      <c r="AS694" s="22">
        <f t="shared" si="212"/>
        <v>0</v>
      </c>
      <c r="AT694" s="24" t="str">
        <f t="shared" si="213"/>
        <v>0-3 months</v>
      </c>
      <c r="AU694" s="22" t="s">
        <v>3240</v>
      </c>
    </row>
    <row r="695" spans="1:47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3191</v>
      </c>
      <c r="K695" s="29" t="s">
        <v>3192</v>
      </c>
      <c r="L695" s="17" t="s">
        <v>92</v>
      </c>
      <c r="M695" s="13" t="s">
        <v>60</v>
      </c>
      <c r="N695" s="22">
        <v>1</v>
      </c>
      <c r="O695" s="22"/>
      <c r="P695" s="33" t="str">
        <f t="shared" si="203"/>
        <v>MAIN UNIT</v>
      </c>
      <c r="Q695" s="13" t="s">
        <v>61</v>
      </c>
      <c r="R695" s="22" t="s">
        <v>62</v>
      </c>
      <c r="S695" s="22" t="s">
        <v>50</v>
      </c>
      <c r="T695" s="22" t="s">
        <v>325</v>
      </c>
      <c r="U695" s="22" t="s">
        <v>70</v>
      </c>
      <c r="V695" s="22" t="s">
        <v>102</v>
      </c>
      <c r="W695" s="22" t="s">
        <v>64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198"/>
        <v>21241742.157380536</v>
      </c>
      <c r="AJ695" s="27">
        <f t="shared" si="199"/>
        <v>2987081.1613773629</v>
      </c>
      <c r="AK695" s="28">
        <f t="shared" si="208"/>
        <v>0.14062317201884914</v>
      </c>
      <c r="AL695" s="24"/>
      <c r="AM695" s="24"/>
      <c r="AN695" s="24"/>
      <c r="AO695" s="24"/>
      <c r="AP695" s="28" t="str">
        <f t="shared" si="209"/>
        <v>20243</v>
      </c>
      <c r="AQ695" s="28" t="str">
        <f t="shared" si="210"/>
        <v>20243RMB</v>
      </c>
      <c r="AR695" s="206" t="str">
        <f t="shared" si="211"/>
        <v>YAMAHA_Mounter</v>
      </c>
      <c r="AS695" s="22">
        <f t="shared" si="212"/>
        <v>1</v>
      </c>
      <c r="AT695" s="24" t="str">
        <f t="shared" si="213"/>
        <v>0-3 months</v>
      </c>
      <c r="AU695" s="22" t="s">
        <v>3240</v>
      </c>
    </row>
    <row r="696" spans="1:47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47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699</v>
      </c>
      <c r="K696" s="155" t="s">
        <v>700</v>
      </c>
      <c r="L696" s="17" t="s">
        <v>92</v>
      </c>
      <c r="M696" s="13" t="s">
        <v>60</v>
      </c>
      <c r="N696" s="13">
        <v>1</v>
      </c>
      <c r="O696" s="13"/>
      <c r="P696" s="33" t="str">
        <f t="shared" si="203"/>
        <v>MAIN UNIT</v>
      </c>
      <c r="Q696" s="13" t="s">
        <v>68</v>
      </c>
      <c r="R696" s="13" t="s">
        <v>701</v>
      </c>
      <c r="S696" s="13" t="s">
        <v>50</v>
      </c>
      <c r="T696" s="13" t="s">
        <v>325</v>
      </c>
      <c r="U696" s="13" t="s">
        <v>70</v>
      </c>
      <c r="V696" s="13" t="s">
        <v>702</v>
      </c>
      <c r="W696" s="13" t="s">
        <v>703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198"/>
        <v>21386017.707964607</v>
      </c>
      <c r="AJ696" s="19">
        <f t="shared" si="199"/>
        <v>2238764.3265707968</v>
      </c>
      <c r="AK696" s="20">
        <f t="shared" si="208"/>
        <v>0.10468355339185161</v>
      </c>
      <c r="AL696" s="17"/>
      <c r="AM696" s="17"/>
      <c r="AN696" s="17"/>
      <c r="AO696" s="17" t="s">
        <v>704</v>
      </c>
      <c r="AP696" s="28" t="str">
        <f t="shared" si="209"/>
        <v>20198</v>
      </c>
      <c r="AQ696" s="28" t="str">
        <f t="shared" si="210"/>
        <v>20198RMB</v>
      </c>
      <c r="AR696" s="206" t="str">
        <f t="shared" si="211"/>
        <v>YAMAHA_Mounter</v>
      </c>
      <c r="AS696" s="22">
        <f t="shared" si="212"/>
        <v>3</v>
      </c>
      <c r="AT696" s="24" t="str">
        <f t="shared" si="213"/>
        <v>0-3 months</v>
      </c>
      <c r="AU696" s="22" t="s">
        <v>3240</v>
      </c>
    </row>
    <row r="697" spans="1:47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48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1401</v>
      </c>
      <c r="K697" s="155" t="s">
        <v>1402</v>
      </c>
      <c r="L697" s="17" t="s">
        <v>67</v>
      </c>
      <c r="M697" s="13" t="s">
        <v>60</v>
      </c>
      <c r="N697" s="13">
        <v>1</v>
      </c>
      <c r="O697" s="13"/>
      <c r="P697" s="33" t="str">
        <f t="shared" si="203"/>
        <v>MAIN UNIT</v>
      </c>
      <c r="Q697" s="13" t="s">
        <v>68</v>
      </c>
      <c r="R697" s="13" t="s">
        <v>62</v>
      </c>
      <c r="S697" s="13" t="s">
        <v>50</v>
      </c>
      <c r="T697" s="13" t="s">
        <v>325</v>
      </c>
      <c r="U697" s="13" t="s">
        <v>70</v>
      </c>
      <c r="V697" s="13" t="s">
        <v>1010</v>
      </c>
      <c r="W697" s="13" t="s">
        <v>64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198"/>
        <v>44078731.611185849</v>
      </c>
      <c r="AJ697" s="19">
        <f t="shared" si="199"/>
        <v>5508173.2163771465</v>
      </c>
      <c r="AK697" s="20">
        <f t="shared" si="208"/>
        <v>0.12496215328889679</v>
      </c>
      <c r="AL697" s="17"/>
      <c r="AM697" s="17"/>
      <c r="AN697" s="17"/>
      <c r="AO697" s="17"/>
      <c r="AP697" s="28" t="str">
        <f t="shared" si="209"/>
        <v>202011</v>
      </c>
      <c r="AQ697" s="28" t="str">
        <f t="shared" si="210"/>
        <v>202011RMB</v>
      </c>
      <c r="AR697" s="206" t="str">
        <f t="shared" si="211"/>
        <v>YAMAHA_Mounter</v>
      </c>
      <c r="AS697" s="22">
        <f t="shared" si="212"/>
        <v>2</v>
      </c>
      <c r="AT697" s="24" t="str">
        <f t="shared" si="213"/>
        <v>0-3 months</v>
      </c>
      <c r="AU697" s="22" t="s">
        <v>3240</v>
      </c>
    </row>
    <row r="698" spans="1:47" s="12" customFormat="1">
      <c r="A698" s="33" t="str">
        <f t="shared" si="200"/>
        <v>cancel</v>
      </c>
      <c r="B698" s="152"/>
      <c r="C698" s="152" t="s">
        <v>185</v>
      </c>
      <c r="D698" s="33" t="str">
        <f t="shared" si="201"/>
        <v/>
      </c>
      <c r="E698" s="33" t="s">
        <v>185</v>
      </c>
      <c r="F698" s="13" t="s">
        <v>185</v>
      </c>
      <c r="G698" s="152" t="s">
        <v>185</v>
      </c>
      <c r="H698" s="155"/>
      <c r="I698" s="33" t="str">
        <f t="shared" si="202"/>
        <v>Cancel</v>
      </c>
      <c r="J698" s="186" t="s">
        <v>2707</v>
      </c>
      <c r="K698" s="155" t="s">
        <v>2708</v>
      </c>
      <c r="L698" s="17" t="s">
        <v>92</v>
      </c>
      <c r="M698" s="13" t="s">
        <v>60</v>
      </c>
      <c r="N698" s="13">
        <v>1</v>
      </c>
      <c r="O698" s="13"/>
      <c r="P698" s="33" t="str">
        <f t="shared" si="203"/>
        <v>MAIN UNIT</v>
      </c>
      <c r="Q698" s="13" t="s">
        <v>68</v>
      </c>
      <c r="R698" s="13" t="s">
        <v>62</v>
      </c>
      <c r="S698" s="13" t="s">
        <v>50</v>
      </c>
      <c r="T698" s="13" t="s">
        <v>325</v>
      </c>
      <c r="U698" s="13" t="s">
        <v>70</v>
      </c>
      <c r="V698" s="13" t="s">
        <v>1010</v>
      </c>
      <c r="W698" s="13" t="s">
        <v>64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198"/>
        <v>499582152.5142017</v>
      </c>
      <c r="AJ698" s="19">
        <f t="shared" si="199"/>
        <v>59520528.679470733</v>
      </c>
      <c r="AK698" s="20">
        <f t="shared" si="208"/>
        <v>0.11914062257814291</v>
      </c>
      <c r="AL698" s="17"/>
      <c r="AM698" s="17"/>
      <c r="AN698" s="17"/>
      <c r="AO698" s="17"/>
      <c r="AP698" s="28" t="str">
        <f t="shared" si="209"/>
        <v>CancelCancel</v>
      </c>
      <c r="AQ698" s="28" t="str">
        <f t="shared" si="210"/>
        <v>CancelCancelRMB</v>
      </c>
      <c r="AR698" s="206" t="str">
        <f t="shared" si="211"/>
        <v>YAMAHA_Mounter</v>
      </c>
      <c r="AS698" s="22" t="str">
        <f t="shared" si="212"/>
        <v/>
      </c>
      <c r="AT698" s="24" t="str">
        <f t="shared" si="213"/>
        <v/>
      </c>
      <c r="AU698" s="22" t="s">
        <v>3240</v>
      </c>
    </row>
    <row r="699" spans="1:47" s="12" customFormat="1">
      <c r="A699" s="33" t="str">
        <f t="shared" si="200"/>
        <v>cancel</v>
      </c>
      <c r="B699" s="152"/>
      <c r="C699" s="152" t="s">
        <v>185</v>
      </c>
      <c r="D699" s="33" t="str">
        <f t="shared" si="201"/>
        <v/>
      </c>
      <c r="E699" s="33" t="s">
        <v>185</v>
      </c>
      <c r="F699" s="13" t="s">
        <v>185</v>
      </c>
      <c r="G699" s="152" t="s">
        <v>185</v>
      </c>
      <c r="H699" s="155"/>
      <c r="I699" s="33" t="str">
        <f t="shared" si="202"/>
        <v>Cancel</v>
      </c>
      <c r="J699" s="186" t="s">
        <v>2707</v>
      </c>
      <c r="K699" s="155" t="s">
        <v>2708</v>
      </c>
      <c r="L699" s="17" t="s">
        <v>67</v>
      </c>
      <c r="M699" s="13" t="s">
        <v>60</v>
      </c>
      <c r="N699" s="13">
        <v>1</v>
      </c>
      <c r="O699" s="13"/>
      <c r="P699" s="33" t="str">
        <f t="shared" si="203"/>
        <v>MAIN UNIT</v>
      </c>
      <c r="Q699" s="13" t="s">
        <v>68</v>
      </c>
      <c r="R699" s="13" t="s">
        <v>62</v>
      </c>
      <c r="S699" s="13" t="s">
        <v>50</v>
      </c>
      <c r="T699" s="13" t="s">
        <v>325</v>
      </c>
      <c r="U699" s="13" t="s">
        <v>70</v>
      </c>
      <c r="V699" s="13" t="s">
        <v>1010</v>
      </c>
      <c r="W699" s="13" t="s">
        <v>64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198"/>
        <v>499582152.5142017</v>
      </c>
      <c r="AJ699" s="19">
        <f t="shared" si="199"/>
        <v>59520528.679470733</v>
      </c>
      <c r="AK699" s="20">
        <f t="shared" si="208"/>
        <v>0.11914062257814291</v>
      </c>
      <c r="AL699" s="17"/>
      <c r="AM699" s="17"/>
      <c r="AN699" s="17"/>
      <c r="AO699" s="17"/>
      <c r="AP699" s="28" t="str">
        <f t="shared" si="209"/>
        <v>CancelCancel</v>
      </c>
      <c r="AQ699" s="28" t="str">
        <f t="shared" si="210"/>
        <v>CancelCancelRMB</v>
      </c>
      <c r="AR699" s="206" t="str">
        <f t="shared" si="211"/>
        <v>YAMAHA_Mounter</v>
      </c>
      <c r="AS699" s="22" t="str">
        <f t="shared" si="212"/>
        <v/>
      </c>
      <c r="AT699" s="24" t="str">
        <f t="shared" si="213"/>
        <v/>
      </c>
      <c r="AU699" s="22" t="s">
        <v>3240</v>
      </c>
    </row>
    <row r="700" spans="1:47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3355</v>
      </c>
      <c r="K700" s="29" t="s">
        <v>1214</v>
      </c>
      <c r="L700" s="17" t="s">
        <v>3351</v>
      </c>
      <c r="M700" s="22" t="s">
        <v>60</v>
      </c>
      <c r="N700" s="22">
        <v>1</v>
      </c>
      <c r="O700" s="22"/>
      <c r="P700" s="33" t="str">
        <f t="shared" si="203"/>
        <v>MAIN UNIT</v>
      </c>
      <c r="Q700" s="13" t="s">
        <v>61</v>
      </c>
      <c r="R700" s="22" t="s">
        <v>2055</v>
      </c>
      <c r="S700" s="22" t="s">
        <v>49</v>
      </c>
      <c r="T700" s="22" t="s">
        <v>78</v>
      </c>
      <c r="U700" s="22" t="s">
        <v>78</v>
      </c>
      <c r="V700" s="22" t="s">
        <v>2057</v>
      </c>
      <c r="W700" s="22" t="s">
        <v>64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198"/>
        <v>20319282.700884953</v>
      </c>
      <c r="AJ700" s="27">
        <f t="shared" si="199"/>
        <v>2408851.9638623013</v>
      </c>
      <c r="AK700" s="28">
        <f t="shared" si="208"/>
        <v>0.11855004919821259</v>
      </c>
      <c r="AL700" s="24"/>
      <c r="AM700" s="24"/>
      <c r="AN700" s="24"/>
      <c r="AO700" s="24"/>
      <c r="AP700" s="28" t="str">
        <f t="shared" si="209"/>
        <v>20244</v>
      </c>
      <c r="AQ700" s="28" t="str">
        <f t="shared" si="210"/>
        <v>20244RMB</v>
      </c>
      <c r="AR700" s="206" t="str">
        <f t="shared" si="211"/>
        <v>YAMAHA_Non_Mounter</v>
      </c>
      <c r="AS700" s="22">
        <f t="shared" si="212"/>
        <v>1</v>
      </c>
      <c r="AT700" s="24" t="str">
        <f t="shared" si="213"/>
        <v>0-3 months</v>
      </c>
      <c r="AU700" s="22" t="s">
        <v>3751</v>
      </c>
    </row>
    <row r="701" spans="1:47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53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1880</v>
      </c>
      <c r="K701" s="155" t="s">
        <v>1881</v>
      </c>
      <c r="L701" s="17" t="s">
        <v>1882</v>
      </c>
      <c r="M701" s="13" t="s">
        <v>377</v>
      </c>
      <c r="N701" s="13">
        <v>0</v>
      </c>
      <c r="O701" s="13">
        <v>1</v>
      </c>
      <c r="P701" s="33" t="str">
        <f t="shared" si="203"/>
        <v>SERVICE/ PARTS</v>
      </c>
      <c r="Q701" s="13" t="s">
        <v>61</v>
      </c>
      <c r="R701" s="13" t="s">
        <v>62</v>
      </c>
      <c r="S701" s="13" t="s">
        <v>50</v>
      </c>
      <c r="T701" s="13" t="s">
        <v>325</v>
      </c>
      <c r="U701" s="13" t="s">
        <v>70</v>
      </c>
      <c r="V701" s="13" t="s">
        <v>169</v>
      </c>
      <c r="W701" s="13" t="s">
        <v>64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198"/>
        <v>15533177.71460177</v>
      </c>
      <c r="AJ701" s="19">
        <f t="shared" si="199"/>
        <v>1819298.5437526547</v>
      </c>
      <c r="AK701" s="20">
        <f t="shared" si="208"/>
        <v>0.11712339723265033</v>
      </c>
      <c r="AL701" s="17"/>
      <c r="AM701" s="17"/>
      <c r="AN701" s="17"/>
      <c r="AO701" s="17"/>
      <c r="AP701" s="28" t="str">
        <f t="shared" si="209"/>
        <v>202110</v>
      </c>
      <c r="AQ701" s="28" t="str">
        <f t="shared" si="210"/>
        <v>202110RMB</v>
      </c>
      <c r="AR701" s="206" t="str">
        <f t="shared" si="211"/>
        <v>LOCAL SUPPLIER</v>
      </c>
      <c r="AS701" s="22">
        <f t="shared" si="212"/>
        <v>1</v>
      </c>
      <c r="AT701" s="24" t="str">
        <f t="shared" si="213"/>
        <v>0-3 months</v>
      </c>
      <c r="AU701" s="22" t="s">
        <v>3240</v>
      </c>
    </row>
    <row r="702" spans="1:47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47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825</v>
      </c>
      <c r="K702" s="155" t="s">
        <v>826</v>
      </c>
      <c r="L702" s="17" t="s">
        <v>67</v>
      </c>
      <c r="M702" s="13" t="s">
        <v>60</v>
      </c>
      <c r="N702" s="13">
        <v>1</v>
      </c>
      <c r="O702" s="13"/>
      <c r="P702" s="33" t="str">
        <f t="shared" si="203"/>
        <v>MAIN UNIT</v>
      </c>
      <c r="Q702" s="13" t="s">
        <v>61</v>
      </c>
      <c r="R702" s="13" t="s">
        <v>62</v>
      </c>
      <c r="S702" s="13" t="s">
        <v>50</v>
      </c>
      <c r="T702" s="13" t="s">
        <v>827</v>
      </c>
      <c r="U702" s="13" t="s">
        <v>828</v>
      </c>
      <c r="V702" s="13" t="s">
        <v>829</v>
      </c>
      <c r="W702" s="13" t="s">
        <v>703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198"/>
        <v>31296887.037898075</v>
      </c>
      <c r="AJ702" s="19">
        <f t="shared" si="199"/>
        <v>3588873.9502021763</v>
      </c>
      <c r="AK702" s="20">
        <f t="shared" si="208"/>
        <v>0.11467191436184473</v>
      </c>
      <c r="AL702" s="17"/>
      <c r="AM702" s="17"/>
      <c r="AN702" s="17"/>
      <c r="AO702" s="17"/>
      <c r="AP702" s="28" t="str">
        <f t="shared" si="209"/>
        <v>20196</v>
      </c>
      <c r="AQ702" s="28" t="str">
        <f t="shared" si="210"/>
        <v>20196RMB</v>
      </c>
      <c r="AR702" s="206" t="str">
        <f t="shared" si="211"/>
        <v>YAMAHA_Mounter</v>
      </c>
      <c r="AS702" s="22">
        <f t="shared" si="212"/>
        <v>1</v>
      </c>
      <c r="AT702" s="24" t="str">
        <f t="shared" si="213"/>
        <v>0-3 months</v>
      </c>
      <c r="AU702" s="22" t="s">
        <v>3240</v>
      </c>
    </row>
    <row r="703" spans="1:47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47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825</v>
      </c>
      <c r="K703" s="155" t="s">
        <v>826</v>
      </c>
      <c r="L703" s="17" t="s">
        <v>67</v>
      </c>
      <c r="M703" s="13" t="s">
        <v>60</v>
      </c>
      <c r="N703" s="13">
        <v>1</v>
      </c>
      <c r="O703" s="13"/>
      <c r="P703" s="33" t="str">
        <f t="shared" si="203"/>
        <v>MAIN UNIT</v>
      </c>
      <c r="Q703" s="13" t="s">
        <v>61</v>
      </c>
      <c r="R703" s="13" t="s">
        <v>62</v>
      </c>
      <c r="S703" s="13" t="s">
        <v>50</v>
      </c>
      <c r="T703" s="13" t="s">
        <v>827</v>
      </c>
      <c r="U703" s="13" t="s">
        <v>828</v>
      </c>
      <c r="V703" s="13" t="s">
        <v>829</v>
      </c>
      <c r="W703" s="13" t="s">
        <v>703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198"/>
        <v>31296887.037898075</v>
      </c>
      <c r="AJ703" s="19">
        <f t="shared" si="199"/>
        <v>3588873.9502021763</v>
      </c>
      <c r="AK703" s="20">
        <f t="shared" si="208"/>
        <v>0.11467191436184473</v>
      </c>
      <c r="AL703" s="17"/>
      <c r="AM703" s="17"/>
      <c r="AN703" s="17"/>
      <c r="AO703" s="17"/>
      <c r="AP703" s="28" t="str">
        <f t="shared" si="209"/>
        <v>20196</v>
      </c>
      <c r="AQ703" s="28" t="str">
        <f t="shared" si="210"/>
        <v>20196RMB</v>
      </c>
      <c r="AR703" s="206" t="str">
        <f t="shared" si="211"/>
        <v>YAMAHA_Mounter</v>
      </c>
      <c r="AS703" s="22">
        <f t="shared" si="212"/>
        <v>1</v>
      </c>
      <c r="AT703" s="24" t="str">
        <f t="shared" si="213"/>
        <v>0-3 months</v>
      </c>
      <c r="AU703" s="22" t="s">
        <v>3240</v>
      </c>
    </row>
    <row r="704" spans="1:47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48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1554</v>
      </c>
      <c r="K704" s="155" t="s">
        <v>1555</v>
      </c>
      <c r="L704" s="17" t="s">
        <v>67</v>
      </c>
      <c r="M704" s="13" t="s">
        <v>60</v>
      </c>
      <c r="N704" s="13">
        <v>1</v>
      </c>
      <c r="O704" s="13"/>
      <c r="P704" s="33" t="str">
        <f t="shared" si="203"/>
        <v>MAIN UNIT</v>
      </c>
      <c r="Q704" s="13" t="s">
        <v>68</v>
      </c>
      <c r="R704" s="13" t="s">
        <v>62</v>
      </c>
      <c r="S704" s="13" t="s">
        <v>50</v>
      </c>
      <c r="T704" s="13" t="s">
        <v>88</v>
      </c>
      <c r="U704" s="13" t="s">
        <v>70</v>
      </c>
      <c r="V704" s="13" t="s">
        <v>169</v>
      </c>
      <c r="W704" s="13" t="s">
        <v>64</v>
      </c>
      <c r="X704" s="135">
        <v>598000</v>
      </c>
      <c r="Y704" s="157" t="str">
        <f t="shared" ref="Y704:Y712" si="215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198"/>
        <v>45803245.025628321</v>
      </c>
      <c r="AJ704" s="19">
        <f t="shared" si="199"/>
        <v>5664636.2584379362</v>
      </c>
      <c r="AK704" s="20">
        <f t="shared" si="208"/>
        <v>0.12367325186825515</v>
      </c>
      <c r="AL704" s="17"/>
      <c r="AM704" s="17"/>
      <c r="AN704" s="17"/>
      <c r="AO704" s="17"/>
      <c r="AP704" s="28" t="str">
        <f t="shared" si="209"/>
        <v>20211</v>
      </c>
      <c r="AQ704" s="28" t="str">
        <f t="shared" si="210"/>
        <v>20211RMB</v>
      </c>
      <c r="AR704" s="206" t="str">
        <f t="shared" si="211"/>
        <v>YAMAHA_Mounter</v>
      </c>
      <c r="AS704" s="22">
        <f t="shared" si="212"/>
        <v>3</v>
      </c>
      <c r="AT704" s="24" t="str">
        <f t="shared" si="213"/>
        <v>0-3 months</v>
      </c>
      <c r="AU704" s="22" t="s">
        <v>3240</v>
      </c>
    </row>
    <row r="705" spans="1:47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53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2134</v>
      </c>
      <c r="K705" s="155" t="s">
        <v>1555</v>
      </c>
      <c r="L705" s="17" t="s">
        <v>92</v>
      </c>
      <c r="M705" s="13" t="s">
        <v>60</v>
      </c>
      <c r="N705" s="13">
        <v>1</v>
      </c>
      <c r="O705" s="13"/>
      <c r="P705" s="33" t="str">
        <f t="shared" si="203"/>
        <v>MAIN UNIT</v>
      </c>
      <c r="Q705" s="13" t="s">
        <v>61</v>
      </c>
      <c r="R705" s="13" t="s">
        <v>2135</v>
      </c>
      <c r="S705" s="13" t="s">
        <v>50</v>
      </c>
      <c r="T705" s="13" t="s">
        <v>88</v>
      </c>
      <c r="U705" s="13" t="s">
        <v>70</v>
      </c>
      <c r="V705" s="13" t="s">
        <v>169</v>
      </c>
      <c r="W705" s="13" t="s">
        <v>64</v>
      </c>
      <c r="X705" s="135">
        <v>930000</v>
      </c>
      <c r="Y705" s="157" t="str">
        <f t="shared" si="215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198"/>
        <v>28726768.133805312</v>
      </c>
      <c r="AJ705" s="19">
        <f t="shared" si="199"/>
        <v>3853638.1988864429</v>
      </c>
      <c r="AK705" s="20">
        <f t="shared" si="208"/>
        <v>0.1341479898099476</v>
      </c>
      <c r="AL705" s="17"/>
      <c r="AM705" s="17"/>
      <c r="AN705" s="17"/>
      <c r="AO705" s="17"/>
      <c r="AP705" s="28" t="str">
        <f t="shared" si="209"/>
        <v>20223</v>
      </c>
      <c r="AQ705" s="28" t="str">
        <f t="shared" si="210"/>
        <v>20223RMB</v>
      </c>
      <c r="AR705" s="206" t="str">
        <f t="shared" si="211"/>
        <v>YAMAHA_Mounter</v>
      </c>
      <c r="AS705" s="22">
        <f t="shared" si="212"/>
        <v>1</v>
      </c>
      <c r="AT705" s="24" t="str">
        <f t="shared" si="213"/>
        <v>0-3 months</v>
      </c>
      <c r="AU705" s="22" t="s">
        <v>3240</v>
      </c>
    </row>
    <row r="706" spans="1:47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54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2227</v>
      </c>
      <c r="K706" s="155" t="s">
        <v>1555</v>
      </c>
      <c r="L706" s="17" t="s">
        <v>67</v>
      </c>
      <c r="M706" s="13" t="s">
        <v>60</v>
      </c>
      <c r="N706" s="13">
        <v>1</v>
      </c>
      <c r="O706" s="13"/>
      <c r="P706" s="33" t="str">
        <f t="shared" si="203"/>
        <v>MAIN UNIT</v>
      </c>
      <c r="Q706" s="13" t="s">
        <v>61</v>
      </c>
      <c r="R706" s="13" t="s">
        <v>62</v>
      </c>
      <c r="S706" s="13" t="s">
        <v>50</v>
      </c>
      <c r="T706" s="13" t="s">
        <v>325</v>
      </c>
      <c r="U706" s="13" t="s">
        <v>70</v>
      </c>
      <c r="V706" s="13" t="s">
        <v>169</v>
      </c>
      <c r="W706" s="13" t="s">
        <v>64</v>
      </c>
      <c r="X706" s="135">
        <v>460000</v>
      </c>
      <c r="Y706" s="157" t="str">
        <f t="shared" si="215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ref="AI706:AI769" si="216">IF(P706="C66 SERVICE","",SUMIFS(AB:AB,F:F,F706,G:G,G706,E:E,E706))</f>
        <v>36480247.665929198</v>
      </c>
      <c r="AJ706" s="19">
        <f t="shared" ref="AJ706:AJ769" si="217">IF(P706="C66 SERVICE","",SUMIFS(AC:AC,F:F,F706,G:G,G706,E:E,E706))</f>
        <v>5330996.6372757526</v>
      </c>
      <c r="AK706" s="20">
        <f t="shared" si="208"/>
        <v>0.14613378412599562</v>
      </c>
      <c r="AL706" s="17"/>
      <c r="AM706" s="17"/>
      <c r="AN706" s="17"/>
      <c r="AO706" s="17"/>
      <c r="AP706" s="28" t="str">
        <f t="shared" si="209"/>
        <v>20227</v>
      </c>
      <c r="AQ706" s="28" t="str">
        <f t="shared" si="210"/>
        <v>20227RMB</v>
      </c>
      <c r="AR706" s="206" t="str">
        <f t="shared" si="211"/>
        <v>YAMAHA_Mounter</v>
      </c>
      <c r="AS706" s="22">
        <f t="shared" si="212"/>
        <v>1</v>
      </c>
      <c r="AT706" s="24" t="str">
        <f t="shared" si="213"/>
        <v>0-3 months</v>
      </c>
      <c r="AU706" s="22" t="s">
        <v>3240</v>
      </c>
    </row>
    <row r="707" spans="1:47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48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1565</v>
      </c>
      <c r="K707" s="155" t="s">
        <v>1566</v>
      </c>
      <c r="L707" s="17" t="s">
        <v>92</v>
      </c>
      <c r="M707" s="13" t="s">
        <v>60</v>
      </c>
      <c r="N707" s="13">
        <v>1</v>
      </c>
      <c r="O707" s="13"/>
      <c r="P707" s="33" t="str">
        <f t="shared" si="203"/>
        <v>MAIN UNIT</v>
      </c>
      <c r="Q707" s="13" t="s">
        <v>61</v>
      </c>
      <c r="R707" s="13" t="s">
        <v>62</v>
      </c>
      <c r="S707" s="13" t="s">
        <v>50</v>
      </c>
      <c r="T707" s="13" t="s">
        <v>88</v>
      </c>
      <c r="U707" s="13" t="s">
        <v>70</v>
      </c>
      <c r="V707" s="13" t="s">
        <v>71</v>
      </c>
      <c r="W707" s="13" t="s">
        <v>64</v>
      </c>
      <c r="X707" s="135">
        <v>1000000</v>
      </c>
      <c r="Y707" s="157" t="str">
        <f t="shared" si="215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16"/>
        <v>57778307.282035396</v>
      </c>
      <c r="AJ707" s="19">
        <f t="shared" si="217"/>
        <v>7259860.7225420559</v>
      </c>
      <c r="AK707" s="20">
        <f t="shared" si="208"/>
        <v>0.12565028406083667</v>
      </c>
      <c r="AL707" s="17"/>
      <c r="AM707" s="17"/>
      <c r="AN707" s="17"/>
      <c r="AO707" s="17"/>
      <c r="AP707" s="28" t="str">
        <f t="shared" si="209"/>
        <v>20213</v>
      </c>
      <c r="AQ707" s="28" t="str">
        <f t="shared" si="210"/>
        <v>20213RMB</v>
      </c>
      <c r="AR707" s="206" t="str">
        <f t="shared" si="211"/>
        <v>YAMAHA_Mounter</v>
      </c>
      <c r="AS707" s="22">
        <f t="shared" si="212"/>
        <v>3</v>
      </c>
      <c r="AT707" s="24" t="str">
        <f t="shared" si="213"/>
        <v>0-3 months</v>
      </c>
      <c r="AU707" s="22" t="s">
        <v>3240</v>
      </c>
    </row>
    <row r="708" spans="1:47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48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1565</v>
      </c>
      <c r="K708" s="155" t="s">
        <v>1566</v>
      </c>
      <c r="L708" s="17" t="s">
        <v>67</v>
      </c>
      <c r="M708" s="13" t="s">
        <v>60</v>
      </c>
      <c r="N708" s="13">
        <v>1</v>
      </c>
      <c r="O708" s="13"/>
      <c r="P708" s="33" t="str">
        <f t="shared" si="203"/>
        <v>MAIN UNIT</v>
      </c>
      <c r="Q708" s="13" t="s">
        <v>61</v>
      </c>
      <c r="R708" s="13" t="s">
        <v>62</v>
      </c>
      <c r="S708" s="13" t="s">
        <v>50</v>
      </c>
      <c r="T708" s="13" t="s">
        <v>88</v>
      </c>
      <c r="U708" s="13" t="s">
        <v>70</v>
      </c>
      <c r="V708" s="13" t="s">
        <v>71</v>
      </c>
      <c r="W708" s="13" t="s">
        <v>64</v>
      </c>
      <c r="X708" s="135">
        <v>680000</v>
      </c>
      <c r="Y708" s="157" t="str">
        <f t="shared" si="215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16"/>
        <v>57778307.282035396</v>
      </c>
      <c r="AJ708" s="19">
        <f t="shared" si="217"/>
        <v>7259860.7225420559</v>
      </c>
      <c r="AK708" s="20">
        <f t="shared" si="208"/>
        <v>0.12565028406083667</v>
      </c>
      <c r="AL708" s="17"/>
      <c r="AM708" s="17"/>
      <c r="AN708" s="17"/>
      <c r="AO708" s="17"/>
      <c r="AP708" s="28" t="str">
        <f t="shared" si="209"/>
        <v>20213</v>
      </c>
      <c r="AQ708" s="28" t="str">
        <f t="shared" si="210"/>
        <v>20213RMB</v>
      </c>
      <c r="AR708" s="206" t="str">
        <f t="shared" si="211"/>
        <v>YAMAHA_Mounter</v>
      </c>
      <c r="AS708" s="22">
        <f t="shared" si="212"/>
        <v>3</v>
      </c>
      <c r="AT708" s="24" t="str">
        <f t="shared" si="213"/>
        <v>0-3 months</v>
      </c>
      <c r="AU708" s="22" t="s">
        <v>3240</v>
      </c>
    </row>
    <row r="709" spans="1:47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48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1728</v>
      </c>
      <c r="K709" s="155" t="s">
        <v>1566</v>
      </c>
      <c r="L709" s="17" t="s">
        <v>516</v>
      </c>
      <c r="M709" s="13" t="s">
        <v>60</v>
      </c>
      <c r="N709" s="13">
        <v>0</v>
      </c>
      <c r="O709" s="13">
        <v>11</v>
      </c>
      <c r="P709" s="33" t="str">
        <f t="shared" si="203"/>
        <v>SERVICE/ PARTS</v>
      </c>
      <c r="Q709" s="13" t="s">
        <v>61</v>
      </c>
      <c r="R709" s="13" t="s">
        <v>62</v>
      </c>
      <c r="S709" s="13" t="s">
        <v>50</v>
      </c>
      <c r="T709" s="13" t="s">
        <v>88</v>
      </c>
      <c r="U709" s="13" t="s">
        <v>70</v>
      </c>
      <c r="V709" s="13" t="s">
        <v>71</v>
      </c>
      <c r="W709" s="13" t="s">
        <v>64</v>
      </c>
      <c r="X709" s="135">
        <v>5191</v>
      </c>
      <c r="Y709" s="157" t="str">
        <f t="shared" si="215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16"/>
        <v>57778307.282035396</v>
      </c>
      <c r="AJ709" s="19">
        <f t="shared" si="217"/>
        <v>7259860.7225420559</v>
      </c>
      <c r="AK709" s="20">
        <f t="shared" si="208"/>
        <v>0.12565028406083667</v>
      </c>
      <c r="AL709" s="17"/>
      <c r="AM709" s="17"/>
      <c r="AN709" s="17"/>
      <c r="AO709" s="17"/>
      <c r="AP709" s="28" t="str">
        <f t="shared" si="209"/>
        <v>20213</v>
      </c>
      <c r="AQ709" s="28" t="str">
        <f t="shared" si="210"/>
        <v>20213RMB</v>
      </c>
      <c r="AR709" s="206" t="str">
        <f t="shared" si="211"/>
        <v>YAMAHA_Mounter</v>
      </c>
      <c r="AS709" s="22">
        <f t="shared" si="212"/>
        <v>1</v>
      </c>
      <c r="AT709" s="24" t="str">
        <f t="shared" si="213"/>
        <v>0-3 months</v>
      </c>
      <c r="AU709" s="22" t="s">
        <v>3240</v>
      </c>
    </row>
    <row r="710" spans="1:47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54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2197</v>
      </c>
      <c r="K710" s="155" t="s">
        <v>1566</v>
      </c>
      <c r="L710" s="17" t="s">
        <v>67</v>
      </c>
      <c r="M710" s="13" t="s">
        <v>60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61</v>
      </c>
      <c r="R710" s="13" t="s">
        <v>62</v>
      </c>
      <c r="S710" s="13" t="s">
        <v>50</v>
      </c>
      <c r="T710" s="13" t="s">
        <v>88</v>
      </c>
      <c r="U710" s="13" t="s">
        <v>70</v>
      </c>
      <c r="V710" s="13" t="s">
        <v>71</v>
      </c>
      <c r="W710" s="13" t="s">
        <v>64</v>
      </c>
      <c r="X710" s="135">
        <v>650000</v>
      </c>
      <c r="Y710" s="157" t="str">
        <f t="shared" si="215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si="216"/>
        <v>35682787.057522126</v>
      </c>
      <c r="AJ710" s="19">
        <f t="shared" si="217"/>
        <v>5833368.3789623892</v>
      </c>
      <c r="AK710" s="20">
        <f t="shared" ref="AK710:AK773" si="226">IF(AJ710&gt;0,AJ710/AI710,"")</f>
        <v>0.16347849649632912</v>
      </c>
      <c r="AL710" s="17"/>
      <c r="AM710" s="17"/>
      <c r="AN710" s="17"/>
      <c r="AO710" s="17"/>
      <c r="AP710" s="28" t="str">
        <f t="shared" ref="AP710:AP773" si="227">IF(F710="","",F710&amp;G710)</f>
        <v>20226</v>
      </c>
      <c r="AQ710" s="28" t="str">
        <f t="shared" ref="AQ710:AQ773" si="228">IF(W710="","",F710&amp;G710&amp;W710)</f>
        <v>20226RMB</v>
      </c>
      <c r="AR710" s="206" t="str">
        <f t="shared" ref="AR710:AR773" si="229">IFERROR(IF(AND(M710="YAMAHA", R710="C28"), "YAMAHA_Non_Mounter", IF(AND(M710="YAMAHA", R710="C49"), "YAMAHA_Mounter", M710)),"")</f>
        <v>YAMAHA_Mounter</v>
      </c>
      <c r="AS710" s="22">
        <f t="shared" ref="AS710:AS773" si="230">IFERROR(IF(OR(G710="TBA", G710=""), "", DATEDIF(DATE(B710, C710, 1), DATE(F710, G710, 1), "M")),"")</f>
        <v>1</v>
      </c>
      <c r="AT710" s="24" t="str">
        <f t="shared" ref="AT710:AT773" si="231">IF(ISNUMBER(AS710), IF(AS710&gt;=0, IF(AS710&lt;=3, "0-3 months", IF(AS710&lt;=6, "4-6 months", "&gt; 6 months"))), "")</f>
        <v>0-3 months</v>
      </c>
      <c r="AU710" s="22" t="s">
        <v>3240</v>
      </c>
    </row>
    <row r="711" spans="1:47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54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2239</v>
      </c>
      <c r="K711" s="155" t="s">
        <v>1566</v>
      </c>
      <c r="L711" s="17" t="s">
        <v>1152</v>
      </c>
      <c r="M711" s="13" t="s">
        <v>377</v>
      </c>
      <c r="N711" s="13">
        <v>0</v>
      </c>
      <c r="O711" s="13">
        <v>25</v>
      </c>
      <c r="P711" s="33" t="str">
        <f t="shared" si="221"/>
        <v>SERVICE/ PARTS</v>
      </c>
      <c r="Q711" s="13" t="s">
        <v>61</v>
      </c>
      <c r="R711" s="13" t="s">
        <v>62</v>
      </c>
      <c r="S711" s="13" t="s">
        <v>50</v>
      </c>
      <c r="T711" s="13" t="s">
        <v>88</v>
      </c>
      <c r="U711" s="13" t="s">
        <v>70</v>
      </c>
      <c r="V711" s="13" t="s">
        <v>71</v>
      </c>
      <c r="W711" s="13" t="s">
        <v>64</v>
      </c>
      <c r="X711" s="135">
        <v>556</v>
      </c>
      <c r="Y711" s="157" t="str">
        <f t="shared" si="215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16"/>
        <v>36480247.665929198</v>
      </c>
      <c r="AJ711" s="19">
        <f t="shared" si="217"/>
        <v>5330996.6372757526</v>
      </c>
      <c r="AK711" s="20">
        <f t="shared" si="226"/>
        <v>0.14613378412599562</v>
      </c>
      <c r="AL711" s="17"/>
      <c r="AM711" s="17"/>
      <c r="AN711" s="17"/>
      <c r="AO711" s="17"/>
      <c r="AP711" s="28" t="str">
        <f t="shared" si="227"/>
        <v>20227</v>
      </c>
      <c r="AQ711" s="28" t="str">
        <f t="shared" si="228"/>
        <v>20227RMB</v>
      </c>
      <c r="AR711" s="206" t="str">
        <f t="shared" si="229"/>
        <v>LOCAL SUPPLIER</v>
      </c>
      <c r="AS711" s="22">
        <f t="shared" si="230"/>
        <v>1</v>
      </c>
      <c r="AT711" s="24" t="str">
        <f t="shared" si="231"/>
        <v>0-3 months</v>
      </c>
      <c r="AU711" s="22" t="s">
        <v>3240</v>
      </c>
    </row>
    <row r="712" spans="1:47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54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2239</v>
      </c>
      <c r="K712" s="155" t="s">
        <v>1566</v>
      </c>
      <c r="L712" s="17" t="s">
        <v>2240</v>
      </c>
      <c r="M712" s="13" t="s">
        <v>377</v>
      </c>
      <c r="N712" s="13">
        <v>0</v>
      </c>
      <c r="O712" s="13">
        <v>3</v>
      </c>
      <c r="P712" s="33" t="str">
        <f t="shared" si="221"/>
        <v>SERVICE/ PARTS</v>
      </c>
      <c r="Q712" s="13" t="s">
        <v>61</v>
      </c>
      <c r="R712" s="13" t="s">
        <v>62</v>
      </c>
      <c r="S712" s="13" t="s">
        <v>50</v>
      </c>
      <c r="T712" s="13" t="s">
        <v>88</v>
      </c>
      <c r="U712" s="13" t="s">
        <v>70</v>
      </c>
      <c r="V712" s="13" t="s">
        <v>71</v>
      </c>
      <c r="W712" s="13" t="s">
        <v>64</v>
      </c>
      <c r="X712" s="135">
        <v>1300</v>
      </c>
      <c r="Y712" s="157" t="str">
        <f t="shared" si="215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16"/>
        <v>36480247.665929198</v>
      </c>
      <c r="AJ712" s="19">
        <f t="shared" si="217"/>
        <v>5330996.6372757526</v>
      </c>
      <c r="AK712" s="20">
        <f t="shared" si="226"/>
        <v>0.14613378412599562</v>
      </c>
      <c r="AL712" s="17"/>
      <c r="AM712" s="17"/>
      <c r="AN712" s="17"/>
      <c r="AO712" s="17"/>
      <c r="AP712" s="28" t="str">
        <f t="shared" si="227"/>
        <v>20227</v>
      </c>
      <c r="AQ712" s="28" t="str">
        <f t="shared" si="228"/>
        <v>20227RMB</v>
      </c>
      <c r="AR712" s="206" t="str">
        <f t="shared" si="229"/>
        <v>LOCAL SUPPLIER</v>
      </c>
      <c r="AS712" s="22">
        <f t="shared" si="230"/>
        <v>1</v>
      </c>
      <c r="AT712" s="24" t="str">
        <f t="shared" si="231"/>
        <v>0-3 months</v>
      </c>
      <c r="AU712" s="22" t="s">
        <v>3240</v>
      </c>
    </row>
    <row r="713" spans="1:47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41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531</v>
      </c>
      <c r="K713" s="155" t="s">
        <v>532</v>
      </c>
      <c r="L713" s="17" t="s">
        <v>92</v>
      </c>
      <c r="M713" s="13" t="s">
        <v>60</v>
      </c>
      <c r="N713" s="13">
        <v>1</v>
      </c>
      <c r="O713" s="13"/>
      <c r="P713" s="33" t="str">
        <f t="shared" si="221"/>
        <v>MAIN UNIT</v>
      </c>
      <c r="Q713" s="13" t="s">
        <v>68</v>
      </c>
      <c r="R713" s="13" t="s">
        <v>62</v>
      </c>
      <c r="S713" s="13" t="s">
        <v>50</v>
      </c>
      <c r="T713" s="13" t="s">
        <v>325</v>
      </c>
      <c r="U713" s="13" t="s">
        <v>70</v>
      </c>
      <c r="V713" s="13" t="s">
        <v>71</v>
      </c>
      <c r="W713" s="13" t="s">
        <v>64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16"/>
        <v>16455710.386637932</v>
      </c>
      <c r="AJ713" s="19">
        <f t="shared" si="217"/>
        <v>2150644.6466930606</v>
      </c>
      <c r="AK713" s="20">
        <f t="shared" si="226"/>
        <v>0.13069290818580451</v>
      </c>
      <c r="AL713" s="17"/>
      <c r="AM713" s="17"/>
      <c r="AN713" s="17"/>
      <c r="AO713" s="17"/>
      <c r="AP713" s="28" t="str">
        <f t="shared" si="227"/>
        <v>20192</v>
      </c>
      <c r="AQ713" s="28" t="str">
        <f t="shared" si="228"/>
        <v>20192RMB</v>
      </c>
      <c r="AR713" s="206" t="str">
        <f t="shared" si="229"/>
        <v>YAMAHA_Mounter</v>
      </c>
      <c r="AS713" s="22">
        <f t="shared" si="230"/>
        <v>2</v>
      </c>
      <c r="AT713" s="24" t="str">
        <f t="shared" si="231"/>
        <v>0-3 months</v>
      </c>
      <c r="AU713" s="22" t="s">
        <v>3240</v>
      </c>
    </row>
    <row r="714" spans="1:47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41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531</v>
      </c>
      <c r="K714" s="155" t="s">
        <v>532</v>
      </c>
      <c r="L714" s="17" t="s">
        <v>67</v>
      </c>
      <c r="M714" s="13" t="s">
        <v>60</v>
      </c>
      <c r="N714" s="13">
        <v>1</v>
      </c>
      <c r="O714" s="13"/>
      <c r="P714" s="33" t="str">
        <f t="shared" si="221"/>
        <v>MAIN UNIT</v>
      </c>
      <c r="Q714" s="13" t="s">
        <v>68</v>
      </c>
      <c r="R714" s="13" t="s">
        <v>62</v>
      </c>
      <c r="S714" s="13" t="s">
        <v>50</v>
      </c>
      <c r="T714" s="13" t="s">
        <v>325</v>
      </c>
      <c r="U714" s="13" t="s">
        <v>70</v>
      </c>
      <c r="V714" s="13" t="s">
        <v>71</v>
      </c>
      <c r="W714" s="13" t="s">
        <v>64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16"/>
        <v>16455710.386637932</v>
      </c>
      <c r="AJ714" s="19">
        <f t="shared" si="217"/>
        <v>2150644.6466930606</v>
      </c>
      <c r="AK714" s="20">
        <f t="shared" si="226"/>
        <v>0.13069290818580451</v>
      </c>
      <c r="AL714" s="17"/>
      <c r="AM714" s="17"/>
      <c r="AN714" s="17"/>
      <c r="AO714" s="17"/>
      <c r="AP714" s="28" t="str">
        <f t="shared" si="227"/>
        <v>20192</v>
      </c>
      <c r="AQ714" s="28" t="str">
        <f t="shared" si="228"/>
        <v>20192RMB</v>
      </c>
      <c r="AR714" s="206" t="str">
        <f t="shared" si="229"/>
        <v>YAMAHA_Mounter</v>
      </c>
      <c r="AS714" s="22">
        <f t="shared" si="230"/>
        <v>2</v>
      </c>
      <c r="AT714" s="24" t="str">
        <f t="shared" si="231"/>
        <v>0-3 months</v>
      </c>
      <c r="AU714" s="22" t="s">
        <v>3240</v>
      </c>
    </row>
    <row r="715" spans="1:47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41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323</v>
      </c>
      <c r="K715" s="155" t="s">
        <v>324</v>
      </c>
      <c r="L715" s="17" t="s">
        <v>77</v>
      </c>
      <c r="M715" s="13" t="s">
        <v>60</v>
      </c>
      <c r="N715" s="13">
        <v>1</v>
      </c>
      <c r="O715" s="13"/>
      <c r="P715" s="33" t="str">
        <f t="shared" si="221"/>
        <v>MAIN UNIT</v>
      </c>
      <c r="Q715" s="13" t="s">
        <v>68</v>
      </c>
      <c r="R715" s="13" t="s">
        <v>62</v>
      </c>
      <c r="S715" s="13" t="s">
        <v>50</v>
      </c>
      <c r="T715" s="13" t="s">
        <v>325</v>
      </c>
      <c r="U715" s="13" t="s">
        <v>70</v>
      </c>
      <c r="V715" s="13" t="s">
        <v>326</v>
      </c>
      <c r="W715" s="13" t="s">
        <v>64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16"/>
        <v>29288201.603076916</v>
      </c>
      <c r="AJ715" s="19">
        <f t="shared" si="217"/>
        <v>3870159.1769246152</v>
      </c>
      <c r="AK715" s="20">
        <f t="shared" si="226"/>
        <v>0.13214055370740244</v>
      </c>
      <c r="AL715" s="17"/>
      <c r="AM715" s="17"/>
      <c r="AN715" s="17"/>
      <c r="AO715" s="17"/>
      <c r="AP715" s="28" t="str">
        <f t="shared" si="227"/>
        <v>20184</v>
      </c>
      <c r="AQ715" s="28" t="str">
        <f t="shared" si="228"/>
        <v>20184RMB</v>
      </c>
      <c r="AR715" s="206" t="str">
        <f t="shared" si="229"/>
        <v>YAMAHA_Mounter</v>
      </c>
      <c r="AS715" s="22">
        <f t="shared" si="230"/>
        <v>3</v>
      </c>
      <c r="AT715" s="24" t="str">
        <f t="shared" si="231"/>
        <v>0-3 months</v>
      </c>
      <c r="AU715" s="22" t="s">
        <v>3240</v>
      </c>
    </row>
    <row r="716" spans="1:47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54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2392</v>
      </c>
      <c r="K716" s="155" t="s">
        <v>2393</v>
      </c>
      <c r="L716" s="17" t="s">
        <v>92</v>
      </c>
      <c r="M716" s="13" t="s">
        <v>60</v>
      </c>
      <c r="N716" s="13">
        <v>1</v>
      </c>
      <c r="O716" s="13"/>
      <c r="P716" s="33" t="str">
        <f t="shared" si="221"/>
        <v>MAIN UNIT</v>
      </c>
      <c r="Q716" s="13" t="s">
        <v>68</v>
      </c>
      <c r="R716" s="13" t="s">
        <v>62</v>
      </c>
      <c r="S716" s="13" t="s">
        <v>50</v>
      </c>
      <c r="T716" s="13" t="s">
        <v>325</v>
      </c>
      <c r="U716" s="13" t="s">
        <v>70</v>
      </c>
      <c r="V716" s="13" t="s">
        <v>1010</v>
      </c>
      <c r="W716" s="13" t="s">
        <v>64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16"/>
        <v>17329060.066371687</v>
      </c>
      <c r="AJ716" s="19">
        <f t="shared" si="217"/>
        <v>2472600.2142256643</v>
      </c>
      <c r="AK716" s="20">
        <f t="shared" si="226"/>
        <v>0.14268518919984163</v>
      </c>
      <c r="AL716" s="17"/>
      <c r="AM716" s="17"/>
      <c r="AN716" s="17"/>
      <c r="AO716" s="17"/>
      <c r="AP716" s="28" t="str">
        <f t="shared" si="227"/>
        <v>202212</v>
      </c>
      <c r="AQ716" s="28" t="str">
        <f t="shared" si="228"/>
        <v>202212RMB</v>
      </c>
      <c r="AR716" s="206" t="str">
        <f t="shared" si="229"/>
        <v>YAMAHA_Mounter</v>
      </c>
      <c r="AS716" s="22">
        <f t="shared" si="230"/>
        <v>1</v>
      </c>
      <c r="AT716" s="24" t="str">
        <f t="shared" si="231"/>
        <v>0-3 months</v>
      </c>
      <c r="AU716" s="22" t="s">
        <v>3240</v>
      </c>
    </row>
    <row r="717" spans="1:47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53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1669</v>
      </c>
      <c r="K717" s="155" t="s">
        <v>1670</v>
      </c>
      <c r="L717" s="17" t="s">
        <v>67</v>
      </c>
      <c r="M717" s="13" t="s">
        <v>60</v>
      </c>
      <c r="N717" s="13">
        <v>1</v>
      </c>
      <c r="O717" s="13"/>
      <c r="P717" s="33" t="str">
        <f t="shared" si="221"/>
        <v>MAIN UNIT</v>
      </c>
      <c r="Q717" s="13" t="s">
        <v>61</v>
      </c>
      <c r="R717" s="13" t="s">
        <v>62</v>
      </c>
      <c r="S717" s="13" t="s">
        <v>50</v>
      </c>
      <c r="T717" s="13" t="s">
        <v>325</v>
      </c>
      <c r="U717" s="13" t="s">
        <v>70</v>
      </c>
      <c r="V717" s="13" t="s">
        <v>1010</v>
      </c>
      <c r="W717" s="13" t="s">
        <v>64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16"/>
        <v>43684091.636631854</v>
      </c>
      <c r="AJ717" s="19">
        <f t="shared" si="217"/>
        <v>6483951.8242071122</v>
      </c>
      <c r="AK717" s="20">
        <f t="shared" si="226"/>
        <v>0.14842821680123736</v>
      </c>
      <c r="AL717" s="17"/>
      <c r="AM717" s="17"/>
      <c r="AN717" s="17"/>
      <c r="AO717" s="17"/>
      <c r="AP717" s="28" t="str">
        <f t="shared" si="227"/>
        <v>20214</v>
      </c>
      <c r="AQ717" s="28" t="str">
        <f t="shared" si="228"/>
        <v>20214RMB</v>
      </c>
      <c r="AR717" s="206" t="str">
        <f t="shared" si="229"/>
        <v>YAMAHA_Mounter</v>
      </c>
      <c r="AS717" s="22">
        <f t="shared" si="230"/>
        <v>3</v>
      </c>
      <c r="AT717" s="24" t="str">
        <f t="shared" si="231"/>
        <v>0-3 months</v>
      </c>
      <c r="AU717" s="22" t="s">
        <v>3240</v>
      </c>
    </row>
    <row r="718" spans="1:47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53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1669</v>
      </c>
      <c r="K718" s="155" t="s">
        <v>1670</v>
      </c>
      <c r="L718" s="17" t="s">
        <v>67</v>
      </c>
      <c r="M718" s="13" t="s">
        <v>60</v>
      </c>
      <c r="N718" s="13">
        <v>1</v>
      </c>
      <c r="O718" s="13"/>
      <c r="P718" s="33" t="str">
        <f t="shared" si="221"/>
        <v>MAIN UNIT</v>
      </c>
      <c r="Q718" s="13" t="s">
        <v>61</v>
      </c>
      <c r="R718" s="13" t="s">
        <v>62</v>
      </c>
      <c r="S718" s="13" t="s">
        <v>50</v>
      </c>
      <c r="T718" s="13" t="s">
        <v>325</v>
      </c>
      <c r="U718" s="13" t="s">
        <v>70</v>
      </c>
      <c r="V718" s="13" t="s">
        <v>1010</v>
      </c>
      <c r="W718" s="13" t="s">
        <v>64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16"/>
        <v>43684091.636631854</v>
      </c>
      <c r="AJ718" s="19">
        <f t="shared" si="217"/>
        <v>6483951.8242071122</v>
      </c>
      <c r="AK718" s="20">
        <f t="shared" si="226"/>
        <v>0.14842821680123736</v>
      </c>
      <c r="AL718" s="17"/>
      <c r="AM718" s="17"/>
      <c r="AN718" s="17"/>
      <c r="AO718" s="17"/>
      <c r="AP718" s="28" t="str">
        <f t="shared" si="227"/>
        <v>20214</v>
      </c>
      <c r="AQ718" s="28" t="str">
        <f t="shared" si="228"/>
        <v>20214RMB</v>
      </c>
      <c r="AR718" s="206" t="str">
        <f t="shared" si="229"/>
        <v>YAMAHA_Mounter</v>
      </c>
      <c r="AS718" s="22">
        <f t="shared" si="230"/>
        <v>3</v>
      </c>
      <c r="AT718" s="24" t="str">
        <f t="shared" si="231"/>
        <v>0-3 months</v>
      </c>
      <c r="AU718" s="22" t="s">
        <v>3240</v>
      </c>
    </row>
    <row r="719" spans="1:47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48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1408</v>
      </c>
      <c r="K719" s="155" t="s">
        <v>1409</v>
      </c>
      <c r="L719" s="17" t="s">
        <v>67</v>
      </c>
      <c r="M719" s="13" t="s">
        <v>60</v>
      </c>
      <c r="N719" s="13">
        <v>1</v>
      </c>
      <c r="O719" s="13"/>
      <c r="P719" s="33" t="str">
        <f t="shared" si="221"/>
        <v>MAIN UNIT</v>
      </c>
      <c r="Q719" s="13" t="s">
        <v>68</v>
      </c>
      <c r="R719" s="13" t="s">
        <v>62</v>
      </c>
      <c r="S719" s="13" t="s">
        <v>50</v>
      </c>
      <c r="T719" s="13" t="s">
        <v>325</v>
      </c>
      <c r="U719" s="13" t="s">
        <v>70</v>
      </c>
      <c r="V719" s="13" t="s">
        <v>1010</v>
      </c>
      <c r="W719" s="13" t="s">
        <v>64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16"/>
        <v>48763143.537654862</v>
      </c>
      <c r="AJ719" s="19">
        <f t="shared" si="217"/>
        <v>5924029.9702154724</v>
      </c>
      <c r="AK719" s="20">
        <f t="shared" si="226"/>
        <v>0.1214858095774925</v>
      </c>
      <c r="AL719" s="17"/>
      <c r="AM719" s="17"/>
      <c r="AN719" s="17"/>
      <c r="AO719" s="17"/>
      <c r="AP719" s="28" t="str">
        <f t="shared" si="227"/>
        <v>202012</v>
      </c>
      <c r="AQ719" s="28" t="str">
        <f t="shared" si="228"/>
        <v>202012RMB</v>
      </c>
      <c r="AR719" s="206" t="str">
        <f t="shared" si="229"/>
        <v>YAMAHA_Mounter</v>
      </c>
      <c r="AS719" s="22">
        <f t="shared" si="230"/>
        <v>3</v>
      </c>
      <c r="AT719" s="24" t="str">
        <f t="shared" si="231"/>
        <v>0-3 months</v>
      </c>
      <c r="AU719" s="22" t="s">
        <v>3240</v>
      </c>
    </row>
    <row r="720" spans="1:47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48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1408</v>
      </c>
      <c r="K720" s="155" t="s">
        <v>1409</v>
      </c>
      <c r="L720" s="17" t="s">
        <v>67</v>
      </c>
      <c r="M720" s="13" t="s">
        <v>60</v>
      </c>
      <c r="N720" s="13">
        <v>1</v>
      </c>
      <c r="O720" s="13"/>
      <c r="P720" s="33" t="str">
        <f t="shared" si="221"/>
        <v>MAIN UNIT</v>
      </c>
      <c r="Q720" s="13" t="s">
        <v>68</v>
      </c>
      <c r="R720" s="13" t="s">
        <v>62</v>
      </c>
      <c r="S720" s="13" t="s">
        <v>50</v>
      </c>
      <c r="T720" s="13" t="s">
        <v>325</v>
      </c>
      <c r="U720" s="13" t="s">
        <v>70</v>
      </c>
      <c r="V720" s="13" t="s">
        <v>1010</v>
      </c>
      <c r="W720" s="13" t="s">
        <v>64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16"/>
        <v>48763143.537654862</v>
      </c>
      <c r="AJ720" s="19">
        <f t="shared" si="217"/>
        <v>5924029.9702154724</v>
      </c>
      <c r="AK720" s="20">
        <f t="shared" si="226"/>
        <v>0.1214858095774925</v>
      </c>
      <c r="AL720" s="17"/>
      <c r="AM720" s="17"/>
      <c r="AN720" s="17"/>
      <c r="AO720" s="17"/>
      <c r="AP720" s="28" t="str">
        <f t="shared" si="227"/>
        <v>202012</v>
      </c>
      <c r="AQ720" s="28" t="str">
        <f t="shared" si="228"/>
        <v>202012RMB</v>
      </c>
      <c r="AR720" s="206" t="str">
        <f t="shared" si="229"/>
        <v>YAMAHA_Mounter</v>
      </c>
      <c r="AS720" s="22">
        <f t="shared" si="230"/>
        <v>3</v>
      </c>
      <c r="AT720" s="24" t="str">
        <f t="shared" si="231"/>
        <v>0-3 months</v>
      </c>
      <c r="AU720" s="22" t="s">
        <v>3240</v>
      </c>
    </row>
    <row r="721" spans="1:47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3172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3182</v>
      </c>
      <c r="K721" s="29" t="s">
        <v>1314</v>
      </c>
      <c r="L721" s="17" t="s">
        <v>67</v>
      </c>
      <c r="M721" s="22" t="s">
        <v>60</v>
      </c>
      <c r="N721" s="22">
        <v>1</v>
      </c>
      <c r="O721" s="22"/>
      <c r="P721" s="33" t="str">
        <f t="shared" si="221"/>
        <v>MAIN UNIT</v>
      </c>
      <c r="Q721" s="13" t="s">
        <v>61</v>
      </c>
      <c r="R721" s="22" t="s">
        <v>62</v>
      </c>
      <c r="S721" s="22" t="s">
        <v>49</v>
      </c>
      <c r="T721" s="22" t="s">
        <v>1071</v>
      </c>
      <c r="U721" s="22" t="s">
        <v>2110</v>
      </c>
      <c r="V721" s="22" t="s">
        <v>80</v>
      </c>
      <c r="W721" s="22" t="s">
        <v>901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16"/>
        <v>20319282.700884953</v>
      </c>
      <c r="AJ721" s="27">
        <f t="shared" si="217"/>
        <v>2408851.9638623013</v>
      </c>
      <c r="AK721" s="28">
        <f t="shared" si="226"/>
        <v>0.11855004919821259</v>
      </c>
      <c r="AL721" s="24"/>
      <c r="AM721" s="24"/>
      <c r="AN721" s="24"/>
      <c r="AO721" s="24"/>
      <c r="AP721" s="28" t="str">
        <f t="shared" si="227"/>
        <v>20244</v>
      </c>
      <c r="AQ721" s="28" t="str">
        <f t="shared" si="228"/>
        <v>20244USD</v>
      </c>
      <c r="AR721" s="206" t="str">
        <f t="shared" si="229"/>
        <v>YAMAHA_Mounter</v>
      </c>
      <c r="AS721" s="22">
        <f t="shared" si="230"/>
        <v>3</v>
      </c>
      <c r="AT721" s="24" t="str">
        <f t="shared" si="231"/>
        <v>0-3 months</v>
      </c>
      <c r="AU721" s="22" t="s">
        <v>3746</v>
      </c>
    </row>
    <row r="722" spans="1:47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41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460</v>
      </c>
      <c r="K722" s="155" t="s">
        <v>461</v>
      </c>
      <c r="L722" s="17" t="s">
        <v>77</v>
      </c>
      <c r="M722" s="13" t="s">
        <v>60</v>
      </c>
      <c r="N722" s="13">
        <v>1</v>
      </c>
      <c r="O722" s="13"/>
      <c r="P722" s="33" t="str">
        <f t="shared" si="221"/>
        <v>MAIN UNIT</v>
      </c>
      <c r="Q722" s="13" t="s">
        <v>61</v>
      </c>
      <c r="R722" s="13" t="s">
        <v>62</v>
      </c>
      <c r="S722" s="13" t="s">
        <v>52</v>
      </c>
      <c r="T722" s="13" t="s">
        <v>141</v>
      </c>
      <c r="U722" s="13" t="s">
        <v>149</v>
      </c>
      <c r="V722" s="13" t="s">
        <v>143</v>
      </c>
      <c r="W722" s="13" t="s">
        <v>64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16"/>
        <v>26754147.763010349</v>
      </c>
      <c r="AJ722" s="19">
        <f t="shared" si="217"/>
        <v>3429137.9965357962</v>
      </c>
      <c r="AK722" s="20">
        <f t="shared" si="226"/>
        <v>0.12817220069617921</v>
      </c>
      <c r="AL722" s="17"/>
      <c r="AM722" s="17"/>
      <c r="AN722" s="17"/>
      <c r="AO722" s="17"/>
      <c r="AP722" s="28" t="str">
        <f t="shared" si="227"/>
        <v>20188</v>
      </c>
      <c r="AQ722" s="28" t="str">
        <f t="shared" si="228"/>
        <v>20188RMB</v>
      </c>
      <c r="AR722" s="206" t="str">
        <f t="shared" si="229"/>
        <v>YAMAHA_Mounter</v>
      </c>
      <c r="AS722" s="22">
        <f t="shared" si="230"/>
        <v>3</v>
      </c>
      <c r="AT722" s="24" t="str">
        <f t="shared" si="231"/>
        <v>0-3 months</v>
      </c>
      <c r="AU722" s="22" t="s">
        <v>3240</v>
      </c>
    </row>
    <row r="723" spans="1:47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41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460</v>
      </c>
      <c r="K723" s="155" t="s">
        <v>461</v>
      </c>
      <c r="L723" s="17" t="s">
        <v>77</v>
      </c>
      <c r="M723" s="13" t="s">
        <v>60</v>
      </c>
      <c r="N723" s="13">
        <v>1</v>
      </c>
      <c r="O723" s="13"/>
      <c r="P723" s="33" t="str">
        <f t="shared" si="221"/>
        <v>MAIN UNIT</v>
      </c>
      <c r="Q723" s="13" t="s">
        <v>61</v>
      </c>
      <c r="R723" s="13" t="s">
        <v>62</v>
      </c>
      <c r="S723" s="13" t="s">
        <v>52</v>
      </c>
      <c r="T723" s="13" t="s">
        <v>141</v>
      </c>
      <c r="U723" s="13" t="s">
        <v>149</v>
      </c>
      <c r="V723" s="13" t="s">
        <v>143</v>
      </c>
      <c r="W723" s="13" t="s">
        <v>64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16"/>
        <v>26754147.763010349</v>
      </c>
      <c r="AJ723" s="19">
        <f t="shared" si="217"/>
        <v>3429137.9965357962</v>
      </c>
      <c r="AK723" s="20">
        <f t="shared" si="226"/>
        <v>0.12817220069617921</v>
      </c>
      <c r="AL723" s="17"/>
      <c r="AM723" s="17"/>
      <c r="AN723" s="17"/>
      <c r="AO723" s="17"/>
      <c r="AP723" s="28" t="str">
        <f t="shared" si="227"/>
        <v>20188</v>
      </c>
      <c r="AQ723" s="28" t="str">
        <f t="shared" si="228"/>
        <v>20188RMB</v>
      </c>
      <c r="AR723" s="206" t="str">
        <f t="shared" si="229"/>
        <v>YAMAHA_Mounter</v>
      </c>
      <c r="AS723" s="22">
        <f t="shared" si="230"/>
        <v>3</v>
      </c>
      <c r="AT723" s="24" t="str">
        <f t="shared" si="231"/>
        <v>0-3 months</v>
      </c>
      <c r="AU723" s="22" t="s">
        <v>3240</v>
      </c>
    </row>
    <row r="724" spans="1:47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41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460</v>
      </c>
      <c r="K724" s="155" t="s">
        <v>461</v>
      </c>
      <c r="L724" s="17" t="s">
        <v>67</v>
      </c>
      <c r="M724" s="13" t="s">
        <v>60</v>
      </c>
      <c r="N724" s="13">
        <v>1</v>
      </c>
      <c r="O724" s="13"/>
      <c r="P724" s="33" t="str">
        <f t="shared" si="221"/>
        <v>MAIN UNIT</v>
      </c>
      <c r="Q724" s="13" t="s">
        <v>61</v>
      </c>
      <c r="R724" s="13" t="s">
        <v>62</v>
      </c>
      <c r="S724" s="13" t="s">
        <v>52</v>
      </c>
      <c r="T724" s="13" t="s">
        <v>141</v>
      </c>
      <c r="U724" s="13" t="s">
        <v>149</v>
      </c>
      <c r="V724" s="13" t="s">
        <v>143</v>
      </c>
      <c r="W724" s="13" t="s">
        <v>64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16"/>
        <v>26754147.763010349</v>
      </c>
      <c r="AJ724" s="19">
        <f t="shared" si="217"/>
        <v>3429137.9965357962</v>
      </c>
      <c r="AK724" s="20">
        <f t="shared" si="226"/>
        <v>0.12817220069617921</v>
      </c>
      <c r="AL724" s="17"/>
      <c r="AM724" s="17"/>
      <c r="AN724" s="17"/>
      <c r="AO724" s="17"/>
      <c r="AP724" s="28" t="str">
        <f t="shared" si="227"/>
        <v>20188</v>
      </c>
      <c r="AQ724" s="28" t="str">
        <f t="shared" si="228"/>
        <v>20188RMB</v>
      </c>
      <c r="AR724" s="206" t="str">
        <f t="shared" si="229"/>
        <v>YAMAHA_Mounter</v>
      </c>
      <c r="AS724" s="22">
        <f t="shared" si="230"/>
        <v>3</v>
      </c>
      <c r="AT724" s="24" t="str">
        <f t="shared" si="231"/>
        <v>0-3 months</v>
      </c>
      <c r="AU724" s="22" t="s">
        <v>3240</v>
      </c>
    </row>
    <row r="725" spans="1:47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53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1804</v>
      </c>
      <c r="K725" s="155" t="s">
        <v>1805</v>
      </c>
      <c r="L725" s="17" t="s">
        <v>67</v>
      </c>
      <c r="M725" s="13" t="s">
        <v>60</v>
      </c>
      <c r="N725" s="13">
        <v>1</v>
      </c>
      <c r="O725" s="13"/>
      <c r="P725" s="33" t="str">
        <f t="shared" si="221"/>
        <v>MAIN UNIT</v>
      </c>
      <c r="Q725" s="13" t="s">
        <v>68</v>
      </c>
      <c r="R725" s="13" t="s">
        <v>62</v>
      </c>
      <c r="S725" s="13" t="s">
        <v>49</v>
      </c>
      <c r="T725" s="13" t="s">
        <v>78</v>
      </c>
      <c r="U725" s="13" t="s">
        <v>79</v>
      </c>
      <c r="V725" s="13" t="s">
        <v>121</v>
      </c>
      <c r="W725" s="13" t="s">
        <v>109</v>
      </c>
      <c r="X725" s="135">
        <v>9000000</v>
      </c>
      <c r="Y725" s="157" t="str">
        <f t="shared" ref="Y725:Y730" si="232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16"/>
        <v>54700260.692079648</v>
      </c>
      <c r="AJ725" s="19">
        <f t="shared" si="217"/>
        <v>7482899.5749188727</v>
      </c>
      <c r="AK725" s="20">
        <f t="shared" si="226"/>
        <v>0.13679824337660537</v>
      </c>
      <c r="AL725" s="17"/>
      <c r="AM725" s="17"/>
      <c r="AN725" s="17"/>
      <c r="AO725" s="17"/>
      <c r="AP725" s="28" t="str">
        <f t="shared" si="227"/>
        <v>20216</v>
      </c>
      <c r="AQ725" s="28" t="str">
        <f t="shared" si="228"/>
        <v>20216JPY</v>
      </c>
      <c r="AR725" s="206" t="str">
        <f t="shared" si="229"/>
        <v>YAMAHA_Mounter</v>
      </c>
      <c r="AS725" s="22">
        <f t="shared" si="230"/>
        <v>1</v>
      </c>
      <c r="AT725" s="24" t="str">
        <f t="shared" si="231"/>
        <v>0-3 months</v>
      </c>
      <c r="AU725" s="22" t="s">
        <v>3745</v>
      </c>
    </row>
    <row r="726" spans="1:47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53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1857</v>
      </c>
      <c r="K726" s="155" t="s">
        <v>1805</v>
      </c>
      <c r="L726" s="17" t="s">
        <v>92</v>
      </c>
      <c r="M726" s="13" t="s">
        <v>60</v>
      </c>
      <c r="N726" s="13">
        <v>1</v>
      </c>
      <c r="O726" s="13"/>
      <c r="P726" s="33" t="str">
        <f t="shared" si="221"/>
        <v>MAIN UNIT</v>
      </c>
      <c r="Q726" s="13" t="s">
        <v>61</v>
      </c>
      <c r="R726" s="13" t="s">
        <v>62</v>
      </c>
      <c r="S726" s="13" t="s">
        <v>49</v>
      </c>
      <c r="T726" s="13" t="s">
        <v>78</v>
      </c>
      <c r="U726" s="13" t="s">
        <v>79</v>
      </c>
      <c r="V726" s="13" t="s">
        <v>121</v>
      </c>
      <c r="W726" s="13" t="s">
        <v>109</v>
      </c>
      <c r="X726" s="135">
        <v>12000000</v>
      </c>
      <c r="Y726" s="157" t="str">
        <f t="shared" si="232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16"/>
        <v>47458373.787610628</v>
      </c>
      <c r="AJ726" s="19">
        <f t="shared" si="217"/>
        <v>7436880.1411522133</v>
      </c>
      <c r="AK726" s="20">
        <f t="shared" si="226"/>
        <v>0.15670322321692506</v>
      </c>
      <c r="AL726" s="17"/>
      <c r="AM726" s="17"/>
      <c r="AN726" s="17"/>
      <c r="AO726" s="17"/>
      <c r="AP726" s="28" t="str">
        <f t="shared" si="227"/>
        <v>20218</v>
      </c>
      <c r="AQ726" s="28" t="str">
        <f t="shared" si="228"/>
        <v>20218JPY</v>
      </c>
      <c r="AR726" s="206" t="str">
        <f t="shared" si="229"/>
        <v>YAMAHA_Mounter</v>
      </c>
      <c r="AS726" s="22">
        <f t="shared" si="230"/>
        <v>3</v>
      </c>
      <c r="AT726" s="24" t="str">
        <f t="shared" si="231"/>
        <v>0-3 months</v>
      </c>
      <c r="AU726" s="22" t="s">
        <v>3745</v>
      </c>
    </row>
    <row r="727" spans="1:47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53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1975</v>
      </c>
      <c r="K727" s="155" t="s">
        <v>1805</v>
      </c>
      <c r="L727" s="17" t="s">
        <v>67</v>
      </c>
      <c r="M727" s="13" t="s">
        <v>60</v>
      </c>
      <c r="N727" s="13">
        <v>1</v>
      </c>
      <c r="O727" s="13"/>
      <c r="P727" s="33" t="str">
        <f t="shared" si="221"/>
        <v>MAIN UNIT</v>
      </c>
      <c r="Q727" s="13" t="s">
        <v>61</v>
      </c>
      <c r="R727" s="13" t="s">
        <v>62</v>
      </c>
      <c r="S727" s="13" t="s">
        <v>49</v>
      </c>
      <c r="T727" s="13" t="s">
        <v>78</v>
      </c>
      <c r="U727" s="13" t="s">
        <v>79</v>
      </c>
      <c r="V727" s="13" t="s">
        <v>121</v>
      </c>
      <c r="W727" s="13" t="s">
        <v>109</v>
      </c>
      <c r="X727" s="135">
        <v>9000000</v>
      </c>
      <c r="Y727" s="157" t="str">
        <f t="shared" si="232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16"/>
        <v>28726768.133805312</v>
      </c>
      <c r="AJ727" s="19">
        <f t="shared" si="217"/>
        <v>3853638.1988864429</v>
      </c>
      <c r="AK727" s="20">
        <f t="shared" si="226"/>
        <v>0.1341479898099476</v>
      </c>
      <c r="AL727" s="17"/>
      <c r="AM727" s="17"/>
      <c r="AN727" s="17"/>
      <c r="AO727" s="17"/>
      <c r="AP727" s="28" t="str">
        <f t="shared" si="227"/>
        <v>20223</v>
      </c>
      <c r="AQ727" s="28" t="str">
        <f t="shared" si="228"/>
        <v>20223JPY</v>
      </c>
      <c r="AR727" s="206" t="str">
        <f t="shared" si="229"/>
        <v>YAMAHA_Mounter</v>
      </c>
      <c r="AS727" s="22">
        <f t="shared" si="230"/>
        <v>10</v>
      </c>
      <c r="AT727" s="24" t="str">
        <f t="shared" si="231"/>
        <v>&gt; 6 months</v>
      </c>
      <c r="AU727" s="22" t="s">
        <v>3745</v>
      </c>
    </row>
    <row r="728" spans="1:47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53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1976</v>
      </c>
      <c r="K728" s="155" t="s">
        <v>1805</v>
      </c>
      <c r="L728" s="17" t="s">
        <v>67</v>
      </c>
      <c r="M728" s="13" t="s">
        <v>60</v>
      </c>
      <c r="N728" s="13">
        <v>1</v>
      </c>
      <c r="O728" s="13"/>
      <c r="P728" s="33" t="str">
        <f t="shared" si="221"/>
        <v>MAIN UNIT</v>
      </c>
      <c r="Q728" s="13" t="s">
        <v>61</v>
      </c>
      <c r="R728" s="13" t="s">
        <v>62</v>
      </c>
      <c r="S728" s="13" t="s">
        <v>49</v>
      </c>
      <c r="T728" s="13" t="s">
        <v>78</v>
      </c>
      <c r="U728" s="13" t="s">
        <v>79</v>
      </c>
      <c r="V728" s="13" t="s">
        <v>121</v>
      </c>
      <c r="W728" s="13" t="s">
        <v>109</v>
      </c>
      <c r="X728" s="135">
        <v>9000000</v>
      </c>
      <c r="Y728" s="157" t="str">
        <f t="shared" si="232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16"/>
        <v>28726768.133805312</v>
      </c>
      <c r="AJ728" s="19">
        <f t="shared" si="217"/>
        <v>3853638.1988864429</v>
      </c>
      <c r="AK728" s="20">
        <f t="shared" si="226"/>
        <v>0.1341479898099476</v>
      </c>
      <c r="AL728" s="17"/>
      <c r="AM728" s="17"/>
      <c r="AN728" s="17"/>
      <c r="AO728" s="17"/>
      <c r="AP728" s="28" t="str">
        <f t="shared" si="227"/>
        <v>20223</v>
      </c>
      <c r="AQ728" s="28" t="str">
        <f t="shared" si="228"/>
        <v>20223JPY</v>
      </c>
      <c r="AR728" s="206" t="str">
        <f t="shared" si="229"/>
        <v>YAMAHA_Mounter</v>
      </c>
      <c r="AS728" s="22">
        <f t="shared" si="230"/>
        <v>10</v>
      </c>
      <c r="AT728" s="24" t="str">
        <f t="shared" si="231"/>
        <v>&gt; 6 months</v>
      </c>
      <c r="AU728" s="22" t="s">
        <v>3745</v>
      </c>
    </row>
    <row r="729" spans="1:47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54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1976</v>
      </c>
      <c r="K729" s="155" t="s">
        <v>1805</v>
      </c>
      <c r="L729" s="17" t="s">
        <v>92</v>
      </c>
      <c r="M729" s="13" t="s">
        <v>60</v>
      </c>
      <c r="N729" s="13">
        <v>1</v>
      </c>
      <c r="O729" s="13"/>
      <c r="P729" s="33" t="str">
        <f t="shared" si="221"/>
        <v>MAIN UNIT</v>
      </c>
      <c r="Q729" s="13" t="s">
        <v>61</v>
      </c>
      <c r="R729" s="13" t="s">
        <v>62</v>
      </c>
      <c r="S729" s="13" t="s">
        <v>49</v>
      </c>
      <c r="T729" s="13" t="s">
        <v>78</v>
      </c>
      <c r="U729" s="13" t="s">
        <v>79</v>
      </c>
      <c r="V729" s="13" t="s">
        <v>121</v>
      </c>
      <c r="W729" s="13" t="s">
        <v>109</v>
      </c>
      <c r="X729" s="135">
        <v>12000000</v>
      </c>
      <c r="Y729" s="157" t="str">
        <f t="shared" si="232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16"/>
        <v>46600814.041769907</v>
      </c>
      <c r="AJ729" s="19">
        <f t="shared" si="217"/>
        <v>5956366.3435927071</v>
      </c>
      <c r="AK729" s="20">
        <f t="shared" si="226"/>
        <v>0.1278167874546958</v>
      </c>
      <c r="AL729" s="17"/>
      <c r="AM729" s="17"/>
      <c r="AN729" s="17"/>
      <c r="AO729" s="17"/>
      <c r="AP729" s="28" t="str">
        <f t="shared" si="227"/>
        <v>20224</v>
      </c>
      <c r="AQ729" s="28" t="str">
        <f t="shared" si="228"/>
        <v>20224JPY</v>
      </c>
      <c r="AR729" s="206" t="str">
        <f t="shared" si="229"/>
        <v>YAMAHA_Mounter</v>
      </c>
      <c r="AS729" s="22">
        <f t="shared" si="230"/>
        <v>11</v>
      </c>
      <c r="AT729" s="24" t="str">
        <f t="shared" si="231"/>
        <v>&gt; 6 months</v>
      </c>
      <c r="AU729" s="22" t="s">
        <v>3745</v>
      </c>
    </row>
    <row r="730" spans="1:47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54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1975</v>
      </c>
      <c r="K730" s="155" t="s">
        <v>1805</v>
      </c>
      <c r="L730" s="17" t="s">
        <v>92</v>
      </c>
      <c r="M730" s="13" t="s">
        <v>60</v>
      </c>
      <c r="N730" s="13">
        <v>1</v>
      </c>
      <c r="O730" s="13"/>
      <c r="P730" s="33" t="str">
        <f t="shared" si="221"/>
        <v>MAIN UNIT</v>
      </c>
      <c r="Q730" s="13" t="s">
        <v>61</v>
      </c>
      <c r="R730" s="13" t="s">
        <v>62</v>
      </c>
      <c r="S730" s="13" t="s">
        <v>49</v>
      </c>
      <c r="T730" s="13" t="s">
        <v>78</v>
      </c>
      <c r="U730" s="13" t="s">
        <v>79</v>
      </c>
      <c r="V730" s="13" t="s">
        <v>121</v>
      </c>
      <c r="W730" s="13" t="s">
        <v>109</v>
      </c>
      <c r="X730" s="135">
        <v>12000000</v>
      </c>
      <c r="Y730" s="157" t="str">
        <f t="shared" si="232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16"/>
        <v>46600814.041769907</v>
      </c>
      <c r="AJ730" s="19">
        <f t="shared" si="217"/>
        <v>5956366.3435927071</v>
      </c>
      <c r="AK730" s="20">
        <f t="shared" si="226"/>
        <v>0.1278167874546958</v>
      </c>
      <c r="AL730" s="17"/>
      <c r="AM730" s="17"/>
      <c r="AN730" s="17"/>
      <c r="AO730" s="17"/>
      <c r="AP730" s="28" t="str">
        <f t="shared" si="227"/>
        <v>20224</v>
      </c>
      <c r="AQ730" s="28" t="str">
        <f t="shared" si="228"/>
        <v>20224JPY</v>
      </c>
      <c r="AR730" s="206" t="str">
        <f t="shared" si="229"/>
        <v>YAMAHA_Mounter</v>
      </c>
      <c r="AS730" s="22">
        <f t="shared" si="230"/>
        <v>11</v>
      </c>
      <c r="AT730" s="24" t="str">
        <f t="shared" si="231"/>
        <v>&gt; 6 months</v>
      </c>
      <c r="AU730" s="22" t="s">
        <v>3745</v>
      </c>
    </row>
    <row r="731" spans="1:47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41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250</v>
      </c>
      <c r="K731" s="155" t="s">
        <v>251</v>
      </c>
      <c r="L731" s="17" t="s">
        <v>67</v>
      </c>
      <c r="M731" s="13" t="s">
        <v>60</v>
      </c>
      <c r="N731" s="13">
        <v>1</v>
      </c>
      <c r="O731" s="13"/>
      <c r="P731" s="33" t="str">
        <f t="shared" si="221"/>
        <v>MAIN UNIT</v>
      </c>
      <c r="Q731" s="13" t="s">
        <v>61</v>
      </c>
      <c r="R731" s="13" t="s">
        <v>62</v>
      </c>
      <c r="S731" s="13" t="s">
        <v>49</v>
      </c>
      <c r="T731" s="13" t="s">
        <v>78</v>
      </c>
      <c r="U731" s="13" t="s">
        <v>79</v>
      </c>
      <c r="V731" s="13" t="s">
        <v>131</v>
      </c>
      <c r="W731" s="13" t="s">
        <v>64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16"/>
        <v>34109166.105589926</v>
      </c>
      <c r="AJ731" s="19">
        <f t="shared" si="217"/>
        <v>4642032.7199573703</v>
      </c>
      <c r="AK731" s="20">
        <f t="shared" si="226"/>
        <v>0.13609340977692849</v>
      </c>
      <c r="AL731" s="17"/>
      <c r="AM731" s="17"/>
      <c r="AN731" s="17"/>
      <c r="AO731" s="17"/>
      <c r="AP731" s="28" t="str">
        <f t="shared" si="227"/>
        <v>20185</v>
      </c>
      <c r="AQ731" s="28" t="str">
        <f t="shared" si="228"/>
        <v>20185RMB</v>
      </c>
      <c r="AR731" s="206" t="str">
        <f t="shared" si="229"/>
        <v>YAMAHA_Mounter</v>
      </c>
      <c r="AS731" s="22">
        <f t="shared" si="230"/>
        <v>1</v>
      </c>
      <c r="AT731" s="24" t="str">
        <f t="shared" si="231"/>
        <v>0-3 months</v>
      </c>
      <c r="AU731" s="22" t="s">
        <v>3744</v>
      </c>
    </row>
    <row r="732" spans="1:47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48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1653</v>
      </c>
      <c r="K732" s="155" t="s">
        <v>1654</v>
      </c>
      <c r="L732" s="17" t="s">
        <v>92</v>
      </c>
      <c r="M732" s="13" t="s">
        <v>60</v>
      </c>
      <c r="N732" s="13">
        <v>1</v>
      </c>
      <c r="O732" s="13"/>
      <c r="P732" s="33" t="str">
        <f t="shared" si="221"/>
        <v>MAIN UNIT</v>
      </c>
      <c r="Q732" s="13" t="s">
        <v>61</v>
      </c>
      <c r="R732" s="13" t="s">
        <v>62</v>
      </c>
      <c r="S732" s="13" t="s">
        <v>49</v>
      </c>
      <c r="T732" s="13" t="s">
        <v>78</v>
      </c>
      <c r="U732" s="13" t="s">
        <v>79</v>
      </c>
      <c r="V732" s="13" t="s">
        <v>131</v>
      </c>
      <c r="W732" s="13" t="s">
        <v>109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16"/>
        <v>31097187.02948761</v>
      </c>
      <c r="AJ732" s="19">
        <f t="shared" si="217"/>
        <v>3892353.6644401965</v>
      </c>
      <c r="AK732" s="20">
        <f t="shared" si="226"/>
        <v>0.12516738767237401</v>
      </c>
      <c r="AL732" s="17"/>
      <c r="AM732" s="17"/>
      <c r="AN732" s="17"/>
      <c r="AO732" s="17"/>
      <c r="AP732" s="28" t="str">
        <f t="shared" si="227"/>
        <v>20212</v>
      </c>
      <c r="AQ732" s="28" t="str">
        <f t="shared" si="228"/>
        <v>20212JPY</v>
      </c>
      <c r="AR732" s="206" t="str">
        <f t="shared" si="229"/>
        <v>YAMAHA_Mounter</v>
      </c>
      <c r="AS732" s="22">
        <f t="shared" si="230"/>
        <v>1</v>
      </c>
      <c r="AT732" s="24" t="str">
        <f t="shared" si="231"/>
        <v>0-3 months</v>
      </c>
      <c r="AU732" s="22" t="s">
        <v>3745</v>
      </c>
    </row>
    <row r="733" spans="1:47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185</v>
      </c>
      <c r="F733" s="13" t="s">
        <v>185</v>
      </c>
      <c r="G733" s="152" t="s">
        <v>185</v>
      </c>
      <c r="H733" s="155"/>
      <c r="I733" s="33" t="str">
        <f t="shared" si="220"/>
        <v>Cancel</v>
      </c>
      <c r="J733" s="186" t="s">
        <v>1625</v>
      </c>
      <c r="K733" s="155" t="s">
        <v>1626</v>
      </c>
      <c r="L733" s="17" t="s">
        <v>293</v>
      </c>
      <c r="M733" s="13" t="s">
        <v>60</v>
      </c>
      <c r="N733" s="13">
        <v>1</v>
      </c>
      <c r="O733" s="13"/>
      <c r="P733" s="33" t="str">
        <f t="shared" si="221"/>
        <v>MAIN UNIT</v>
      </c>
      <c r="Q733" s="13" t="s">
        <v>61</v>
      </c>
      <c r="R733" s="13" t="s">
        <v>62</v>
      </c>
      <c r="S733" s="13" t="s">
        <v>49</v>
      </c>
      <c r="T733" s="13" t="s">
        <v>78</v>
      </c>
      <c r="U733" s="13" t="s">
        <v>79</v>
      </c>
      <c r="V733" s="13" t="s">
        <v>1104</v>
      </c>
      <c r="W733" s="13" t="s">
        <v>1105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16"/>
        <v>499582152.5142017</v>
      </c>
      <c r="AJ733" s="19">
        <f t="shared" si="217"/>
        <v>59520528.679470733</v>
      </c>
      <c r="AK733" s="20">
        <f t="shared" si="226"/>
        <v>0.11914062257814291</v>
      </c>
      <c r="AL733" s="17"/>
      <c r="AM733" s="17"/>
      <c r="AN733" s="17"/>
      <c r="AO733" s="17"/>
      <c r="AP733" s="28" t="str">
        <f t="shared" si="227"/>
        <v>CancelCancel</v>
      </c>
      <c r="AQ733" s="28" t="str">
        <f t="shared" si="228"/>
        <v>CancelCancelJPY</v>
      </c>
      <c r="AR733" s="206" t="str">
        <f t="shared" si="229"/>
        <v>YAMAHA_Mounter</v>
      </c>
      <c r="AS733" s="22" t="str">
        <f t="shared" si="230"/>
        <v/>
      </c>
      <c r="AT733" s="24" t="str">
        <f t="shared" si="231"/>
        <v/>
      </c>
      <c r="AU733" s="22" t="s">
        <v>3240</v>
      </c>
    </row>
    <row r="734" spans="1:47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185</v>
      </c>
      <c r="F734" s="13" t="s">
        <v>185</v>
      </c>
      <c r="G734" s="152" t="s">
        <v>185</v>
      </c>
      <c r="H734" s="155"/>
      <c r="I734" s="33" t="str">
        <f t="shared" si="220"/>
        <v>Cancel</v>
      </c>
      <c r="J734" s="186" t="s">
        <v>1625</v>
      </c>
      <c r="K734" s="155" t="s">
        <v>1626</v>
      </c>
      <c r="L734" s="17" t="s">
        <v>1301</v>
      </c>
      <c r="M734" s="13" t="s">
        <v>60</v>
      </c>
      <c r="N734" s="13">
        <v>1</v>
      </c>
      <c r="O734" s="13"/>
      <c r="P734" s="33" t="str">
        <f t="shared" si="221"/>
        <v>MAIN UNIT</v>
      </c>
      <c r="Q734" s="13" t="s">
        <v>61</v>
      </c>
      <c r="R734" s="13" t="s">
        <v>62</v>
      </c>
      <c r="S734" s="13" t="s">
        <v>49</v>
      </c>
      <c r="T734" s="13" t="s">
        <v>78</v>
      </c>
      <c r="U734" s="13" t="s">
        <v>79</v>
      </c>
      <c r="V734" s="13" t="s">
        <v>1104</v>
      </c>
      <c r="W734" s="13" t="s">
        <v>1105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16"/>
        <v>499582152.5142017</v>
      </c>
      <c r="AJ734" s="19">
        <f t="shared" si="217"/>
        <v>59520528.679470733</v>
      </c>
      <c r="AK734" s="20">
        <f t="shared" si="226"/>
        <v>0.11914062257814291</v>
      </c>
      <c r="AL734" s="17"/>
      <c r="AM734" s="17"/>
      <c r="AN734" s="17"/>
      <c r="AO734" s="17"/>
      <c r="AP734" s="28" t="str">
        <f t="shared" si="227"/>
        <v>CancelCancel</v>
      </c>
      <c r="AQ734" s="28" t="str">
        <f t="shared" si="228"/>
        <v>CancelCancelJPY</v>
      </c>
      <c r="AR734" s="206" t="str">
        <f t="shared" si="229"/>
        <v>YAMAHA_Mounter</v>
      </c>
      <c r="AS734" s="22" t="str">
        <f t="shared" si="230"/>
        <v/>
      </c>
      <c r="AT734" s="24" t="str">
        <f t="shared" si="231"/>
        <v/>
      </c>
      <c r="AU734" s="22" t="s">
        <v>3240</v>
      </c>
    </row>
    <row r="735" spans="1:47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53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1688</v>
      </c>
      <c r="K735" s="155" t="s">
        <v>1689</v>
      </c>
      <c r="L735" s="17" t="s">
        <v>293</v>
      </c>
      <c r="M735" s="13" t="s">
        <v>60</v>
      </c>
      <c r="N735" s="13">
        <v>1</v>
      </c>
      <c r="O735" s="13"/>
      <c r="P735" s="33" t="str">
        <f t="shared" si="221"/>
        <v>MAIN UNIT</v>
      </c>
      <c r="Q735" s="13" t="s">
        <v>61</v>
      </c>
      <c r="R735" s="13" t="s">
        <v>62</v>
      </c>
      <c r="S735" s="13" t="s">
        <v>49</v>
      </c>
      <c r="T735" s="13" t="s">
        <v>78</v>
      </c>
      <c r="U735" s="13" t="s">
        <v>79</v>
      </c>
      <c r="V735" s="13" t="s">
        <v>131</v>
      </c>
      <c r="W735" s="13" t="s">
        <v>109</v>
      </c>
      <c r="X735" s="135">
        <v>25000000</v>
      </c>
      <c r="Y735" s="157" t="str">
        <f t="shared" ref="Y735:Y740" si="233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16"/>
        <v>43684091.636631854</v>
      </c>
      <c r="AJ735" s="19">
        <f t="shared" si="217"/>
        <v>6483951.8242071122</v>
      </c>
      <c r="AK735" s="20">
        <f t="shared" si="226"/>
        <v>0.14842821680123736</v>
      </c>
      <c r="AL735" s="17"/>
      <c r="AM735" s="17"/>
      <c r="AN735" s="17"/>
      <c r="AO735" s="17"/>
      <c r="AP735" s="28" t="str">
        <f t="shared" si="227"/>
        <v>20214</v>
      </c>
      <c r="AQ735" s="28" t="str">
        <f t="shared" si="228"/>
        <v>20214JPY</v>
      </c>
      <c r="AR735" s="206" t="str">
        <f t="shared" si="229"/>
        <v>YAMAHA_Mounter</v>
      </c>
      <c r="AS735" s="22">
        <f t="shared" si="230"/>
        <v>1</v>
      </c>
      <c r="AT735" s="24" t="str">
        <f t="shared" si="231"/>
        <v>0-3 months</v>
      </c>
      <c r="AU735" s="22" t="s">
        <v>3746</v>
      </c>
    </row>
    <row r="736" spans="1:47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53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1688</v>
      </c>
      <c r="K736" s="155" t="s">
        <v>1689</v>
      </c>
      <c r="L736" s="17" t="s">
        <v>92</v>
      </c>
      <c r="M736" s="13" t="s">
        <v>60</v>
      </c>
      <c r="N736" s="13">
        <v>1</v>
      </c>
      <c r="O736" s="13"/>
      <c r="P736" s="33" t="str">
        <f t="shared" si="221"/>
        <v>MAIN UNIT</v>
      </c>
      <c r="Q736" s="13" t="s">
        <v>61</v>
      </c>
      <c r="R736" s="13" t="s">
        <v>62</v>
      </c>
      <c r="S736" s="13" t="s">
        <v>49</v>
      </c>
      <c r="T736" s="13" t="s">
        <v>78</v>
      </c>
      <c r="U736" s="13" t="s">
        <v>79</v>
      </c>
      <c r="V736" s="13" t="s">
        <v>131</v>
      </c>
      <c r="W736" s="13" t="s">
        <v>109</v>
      </c>
      <c r="X736" s="135">
        <v>17800000</v>
      </c>
      <c r="Y736" s="157" t="str">
        <f t="shared" si="233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16"/>
        <v>43684091.636631854</v>
      </c>
      <c r="AJ736" s="19">
        <f t="shared" si="217"/>
        <v>6483951.8242071122</v>
      </c>
      <c r="AK736" s="20">
        <f t="shared" si="226"/>
        <v>0.14842821680123736</v>
      </c>
      <c r="AL736" s="17"/>
      <c r="AM736" s="17"/>
      <c r="AN736" s="17"/>
      <c r="AO736" s="17"/>
      <c r="AP736" s="28" t="str">
        <f t="shared" si="227"/>
        <v>20214</v>
      </c>
      <c r="AQ736" s="28" t="str">
        <f t="shared" si="228"/>
        <v>20214JPY</v>
      </c>
      <c r="AR736" s="206" t="str">
        <f t="shared" si="229"/>
        <v>YAMAHA_Mounter</v>
      </c>
      <c r="AS736" s="22">
        <f t="shared" si="230"/>
        <v>1</v>
      </c>
      <c r="AT736" s="24" t="str">
        <f t="shared" si="231"/>
        <v>0-3 months</v>
      </c>
      <c r="AU736" s="22" t="s">
        <v>3746</v>
      </c>
    </row>
    <row r="737" spans="1:47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54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2000</v>
      </c>
      <c r="K737" s="155" t="s">
        <v>2001</v>
      </c>
      <c r="L737" s="17" t="s">
        <v>92</v>
      </c>
      <c r="M737" s="13" t="s">
        <v>60</v>
      </c>
      <c r="N737" s="13">
        <v>1</v>
      </c>
      <c r="O737" s="13"/>
      <c r="P737" s="33" t="str">
        <f t="shared" si="221"/>
        <v>MAIN UNIT</v>
      </c>
      <c r="Q737" s="13" t="s">
        <v>68</v>
      </c>
      <c r="R737" s="13" t="s">
        <v>62</v>
      </c>
      <c r="S737" s="13" t="s">
        <v>49</v>
      </c>
      <c r="T737" s="13" t="s">
        <v>78</v>
      </c>
      <c r="U737" s="13" t="s">
        <v>79</v>
      </c>
      <c r="V737" s="13" t="s">
        <v>112</v>
      </c>
      <c r="W737" s="13" t="s">
        <v>109</v>
      </c>
      <c r="X737" s="135">
        <v>18000000</v>
      </c>
      <c r="Y737" s="157" t="str">
        <f t="shared" si="233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16"/>
        <v>46600814.041769907</v>
      </c>
      <c r="AJ737" s="19">
        <f t="shared" si="217"/>
        <v>5956366.3435927071</v>
      </c>
      <c r="AK737" s="20">
        <f t="shared" si="226"/>
        <v>0.1278167874546958</v>
      </c>
      <c r="AL737" s="17"/>
      <c r="AM737" s="17"/>
      <c r="AN737" s="17"/>
      <c r="AO737" s="17"/>
      <c r="AP737" s="28" t="str">
        <f t="shared" si="227"/>
        <v>20224</v>
      </c>
      <c r="AQ737" s="28" t="str">
        <f t="shared" si="228"/>
        <v>20224JPY</v>
      </c>
      <c r="AR737" s="206" t="str">
        <f t="shared" si="229"/>
        <v>YAMAHA_Mounter</v>
      </c>
      <c r="AS737" s="22">
        <f t="shared" si="230"/>
        <v>7</v>
      </c>
      <c r="AT737" s="24" t="str">
        <f t="shared" si="231"/>
        <v>&gt; 6 months</v>
      </c>
      <c r="AU737" s="22" t="s">
        <v>3745</v>
      </c>
    </row>
    <row r="738" spans="1:47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54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2000</v>
      </c>
      <c r="K738" s="155" t="s">
        <v>2001</v>
      </c>
      <c r="L738" s="17" t="s">
        <v>67</v>
      </c>
      <c r="M738" s="13" t="s">
        <v>60</v>
      </c>
      <c r="N738" s="13">
        <v>1</v>
      </c>
      <c r="O738" s="13"/>
      <c r="P738" s="33" t="str">
        <f t="shared" si="221"/>
        <v>MAIN UNIT</v>
      </c>
      <c r="Q738" s="13" t="s">
        <v>68</v>
      </c>
      <c r="R738" s="13" t="s">
        <v>62</v>
      </c>
      <c r="S738" s="13" t="s">
        <v>49</v>
      </c>
      <c r="T738" s="13" t="s">
        <v>78</v>
      </c>
      <c r="U738" s="13" t="s">
        <v>79</v>
      </c>
      <c r="V738" s="13" t="s">
        <v>112</v>
      </c>
      <c r="W738" s="13" t="s">
        <v>109</v>
      </c>
      <c r="X738" s="135">
        <v>8200000</v>
      </c>
      <c r="Y738" s="157" t="str">
        <f t="shared" si="233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16"/>
        <v>46600814.041769907</v>
      </c>
      <c r="AJ738" s="19">
        <f t="shared" si="217"/>
        <v>5956366.3435927071</v>
      </c>
      <c r="AK738" s="20">
        <f t="shared" si="226"/>
        <v>0.1278167874546958</v>
      </c>
      <c r="AL738" s="17"/>
      <c r="AM738" s="17"/>
      <c r="AN738" s="17"/>
      <c r="AO738" s="17"/>
      <c r="AP738" s="28" t="str">
        <f t="shared" si="227"/>
        <v>20224</v>
      </c>
      <c r="AQ738" s="28" t="str">
        <f t="shared" si="228"/>
        <v>20224JPY</v>
      </c>
      <c r="AR738" s="206" t="str">
        <f t="shared" si="229"/>
        <v>YAMAHA_Mounter</v>
      </c>
      <c r="AS738" s="22">
        <f t="shared" si="230"/>
        <v>7</v>
      </c>
      <c r="AT738" s="24" t="str">
        <f t="shared" si="231"/>
        <v>&gt; 6 months</v>
      </c>
      <c r="AU738" s="22" t="s">
        <v>3745</v>
      </c>
    </row>
    <row r="739" spans="1:47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54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2207</v>
      </c>
      <c r="K739" s="155" t="s">
        <v>2001</v>
      </c>
      <c r="L739" s="17" t="s">
        <v>67</v>
      </c>
      <c r="M739" s="13" t="s">
        <v>60</v>
      </c>
      <c r="N739" s="13">
        <v>1</v>
      </c>
      <c r="O739" s="13"/>
      <c r="P739" s="33" t="str">
        <f t="shared" si="221"/>
        <v>MAIN UNIT</v>
      </c>
      <c r="Q739" s="13" t="s">
        <v>61</v>
      </c>
      <c r="R739" s="13" t="s">
        <v>62</v>
      </c>
      <c r="S739" s="13" t="s">
        <v>49</v>
      </c>
      <c r="T739" s="13" t="s">
        <v>78</v>
      </c>
      <c r="U739" s="13" t="s">
        <v>79</v>
      </c>
      <c r="V739" s="13" t="s">
        <v>112</v>
      </c>
      <c r="W739" s="13" t="s">
        <v>64</v>
      </c>
      <c r="X739" s="135">
        <v>660000</v>
      </c>
      <c r="Y739" s="157" t="str">
        <f t="shared" si="233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16"/>
        <v>35682787.057522126</v>
      </c>
      <c r="AJ739" s="19">
        <f t="shared" si="217"/>
        <v>5833368.3789623892</v>
      </c>
      <c r="AK739" s="20">
        <f t="shared" si="226"/>
        <v>0.16347849649632912</v>
      </c>
      <c r="AL739" s="17"/>
      <c r="AM739" s="17"/>
      <c r="AN739" s="17"/>
      <c r="AO739" s="17"/>
      <c r="AP739" s="28" t="str">
        <f t="shared" si="227"/>
        <v>20226</v>
      </c>
      <c r="AQ739" s="28" t="str">
        <f t="shared" si="228"/>
        <v>20226RMB</v>
      </c>
      <c r="AR739" s="206" t="str">
        <f t="shared" si="229"/>
        <v>YAMAHA_Mounter</v>
      </c>
      <c r="AS739" s="22">
        <f t="shared" si="230"/>
        <v>0</v>
      </c>
      <c r="AT739" s="24" t="str">
        <f t="shared" si="231"/>
        <v>0-3 months</v>
      </c>
      <c r="AU739" s="22" t="s">
        <v>3751</v>
      </c>
    </row>
    <row r="740" spans="1:47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54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2207</v>
      </c>
      <c r="K740" s="155" t="s">
        <v>2001</v>
      </c>
      <c r="L740" s="17" t="s">
        <v>92</v>
      </c>
      <c r="M740" s="13" t="s">
        <v>60</v>
      </c>
      <c r="N740" s="13">
        <v>1</v>
      </c>
      <c r="O740" s="13"/>
      <c r="P740" s="33" t="str">
        <f t="shared" si="221"/>
        <v>MAIN UNIT</v>
      </c>
      <c r="Q740" s="13" t="s">
        <v>61</v>
      </c>
      <c r="R740" s="13" t="s">
        <v>62</v>
      </c>
      <c r="S740" s="13" t="s">
        <v>49</v>
      </c>
      <c r="T740" s="13" t="s">
        <v>78</v>
      </c>
      <c r="U740" s="13" t="s">
        <v>79</v>
      </c>
      <c r="V740" s="13" t="s">
        <v>112</v>
      </c>
      <c r="W740" s="13" t="s">
        <v>64</v>
      </c>
      <c r="X740" s="135">
        <v>900000</v>
      </c>
      <c r="Y740" s="157" t="str">
        <f t="shared" si="233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16"/>
        <v>35682787.057522126</v>
      </c>
      <c r="AJ740" s="19">
        <f t="shared" si="217"/>
        <v>5833368.3789623892</v>
      </c>
      <c r="AK740" s="20">
        <f t="shared" si="226"/>
        <v>0.16347849649632912</v>
      </c>
      <c r="AL740" s="17"/>
      <c r="AM740" s="17"/>
      <c r="AN740" s="17"/>
      <c r="AO740" s="17"/>
      <c r="AP740" s="28" t="str">
        <f t="shared" si="227"/>
        <v>20226</v>
      </c>
      <c r="AQ740" s="28" t="str">
        <f t="shared" si="228"/>
        <v>20226RMB</v>
      </c>
      <c r="AR740" s="206" t="str">
        <f t="shared" si="229"/>
        <v>YAMAHA_Mounter</v>
      </c>
      <c r="AS740" s="22">
        <f t="shared" si="230"/>
        <v>0</v>
      </c>
      <c r="AT740" s="24" t="str">
        <f t="shared" si="231"/>
        <v>0-3 months</v>
      </c>
      <c r="AU740" s="22" t="s">
        <v>3751</v>
      </c>
    </row>
    <row r="741" spans="1:47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47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709</v>
      </c>
      <c r="K741" s="155" t="s">
        <v>710</v>
      </c>
      <c r="L741" s="17" t="s">
        <v>67</v>
      </c>
      <c r="M741" s="13" t="s">
        <v>60</v>
      </c>
      <c r="N741" s="13">
        <v>1</v>
      </c>
      <c r="O741" s="13"/>
      <c r="P741" s="33" t="str">
        <f t="shared" si="221"/>
        <v>MAIN UNIT</v>
      </c>
      <c r="Q741" s="13" t="s">
        <v>61</v>
      </c>
      <c r="R741" s="13" t="s">
        <v>62</v>
      </c>
      <c r="S741" s="13" t="s">
        <v>49</v>
      </c>
      <c r="T741" s="13" t="s">
        <v>78</v>
      </c>
      <c r="U741" s="13" t="s">
        <v>79</v>
      </c>
      <c r="V741" s="13" t="s">
        <v>311</v>
      </c>
      <c r="W741" s="13" t="s">
        <v>109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16"/>
        <v>27318180.088495575</v>
      </c>
      <c r="AJ741" s="19">
        <f t="shared" si="217"/>
        <v>3014099.212353982</v>
      </c>
      <c r="AK741" s="20">
        <f t="shared" si="226"/>
        <v>0.11033308963444827</v>
      </c>
      <c r="AL741" s="17"/>
      <c r="AM741" s="17"/>
      <c r="AN741" s="17"/>
      <c r="AO741" s="17"/>
      <c r="AP741" s="28" t="str">
        <f t="shared" si="227"/>
        <v>201912</v>
      </c>
      <c r="AQ741" s="28" t="str">
        <f t="shared" si="228"/>
        <v>201912JPY</v>
      </c>
      <c r="AR741" s="206" t="str">
        <f t="shared" si="229"/>
        <v>YAMAHA_Mounter</v>
      </c>
      <c r="AS741" s="22">
        <f t="shared" si="230"/>
        <v>0</v>
      </c>
      <c r="AT741" s="24" t="str">
        <f t="shared" si="231"/>
        <v>0-3 months</v>
      </c>
      <c r="AU741" s="22" t="s">
        <v>3745</v>
      </c>
    </row>
    <row r="742" spans="1:47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47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1245</v>
      </c>
      <c r="K742" s="155" t="s">
        <v>710</v>
      </c>
      <c r="L742" s="17" t="s">
        <v>67</v>
      </c>
      <c r="M742" s="13" t="s">
        <v>60</v>
      </c>
      <c r="N742" s="13">
        <v>1</v>
      </c>
      <c r="O742" s="13"/>
      <c r="P742" s="33" t="str">
        <f t="shared" si="221"/>
        <v>MAIN UNIT</v>
      </c>
      <c r="Q742" s="13" t="s">
        <v>61</v>
      </c>
      <c r="R742" s="13" t="s">
        <v>62</v>
      </c>
      <c r="S742" s="13" t="s">
        <v>49</v>
      </c>
      <c r="T742" s="13" t="s">
        <v>78</v>
      </c>
      <c r="U742" s="13" t="s">
        <v>79</v>
      </c>
      <c r="V742" s="13" t="s">
        <v>311</v>
      </c>
      <c r="W742" s="13" t="s">
        <v>109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16"/>
        <v>23168285.927433632</v>
      </c>
      <c r="AJ742" s="19">
        <f t="shared" si="217"/>
        <v>2764878.916878053</v>
      </c>
      <c r="AK742" s="20">
        <f t="shared" si="226"/>
        <v>0.11933895004309111</v>
      </c>
      <c r="AL742" s="17"/>
      <c r="AM742" s="17"/>
      <c r="AN742" s="17"/>
      <c r="AO742" s="17"/>
      <c r="AP742" s="28" t="str">
        <f t="shared" si="227"/>
        <v>20203</v>
      </c>
      <c r="AQ742" s="28" t="str">
        <f t="shared" si="228"/>
        <v>20203JPY</v>
      </c>
      <c r="AR742" s="206" t="str">
        <f t="shared" si="229"/>
        <v>YAMAHA_Mounter</v>
      </c>
      <c r="AS742" s="22">
        <f t="shared" si="230"/>
        <v>0</v>
      </c>
      <c r="AT742" s="24" t="str">
        <f t="shared" si="231"/>
        <v>0-3 months</v>
      </c>
      <c r="AU742" s="22" t="s">
        <v>3745</v>
      </c>
    </row>
    <row r="743" spans="1:47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48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1334</v>
      </c>
      <c r="K743" s="155" t="s">
        <v>1335</v>
      </c>
      <c r="L743" s="17" t="s">
        <v>92</v>
      </c>
      <c r="M743" s="13" t="s">
        <v>60</v>
      </c>
      <c r="N743" s="13">
        <v>1</v>
      </c>
      <c r="O743" s="13"/>
      <c r="P743" s="33" t="str">
        <f t="shared" si="221"/>
        <v>MAIN UNIT</v>
      </c>
      <c r="Q743" s="13" t="s">
        <v>61</v>
      </c>
      <c r="R743" s="13" t="s">
        <v>62</v>
      </c>
      <c r="S743" s="13" t="s">
        <v>49</v>
      </c>
      <c r="T743" s="13" t="s">
        <v>78</v>
      </c>
      <c r="U743" s="13" t="s">
        <v>79</v>
      </c>
      <c r="V743" s="13" t="s">
        <v>1125</v>
      </c>
      <c r="W743" s="13" t="s">
        <v>1105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16"/>
        <v>28011162.254106201</v>
      </c>
      <c r="AJ743" s="19">
        <f t="shared" si="217"/>
        <v>3401347.1124888416</v>
      </c>
      <c r="AK743" s="20">
        <f t="shared" si="226"/>
        <v>0.12142827497242578</v>
      </c>
      <c r="AL743" s="17"/>
      <c r="AM743" s="17"/>
      <c r="AN743" s="17"/>
      <c r="AO743" s="17"/>
      <c r="AP743" s="28" t="str">
        <f t="shared" si="227"/>
        <v>202010</v>
      </c>
      <c r="AQ743" s="28" t="str">
        <f t="shared" si="228"/>
        <v>202010JPY</v>
      </c>
      <c r="AR743" s="206" t="str">
        <f t="shared" si="229"/>
        <v>YAMAHA_Mounter</v>
      </c>
      <c r="AS743" s="22">
        <f t="shared" si="230"/>
        <v>3</v>
      </c>
      <c r="AT743" s="24" t="str">
        <f t="shared" si="231"/>
        <v>0-3 months</v>
      </c>
      <c r="AU743" s="22" t="s">
        <v>3745</v>
      </c>
    </row>
    <row r="744" spans="1:47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48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1420</v>
      </c>
      <c r="K744" s="155" t="s">
        <v>710</v>
      </c>
      <c r="L744" s="17" t="s">
        <v>92</v>
      </c>
      <c r="M744" s="13" t="s">
        <v>60</v>
      </c>
      <c r="N744" s="13">
        <v>1</v>
      </c>
      <c r="O744" s="13"/>
      <c r="P744" s="33" t="str">
        <f t="shared" si="221"/>
        <v>MAIN UNIT</v>
      </c>
      <c r="Q744" s="13" t="s">
        <v>61</v>
      </c>
      <c r="R744" s="13" t="s">
        <v>62</v>
      </c>
      <c r="S744" s="13" t="s">
        <v>49</v>
      </c>
      <c r="T744" s="13" t="s">
        <v>78</v>
      </c>
      <c r="U744" s="13" t="s">
        <v>79</v>
      </c>
      <c r="V744" s="13" t="s">
        <v>311</v>
      </c>
      <c r="W744" s="13" t="s">
        <v>109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16"/>
        <v>28011162.254106201</v>
      </c>
      <c r="AJ744" s="19">
        <f t="shared" si="217"/>
        <v>3401347.1124888416</v>
      </c>
      <c r="AK744" s="20">
        <f t="shared" si="226"/>
        <v>0.12142827497242578</v>
      </c>
      <c r="AL744" s="17"/>
      <c r="AM744" s="17"/>
      <c r="AN744" s="17"/>
      <c r="AO744" s="17"/>
      <c r="AP744" s="28" t="str">
        <f t="shared" si="227"/>
        <v>202010</v>
      </c>
      <c r="AQ744" s="28" t="str">
        <f t="shared" si="228"/>
        <v>202010JPY</v>
      </c>
      <c r="AR744" s="206" t="str">
        <f t="shared" si="229"/>
        <v>YAMAHA_Mounter</v>
      </c>
      <c r="AS744" s="22">
        <f t="shared" si="230"/>
        <v>1</v>
      </c>
      <c r="AT744" s="24" t="str">
        <f t="shared" si="231"/>
        <v>0-3 months</v>
      </c>
      <c r="AU744" s="22" t="s">
        <v>3745</v>
      </c>
    </row>
    <row r="745" spans="1:47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48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1420</v>
      </c>
      <c r="K745" s="155" t="s">
        <v>710</v>
      </c>
      <c r="L745" s="17" t="s">
        <v>92</v>
      </c>
      <c r="M745" s="13" t="s">
        <v>60</v>
      </c>
      <c r="N745" s="13">
        <v>1</v>
      </c>
      <c r="O745" s="13"/>
      <c r="P745" s="33" t="str">
        <f t="shared" si="221"/>
        <v>MAIN UNIT</v>
      </c>
      <c r="Q745" s="13" t="s">
        <v>61</v>
      </c>
      <c r="R745" s="13" t="s">
        <v>62</v>
      </c>
      <c r="S745" s="13" t="s">
        <v>49</v>
      </c>
      <c r="T745" s="13" t="s">
        <v>78</v>
      </c>
      <c r="U745" s="13" t="s">
        <v>79</v>
      </c>
      <c r="V745" s="13" t="s">
        <v>311</v>
      </c>
      <c r="W745" s="13" t="s">
        <v>109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16"/>
        <v>28011162.254106201</v>
      </c>
      <c r="AJ745" s="19">
        <f t="shared" si="217"/>
        <v>3401347.1124888416</v>
      </c>
      <c r="AK745" s="20">
        <f t="shared" si="226"/>
        <v>0.12142827497242578</v>
      </c>
      <c r="AL745" s="17"/>
      <c r="AM745" s="17"/>
      <c r="AN745" s="17"/>
      <c r="AO745" s="17"/>
      <c r="AP745" s="28" t="str">
        <f t="shared" si="227"/>
        <v>202010</v>
      </c>
      <c r="AQ745" s="28" t="str">
        <f t="shared" si="228"/>
        <v>202010JPY</v>
      </c>
      <c r="AR745" s="206" t="str">
        <f t="shared" si="229"/>
        <v>YAMAHA_Mounter</v>
      </c>
      <c r="AS745" s="22">
        <f t="shared" si="230"/>
        <v>1</v>
      </c>
      <c r="AT745" s="24" t="str">
        <f t="shared" si="231"/>
        <v>0-3 months</v>
      </c>
      <c r="AU745" s="22" t="s">
        <v>3745</v>
      </c>
    </row>
    <row r="746" spans="1:47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48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1421</v>
      </c>
      <c r="K746" s="155" t="s">
        <v>1422</v>
      </c>
      <c r="L746" s="17" t="s">
        <v>92</v>
      </c>
      <c r="M746" s="13" t="s">
        <v>60</v>
      </c>
      <c r="N746" s="13">
        <v>1</v>
      </c>
      <c r="O746" s="13"/>
      <c r="P746" s="33" t="str">
        <f t="shared" si="221"/>
        <v>MAIN UNIT</v>
      </c>
      <c r="Q746" s="13" t="s">
        <v>61</v>
      </c>
      <c r="R746" s="13" t="s">
        <v>62</v>
      </c>
      <c r="S746" s="13" t="s">
        <v>49</v>
      </c>
      <c r="T746" s="13" t="s">
        <v>78</v>
      </c>
      <c r="U746" s="13" t="s">
        <v>79</v>
      </c>
      <c r="V746" s="13" t="s">
        <v>311</v>
      </c>
      <c r="W746" s="13" t="s">
        <v>109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16"/>
        <v>48763143.537654862</v>
      </c>
      <c r="AJ746" s="19">
        <f t="shared" si="217"/>
        <v>5924029.9702154724</v>
      </c>
      <c r="AK746" s="20">
        <f t="shared" si="226"/>
        <v>0.1214858095774925</v>
      </c>
      <c r="AL746" s="17"/>
      <c r="AM746" s="17"/>
      <c r="AN746" s="17"/>
      <c r="AO746" s="17"/>
      <c r="AP746" s="28" t="str">
        <f t="shared" si="227"/>
        <v>202012</v>
      </c>
      <c r="AQ746" s="28" t="str">
        <f t="shared" si="228"/>
        <v>202012JPY</v>
      </c>
      <c r="AR746" s="206" t="str">
        <f t="shared" si="229"/>
        <v>YAMAHA_Mounter</v>
      </c>
      <c r="AS746" s="22">
        <f t="shared" si="230"/>
        <v>3</v>
      </c>
      <c r="AT746" s="24" t="str">
        <f t="shared" si="231"/>
        <v>0-3 months</v>
      </c>
      <c r="AU746" s="22" t="s">
        <v>3240</v>
      </c>
    </row>
    <row r="747" spans="1:47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47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956</v>
      </c>
      <c r="K747" s="155" t="s">
        <v>957</v>
      </c>
      <c r="L747" s="17" t="s">
        <v>67</v>
      </c>
      <c r="M747" s="13" t="s">
        <v>60</v>
      </c>
      <c r="N747" s="13">
        <v>1</v>
      </c>
      <c r="O747" s="13"/>
      <c r="P747" s="33" t="str">
        <f t="shared" si="221"/>
        <v>MAIN UNIT</v>
      </c>
      <c r="Q747" s="13" t="s">
        <v>68</v>
      </c>
      <c r="R747" s="13" t="s">
        <v>62</v>
      </c>
      <c r="S747" s="13" t="s">
        <v>49</v>
      </c>
      <c r="T747" s="13" t="s">
        <v>78</v>
      </c>
      <c r="U747" s="13" t="s">
        <v>79</v>
      </c>
      <c r="V747" s="13" t="s">
        <v>311</v>
      </c>
      <c r="W747" s="13" t="s">
        <v>64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16"/>
        <v>37599388.802345134</v>
      </c>
      <c r="AJ747" s="19">
        <f t="shared" si="217"/>
        <v>4866784.3630338367</v>
      </c>
      <c r="AK747" s="20">
        <f t="shared" si="226"/>
        <v>0.12943785838163113</v>
      </c>
      <c r="AL747" s="17"/>
      <c r="AM747" s="17"/>
      <c r="AN747" s="17"/>
      <c r="AO747" s="17"/>
      <c r="AP747" s="28" t="str">
        <f t="shared" si="227"/>
        <v>20199</v>
      </c>
      <c r="AQ747" s="28" t="str">
        <f t="shared" si="228"/>
        <v>20199RMB</v>
      </c>
      <c r="AR747" s="206" t="str">
        <f t="shared" si="229"/>
        <v>YAMAHA_Mounter</v>
      </c>
      <c r="AS747" s="22">
        <f t="shared" si="230"/>
        <v>1</v>
      </c>
      <c r="AT747" s="24" t="str">
        <f t="shared" si="231"/>
        <v>0-3 months</v>
      </c>
      <c r="AU747" s="22" t="s">
        <v>3744</v>
      </c>
    </row>
    <row r="748" spans="1:47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3172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3182</v>
      </c>
      <c r="K748" s="29" t="s">
        <v>1314</v>
      </c>
      <c r="L748" s="17" t="s">
        <v>67</v>
      </c>
      <c r="M748" s="22" t="s">
        <v>60</v>
      </c>
      <c r="N748" s="22">
        <v>1</v>
      </c>
      <c r="O748" s="22"/>
      <c r="P748" s="33" t="str">
        <f t="shared" si="221"/>
        <v>MAIN UNIT</v>
      </c>
      <c r="Q748" s="13" t="s">
        <v>61</v>
      </c>
      <c r="R748" s="22" t="s">
        <v>62</v>
      </c>
      <c r="S748" s="22" t="s">
        <v>49</v>
      </c>
      <c r="T748" s="22" t="s">
        <v>1071</v>
      </c>
      <c r="U748" s="22" t="s">
        <v>2110</v>
      </c>
      <c r="V748" s="22" t="s">
        <v>80</v>
      </c>
      <c r="W748" s="22" t="s">
        <v>901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16"/>
        <v>20319282.700884953</v>
      </c>
      <c r="AJ748" s="27">
        <f t="shared" si="217"/>
        <v>2408851.9638623013</v>
      </c>
      <c r="AK748" s="28">
        <f t="shared" si="226"/>
        <v>0.11855004919821259</v>
      </c>
      <c r="AL748" s="24"/>
      <c r="AM748" s="24"/>
      <c r="AN748" s="24"/>
      <c r="AO748" s="24"/>
      <c r="AP748" s="28" t="str">
        <f t="shared" si="227"/>
        <v>20244</v>
      </c>
      <c r="AQ748" s="28" t="str">
        <f t="shared" si="228"/>
        <v>20244USD</v>
      </c>
      <c r="AR748" s="206" t="str">
        <f t="shared" si="229"/>
        <v>YAMAHA_Mounter</v>
      </c>
      <c r="AS748" s="22">
        <f t="shared" si="230"/>
        <v>3</v>
      </c>
      <c r="AT748" s="24" t="str">
        <f t="shared" si="231"/>
        <v>0-3 months</v>
      </c>
      <c r="AU748" s="22" t="s">
        <v>3746</v>
      </c>
    </row>
    <row r="749" spans="1:47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3360</v>
      </c>
      <c r="K749" s="29" t="s">
        <v>1550</v>
      </c>
      <c r="L749" s="17" t="s">
        <v>92</v>
      </c>
      <c r="M749" s="22" t="s">
        <v>60</v>
      </c>
      <c r="N749" s="22">
        <v>1</v>
      </c>
      <c r="O749" s="22"/>
      <c r="P749" s="33" t="str">
        <f t="shared" si="221"/>
        <v>MAIN UNIT</v>
      </c>
      <c r="Q749" s="13" t="s">
        <v>61</v>
      </c>
      <c r="R749" s="22" t="s">
        <v>62</v>
      </c>
      <c r="S749" s="22" t="s">
        <v>49</v>
      </c>
      <c r="T749" s="22" t="s">
        <v>78</v>
      </c>
      <c r="U749" s="22" t="s">
        <v>78</v>
      </c>
      <c r="V749" s="22" t="s">
        <v>131</v>
      </c>
      <c r="W749" s="22" t="s">
        <v>109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16"/>
        <v>20319282.700884953</v>
      </c>
      <c r="AJ749" s="27">
        <f t="shared" si="217"/>
        <v>2408851.9638623013</v>
      </c>
      <c r="AK749" s="28">
        <f t="shared" si="226"/>
        <v>0.11855004919821259</v>
      </c>
      <c r="AL749" s="24"/>
      <c r="AM749" s="24"/>
      <c r="AN749" s="24"/>
      <c r="AO749" s="24"/>
      <c r="AP749" s="28" t="str">
        <f t="shared" si="227"/>
        <v>20244</v>
      </c>
      <c r="AQ749" s="28" t="str">
        <f t="shared" si="228"/>
        <v>20244JPY</v>
      </c>
      <c r="AR749" s="206" t="str">
        <f t="shared" si="229"/>
        <v>YAMAHA_Mounter</v>
      </c>
      <c r="AS749" s="22">
        <f t="shared" si="230"/>
        <v>1</v>
      </c>
      <c r="AT749" s="24" t="str">
        <f t="shared" si="231"/>
        <v>0-3 months</v>
      </c>
      <c r="AU749" s="22" t="s">
        <v>3745</v>
      </c>
    </row>
    <row r="750" spans="1:47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48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1175</v>
      </c>
      <c r="K750" s="155" t="s">
        <v>1176</v>
      </c>
      <c r="L750" s="17" t="s">
        <v>293</v>
      </c>
      <c r="M750" s="13" t="s">
        <v>60</v>
      </c>
      <c r="N750" s="13">
        <v>1</v>
      </c>
      <c r="O750" s="13"/>
      <c r="P750" s="33" t="str">
        <f t="shared" si="221"/>
        <v>MAIN UNIT</v>
      </c>
      <c r="Q750" s="13" t="s">
        <v>68</v>
      </c>
      <c r="R750" s="13" t="s">
        <v>62</v>
      </c>
      <c r="S750" s="13" t="s">
        <v>49</v>
      </c>
      <c r="T750" s="13" t="s">
        <v>78</v>
      </c>
      <c r="U750" s="13" t="s">
        <v>79</v>
      </c>
      <c r="V750" s="13" t="s">
        <v>1177</v>
      </c>
      <c r="W750" s="13" t="s">
        <v>1101</v>
      </c>
      <c r="X750" s="135">
        <v>1500000</v>
      </c>
      <c r="Y750" s="156">
        <v>1.1299999999999999</v>
      </c>
      <c r="Z750" s="18">
        <f t="shared" ref="Z750:Z813" si="234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16"/>
        <v>35384300.169380538</v>
      </c>
      <c r="AJ750" s="19">
        <f t="shared" si="217"/>
        <v>5044538.8896988509</v>
      </c>
      <c r="AK750" s="20">
        <f t="shared" si="226"/>
        <v>0.14256432557804533</v>
      </c>
      <c r="AL750" s="17"/>
      <c r="AM750" s="17"/>
      <c r="AN750" s="17"/>
      <c r="AO750" s="17"/>
      <c r="AP750" s="28" t="str">
        <f t="shared" si="227"/>
        <v>20207</v>
      </c>
      <c r="AQ750" s="28" t="str">
        <f t="shared" si="228"/>
        <v>20207RMB</v>
      </c>
      <c r="AR750" s="206" t="str">
        <f t="shared" si="229"/>
        <v>YAMAHA_Mounter</v>
      </c>
      <c r="AS750" s="22">
        <f t="shared" si="230"/>
        <v>1</v>
      </c>
      <c r="AT750" s="24" t="str">
        <f t="shared" si="231"/>
        <v>0-3 months</v>
      </c>
      <c r="AU750" s="22" t="s">
        <v>3744</v>
      </c>
    </row>
    <row r="751" spans="1:47" s="12" customFormat="1">
      <c r="A751" s="33" t="str">
        <f t="shared" si="218"/>
        <v>cancel</v>
      </c>
      <c r="B751" s="152"/>
      <c r="C751" s="152" t="s">
        <v>185</v>
      </c>
      <c r="D751" s="33" t="str">
        <f t="shared" si="219"/>
        <v/>
      </c>
      <c r="E751" s="33" t="s">
        <v>185</v>
      </c>
      <c r="F751" s="13" t="s">
        <v>185</v>
      </c>
      <c r="G751" s="152" t="s">
        <v>185</v>
      </c>
      <c r="H751" s="155"/>
      <c r="I751" s="33" t="str">
        <f t="shared" si="220"/>
        <v>Cancel</v>
      </c>
      <c r="J751" s="186" t="s">
        <v>2715</v>
      </c>
      <c r="K751" s="155" t="s">
        <v>2716</v>
      </c>
      <c r="L751" s="17" t="s">
        <v>293</v>
      </c>
      <c r="M751" s="13" t="s">
        <v>60</v>
      </c>
      <c r="N751" s="13">
        <v>1</v>
      </c>
      <c r="O751" s="13"/>
      <c r="P751" s="33" t="str">
        <f t="shared" si="221"/>
        <v>MAIN UNIT</v>
      </c>
      <c r="Q751" s="13" t="s">
        <v>68</v>
      </c>
      <c r="R751" s="13" t="s">
        <v>62</v>
      </c>
      <c r="S751" s="13" t="s">
        <v>49</v>
      </c>
      <c r="T751" s="13" t="s">
        <v>78</v>
      </c>
      <c r="U751" s="13" t="s">
        <v>79</v>
      </c>
      <c r="V751" s="13" t="s">
        <v>134</v>
      </c>
      <c r="W751" s="13" t="s">
        <v>64</v>
      </c>
      <c r="X751" s="135">
        <v>1500000</v>
      </c>
      <c r="Y751" s="156">
        <v>1.1299999999999999</v>
      </c>
      <c r="Z751" s="18">
        <f t="shared" si="234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16"/>
        <v>499582152.5142017</v>
      </c>
      <c r="AJ751" s="19">
        <f t="shared" si="217"/>
        <v>59520528.679470733</v>
      </c>
      <c r="AK751" s="20">
        <f t="shared" si="226"/>
        <v>0.11914062257814291</v>
      </c>
      <c r="AL751" s="17"/>
      <c r="AM751" s="17"/>
      <c r="AN751" s="17"/>
      <c r="AO751" s="17"/>
      <c r="AP751" s="28" t="str">
        <f t="shared" si="227"/>
        <v>CancelCancel</v>
      </c>
      <c r="AQ751" s="28" t="str">
        <f t="shared" si="228"/>
        <v>CancelCancelRMB</v>
      </c>
      <c r="AR751" s="206" t="str">
        <f t="shared" si="229"/>
        <v>YAMAHA_Mounter</v>
      </c>
      <c r="AS751" s="22" t="str">
        <f t="shared" si="230"/>
        <v/>
      </c>
      <c r="AT751" s="24" t="str">
        <f t="shared" si="231"/>
        <v/>
      </c>
      <c r="AU751" s="22" t="s">
        <v>3744</v>
      </c>
    </row>
    <row r="752" spans="1:47" s="12" customFormat="1">
      <c r="A752" s="33" t="str">
        <f t="shared" si="218"/>
        <v>cancel</v>
      </c>
      <c r="B752" s="152"/>
      <c r="C752" s="152" t="s">
        <v>185</v>
      </c>
      <c r="D752" s="33" t="str">
        <f t="shared" si="219"/>
        <v/>
      </c>
      <c r="E752" s="33" t="s">
        <v>185</v>
      </c>
      <c r="F752" s="13" t="s">
        <v>185</v>
      </c>
      <c r="G752" s="152" t="s">
        <v>185</v>
      </c>
      <c r="H752" s="155"/>
      <c r="I752" s="33" t="str">
        <f t="shared" si="220"/>
        <v>Cancel</v>
      </c>
      <c r="J752" s="186" t="s">
        <v>2715</v>
      </c>
      <c r="K752" s="155" t="s">
        <v>2716</v>
      </c>
      <c r="L752" s="17" t="s">
        <v>293</v>
      </c>
      <c r="M752" s="13" t="s">
        <v>60</v>
      </c>
      <c r="N752" s="13">
        <v>1</v>
      </c>
      <c r="O752" s="13"/>
      <c r="P752" s="33" t="str">
        <f t="shared" si="221"/>
        <v>MAIN UNIT</v>
      </c>
      <c r="Q752" s="13" t="s">
        <v>68</v>
      </c>
      <c r="R752" s="13" t="s">
        <v>62</v>
      </c>
      <c r="S752" s="13" t="s">
        <v>49</v>
      </c>
      <c r="T752" s="13" t="s">
        <v>78</v>
      </c>
      <c r="U752" s="13" t="s">
        <v>79</v>
      </c>
      <c r="V752" s="13" t="s">
        <v>134</v>
      </c>
      <c r="W752" s="13" t="s">
        <v>64</v>
      </c>
      <c r="X752" s="135">
        <v>1500000</v>
      </c>
      <c r="Y752" s="156">
        <v>1.1299999999999999</v>
      </c>
      <c r="Z752" s="18">
        <f t="shared" si="234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16"/>
        <v>499582152.5142017</v>
      </c>
      <c r="AJ752" s="19">
        <f t="shared" si="217"/>
        <v>59520528.679470733</v>
      </c>
      <c r="AK752" s="20">
        <f t="shared" si="226"/>
        <v>0.11914062257814291</v>
      </c>
      <c r="AL752" s="17"/>
      <c r="AM752" s="17"/>
      <c r="AN752" s="17"/>
      <c r="AO752" s="17"/>
      <c r="AP752" s="28" t="str">
        <f t="shared" si="227"/>
        <v>CancelCancel</v>
      </c>
      <c r="AQ752" s="28" t="str">
        <f t="shared" si="228"/>
        <v>CancelCancelRMB</v>
      </c>
      <c r="AR752" s="206" t="str">
        <f t="shared" si="229"/>
        <v>YAMAHA_Mounter</v>
      </c>
      <c r="AS752" s="22" t="str">
        <f t="shared" si="230"/>
        <v/>
      </c>
      <c r="AT752" s="24" t="str">
        <f t="shared" si="231"/>
        <v/>
      </c>
      <c r="AU752" s="22" t="s">
        <v>3744</v>
      </c>
    </row>
    <row r="753" spans="1:47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41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862</v>
      </c>
      <c r="K753" s="155" t="s">
        <v>863</v>
      </c>
      <c r="L753" s="17" t="s">
        <v>77</v>
      </c>
      <c r="M753" s="13" t="s">
        <v>60</v>
      </c>
      <c r="N753" s="13">
        <v>1</v>
      </c>
      <c r="O753" s="13"/>
      <c r="P753" s="33" t="str">
        <f t="shared" si="221"/>
        <v>MAIN UNIT</v>
      </c>
      <c r="Q753" s="13" t="s">
        <v>68</v>
      </c>
      <c r="R753" s="13" t="s">
        <v>62</v>
      </c>
      <c r="S753" s="13" t="s">
        <v>51</v>
      </c>
      <c r="T753" s="13" t="s">
        <v>349</v>
      </c>
      <c r="U753" s="13" t="s">
        <v>149</v>
      </c>
      <c r="V753" s="13" t="s">
        <v>564</v>
      </c>
      <c r="W753" s="13" t="s">
        <v>64</v>
      </c>
      <c r="X753" s="135">
        <v>865000</v>
      </c>
      <c r="Y753" s="156">
        <v>1.1599999999999999</v>
      </c>
      <c r="Z753" s="18">
        <f t="shared" si="234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16"/>
        <v>47416008.333399981</v>
      </c>
      <c r="AJ753" s="19">
        <f t="shared" si="217"/>
        <v>6981738.4465290187</v>
      </c>
      <c r="AK753" s="20">
        <f t="shared" si="226"/>
        <v>0.14724433143839863</v>
      </c>
      <c r="AL753" s="17"/>
      <c r="AM753" s="17"/>
      <c r="AN753" s="17"/>
      <c r="AO753" s="17"/>
      <c r="AP753" s="28" t="str">
        <f t="shared" si="227"/>
        <v>20193</v>
      </c>
      <c r="AQ753" s="28" t="str">
        <f t="shared" si="228"/>
        <v>20193RMB</v>
      </c>
      <c r="AR753" s="206" t="str">
        <f t="shared" si="229"/>
        <v>YAMAHA_Mounter</v>
      </c>
      <c r="AS753" s="22">
        <f t="shared" si="230"/>
        <v>0</v>
      </c>
      <c r="AT753" s="24" t="str">
        <f t="shared" si="231"/>
        <v>0-3 months</v>
      </c>
      <c r="AU753" s="22" t="s">
        <v>3240</v>
      </c>
    </row>
    <row r="754" spans="1:47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41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571</v>
      </c>
      <c r="K754" s="155" t="s">
        <v>572</v>
      </c>
      <c r="L754" s="17" t="s">
        <v>92</v>
      </c>
      <c r="M754" s="13" t="s">
        <v>60</v>
      </c>
      <c r="N754" s="13">
        <v>1</v>
      </c>
      <c r="O754" s="13"/>
      <c r="P754" s="33" t="str">
        <f t="shared" si="221"/>
        <v>MAIN UNIT</v>
      </c>
      <c r="Q754" s="13" t="s">
        <v>61</v>
      </c>
      <c r="R754" s="13" t="s">
        <v>62</v>
      </c>
      <c r="S754" s="13" t="s">
        <v>49</v>
      </c>
      <c r="T754" s="13" t="s">
        <v>78</v>
      </c>
      <c r="U754" s="13" t="s">
        <v>79</v>
      </c>
      <c r="V754" s="13" t="s">
        <v>570</v>
      </c>
      <c r="W754" s="13" t="s">
        <v>109</v>
      </c>
      <c r="X754" s="135">
        <v>14483672.5</v>
      </c>
      <c r="Y754" s="156">
        <v>1</v>
      </c>
      <c r="Z754" s="18">
        <f t="shared" si="234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16"/>
        <v>47416008.333399981</v>
      </c>
      <c r="AJ754" s="19">
        <f t="shared" si="217"/>
        <v>6981738.4465290187</v>
      </c>
      <c r="AK754" s="20">
        <f t="shared" si="226"/>
        <v>0.14724433143839863</v>
      </c>
      <c r="AL754" s="17"/>
      <c r="AM754" s="17"/>
      <c r="AN754" s="17"/>
      <c r="AO754" s="17"/>
      <c r="AP754" s="28" t="str">
        <f t="shared" si="227"/>
        <v>20193</v>
      </c>
      <c r="AQ754" s="28" t="str">
        <f t="shared" si="228"/>
        <v>20193JPY</v>
      </c>
      <c r="AR754" s="206" t="str">
        <f t="shared" si="229"/>
        <v>YAMAHA_Mounter</v>
      </c>
      <c r="AS754" s="22">
        <f t="shared" si="230"/>
        <v>4</v>
      </c>
      <c r="AT754" s="24" t="str">
        <f t="shared" si="231"/>
        <v>4-6 months</v>
      </c>
      <c r="AU754" s="22" t="s">
        <v>3745</v>
      </c>
    </row>
    <row r="755" spans="1:47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41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571</v>
      </c>
      <c r="K755" s="155" t="s">
        <v>572</v>
      </c>
      <c r="L755" s="17" t="s">
        <v>92</v>
      </c>
      <c r="M755" s="13" t="s">
        <v>60</v>
      </c>
      <c r="N755" s="13">
        <v>1</v>
      </c>
      <c r="O755" s="13"/>
      <c r="P755" s="33" t="str">
        <f t="shared" si="221"/>
        <v>MAIN UNIT</v>
      </c>
      <c r="Q755" s="13" t="s">
        <v>61</v>
      </c>
      <c r="R755" s="13" t="s">
        <v>62</v>
      </c>
      <c r="S755" s="13" t="s">
        <v>49</v>
      </c>
      <c r="T755" s="13" t="s">
        <v>78</v>
      </c>
      <c r="U755" s="13" t="s">
        <v>79</v>
      </c>
      <c r="V755" s="13" t="s">
        <v>570</v>
      </c>
      <c r="W755" s="13" t="s">
        <v>109</v>
      </c>
      <c r="X755" s="135">
        <v>14483672.5</v>
      </c>
      <c r="Y755" s="156">
        <v>1</v>
      </c>
      <c r="Z755" s="18">
        <f t="shared" si="234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16"/>
        <v>47416008.333399981</v>
      </c>
      <c r="AJ755" s="19">
        <f t="shared" si="217"/>
        <v>6981738.4465290187</v>
      </c>
      <c r="AK755" s="20">
        <f t="shared" si="226"/>
        <v>0.14724433143839863</v>
      </c>
      <c r="AL755" s="17"/>
      <c r="AM755" s="17"/>
      <c r="AN755" s="17"/>
      <c r="AO755" s="17"/>
      <c r="AP755" s="28" t="str">
        <f t="shared" si="227"/>
        <v>20193</v>
      </c>
      <c r="AQ755" s="28" t="str">
        <f t="shared" si="228"/>
        <v>20193JPY</v>
      </c>
      <c r="AR755" s="206" t="str">
        <f t="shared" si="229"/>
        <v>YAMAHA_Mounter</v>
      </c>
      <c r="AS755" s="22">
        <f t="shared" si="230"/>
        <v>4</v>
      </c>
      <c r="AT755" s="24" t="str">
        <f t="shared" si="231"/>
        <v>4-6 months</v>
      </c>
      <c r="AU755" s="22" t="s">
        <v>3745</v>
      </c>
    </row>
    <row r="756" spans="1:47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47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768</v>
      </c>
      <c r="K756" s="155" t="s">
        <v>769</v>
      </c>
      <c r="L756" s="17" t="s">
        <v>67</v>
      </c>
      <c r="M756" s="13" t="s">
        <v>60</v>
      </c>
      <c r="N756" s="13">
        <v>1</v>
      </c>
      <c r="O756" s="13"/>
      <c r="P756" s="33" t="str">
        <f t="shared" si="221"/>
        <v>MAIN UNIT</v>
      </c>
      <c r="Q756" s="13" t="s">
        <v>61</v>
      </c>
      <c r="R756" s="13" t="s">
        <v>701</v>
      </c>
      <c r="S756" s="13" t="s">
        <v>49</v>
      </c>
      <c r="T756" s="13" t="s">
        <v>78</v>
      </c>
      <c r="U756" s="13" t="s">
        <v>79</v>
      </c>
      <c r="V756" s="13" t="s">
        <v>770</v>
      </c>
      <c r="W756" s="13" t="s">
        <v>64</v>
      </c>
      <c r="X756" s="135">
        <v>650000</v>
      </c>
      <c r="Y756" s="156">
        <v>1.1299999999999999</v>
      </c>
      <c r="Z756" s="18">
        <f t="shared" si="234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16"/>
        <v>34015877.71150443</v>
      </c>
      <c r="AJ756" s="19">
        <f t="shared" si="217"/>
        <v>4446292.375441948</v>
      </c>
      <c r="AK756" s="20">
        <f t="shared" si="226"/>
        <v>0.13071226364205143</v>
      </c>
      <c r="AL756" s="17"/>
      <c r="AM756" s="17"/>
      <c r="AN756" s="17"/>
      <c r="AO756" s="17"/>
      <c r="AP756" s="28" t="str">
        <f t="shared" si="227"/>
        <v>20197</v>
      </c>
      <c r="AQ756" s="28" t="str">
        <f t="shared" si="228"/>
        <v>20197RMB</v>
      </c>
      <c r="AR756" s="206" t="str">
        <f t="shared" si="229"/>
        <v>YAMAHA_Mounter</v>
      </c>
      <c r="AS756" s="22">
        <f t="shared" si="230"/>
        <v>1</v>
      </c>
      <c r="AT756" s="24" t="str">
        <f t="shared" si="231"/>
        <v>0-3 months</v>
      </c>
      <c r="AU756" s="22" t="s">
        <v>3744</v>
      </c>
    </row>
    <row r="757" spans="1:47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41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848</v>
      </c>
      <c r="K757" s="155" t="s">
        <v>572</v>
      </c>
      <c r="L757" s="17" t="s">
        <v>67</v>
      </c>
      <c r="M757" s="13" t="s">
        <v>60</v>
      </c>
      <c r="N757" s="13">
        <v>1</v>
      </c>
      <c r="O757" s="13"/>
      <c r="P757" s="33" t="str">
        <f t="shared" si="221"/>
        <v>MAIN UNIT</v>
      </c>
      <c r="Q757" s="13" t="s">
        <v>61</v>
      </c>
      <c r="R757" s="13" t="s">
        <v>62</v>
      </c>
      <c r="S757" s="13" t="s">
        <v>49</v>
      </c>
      <c r="T757" s="13" t="s">
        <v>78</v>
      </c>
      <c r="U757" s="13" t="s">
        <v>79</v>
      </c>
      <c r="V757" s="13" t="s">
        <v>311</v>
      </c>
      <c r="W757" s="13" t="s">
        <v>109</v>
      </c>
      <c r="X757" s="135">
        <v>9696000</v>
      </c>
      <c r="Y757" s="156">
        <v>1</v>
      </c>
      <c r="Z757" s="18">
        <f t="shared" si="234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16"/>
        <v>47416008.333399981</v>
      </c>
      <c r="AJ757" s="19">
        <f t="shared" si="217"/>
        <v>6981738.4465290187</v>
      </c>
      <c r="AK757" s="20">
        <f t="shared" si="226"/>
        <v>0.14724433143839863</v>
      </c>
      <c r="AL757" s="17"/>
      <c r="AM757" s="17"/>
      <c r="AN757" s="17"/>
      <c r="AO757" s="17"/>
      <c r="AP757" s="28" t="str">
        <f t="shared" si="227"/>
        <v>20193</v>
      </c>
      <c r="AQ757" s="28" t="str">
        <f t="shared" si="228"/>
        <v>20193JPY</v>
      </c>
      <c r="AR757" s="206" t="str">
        <f t="shared" si="229"/>
        <v>YAMAHA_Mounter</v>
      </c>
      <c r="AS757" s="22">
        <f t="shared" si="230"/>
        <v>1</v>
      </c>
      <c r="AT757" s="24" t="str">
        <f t="shared" si="231"/>
        <v>0-3 months</v>
      </c>
      <c r="AU757" s="22" t="s">
        <v>3745</v>
      </c>
    </row>
    <row r="758" spans="1:47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41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861</v>
      </c>
      <c r="K758" s="155" t="s">
        <v>572</v>
      </c>
      <c r="L758" s="17" t="s">
        <v>92</v>
      </c>
      <c r="M758" s="13" t="s">
        <v>60</v>
      </c>
      <c r="N758" s="13">
        <v>1</v>
      </c>
      <c r="O758" s="13"/>
      <c r="P758" s="33" t="str">
        <f t="shared" si="221"/>
        <v>MAIN UNIT</v>
      </c>
      <c r="Q758" s="13" t="s">
        <v>61</v>
      </c>
      <c r="R758" s="13" t="s">
        <v>62</v>
      </c>
      <c r="S758" s="13" t="s">
        <v>49</v>
      </c>
      <c r="T758" s="13" t="s">
        <v>78</v>
      </c>
      <c r="U758" s="13" t="s">
        <v>79</v>
      </c>
      <c r="V758" s="13" t="s">
        <v>112</v>
      </c>
      <c r="W758" s="13" t="s">
        <v>109</v>
      </c>
      <c r="X758" s="135">
        <v>12342400</v>
      </c>
      <c r="Y758" s="156">
        <v>1</v>
      </c>
      <c r="Z758" s="18">
        <f t="shared" si="234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16"/>
        <v>47416008.333399981</v>
      </c>
      <c r="AJ758" s="19">
        <f t="shared" si="217"/>
        <v>6981738.4465290187</v>
      </c>
      <c r="AK758" s="20">
        <f t="shared" si="226"/>
        <v>0.14724433143839863</v>
      </c>
      <c r="AL758" s="17"/>
      <c r="AM758" s="17"/>
      <c r="AN758" s="17"/>
      <c r="AO758" s="17"/>
      <c r="AP758" s="28" t="str">
        <f t="shared" si="227"/>
        <v>20193</v>
      </c>
      <c r="AQ758" s="28" t="str">
        <f t="shared" si="228"/>
        <v>20193JPY</v>
      </c>
      <c r="AR758" s="206" t="str">
        <f t="shared" si="229"/>
        <v>YAMAHA_Mounter</v>
      </c>
      <c r="AS758" s="22">
        <f t="shared" si="230"/>
        <v>0</v>
      </c>
      <c r="AT758" s="24" t="str">
        <f t="shared" si="231"/>
        <v>0-3 months</v>
      </c>
      <c r="AU758" s="22" t="s">
        <v>3745</v>
      </c>
    </row>
    <row r="759" spans="1:47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48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1281</v>
      </c>
      <c r="K759" s="155" t="s">
        <v>1282</v>
      </c>
      <c r="L759" s="17" t="s">
        <v>67</v>
      </c>
      <c r="M759" s="13" t="s">
        <v>60</v>
      </c>
      <c r="N759" s="13">
        <v>1</v>
      </c>
      <c r="O759" s="13"/>
      <c r="P759" s="33" t="str">
        <f t="shared" si="221"/>
        <v>MAIN UNIT</v>
      </c>
      <c r="Q759" s="13" t="s">
        <v>61</v>
      </c>
      <c r="R759" s="13" t="s">
        <v>62</v>
      </c>
      <c r="S759" s="13" t="s">
        <v>49</v>
      </c>
      <c r="T759" s="13" t="s">
        <v>78</v>
      </c>
      <c r="U759" s="13" t="s">
        <v>79</v>
      </c>
      <c r="V759" s="13" t="s">
        <v>112</v>
      </c>
      <c r="W759" s="13" t="s">
        <v>64</v>
      </c>
      <c r="X759" s="135">
        <v>810000</v>
      </c>
      <c r="Y759" s="156">
        <v>1.1299999999999999</v>
      </c>
      <c r="Z759" s="18">
        <f t="shared" si="234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16"/>
        <v>28065694.408805311</v>
      </c>
      <c r="AJ759" s="19">
        <f t="shared" si="217"/>
        <v>4157433.2906989697</v>
      </c>
      <c r="AK759" s="20">
        <f t="shared" si="226"/>
        <v>0.14813220831602228</v>
      </c>
      <c r="AL759" s="17"/>
      <c r="AM759" s="17"/>
      <c r="AN759" s="17"/>
      <c r="AO759" s="17"/>
      <c r="AP759" s="28" t="str">
        <f t="shared" si="227"/>
        <v>20205</v>
      </c>
      <c r="AQ759" s="28" t="str">
        <f t="shared" si="228"/>
        <v>20205RMB</v>
      </c>
      <c r="AR759" s="206" t="str">
        <f t="shared" si="229"/>
        <v>YAMAHA_Mounter</v>
      </c>
      <c r="AS759" s="22">
        <f t="shared" si="230"/>
        <v>1</v>
      </c>
      <c r="AT759" s="24" t="str">
        <f t="shared" si="231"/>
        <v>0-3 months</v>
      </c>
      <c r="AU759" s="22" t="s">
        <v>3744</v>
      </c>
    </row>
    <row r="760" spans="1:47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48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1492</v>
      </c>
      <c r="K760" s="155" t="s">
        <v>1282</v>
      </c>
      <c r="L760" s="17" t="s">
        <v>67</v>
      </c>
      <c r="M760" s="13" t="s">
        <v>60</v>
      </c>
      <c r="N760" s="13">
        <v>1</v>
      </c>
      <c r="O760" s="13"/>
      <c r="P760" s="33" t="str">
        <f t="shared" si="221"/>
        <v>MAIN UNIT</v>
      </c>
      <c r="Q760" s="13" t="s">
        <v>61</v>
      </c>
      <c r="R760" s="13" t="s">
        <v>62</v>
      </c>
      <c r="S760" s="13" t="s">
        <v>49</v>
      </c>
      <c r="T760" s="13" t="s">
        <v>78</v>
      </c>
      <c r="U760" s="13" t="s">
        <v>79</v>
      </c>
      <c r="V760" s="13" t="s">
        <v>112</v>
      </c>
      <c r="W760" s="13" t="s">
        <v>109</v>
      </c>
      <c r="X760" s="135">
        <v>11338000</v>
      </c>
      <c r="Y760" s="157" t="str">
        <f>IF(W760="RMB","1.13", "1")</f>
        <v>1</v>
      </c>
      <c r="Z760" s="18">
        <f t="shared" si="234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16"/>
        <v>48763143.537654862</v>
      </c>
      <c r="AJ760" s="19">
        <f t="shared" si="217"/>
        <v>5924029.9702154724</v>
      </c>
      <c r="AK760" s="20">
        <f t="shared" si="226"/>
        <v>0.1214858095774925</v>
      </c>
      <c r="AL760" s="17"/>
      <c r="AM760" s="17"/>
      <c r="AN760" s="17"/>
      <c r="AO760" s="17"/>
      <c r="AP760" s="28" t="str">
        <f t="shared" si="227"/>
        <v>202012</v>
      </c>
      <c r="AQ760" s="28" t="str">
        <f t="shared" si="228"/>
        <v>202012JPY</v>
      </c>
      <c r="AR760" s="206" t="str">
        <f t="shared" si="229"/>
        <v>YAMAHA_Mounter</v>
      </c>
      <c r="AS760" s="22">
        <f t="shared" si="230"/>
        <v>0</v>
      </c>
      <c r="AT760" s="24" t="str">
        <f t="shared" si="231"/>
        <v>0-3 months</v>
      </c>
      <c r="AU760" s="22" t="s">
        <v>3745</v>
      </c>
    </row>
    <row r="761" spans="1:47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48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1492</v>
      </c>
      <c r="K761" s="155" t="s">
        <v>1282</v>
      </c>
      <c r="L761" s="17" t="s">
        <v>92</v>
      </c>
      <c r="M761" s="13" t="s">
        <v>60</v>
      </c>
      <c r="N761" s="13">
        <v>1</v>
      </c>
      <c r="O761" s="13"/>
      <c r="P761" s="33" t="str">
        <f t="shared" si="221"/>
        <v>MAIN UNIT</v>
      </c>
      <c r="Q761" s="13" t="s">
        <v>61</v>
      </c>
      <c r="R761" s="13" t="s">
        <v>62</v>
      </c>
      <c r="S761" s="13" t="s">
        <v>49</v>
      </c>
      <c r="T761" s="13" t="s">
        <v>78</v>
      </c>
      <c r="U761" s="13" t="s">
        <v>79</v>
      </c>
      <c r="V761" s="13" t="s">
        <v>112</v>
      </c>
      <c r="W761" s="13" t="s">
        <v>109</v>
      </c>
      <c r="X761" s="135">
        <v>13580000</v>
      </c>
      <c r="Y761" s="157" t="str">
        <f>IF(W761="RMB","1.13", "1")</f>
        <v>1</v>
      </c>
      <c r="Z761" s="18">
        <f t="shared" si="234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16"/>
        <v>57778307.282035396</v>
      </c>
      <c r="AJ761" s="19">
        <f t="shared" si="217"/>
        <v>7259860.7225420559</v>
      </c>
      <c r="AK761" s="20">
        <f t="shared" si="226"/>
        <v>0.12565028406083667</v>
      </c>
      <c r="AL761" s="17"/>
      <c r="AM761" s="17"/>
      <c r="AN761" s="17"/>
      <c r="AO761" s="17"/>
      <c r="AP761" s="28" t="str">
        <f t="shared" si="227"/>
        <v>20213</v>
      </c>
      <c r="AQ761" s="28" t="str">
        <f t="shared" si="228"/>
        <v>20213JPY</v>
      </c>
      <c r="AR761" s="206" t="str">
        <f t="shared" si="229"/>
        <v>YAMAHA_Mounter</v>
      </c>
      <c r="AS761" s="22">
        <f t="shared" si="230"/>
        <v>3</v>
      </c>
      <c r="AT761" s="24" t="str">
        <f t="shared" si="231"/>
        <v>0-3 months</v>
      </c>
      <c r="AU761" s="22" t="s">
        <v>3745</v>
      </c>
    </row>
    <row r="762" spans="1:47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48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1492</v>
      </c>
      <c r="K762" s="155" t="s">
        <v>1282</v>
      </c>
      <c r="L762" s="17" t="s">
        <v>92</v>
      </c>
      <c r="M762" s="13" t="s">
        <v>60</v>
      </c>
      <c r="N762" s="13">
        <v>1</v>
      </c>
      <c r="O762" s="13"/>
      <c r="P762" s="33" t="str">
        <f t="shared" si="221"/>
        <v>MAIN UNIT</v>
      </c>
      <c r="Q762" s="13" t="s">
        <v>61</v>
      </c>
      <c r="R762" s="13" t="s">
        <v>62</v>
      </c>
      <c r="S762" s="13" t="s">
        <v>49</v>
      </c>
      <c r="T762" s="13" t="s">
        <v>78</v>
      </c>
      <c r="U762" s="13" t="s">
        <v>79</v>
      </c>
      <c r="V762" s="13" t="s">
        <v>112</v>
      </c>
      <c r="W762" s="13" t="s">
        <v>109</v>
      </c>
      <c r="X762" s="135">
        <v>13580000</v>
      </c>
      <c r="Y762" s="157" t="str">
        <f>IF(W762="RMB","1.13", "1")</f>
        <v>1</v>
      </c>
      <c r="Z762" s="18">
        <f t="shared" si="234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16"/>
        <v>57778307.282035396</v>
      </c>
      <c r="AJ762" s="19">
        <f t="shared" si="217"/>
        <v>7259860.7225420559</v>
      </c>
      <c r="AK762" s="20">
        <f t="shared" si="226"/>
        <v>0.12565028406083667</v>
      </c>
      <c r="AL762" s="17"/>
      <c r="AM762" s="17"/>
      <c r="AN762" s="17"/>
      <c r="AO762" s="17"/>
      <c r="AP762" s="28" t="str">
        <f t="shared" si="227"/>
        <v>20213</v>
      </c>
      <c r="AQ762" s="28" t="str">
        <f t="shared" si="228"/>
        <v>20213JPY</v>
      </c>
      <c r="AR762" s="206" t="str">
        <f t="shared" si="229"/>
        <v>YAMAHA_Mounter</v>
      </c>
      <c r="AS762" s="22">
        <f t="shared" si="230"/>
        <v>3</v>
      </c>
      <c r="AT762" s="24" t="str">
        <f t="shared" si="231"/>
        <v>0-3 months</v>
      </c>
      <c r="AU762" s="22" t="s">
        <v>3745</v>
      </c>
    </row>
    <row r="763" spans="1:47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3089</v>
      </c>
      <c r="K763" s="155" t="s">
        <v>1282</v>
      </c>
      <c r="L763" s="17" t="s">
        <v>92</v>
      </c>
      <c r="M763" s="13" t="s">
        <v>60</v>
      </c>
      <c r="N763" s="13">
        <v>1</v>
      </c>
      <c r="O763" s="13"/>
      <c r="P763" s="33" t="str">
        <f t="shared" si="221"/>
        <v>MAIN UNIT</v>
      </c>
      <c r="Q763" s="13" t="s">
        <v>61</v>
      </c>
      <c r="R763" s="13" t="s">
        <v>62</v>
      </c>
      <c r="S763" s="13" t="s">
        <v>49</v>
      </c>
      <c r="T763" s="13" t="s">
        <v>78</v>
      </c>
      <c r="U763" s="13" t="s">
        <v>79</v>
      </c>
      <c r="V763" s="13" t="s">
        <v>112</v>
      </c>
      <c r="W763" s="13" t="s">
        <v>109</v>
      </c>
      <c r="X763" s="135">
        <v>12200000</v>
      </c>
      <c r="Y763" s="157" t="str">
        <f>IF(W763="","",IF(W763="RMB","1.13", "1"))</f>
        <v>1</v>
      </c>
      <c r="Z763" s="18">
        <f t="shared" si="234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16"/>
        <v>11730565.00042478</v>
      </c>
      <c r="AJ763" s="19">
        <f t="shared" si="217"/>
        <v>1439625.5685810833</v>
      </c>
      <c r="AK763" s="20">
        <f t="shared" si="226"/>
        <v>0.12272431622253084</v>
      </c>
      <c r="AL763" s="17"/>
      <c r="AM763" s="17"/>
      <c r="AN763" s="17"/>
      <c r="AO763" s="17"/>
      <c r="AP763" s="28" t="str">
        <f t="shared" si="227"/>
        <v>202311</v>
      </c>
      <c r="AQ763" s="28" t="str">
        <f t="shared" si="228"/>
        <v>202311JPY</v>
      </c>
      <c r="AR763" s="206" t="str">
        <f t="shared" si="229"/>
        <v>YAMAHA_Mounter</v>
      </c>
      <c r="AS763" s="22">
        <f t="shared" si="230"/>
        <v>0</v>
      </c>
      <c r="AT763" s="24" t="str">
        <f t="shared" si="231"/>
        <v>0-3 months</v>
      </c>
      <c r="AU763" s="22" t="s">
        <v>3745</v>
      </c>
    </row>
    <row r="764" spans="1:47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3089</v>
      </c>
      <c r="K764" s="155" t="s">
        <v>1282</v>
      </c>
      <c r="L764" s="17" t="s">
        <v>67</v>
      </c>
      <c r="M764" s="13" t="s">
        <v>60</v>
      </c>
      <c r="N764" s="13">
        <v>1</v>
      </c>
      <c r="O764" s="13"/>
      <c r="P764" s="33" t="str">
        <f t="shared" si="221"/>
        <v>MAIN UNIT</v>
      </c>
      <c r="Q764" s="13" t="s">
        <v>61</v>
      </c>
      <c r="R764" s="13" t="s">
        <v>62</v>
      </c>
      <c r="S764" s="13" t="s">
        <v>49</v>
      </c>
      <c r="T764" s="13" t="s">
        <v>78</v>
      </c>
      <c r="U764" s="13" t="s">
        <v>79</v>
      </c>
      <c r="V764" s="13" t="s">
        <v>112</v>
      </c>
      <c r="W764" s="13" t="s">
        <v>109</v>
      </c>
      <c r="X764" s="135">
        <v>7950000</v>
      </c>
      <c r="Y764" s="157" t="str">
        <f>IF(W764="","",IF(W764="RMB","1.13", "1"))</f>
        <v>1</v>
      </c>
      <c r="Z764" s="18">
        <f t="shared" si="234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16"/>
        <v>11730565.00042478</v>
      </c>
      <c r="AJ764" s="19">
        <f t="shared" si="217"/>
        <v>1439625.5685810833</v>
      </c>
      <c r="AK764" s="20">
        <f t="shared" si="226"/>
        <v>0.12272431622253084</v>
      </c>
      <c r="AL764" s="17"/>
      <c r="AM764" s="17"/>
      <c r="AN764" s="17"/>
      <c r="AO764" s="17"/>
      <c r="AP764" s="28" t="str">
        <f t="shared" si="227"/>
        <v>202311</v>
      </c>
      <c r="AQ764" s="28" t="str">
        <f t="shared" si="228"/>
        <v>202311JPY</v>
      </c>
      <c r="AR764" s="206" t="str">
        <f t="shared" si="229"/>
        <v>YAMAHA_Mounter</v>
      </c>
      <c r="AS764" s="22">
        <f t="shared" si="230"/>
        <v>0</v>
      </c>
      <c r="AT764" s="24" t="str">
        <f t="shared" si="231"/>
        <v>0-3 months</v>
      </c>
      <c r="AU764" s="22" t="s">
        <v>3745</v>
      </c>
    </row>
    <row r="765" spans="1:47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41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491</v>
      </c>
      <c r="K765" s="155" t="s">
        <v>492</v>
      </c>
      <c r="L765" s="17" t="s">
        <v>92</v>
      </c>
      <c r="M765" s="13" t="s">
        <v>60</v>
      </c>
      <c r="N765" s="13">
        <v>2</v>
      </c>
      <c r="O765" s="13"/>
      <c r="P765" s="33" t="str">
        <f t="shared" si="221"/>
        <v>MAIN UNIT</v>
      </c>
      <c r="Q765" s="13" t="s">
        <v>68</v>
      </c>
      <c r="R765" s="13" t="s">
        <v>62</v>
      </c>
      <c r="S765" s="13" t="s">
        <v>49</v>
      </c>
      <c r="T765" s="13" t="s">
        <v>78</v>
      </c>
      <c r="U765" s="13" t="s">
        <v>79</v>
      </c>
      <c r="V765" s="13" t="s">
        <v>270</v>
      </c>
      <c r="W765" s="13" t="s">
        <v>109</v>
      </c>
      <c r="X765" s="135">
        <v>15370982</v>
      </c>
      <c r="Y765" s="156">
        <v>1</v>
      </c>
      <c r="Z765" s="18">
        <f t="shared" si="234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16"/>
        <v>10786543.370020689</v>
      </c>
      <c r="AJ765" s="19">
        <f t="shared" si="217"/>
        <v>1330367.5841569281</v>
      </c>
      <c r="AK765" s="20">
        <f t="shared" si="226"/>
        <v>0.123335858255987</v>
      </c>
      <c r="AL765" s="17"/>
      <c r="AM765" s="17"/>
      <c r="AN765" s="17"/>
      <c r="AO765" s="17"/>
      <c r="AP765" s="28" t="str">
        <f t="shared" si="227"/>
        <v>201810</v>
      </c>
      <c r="AQ765" s="28" t="str">
        <f t="shared" si="228"/>
        <v>201810JPY</v>
      </c>
      <c r="AR765" s="206" t="str">
        <f t="shared" si="229"/>
        <v>YAMAHA_Mounter</v>
      </c>
      <c r="AS765" s="22">
        <f t="shared" si="230"/>
        <v>5</v>
      </c>
      <c r="AT765" s="24" t="str">
        <f t="shared" si="231"/>
        <v>4-6 months</v>
      </c>
      <c r="AU765" s="22" t="s">
        <v>3745</v>
      </c>
    </row>
    <row r="766" spans="1:47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48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1598</v>
      </c>
      <c r="K766" s="155" t="s">
        <v>1599</v>
      </c>
      <c r="L766" s="17" t="s">
        <v>67</v>
      </c>
      <c r="M766" s="13" t="s">
        <v>60</v>
      </c>
      <c r="N766" s="13">
        <v>1</v>
      </c>
      <c r="O766" s="13"/>
      <c r="P766" s="33" t="str">
        <f t="shared" si="221"/>
        <v>MAIN UNIT</v>
      </c>
      <c r="Q766" s="13" t="s">
        <v>68</v>
      </c>
      <c r="R766" s="13" t="s">
        <v>62</v>
      </c>
      <c r="S766" s="13" t="s">
        <v>49</v>
      </c>
      <c r="T766" s="13" t="s">
        <v>78</v>
      </c>
      <c r="U766" s="13" t="s">
        <v>79</v>
      </c>
      <c r="V766" s="13" t="s">
        <v>471</v>
      </c>
      <c r="W766" s="13" t="s">
        <v>109</v>
      </c>
      <c r="X766" s="135">
        <v>8110000</v>
      </c>
      <c r="Y766" s="157" t="str">
        <f>IF(W766="RMB","1.13", "1")</f>
        <v>1</v>
      </c>
      <c r="Z766" s="18">
        <f t="shared" si="234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16"/>
        <v>31097187.02948761</v>
      </c>
      <c r="AJ766" s="19">
        <f t="shared" si="217"/>
        <v>3892353.6644401965</v>
      </c>
      <c r="AK766" s="20">
        <f t="shared" si="226"/>
        <v>0.12516738767237401</v>
      </c>
      <c r="AL766" s="17"/>
      <c r="AM766" s="17"/>
      <c r="AN766" s="17"/>
      <c r="AO766" s="17"/>
      <c r="AP766" s="28" t="str">
        <f t="shared" si="227"/>
        <v>20212</v>
      </c>
      <c r="AQ766" s="28" t="str">
        <f t="shared" si="228"/>
        <v>20212JPY</v>
      </c>
      <c r="AR766" s="206" t="str">
        <f t="shared" si="229"/>
        <v>YAMAHA_Mounter</v>
      </c>
      <c r="AS766" s="22">
        <f t="shared" si="230"/>
        <v>2</v>
      </c>
      <c r="AT766" s="24" t="str">
        <f t="shared" si="231"/>
        <v>0-3 months</v>
      </c>
      <c r="AU766" s="22" t="s">
        <v>3745</v>
      </c>
    </row>
    <row r="767" spans="1:47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54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2328</v>
      </c>
      <c r="K767" s="155" t="s">
        <v>1599</v>
      </c>
      <c r="L767" s="17" t="s">
        <v>92</v>
      </c>
      <c r="M767" s="13" t="s">
        <v>60</v>
      </c>
      <c r="N767" s="13">
        <v>1</v>
      </c>
      <c r="O767" s="13"/>
      <c r="P767" s="33" t="str">
        <f t="shared" si="221"/>
        <v>MAIN UNIT</v>
      </c>
      <c r="Q767" s="13" t="s">
        <v>61</v>
      </c>
      <c r="R767" s="13" t="s">
        <v>62</v>
      </c>
      <c r="S767" s="13" t="s">
        <v>49</v>
      </c>
      <c r="T767" s="13" t="s">
        <v>78</v>
      </c>
      <c r="U767" s="13" t="s">
        <v>79</v>
      </c>
      <c r="V767" s="13" t="s">
        <v>112</v>
      </c>
      <c r="W767" s="13" t="s">
        <v>64</v>
      </c>
      <c r="X767" s="135">
        <v>720000</v>
      </c>
      <c r="Y767" s="157" t="str">
        <f>IF(W767="RMB","1.13", "1")</f>
        <v>1.13</v>
      </c>
      <c r="Z767" s="18">
        <f t="shared" si="234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16"/>
        <v>31017966.201968137</v>
      </c>
      <c r="AJ767" s="19">
        <f t="shared" si="217"/>
        <v>4704250.3347305888</v>
      </c>
      <c r="AK767" s="20">
        <f t="shared" si="226"/>
        <v>0.15166211427595458</v>
      </c>
      <c r="AL767" s="17"/>
      <c r="AM767" s="17"/>
      <c r="AN767" s="17"/>
      <c r="AO767" s="17"/>
      <c r="AP767" s="28" t="str">
        <f t="shared" si="227"/>
        <v>202211</v>
      </c>
      <c r="AQ767" s="28" t="str">
        <f t="shared" si="228"/>
        <v>202211RMB</v>
      </c>
      <c r="AR767" s="206" t="str">
        <f t="shared" si="229"/>
        <v>YAMAHA_Mounter</v>
      </c>
      <c r="AS767" s="22">
        <f t="shared" si="230"/>
        <v>0</v>
      </c>
      <c r="AT767" s="24" t="str">
        <f t="shared" si="231"/>
        <v>0-3 months</v>
      </c>
      <c r="AU767" s="22" t="s">
        <v>3751</v>
      </c>
    </row>
    <row r="768" spans="1:47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48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1141</v>
      </c>
      <c r="K768" s="155" t="s">
        <v>1142</v>
      </c>
      <c r="L768" s="17" t="s">
        <v>92</v>
      </c>
      <c r="M768" s="13" t="s">
        <v>60</v>
      </c>
      <c r="N768" s="13">
        <v>1</v>
      </c>
      <c r="O768" s="13"/>
      <c r="P768" s="33" t="str">
        <f t="shared" si="221"/>
        <v>MAIN UNIT</v>
      </c>
      <c r="Q768" s="13" t="s">
        <v>61</v>
      </c>
      <c r="R768" s="13" t="s">
        <v>62</v>
      </c>
      <c r="S768" s="13" t="s">
        <v>50</v>
      </c>
      <c r="T768" s="13" t="s">
        <v>88</v>
      </c>
      <c r="U768" s="13" t="s">
        <v>70</v>
      </c>
      <c r="V768" s="13" t="s">
        <v>94</v>
      </c>
      <c r="W768" s="13" t="s">
        <v>703</v>
      </c>
      <c r="X768" s="135">
        <v>790000</v>
      </c>
      <c r="Y768" s="156" t="s">
        <v>1110</v>
      </c>
      <c r="Z768" s="18">
        <f t="shared" si="234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16"/>
        <v>28011162.254106201</v>
      </c>
      <c r="AJ768" s="19">
        <f t="shared" si="217"/>
        <v>3401347.1124888416</v>
      </c>
      <c r="AK768" s="20">
        <f t="shared" si="226"/>
        <v>0.12142827497242578</v>
      </c>
      <c r="AL768" s="17"/>
      <c r="AM768" s="17"/>
      <c r="AN768" s="17"/>
      <c r="AO768" s="17"/>
      <c r="AP768" s="28" t="str">
        <f t="shared" si="227"/>
        <v>202010</v>
      </c>
      <c r="AQ768" s="28" t="str">
        <f t="shared" si="228"/>
        <v>202010RMB</v>
      </c>
      <c r="AR768" s="206" t="str">
        <f t="shared" si="229"/>
        <v>YAMAHA_Mounter</v>
      </c>
      <c r="AS768" s="22">
        <f t="shared" si="230"/>
        <v>3</v>
      </c>
      <c r="AT768" s="24" t="str">
        <f t="shared" si="231"/>
        <v>0-3 months</v>
      </c>
      <c r="AU768" s="22" t="s">
        <v>3240</v>
      </c>
    </row>
    <row r="769" spans="1:47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47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763</v>
      </c>
      <c r="K769" s="155" t="s">
        <v>764</v>
      </c>
      <c r="L769" s="17" t="s">
        <v>92</v>
      </c>
      <c r="M769" s="13" t="s">
        <v>60</v>
      </c>
      <c r="N769" s="13">
        <v>1</v>
      </c>
      <c r="O769" s="13"/>
      <c r="P769" s="33" t="str">
        <f t="shared" si="221"/>
        <v>MAIN UNIT</v>
      </c>
      <c r="Q769" s="13" t="s">
        <v>61</v>
      </c>
      <c r="R769" s="13" t="s">
        <v>260</v>
      </c>
      <c r="S769" s="13" t="s">
        <v>261</v>
      </c>
      <c r="T769" s="13" t="s">
        <v>78</v>
      </c>
      <c r="U769" s="13" t="s">
        <v>765</v>
      </c>
      <c r="V769" s="13" t="s">
        <v>766</v>
      </c>
      <c r="W769" s="13" t="s">
        <v>265</v>
      </c>
      <c r="X769" s="135">
        <v>11900000</v>
      </c>
      <c r="Y769" s="156">
        <v>1</v>
      </c>
      <c r="Z769" s="18">
        <f t="shared" si="234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16"/>
        <v>34015877.71150443</v>
      </c>
      <c r="AJ769" s="19">
        <f t="shared" si="217"/>
        <v>4446292.375441948</v>
      </c>
      <c r="AK769" s="20">
        <f t="shared" si="226"/>
        <v>0.13071226364205143</v>
      </c>
      <c r="AL769" s="17"/>
      <c r="AM769" s="17"/>
      <c r="AN769" s="17"/>
      <c r="AO769" s="17"/>
      <c r="AP769" s="28" t="str">
        <f t="shared" si="227"/>
        <v>20197</v>
      </c>
      <c r="AQ769" s="28" t="str">
        <f t="shared" si="228"/>
        <v>20197JPY</v>
      </c>
      <c r="AR769" s="206" t="str">
        <f t="shared" si="229"/>
        <v>YAMAHA_Mounter</v>
      </c>
      <c r="AS769" s="22">
        <f t="shared" si="230"/>
        <v>0</v>
      </c>
      <c r="AT769" s="24" t="str">
        <f t="shared" si="231"/>
        <v>0-3 months</v>
      </c>
      <c r="AU769" s="22" t="s">
        <v>3746</v>
      </c>
    </row>
    <row r="770" spans="1:47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47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763</v>
      </c>
      <c r="K770" s="155" t="s">
        <v>764</v>
      </c>
      <c r="L770" s="17" t="s">
        <v>92</v>
      </c>
      <c r="M770" s="13" t="s">
        <v>60</v>
      </c>
      <c r="N770" s="13">
        <v>1</v>
      </c>
      <c r="O770" s="13"/>
      <c r="P770" s="33" t="str">
        <f t="shared" si="221"/>
        <v>MAIN UNIT</v>
      </c>
      <c r="Q770" s="13" t="s">
        <v>61</v>
      </c>
      <c r="R770" s="13" t="s">
        <v>260</v>
      </c>
      <c r="S770" s="13" t="s">
        <v>261</v>
      </c>
      <c r="T770" s="13" t="s">
        <v>78</v>
      </c>
      <c r="U770" s="13" t="s">
        <v>765</v>
      </c>
      <c r="V770" s="13" t="s">
        <v>766</v>
      </c>
      <c r="W770" s="13" t="s">
        <v>265</v>
      </c>
      <c r="X770" s="135">
        <v>11900000</v>
      </c>
      <c r="Y770" s="156">
        <v>1</v>
      </c>
      <c r="Z770" s="18">
        <f t="shared" si="234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ref="AI770:AI833" si="235">IF(P770="C66 SERVICE","",SUMIFS(AB:AB,F:F,F770,G:G,G770,E:E,E770))</f>
        <v>34015877.71150443</v>
      </c>
      <c r="AJ770" s="19">
        <f t="shared" ref="AJ770:AJ833" si="236">IF(P770="C66 SERVICE","",SUMIFS(AC:AC,F:F,F770,G:G,G770,E:E,E770))</f>
        <v>4446292.375441948</v>
      </c>
      <c r="AK770" s="20">
        <f t="shared" si="226"/>
        <v>0.13071226364205143</v>
      </c>
      <c r="AL770" s="17"/>
      <c r="AM770" s="17"/>
      <c r="AN770" s="17"/>
      <c r="AO770" s="17"/>
      <c r="AP770" s="28" t="str">
        <f t="shared" si="227"/>
        <v>20197</v>
      </c>
      <c r="AQ770" s="28" t="str">
        <f t="shared" si="228"/>
        <v>20197JPY</v>
      </c>
      <c r="AR770" s="206" t="str">
        <f t="shared" si="229"/>
        <v>YAMAHA_Mounter</v>
      </c>
      <c r="AS770" s="22">
        <f t="shared" si="230"/>
        <v>0</v>
      </c>
      <c r="AT770" s="24" t="str">
        <f t="shared" si="231"/>
        <v>0-3 months</v>
      </c>
      <c r="AU770" s="22" t="s">
        <v>3746</v>
      </c>
    </row>
    <row r="771" spans="1:47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54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2037</v>
      </c>
      <c r="K771" s="155" t="s">
        <v>2038</v>
      </c>
      <c r="L771" s="17" t="s">
        <v>67</v>
      </c>
      <c r="M771" s="13" t="s">
        <v>60</v>
      </c>
      <c r="N771" s="13">
        <v>1</v>
      </c>
      <c r="O771" s="13"/>
      <c r="P771" s="33" t="str">
        <f t="shared" si="221"/>
        <v>MAIN UNIT</v>
      </c>
      <c r="Q771" s="13" t="s">
        <v>68</v>
      </c>
      <c r="R771" s="13" t="s">
        <v>62</v>
      </c>
      <c r="S771" s="13" t="s">
        <v>49</v>
      </c>
      <c r="T771" s="13" t="s">
        <v>78</v>
      </c>
      <c r="U771" s="13" t="s">
        <v>79</v>
      </c>
      <c r="V771" s="13" t="s">
        <v>131</v>
      </c>
      <c r="W771" s="13" t="s">
        <v>109</v>
      </c>
      <c r="X771" s="135">
        <v>8600000</v>
      </c>
      <c r="Y771" s="157" t="str">
        <f>IF(W771="RMB","1.13", "1")</f>
        <v>1</v>
      </c>
      <c r="Z771" s="18">
        <f t="shared" si="234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35"/>
        <v>35682787.057522126</v>
      </c>
      <c r="AJ771" s="19">
        <f t="shared" si="236"/>
        <v>5833368.3789623892</v>
      </c>
      <c r="AK771" s="20">
        <f t="shared" si="226"/>
        <v>0.16347849649632912</v>
      </c>
      <c r="AL771" s="17"/>
      <c r="AM771" s="17"/>
      <c r="AN771" s="17"/>
      <c r="AO771" s="17"/>
      <c r="AP771" s="28" t="str">
        <f t="shared" si="227"/>
        <v>20226</v>
      </c>
      <c r="AQ771" s="28" t="str">
        <f t="shared" si="228"/>
        <v>20226JPY</v>
      </c>
      <c r="AR771" s="206" t="str">
        <f t="shared" si="229"/>
        <v>YAMAHA_Mounter</v>
      </c>
      <c r="AS771" s="22">
        <f t="shared" si="230"/>
        <v>8</v>
      </c>
      <c r="AT771" s="24" t="str">
        <f t="shared" si="231"/>
        <v>&gt; 6 months</v>
      </c>
      <c r="AU771" s="22" t="s">
        <v>3745</v>
      </c>
    </row>
    <row r="772" spans="1:47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55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2550</v>
      </c>
      <c r="K772" s="155" t="s">
        <v>2551</v>
      </c>
      <c r="L772" s="17" t="s">
        <v>92</v>
      </c>
      <c r="M772" s="13" t="s">
        <v>60</v>
      </c>
      <c r="N772" s="13">
        <v>1</v>
      </c>
      <c r="O772" s="13"/>
      <c r="P772" s="33" t="str">
        <f t="shared" si="221"/>
        <v>MAIN UNIT</v>
      </c>
      <c r="Q772" s="13" t="s">
        <v>68</v>
      </c>
      <c r="R772" s="13" t="s">
        <v>62</v>
      </c>
      <c r="S772" s="13" t="s">
        <v>51</v>
      </c>
      <c r="T772" s="13" t="s">
        <v>2552</v>
      </c>
      <c r="U772" s="13" t="s">
        <v>149</v>
      </c>
      <c r="V772" s="13" t="s">
        <v>134</v>
      </c>
      <c r="W772" s="13" t="s">
        <v>64</v>
      </c>
      <c r="X772" s="135">
        <v>850000</v>
      </c>
      <c r="Y772" s="157" t="str">
        <f>IF(W772="RMB","1.13", "1")</f>
        <v>1.13</v>
      </c>
      <c r="Z772" s="18">
        <f t="shared" si="234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35"/>
        <v>22953677.784070797</v>
      </c>
      <c r="AJ772" s="19">
        <f t="shared" si="236"/>
        <v>4168706.6744155753</v>
      </c>
      <c r="AK772" s="20">
        <f t="shared" si="226"/>
        <v>0.18161388835511752</v>
      </c>
      <c r="AL772" s="17"/>
      <c r="AM772" s="17"/>
      <c r="AN772" s="17"/>
      <c r="AO772" s="17"/>
      <c r="AP772" s="28" t="str">
        <f t="shared" si="227"/>
        <v>20238</v>
      </c>
      <c r="AQ772" s="28" t="str">
        <f t="shared" si="228"/>
        <v>20238RMB</v>
      </c>
      <c r="AR772" s="206" t="str">
        <f t="shared" si="229"/>
        <v>YAMAHA_Mounter</v>
      </c>
      <c r="AS772" s="22">
        <f t="shared" si="230"/>
        <v>1</v>
      </c>
      <c r="AT772" s="24" t="str">
        <f t="shared" si="231"/>
        <v>0-3 months</v>
      </c>
      <c r="AU772" s="22" t="s">
        <v>3240</v>
      </c>
    </row>
    <row r="773" spans="1:47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55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2550</v>
      </c>
      <c r="K773" s="155" t="s">
        <v>2551</v>
      </c>
      <c r="L773" s="17" t="s">
        <v>67</v>
      </c>
      <c r="M773" s="13" t="s">
        <v>60</v>
      </c>
      <c r="N773" s="13">
        <v>1</v>
      </c>
      <c r="O773" s="13"/>
      <c r="P773" s="33" t="str">
        <f t="shared" si="221"/>
        <v>MAIN UNIT</v>
      </c>
      <c r="Q773" s="13" t="s">
        <v>68</v>
      </c>
      <c r="R773" s="13" t="s">
        <v>62</v>
      </c>
      <c r="S773" s="13" t="s">
        <v>51</v>
      </c>
      <c r="T773" s="13" t="s">
        <v>2552</v>
      </c>
      <c r="U773" s="13" t="s">
        <v>149</v>
      </c>
      <c r="V773" s="13" t="s">
        <v>134</v>
      </c>
      <c r="W773" s="13" t="s">
        <v>64</v>
      </c>
      <c r="X773" s="135">
        <v>680000</v>
      </c>
      <c r="Y773" s="157" t="str">
        <f>IF(W773="RMB","1.13", "1")</f>
        <v>1.13</v>
      </c>
      <c r="Z773" s="18">
        <f t="shared" si="234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35"/>
        <v>22953677.784070797</v>
      </c>
      <c r="AJ773" s="19">
        <f t="shared" si="236"/>
        <v>4168706.6744155753</v>
      </c>
      <c r="AK773" s="20">
        <f t="shared" si="226"/>
        <v>0.18161388835511752</v>
      </c>
      <c r="AL773" s="17"/>
      <c r="AM773" s="17"/>
      <c r="AN773" s="17"/>
      <c r="AO773" s="17"/>
      <c r="AP773" s="28" t="str">
        <f t="shared" si="227"/>
        <v>20238</v>
      </c>
      <c r="AQ773" s="28" t="str">
        <f t="shared" si="228"/>
        <v>20238RMB</v>
      </c>
      <c r="AR773" s="206" t="str">
        <f t="shared" si="229"/>
        <v>YAMAHA_Mounter</v>
      </c>
      <c r="AS773" s="22">
        <f t="shared" si="230"/>
        <v>1</v>
      </c>
      <c r="AT773" s="24" t="str">
        <f t="shared" si="231"/>
        <v>0-3 months</v>
      </c>
      <c r="AU773" s="22" t="s">
        <v>3240</v>
      </c>
    </row>
    <row r="774" spans="1:47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185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185</v>
      </c>
      <c r="F774" s="13" t="s">
        <v>185</v>
      </c>
      <c r="G774" s="152" t="s">
        <v>185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2654</v>
      </c>
      <c r="K774" s="155" t="s">
        <v>2655</v>
      </c>
      <c r="L774" s="17" t="s">
        <v>77</v>
      </c>
      <c r="M774" s="13" t="s">
        <v>60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68</v>
      </c>
      <c r="R774" s="13" t="s">
        <v>62</v>
      </c>
      <c r="S774" s="13" t="s">
        <v>50</v>
      </c>
      <c r="T774" s="13" t="s">
        <v>93</v>
      </c>
      <c r="U774" s="13" t="s">
        <v>70</v>
      </c>
      <c r="V774" s="13" t="s">
        <v>169</v>
      </c>
      <c r="W774" s="13" t="s">
        <v>64</v>
      </c>
      <c r="X774" s="135">
        <v>720000</v>
      </c>
      <c r="Y774" s="156">
        <v>1.1299999999999999</v>
      </c>
      <c r="Z774" s="18">
        <f t="shared" si="234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si="235"/>
        <v>499582152.5142017</v>
      </c>
      <c r="AJ774" s="19">
        <f t="shared" si="236"/>
        <v>59520528.679470733</v>
      </c>
      <c r="AK774" s="20">
        <f t="shared" ref="AK774:AK837" si="244">IF(AJ774&gt;0,AJ774/AI774,"")</f>
        <v>0.11914062257814291</v>
      </c>
      <c r="AL774" s="17"/>
      <c r="AM774" s="17"/>
      <c r="AN774" s="17"/>
      <c r="AO774" s="17"/>
      <c r="AP774" s="28" t="str">
        <f t="shared" ref="AP774:AP837" si="245">IF(F774="","",F774&amp;G774)</f>
        <v>CancelCancel</v>
      </c>
      <c r="AQ774" s="28" t="str">
        <f t="shared" ref="AQ774:AQ837" si="246">IF(W774="","",F774&amp;G774&amp;W774)</f>
        <v>CancelCancelRMB</v>
      </c>
      <c r="AR774" s="206" t="str">
        <f t="shared" ref="AR774:AR837" si="247">IFERROR(IF(AND(M774="YAMAHA", R774="C28"), "YAMAHA_Non_Mounter", IF(AND(M774="YAMAHA", R774="C49"), "YAMAHA_Mounter", M774)),"")</f>
        <v>YAMAHA_Mounter</v>
      </c>
      <c r="AS774" s="22" t="str">
        <f t="shared" ref="AS774:AS837" si="248">IFERROR(IF(OR(G774="TBA", G774=""), "", DATEDIF(DATE(B774, C774, 1), DATE(F774, G774, 1), "M")),"")</f>
        <v/>
      </c>
      <c r="AT774" s="24" t="str">
        <f t="shared" ref="AT774:AT837" si="249">IF(ISNUMBER(AS774), IF(AS774&gt;=0, IF(AS774&lt;=3, "0-3 months", IF(AS774&lt;=6, "4-6 months", "&gt; 6 months"))), "")</f>
        <v/>
      </c>
      <c r="AU774" s="22" t="s">
        <v>3240</v>
      </c>
    </row>
    <row r="775" spans="1:47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41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229</v>
      </c>
      <c r="K775" s="155" t="s">
        <v>230</v>
      </c>
      <c r="L775" s="17" t="s">
        <v>67</v>
      </c>
      <c r="M775" s="13" t="s">
        <v>60</v>
      </c>
      <c r="N775" s="13">
        <v>2</v>
      </c>
      <c r="O775" s="13"/>
      <c r="P775" s="33" t="str">
        <f t="shared" si="240"/>
        <v>MAIN UNIT</v>
      </c>
      <c r="Q775" s="13" t="s">
        <v>68</v>
      </c>
      <c r="R775" s="13" t="s">
        <v>62</v>
      </c>
      <c r="S775" s="13" t="s">
        <v>49</v>
      </c>
      <c r="T775" s="13" t="s">
        <v>78</v>
      </c>
      <c r="U775" s="13" t="s">
        <v>79</v>
      </c>
      <c r="V775" s="13" t="s">
        <v>126</v>
      </c>
      <c r="W775" s="13" t="s">
        <v>64</v>
      </c>
      <c r="X775" s="135">
        <v>780000</v>
      </c>
      <c r="Y775" s="156">
        <v>1.1599999999999999</v>
      </c>
      <c r="Z775" s="18">
        <f t="shared" si="234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35"/>
        <v>24398045.86045352</v>
      </c>
      <c r="AJ775" s="19">
        <f t="shared" si="236"/>
        <v>3478417.4064663448</v>
      </c>
      <c r="AK775" s="20">
        <f t="shared" si="244"/>
        <v>0.14256950849102498</v>
      </c>
      <c r="AL775" s="17"/>
      <c r="AM775" s="17"/>
      <c r="AN775" s="17"/>
      <c r="AO775" s="17"/>
      <c r="AP775" s="28" t="str">
        <f t="shared" si="245"/>
        <v>20186</v>
      </c>
      <c r="AQ775" s="28" t="str">
        <f t="shared" si="246"/>
        <v>20186RMB</v>
      </c>
      <c r="AR775" s="206" t="str">
        <f t="shared" si="247"/>
        <v>YAMAHA_Mounter</v>
      </c>
      <c r="AS775" s="22">
        <f t="shared" si="248"/>
        <v>2</v>
      </c>
      <c r="AT775" s="24" t="str">
        <f t="shared" si="249"/>
        <v>0-3 months</v>
      </c>
      <c r="AU775" s="22" t="s">
        <v>3744</v>
      </c>
    </row>
    <row r="776" spans="1:47" s="12" customFormat="1">
      <c r="A776" s="33" t="str">
        <f t="shared" si="237"/>
        <v>cancel</v>
      </c>
      <c r="B776" s="152"/>
      <c r="C776" s="152" t="s">
        <v>185</v>
      </c>
      <c r="D776" s="33" t="str">
        <f t="shared" si="238"/>
        <v/>
      </c>
      <c r="E776" s="33" t="s">
        <v>185</v>
      </c>
      <c r="F776" s="13" t="s">
        <v>185</v>
      </c>
      <c r="G776" s="152" t="s">
        <v>185</v>
      </c>
      <c r="H776" s="155"/>
      <c r="I776" s="33" t="str">
        <f t="shared" si="239"/>
        <v>Cancel</v>
      </c>
      <c r="J776" s="186" t="s">
        <v>2636</v>
      </c>
      <c r="K776" s="155" t="s">
        <v>2637</v>
      </c>
      <c r="L776" s="17" t="s">
        <v>67</v>
      </c>
      <c r="M776" s="13" t="s">
        <v>60</v>
      </c>
      <c r="N776" s="13">
        <v>1</v>
      </c>
      <c r="O776" s="13"/>
      <c r="P776" s="33" t="str">
        <f t="shared" si="240"/>
        <v>MAIN UNIT</v>
      </c>
      <c r="Q776" s="13" t="s">
        <v>61</v>
      </c>
      <c r="R776" s="13" t="s">
        <v>62</v>
      </c>
      <c r="S776" s="13" t="s">
        <v>49</v>
      </c>
      <c r="T776" s="13" t="s">
        <v>78</v>
      </c>
      <c r="U776" s="13" t="s">
        <v>79</v>
      </c>
      <c r="V776" s="13" t="s">
        <v>134</v>
      </c>
      <c r="W776" s="13" t="s">
        <v>109</v>
      </c>
      <c r="X776" s="135">
        <v>9900000</v>
      </c>
      <c r="Y776" s="156">
        <v>1</v>
      </c>
      <c r="Z776" s="18">
        <f t="shared" si="234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35"/>
        <v>499582152.5142017</v>
      </c>
      <c r="AJ776" s="19">
        <f t="shared" si="236"/>
        <v>59520528.679470733</v>
      </c>
      <c r="AK776" s="20">
        <f t="shared" si="244"/>
        <v>0.11914062257814291</v>
      </c>
      <c r="AL776" s="17"/>
      <c r="AM776" s="17"/>
      <c r="AN776" s="17"/>
      <c r="AO776" s="17"/>
      <c r="AP776" s="28" t="str">
        <f t="shared" si="245"/>
        <v>CancelCancel</v>
      </c>
      <c r="AQ776" s="28" t="str">
        <f t="shared" si="246"/>
        <v>CancelCancelJPY</v>
      </c>
      <c r="AR776" s="206" t="str">
        <f t="shared" si="247"/>
        <v>YAMAHA_Mounter</v>
      </c>
      <c r="AS776" s="22" t="str">
        <f t="shared" si="248"/>
        <v/>
      </c>
      <c r="AT776" s="24" t="str">
        <f t="shared" si="249"/>
        <v/>
      </c>
      <c r="AU776" s="22" t="s">
        <v>3745</v>
      </c>
    </row>
    <row r="777" spans="1:47" s="12" customFormat="1">
      <c r="A777" s="33" t="str">
        <f t="shared" si="237"/>
        <v>cancel</v>
      </c>
      <c r="B777" s="152"/>
      <c r="C777" s="152" t="s">
        <v>185</v>
      </c>
      <c r="D777" s="33" t="str">
        <f t="shared" si="238"/>
        <v/>
      </c>
      <c r="E777" s="33" t="s">
        <v>185</v>
      </c>
      <c r="F777" s="13" t="s">
        <v>185</v>
      </c>
      <c r="G777" s="152" t="s">
        <v>185</v>
      </c>
      <c r="H777" s="155"/>
      <c r="I777" s="33" t="str">
        <f t="shared" si="239"/>
        <v>Cancel</v>
      </c>
      <c r="J777" s="186" t="s">
        <v>2636</v>
      </c>
      <c r="K777" s="155" t="s">
        <v>2637</v>
      </c>
      <c r="L777" s="17" t="s">
        <v>92</v>
      </c>
      <c r="M777" s="13" t="s">
        <v>60</v>
      </c>
      <c r="N777" s="13">
        <v>2</v>
      </c>
      <c r="O777" s="13"/>
      <c r="P777" s="33" t="str">
        <f t="shared" si="240"/>
        <v>MAIN UNIT</v>
      </c>
      <c r="Q777" s="13" t="s">
        <v>61</v>
      </c>
      <c r="R777" s="13" t="s">
        <v>62</v>
      </c>
      <c r="S777" s="13" t="s">
        <v>49</v>
      </c>
      <c r="T777" s="13" t="s">
        <v>78</v>
      </c>
      <c r="U777" s="13" t="s">
        <v>79</v>
      </c>
      <c r="V777" s="13" t="s">
        <v>134</v>
      </c>
      <c r="W777" s="13" t="s">
        <v>109</v>
      </c>
      <c r="X777" s="135">
        <v>15000000</v>
      </c>
      <c r="Y777" s="156">
        <v>1</v>
      </c>
      <c r="Z777" s="18">
        <f t="shared" si="234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35"/>
        <v>499582152.5142017</v>
      </c>
      <c r="AJ777" s="19">
        <f t="shared" si="236"/>
        <v>59520528.679470733</v>
      </c>
      <c r="AK777" s="20">
        <f t="shared" si="244"/>
        <v>0.11914062257814291</v>
      </c>
      <c r="AL777" s="17"/>
      <c r="AM777" s="17"/>
      <c r="AN777" s="17"/>
      <c r="AO777" s="17"/>
      <c r="AP777" s="28" t="str">
        <f t="shared" si="245"/>
        <v>CancelCancel</v>
      </c>
      <c r="AQ777" s="28" t="str">
        <f t="shared" si="246"/>
        <v>CancelCancelJPY</v>
      </c>
      <c r="AR777" s="206" t="str">
        <f t="shared" si="247"/>
        <v>YAMAHA_Mounter</v>
      </c>
      <c r="AS777" s="22" t="str">
        <f t="shared" si="248"/>
        <v/>
      </c>
      <c r="AT777" s="24" t="str">
        <f t="shared" si="249"/>
        <v/>
      </c>
      <c r="AU777" s="22" t="s">
        <v>3745</v>
      </c>
    </row>
    <row r="778" spans="1:47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53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1900</v>
      </c>
      <c r="K778" s="155" t="s">
        <v>1901</v>
      </c>
      <c r="L778" s="17" t="s">
        <v>92</v>
      </c>
      <c r="M778" s="13" t="s">
        <v>60</v>
      </c>
      <c r="N778" s="13">
        <v>1</v>
      </c>
      <c r="O778" s="13"/>
      <c r="P778" s="33" t="str">
        <f t="shared" si="240"/>
        <v>MAIN UNIT</v>
      </c>
      <c r="Q778" s="13" t="s">
        <v>61</v>
      </c>
      <c r="R778" s="13" t="s">
        <v>62</v>
      </c>
      <c r="S778" s="13" t="s">
        <v>49</v>
      </c>
      <c r="T778" s="13" t="s">
        <v>78</v>
      </c>
      <c r="U778" s="13" t="s">
        <v>79</v>
      </c>
      <c r="V778" s="13" t="s">
        <v>131</v>
      </c>
      <c r="W778" s="13" t="s">
        <v>109</v>
      </c>
      <c r="X778" s="135">
        <v>16500000</v>
      </c>
      <c r="Y778" s="157" t="str">
        <f>IF(W778="RMB","1.13", "1")</f>
        <v>1</v>
      </c>
      <c r="Z778" s="18">
        <f t="shared" si="234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35"/>
        <v>29500529.005044252</v>
      </c>
      <c r="AJ778" s="19">
        <f t="shared" si="236"/>
        <v>3253064.846231177</v>
      </c>
      <c r="AK778" s="20">
        <f t="shared" si="244"/>
        <v>0.11027140718984871</v>
      </c>
      <c r="AL778" s="17"/>
      <c r="AM778" s="17"/>
      <c r="AN778" s="17"/>
      <c r="AO778" s="17"/>
      <c r="AP778" s="28" t="str">
        <f t="shared" si="245"/>
        <v>202111</v>
      </c>
      <c r="AQ778" s="28" t="str">
        <f t="shared" si="246"/>
        <v>202111JPY</v>
      </c>
      <c r="AR778" s="206" t="str">
        <f t="shared" si="247"/>
        <v>YAMAHA_Mounter</v>
      </c>
      <c r="AS778" s="22">
        <f t="shared" si="248"/>
        <v>3</v>
      </c>
      <c r="AT778" s="24" t="str">
        <f t="shared" si="249"/>
        <v>0-3 months</v>
      </c>
      <c r="AU778" s="22" t="s">
        <v>3745</v>
      </c>
    </row>
    <row r="779" spans="1:47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53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1900</v>
      </c>
      <c r="K779" s="155" t="s">
        <v>1901</v>
      </c>
      <c r="L779" s="17" t="s">
        <v>92</v>
      </c>
      <c r="M779" s="13" t="s">
        <v>60</v>
      </c>
      <c r="N779" s="13">
        <v>1</v>
      </c>
      <c r="O779" s="13"/>
      <c r="P779" s="33" t="str">
        <f t="shared" si="240"/>
        <v>MAIN UNIT</v>
      </c>
      <c r="Q779" s="13" t="s">
        <v>61</v>
      </c>
      <c r="R779" s="13" t="s">
        <v>62</v>
      </c>
      <c r="S779" s="13" t="s">
        <v>49</v>
      </c>
      <c r="T779" s="13" t="s">
        <v>78</v>
      </c>
      <c r="U779" s="13" t="s">
        <v>79</v>
      </c>
      <c r="V779" s="13" t="s">
        <v>131</v>
      </c>
      <c r="W779" s="13" t="s">
        <v>109</v>
      </c>
      <c r="X779" s="135">
        <v>16500000</v>
      </c>
      <c r="Y779" s="157" t="str">
        <f>IF(W779="RMB","1.13", "1")</f>
        <v>1</v>
      </c>
      <c r="Z779" s="18">
        <f t="shared" si="234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35"/>
        <v>29500529.005044252</v>
      </c>
      <c r="AJ779" s="19">
        <f t="shared" si="236"/>
        <v>3253064.846231177</v>
      </c>
      <c r="AK779" s="20">
        <f t="shared" si="244"/>
        <v>0.11027140718984871</v>
      </c>
      <c r="AL779" s="17"/>
      <c r="AM779" s="17"/>
      <c r="AN779" s="17"/>
      <c r="AO779" s="17"/>
      <c r="AP779" s="28" t="str">
        <f t="shared" si="245"/>
        <v>202111</v>
      </c>
      <c r="AQ779" s="28" t="str">
        <f t="shared" si="246"/>
        <v>202111JPY</v>
      </c>
      <c r="AR779" s="206" t="str">
        <f t="shared" si="247"/>
        <v>YAMAHA_Mounter</v>
      </c>
      <c r="AS779" s="22">
        <f t="shared" si="248"/>
        <v>3</v>
      </c>
      <c r="AT779" s="24" t="str">
        <f t="shared" si="249"/>
        <v>0-3 months</v>
      </c>
      <c r="AU779" s="22" t="s">
        <v>3745</v>
      </c>
    </row>
    <row r="780" spans="1:47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53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1958</v>
      </c>
      <c r="K780" s="155" t="s">
        <v>1901</v>
      </c>
      <c r="L780" s="17" t="s">
        <v>1959</v>
      </c>
      <c r="M780" s="13" t="s">
        <v>60</v>
      </c>
      <c r="N780" s="13">
        <v>1</v>
      </c>
      <c r="O780" s="13"/>
      <c r="P780" s="33" t="str">
        <f t="shared" si="240"/>
        <v>MAIN UNIT</v>
      </c>
      <c r="Q780" s="13" t="s">
        <v>61</v>
      </c>
      <c r="R780" s="13" t="s">
        <v>62</v>
      </c>
      <c r="S780" s="13" t="s">
        <v>49</v>
      </c>
      <c r="T780" s="13" t="s">
        <v>78</v>
      </c>
      <c r="U780" s="13" t="s">
        <v>79</v>
      </c>
      <c r="V780" s="13" t="s">
        <v>131</v>
      </c>
      <c r="W780" s="13" t="s">
        <v>109</v>
      </c>
      <c r="X780" s="135">
        <v>24300000</v>
      </c>
      <c r="Y780" s="157" t="str">
        <f>IF(W780="RMB","1.13", "1")</f>
        <v>1</v>
      </c>
      <c r="Z780" s="18">
        <f t="shared" si="234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35"/>
        <v>31750699.113741599</v>
      </c>
      <c r="AJ780" s="19">
        <f t="shared" si="236"/>
        <v>4396077.3195289988</v>
      </c>
      <c r="AK780" s="20">
        <f t="shared" si="244"/>
        <v>0.13845607946397598</v>
      </c>
      <c r="AL780" s="17"/>
      <c r="AM780" s="17"/>
      <c r="AN780" s="17"/>
      <c r="AO780" s="17"/>
      <c r="AP780" s="28" t="str">
        <f t="shared" si="245"/>
        <v>20222</v>
      </c>
      <c r="AQ780" s="28" t="str">
        <f t="shared" si="246"/>
        <v>20222JPY</v>
      </c>
      <c r="AR780" s="206" t="str">
        <f t="shared" si="247"/>
        <v>YAMAHA_Mounter</v>
      </c>
      <c r="AS780" s="22">
        <f t="shared" si="248"/>
        <v>5</v>
      </c>
      <c r="AT780" s="24" t="str">
        <f t="shared" si="249"/>
        <v>4-6 months</v>
      </c>
      <c r="AU780" s="22" t="s">
        <v>3745</v>
      </c>
    </row>
    <row r="781" spans="1:47" s="12" customFormat="1">
      <c r="A781" s="33" t="str">
        <f t="shared" si="237"/>
        <v>cancel</v>
      </c>
      <c r="B781" s="152"/>
      <c r="C781" s="152" t="s">
        <v>185</v>
      </c>
      <c r="D781" s="33" t="str">
        <f t="shared" si="238"/>
        <v/>
      </c>
      <c r="E781" s="33" t="s">
        <v>185</v>
      </c>
      <c r="F781" s="13" t="s">
        <v>185</v>
      </c>
      <c r="G781" s="152" t="s">
        <v>185</v>
      </c>
      <c r="H781" s="155"/>
      <c r="I781" s="33" t="str">
        <f t="shared" si="239"/>
        <v>Cancel</v>
      </c>
      <c r="J781" s="186" t="s">
        <v>2647</v>
      </c>
      <c r="K781" s="155" t="s">
        <v>2648</v>
      </c>
      <c r="L781" s="17" t="s">
        <v>67</v>
      </c>
      <c r="M781" s="13" t="s">
        <v>60</v>
      </c>
      <c r="N781" s="13">
        <v>1</v>
      </c>
      <c r="O781" s="13"/>
      <c r="P781" s="33" t="str">
        <f t="shared" si="240"/>
        <v>MAIN UNIT</v>
      </c>
      <c r="Q781" s="13" t="s">
        <v>68</v>
      </c>
      <c r="R781" s="13" t="s">
        <v>62</v>
      </c>
      <c r="S781" s="13" t="s">
        <v>51</v>
      </c>
      <c r="T781" s="13" t="s">
        <v>2649</v>
      </c>
      <c r="U781" s="13" t="s">
        <v>149</v>
      </c>
      <c r="V781" s="13" t="s">
        <v>734</v>
      </c>
      <c r="W781" s="13" t="s">
        <v>64</v>
      </c>
      <c r="X781" s="135">
        <v>720000</v>
      </c>
      <c r="Y781" s="156">
        <v>1.1599999999999999</v>
      </c>
      <c r="Z781" s="18">
        <f t="shared" si="234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35"/>
        <v>499582152.5142017</v>
      </c>
      <c r="AJ781" s="19">
        <f t="shared" si="236"/>
        <v>59520528.679470733</v>
      </c>
      <c r="AK781" s="20">
        <f t="shared" si="244"/>
        <v>0.11914062257814291</v>
      </c>
      <c r="AL781" s="17"/>
      <c r="AM781" s="17"/>
      <c r="AN781" s="17"/>
      <c r="AO781" s="17"/>
      <c r="AP781" s="28" t="str">
        <f t="shared" si="245"/>
        <v>CancelCancel</v>
      </c>
      <c r="AQ781" s="28" t="str">
        <f t="shared" si="246"/>
        <v>CancelCancelRMB</v>
      </c>
      <c r="AR781" s="206" t="str">
        <f t="shared" si="247"/>
        <v>YAMAHA_Mounter</v>
      </c>
      <c r="AS781" s="22" t="str">
        <f t="shared" si="248"/>
        <v/>
      </c>
      <c r="AT781" s="24" t="str">
        <f t="shared" si="249"/>
        <v/>
      </c>
      <c r="AU781" s="22" t="s">
        <v>3240</v>
      </c>
    </row>
    <row r="782" spans="1:47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53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1878</v>
      </c>
      <c r="K782" s="155" t="s">
        <v>1879</v>
      </c>
      <c r="L782" s="17" t="s">
        <v>516</v>
      </c>
      <c r="M782" s="13" t="s">
        <v>60</v>
      </c>
      <c r="N782" s="13">
        <v>0</v>
      </c>
      <c r="O782" s="13">
        <v>12</v>
      </c>
      <c r="P782" s="33" t="str">
        <f t="shared" si="240"/>
        <v>SERVICE/ PARTS</v>
      </c>
      <c r="Q782" s="13" t="s">
        <v>61</v>
      </c>
      <c r="R782" s="13" t="s">
        <v>62</v>
      </c>
      <c r="S782" s="13" t="s">
        <v>50</v>
      </c>
      <c r="T782" s="13" t="s">
        <v>93</v>
      </c>
      <c r="U782" s="13" t="s">
        <v>89</v>
      </c>
      <c r="V782" s="13" t="s">
        <v>84</v>
      </c>
      <c r="W782" s="13" t="s">
        <v>64</v>
      </c>
      <c r="X782" s="135">
        <v>3791.6</v>
      </c>
      <c r="Y782" s="157" t="str">
        <f>IF(W782="RMB","1.13", "1")</f>
        <v>1.13</v>
      </c>
      <c r="Z782" s="18">
        <f t="shared" si="234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35"/>
        <v>15533177.71460177</v>
      </c>
      <c r="AJ782" s="19">
        <f t="shared" si="236"/>
        <v>1819298.5437526547</v>
      </c>
      <c r="AK782" s="20">
        <f t="shared" si="244"/>
        <v>0.11712339723265033</v>
      </c>
      <c r="AL782" s="17"/>
      <c r="AM782" s="17"/>
      <c r="AN782" s="17"/>
      <c r="AO782" s="17"/>
      <c r="AP782" s="28" t="str">
        <f t="shared" si="245"/>
        <v>202110</v>
      </c>
      <c r="AQ782" s="28" t="str">
        <f t="shared" si="246"/>
        <v>202110RMB</v>
      </c>
      <c r="AR782" s="206" t="str">
        <f t="shared" si="247"/>
        <v>YAMAHA_Mounter</v>
      </c>
      <c r="AS782" s="22">
        <f t="shared" si="248"/>
        <v>1</v>
      </c>
      <c r="AT782" s="24" t="str">
        <f t="shared" si="249"/>
        <v>0-3 months</v>
      </c>
      <c r="AU782" s="22" t="s">
        <v>3240</v>
      </c>
    </row>
    <row r="783" spans="1:47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47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1019</v>
      </c>
      <c r="K783" s="155" t="s">
        <v>1020</v>
      </c>
      <c r="L783" s="17" t="s">
        <v>67</v>
      </c>
      <c r="M783" s="13" t="s">
        <v>60</v>
      </c>
      <c r="N783" s="13">
        <v>1</v>
      </c>
      <c r="O783" s="13"/>
      <c r="P783" s="33" t="str">
        <f t="shared" si="240"/>
        <v>MAIN UNIT</v>
      </c>
      <c r="Q783" s="13" t="s">
        <v>68</v>
      </c>
      <c r="R783" s="13" t="s">
        <v>62</v>
      </c>
      <c r="S783" s="13" t="s">
        <v>50</v>
      </c>
      <c r="T783" s="13" t="s">
        <v>93</v>
      </c>
      <c r="U783" s="13" t="s">
        <v>89</v>
      </c>
      <c r="V783" s="13" t="s">
        <v>84</v>
      </c>
      <c r="W783" s="13" t="s">
        <v>64</v>
      </c>
      <c r="X783" s="135">
        <v>732375</v>
      </c>
      <c r="Y783" s="156">
        <v>1.1299999999999999</v>
      </c>
      <c r="Z783" s="18">
        <f t="shared" si="234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35"/>
        <v>23168285.927433632</v>
      </c>
      <c r="AJ783" s="19">
        <f t="shared" si="236"/>
        <v>2764878.916878053</v>
      </c>
      <c r="AK783" s="20">
        <f t="shared" si="244"/>
        <v>0.11933895004309111</v>
      </c>
      <c r="AL783" s="17"/>
      <c r="AM783" s="17"/>
      <c r="AN783" s="17"/>
      <c r="AO783" s="17"/>
      <c r="AP783" s="28" t="str">
        <f t="shared" si="245"/>
        <v>20203</v>
      </c>
      <c r="AQ783" s="28" t="str">
        <f t="shared" si="246"/>
        <v>20203RMB</v>
      </c>
      <c r="AR783" s="206" t="str">
        <f t="shared" si="247"/>
        <v>YAMAHA_Mounter</v>
      </c>
      <c r="AS783" s="22">
        <f t="shared" si="248"/>
        <v>3</v>
      </c>
      <c r="AT783" s="24" t="str">
        <f t="shared" si="249"/>
        <v>0-3 months</v>
      </c>
      <c r="AU783" s="22" t="s">
        <v>3240</v>
      </c>
    </row>
    <row r="784" spans="1:47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47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1019</v>
      </c>
      <c r="K784" s="155" t="s">
        <v>1020</v>
      </c>
      <c r="L784" s="17" t="s">
        <v>2889</v>
      </c>
      <c r="M784" s="13" t="s">
        <v>377</v>
      </c>
      <c r="N784" s="13">
        <v>1</v>
      </c>
      <c r="O784" s="13"/>
      <c r="P784" s="33" t="str">
        <f t="shared" si="240"/>
        <v>MAIN UNIT</v>
      </c>
      <c r="Q784" s="13" t="s">
        <v>68</v>
      </c>
      <c r="R784" s="13" t="s">
        <v>2055</v>
      </c>
      <c r="S784" s="13" t="s">
        <v>50</v>
      </c>
      <c r="T784" s="13" t="s">
        <v>93</v>
      </c>
      <c r="U784" s="13" t="s">
        <v>89</v>
      </c>
      <c r="V784" s="13" t="s">
        <v>84</v>
      </c>
      <c r="W784" s="13" t="s">
        <v>64</v>
      </c>
      <c r="X784" s="135">
        <v>467625</v>
      </c>
      <c r="Y784" s="157" t="str">
        <f>IF(W784="RMB","1.13", "1")</f>
        <v>1.13</v>
      </c>
      <c r="Z784" s="18">
        <f t="shared" si="234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35"/>
        <v>23168285.927433632</v>
      </c>
      <c r="AJ784" s="19">
        <f t="shared" si="236"/>
        <v>2764878.916878053</v>
      </c>
      <c r="AK784" s="20">
        <f t="shared" si="244"/>
        <v>0.11933895004309111</v>
      </c>
      <c r="AL784" s="17"/>
      <c r="AM784" s="17"/>
      <c r="AN784" s="17"/>
      <c r="AO784" s="17"/>
      <c r="AP784" s="28" t="str">
        <f t="shared" si="245"/>
        <v>20203</v>
      </c>
      <c r="AQ784" s="28" t="str">
        <f t="shared" si="246"/>
        <v>20203RMB</v>
      </c>
      <c r="AR784" s="206" t="str">
        <f t="shared" si="247"/>
        <v>LOCAL SUPPLIER</v>
      </c>
      <c r="AS784" s="22">
        <f t="shared" si="248"/>
        <v>3</v>
      </c>
      <c r="AT784" s="24" t="str">
        <f t="shared" si="249"/>
        <v>0-3 months</v>
      </c>
      <c r="AU784" s="22" t="s">
        <v>3240</v>
      </c>
    </row>
    <row r="785" spans="1:47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47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1153</v>
      </c>
      <c r="K785" s="155" t="s">
        <v>1154</v>
      </c>
      <c r="L785" s="17" t="s">
        <v>92</v>
      </c>
      <c r="M785" s="13" t="s">
        <v>60</v>
      </c>
      <c r="N785" s="13">
        <v>1</v>
      </c>
      <c r="O785" s="13"/>
      <c r="P785" s="33" t="str">
        <f t="shared" si="240"/>
        <v>MAIN UNIT</v>
      </c>
      <c r="Q785" s="13" t="s">
        <v>68</v>
      </c>
      <c r="R785" s="13" t="s">
        <v>62</v>
      </c>
      <c r="S785" s="13" t="s">
        <v>49</v>
      </c>
      <c r="T785" s="13" t="s">
        <v>78</v>
      </c>
      <c r="U785" s="13" t="s">
        <v>79</v>
      </c>
      <c r="V785" s="13" t="s">
        <v>672</v>
      </c>
      <c r="W785" s="13" t="s">
        <v>109</v>
      </c>
      <c r="X785" s="135">
        <v>10736800</v>
      </c>
      <c r="Y785" s="156">
        <v>1</v>
      </c>
      <c r="Z785" s="18">
        <f t="shared" si="234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35"/>
        <v>14005204.685000001</v>
      </c>
      <c r="AJ785" s="19">
        <f t="shared" si="236"/>
        <v>1436995.246084</v>
      </c>
      <c r="AK785" s="20">
        <f t="shared" si="244"/>
        <v>0.10260437304590525</v>
      </c>
      <c r="AL785" s="17"/>
      <c r="AM785" s="17"/>
      <c r="AN785" s="17"/>
      <c r="AO785" s="17"/>
      <c r="AP785" s="28" t="str">
        <f t="shared" si="245"/>
        <v>20202</v>
      </c>
      <c r="AQ785" s="28" t="str">
        <f t="shared" si="246"/>
        <v>20202JPY</v>
      </c>
      <c r="AR785" s="206" t="str">
        <f t="shared" si="247"/>
        <v>YAMAHA_Mounter</v>
      </c>
      <c r="AS785" s="22">
        <f t="shared" si="248"/>
        <v>1</v>
      </c>
      <c r="AT785" s="24" t="str">
        <f t="shared" si="249"/>
        <v>0-3 months</v>
      </c>
      <c r="AU785" s="22" t="s">
        <v>3746</v>
      </c>
    </row>
    <row r="786" spans="1:47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47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1153</v>
      </c>
      <c r="K786" s="155" t="s">
        <v>1154</v>
      </c>
      <c r="L786" s="17" t="s">
        <v>67</v>
      </c>
      <c r="M786" s="13" t="s">
        <v>60</v>
      </c>
      <c r="N786" s="13">
        <v>1</v>
      </c>
      <c r="O786" s="13"/>
      <c r="P786" s="33" t="str">
        <f t="shared" si="240"/>
        <v>MAIN UNIT</v>
      </c>
      <c r="Q786" s="13" t="s">
        <v>68</v>
      </c>
      <c r="R786" s="13" t="s">
        <v>62</v>
      </c>
      <c r="S786" s="13" t="s">
        <v>49</v>
      </c>
      <c r="T786" s="13" t="s">
        <v>78</v>
      </c>
      <c r="U786" s="13" t="s">
        <v>79</v>
      </c>
      <c r="V786" s="13" t="s">
        <v>672</v>
      </c>
      <c r="W786" s="13" t="s">
        <v>109</v>
      </c>
      <c r="X786" s="135">
        <v>7158000</v>
      </c>
      <c r="Y786" s="156">
        <v>1</v>
      </c>
      <c r="Z786" s="18">
        <f t="shared" si="234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35"/>
        <v>14005204.685000001</v>
      </c>
      <c r="AJ786" s="19">
        <f t="shared" si="236"/>
        <v>1436995.246084</v>
      </c>
      <c r="AK786" s="20">
        <f t="shared" si="244"/>
        <v>0.10260437304590525</v>
      </c>
      <c r="AL786" s="17"/>
      <c r="AM786" s="17"/>
      <c r="AN786" s="17"/>
      <c r="AO786" s="17"/>
      <c r="AP786" s="28" t="str">
        <f t="shared" si="245"/>
        <v>20202</v>
      </c>
      <c r="AQ786" s="28" t="str">
        <f t="shared" si="246"/>
        <v>20202JPY</v>
      </c>
      <c r="AR786" s="206" t="str">
        <f t="shared" si="247"/>
        <v>YAMAHA_Mounter</v>
      </c>
      <c r="AS786" s="22">
        <f t="shared" si="248"/>
        <v>1</v>
      </c>
      <c r="AT786" s="24" t="str">
        <f t="shared" si="249"/>
        <v>0-3 months</v>
      </c>
      <c r="AU786" s="22" t="s">
        <v>3746</v>
      </c>
    </row>
    <row r="787" spans="1:47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41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565</v>
      </c>
      <c r="K787" s="155" t="s">
        <v>566</v>
      </c>
      <c r="L787" s="17" t="s">
        <v>293</v>
      </c>
      <c r="M787" s="13" t="s">
        <v>60</v>
      </c>
      <c r="N787" s="13">
        <v>1</v>
      </c>
      <c r="O787" s="13"/>
      <c r="P787" s="33" t="str">
        <f t="shared" si="240"/>
        <v>MAIN UNIT</v>
      </c>
      <c r="Q787" s="13" t="s">
        <v>68</v>
      </c>
      <c r="R787" s="13" t="s">
        <v>62</v>
      </c>
      <c r="S787" s="13" t="s">
        <v>49</v>
      </c>
      <c r="T787" s="13" t="s">
        <v>249</v>
      </c>
      <c r="U787" s="13" t="s">
        <v>79</v>
      </c>
      <c r="V787" s="13" t="s">
        <v>80</v>
      </c>
      <c r="W787" s="13" t="s">
        <v>64</v>
      </c>
      <c r="X787" s="135">
        <v>1584000</v>
      </c>
      <c r="Y787" s="156">
        <v>1.1599999999999999</v>
      </c>
      <c r="Z787" s="18">
        <f t="shared" si="234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35"/>
        <v>23237072.69172414</v>
      </c>
      <c r="AJ787" s="19">
        <f t="shared" si="236"/>
        <v>2402195.7372206897</v>
      </c>
      <c r="AK787" s="20">
        <f t="shared" si="244"/>
        <v>0.10337772614862238</v>
      </c>
      <c r="AL787" s="17"/>
      <c r="AM787" s="17"/>
      <c r="AN787" s="17"/>
      <c r="AO787" s="17"/>
      <c r="AP787" s="28" t="str">
        <f t="shared" si="245"/>
        <v>20191</v>
      </c>
      <c r="AQ787" s="28" t="str">
        <f t="shared" si="246"/>
        <v>20191RMB</v>
      </c>
      <c r="AR787" s="206" t="str">
        <f t="shared" si="247"/>
        <v>YAMAHA_Mounter</v>
      </c>
      <c r="AS787" s="22">
        <f t="shared" si="248"/>
        <v>2</v>
      </c>
      <c r="AT787" s="24" t="str">
        <f t="shared" si="249"/>
        <v>0-3 months</v>
      </c>
      <c r="AU787" s="22" t="s">
        <v>3240</v>
      </c>
    </row>
    <row r="788" spans="1:47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41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565</v>
      </c>
      <c r="K788" s="155" t="s">
        <v>567</v>
      </c>
      <c r="L788" s="17" t="s">
        <v>293</v>
      </c>
      <c r="M788" s="13" t="s">
        <v>60</v>
      </c>
      <c r="N788" s="13">
        <v>1</v>
      </c>
      <c r="O788" s="13"/>
      <c r="P788" s="33" t="str">
        <f t="shared" si="240"/>
        <v>MAIN UNIT</v>
      </c>
      <c r="Q788" s="13" t="s">
        <v>68</v>
      </c>
      <c r="R788" s="13" t="s">
        <v>62</v>
      </c>
      <c r="S788" s="13" t="s">
        <v>49</v>
      </c>
      <c r="T788" s="13" t="s">
        <v>249</v>
      </c>
      <c r="U788" s="13" t="s">
        <v>79</v>
      </c>
      <c r="V788" s="13" t="s">
        <v>80</v>
      </c>
      <c r="W788" s="13" t="s">
        <v>64</v>
      </c>
      <c r="X788" s="135">
        <v>1584000</v>
      </c>
      <c r="Y788" s="156">
        <v>1.1599999999999999</v>
      </c>
      <c r="Z788" s="18">
        <f t="shared" si="234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35"/>
        <v>23237072.69172414</v>
      </c>
      <c r="AJ788" s="19">
        <f t="shared" si="236"/>
        <v>2402195.7372206897</v>
      </c>
      <c r="AK788" s="20">
        <f t="shared" si="244"/>
        <v>0.10337772614862238</v>
      </c>
      <c r="AL788" s="17"/>
      <c r="AM788" s="17"/>
      <c r="AN788" s="17"/>
      <c r="AO788" s="17"/>
      <c r="AP788" s="28" t="str">
        <f t="shared" si="245"/>
        <v>20191</v>
      </c>
      <c r="AQ788" s="28" t="str">
        <f t="shared" si="246"/>
        <v>20191RMB</v>
      </c>
      <c r="AR788" s="206" t="str">
        <f t="shared" si="247"/>
        <v>YAMAHA_Mounter</v>
      </c>
      <c r="AS788" s="22">
        <f t="shared" si="248"/>
        <v>2</v>
      </c>
      <c r="AT788" s="24" t="str">
        <f t="shared" si="249"/>
        <v>0-3 months</v>
      </c>
      <c r="AU788" s="22" t="s">
        <v>3240</v>
      </c>
    </row>
    <row r="789" spans="1:47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47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1021</v>
      </c>
      <c r="K789" s="155" t="s">
        <v>566</v>
      </c>
      <c r="L789" s="17" t="s">
        <v>293</v>
      </c>
      <c r="M789" s="13" t="s">
        <v>60</v>
      </c>
      <c r="N789" s="13">
        <v>1</v>
      </c>
      <c r="O789" s="13"/>
      <c r="P789" s="33" t="str">
        <f t="shared" si="240"/>
        <v>MAIN UNIT</v>
      </c>
      <c r="Q789" s="13" t="s">
        <v>61</v>
      </c>
      <c r="R789" s="13" t="s">
        <v>62</v>
      </c>
      <c r="S789" s="13" t="s">
        <v>49</v>
      </c>
      <c r="T789" s="13" t="s">
        <v>78</v>
      </c>
      <c r="U789" s="13" t="s">
        <v>79</v>
      </c>
      <c r="V789" s="13" t="s">
        <v>311</v>
      </c>
      <c r="W789" s="13" t="s">
        <v>64</v>
      </c>
      <c r="X789" s="135">
        <v>1450000</v>
      </c>
      <c r="Y789" s="156">
        <v>1.1299999999999999</v>
      </c>
      <c r="Z789" s="18">
        <f t="shared" si="234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35"/>
        <v>23168285.927433632</v>
      </c>
      <c r="AJ789" s="19">
        <f t="shared" si="236"/>
        <v>2764878.916878053</v>
      </c>
      <c r="AK789" s="20">
        <f t="shared" si="244"/>
        <v>0.11933895004309111</v>
      </c>
      <c r="AL789" s="17"/>
      <c r="AM789" s="17"/>
      <c r="AN789" s="17"/>
      <c r="AO789" s="17"/>
      <c r="AP789" s="28" t="str">
        <f t="shared" si="245"/>
        <v>20203</v>
      </c>
      <c r="AQ789" s="28" t="str">
        <f t="shared" si="246"/>
        <v>20203RMB</v>
      </c>
      <c r="AR789" s="206" t="str">
        <f t="shared" si="247"/>
        <v>YAMAHA_Mounter</v>
      </c>
      <c r="AS789" s="22">
        <f t="shared" si="248"/>
        <v>3</v>
      </c>
      <c r="AT789" s="24" t="str">
        <f t="shared" si="249"/>
        <v>0-3 months</v>
      </c>
      <c r="AU789" s="22" t="s">
        <v>3744</v>
      </c>
    </row>
    <row r="790" spans="1:47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47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1021</v>
      </c>
      <c r="K790" s="155" t="s">
        <v>566</v>
      </c>
      <c r="L790" s="17" t="s">
        <v>293</v>
      </c>
      <c r="M790" s="13" t="s">
        <v>60</v>
      </c>
      <c r="N790" s="13">
        <v>1</v>
      </c>
      <c r="O790" s="13"/>
      <c r="P790" s="33" t="str">
        <f t="shared" si="240"/>
        <v>MAIN UNIT</v>
      </c>
      <c r="Q790" s="13" t="s">
        <v>61</v>
      </c>
      <c r="R790" s="13" t="s">
        <v>62</v>
      </c>
      <c r="S790" s="13" t="s">
        <v>49</v>
      </c>
      <c r="T790" s="13" t="s">
        <v>78</v>
      </c>
      <c r="U790" s="13" t="s">
        <v>79</v>
      </c>
      <c r="V790" s="13" t="s">
        <v>311</v>
      </c>
      <c r="W790" s="13" t="s">
        <v>64</v>
      </c>
      <c r="X790" s="135">
        <v>1450000</v>
      </c>
      <c r="Y790" s="156">
        <v>1.1299999999999999</v>
      </c>
      <c r="Z790" s="18">
        <f t="shared" si="234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35"/>
        <v>23168285.927433632</v>
      </c>
      <c r="AJ790" s="19">
        <f t="shared" si="236"/>
        <v>2764878.916878053</v>
      </c>
      <c r="AK790" s="20">
        <f t="shared" si="244"/>
        <v>0.11933895004309111</v>
      </c>
      <c r="AL790" s="17"/>
      <c r="AM790" s="17"/>
      <c r="AN790" s="17"/>
      <c r="AO790" s="17"/>
      <c r="AP790" s="28" t="str">
        <f t="shared" si="245"/>
        <v>20203</v>
      </c>
      <c r="AQ790" s="28" t="str">
        <f t="shared" si="246"/>
        <v>20203RMB</v>
      </c>
      <c r="AR790" s="206" t="str">
        <f t="shared" si="247"/>
        <v>YAMAHA_Mounter</v>
      </c>
      <c r="AS790" s="22">
        <f t="shared" si="248"/>
        <v>3</v>
      </c>
      <c r="AT790" s="24" t="str">
        <f t="shared" si="249"/>
        <v>0-3 months</v>
      </c>
      <c r="AU790" s="22" t="s">
        <v>3744</v>
      </c>
    </row>
    <row r="791" spans="1:47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53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1710</v>
      </c>
      <c r="K791" s="155" t="s">
        <v>566</v>
      </c>
      <c r="L791" s="17" t="s">
        <v>293</v>
      </c>
      <c r="M791" s="13" t="s">
        <v>60</v>
      </c>
      <c r="N791" s="13">
        <v>1</v>
      </c>
      <c r="O791" s="13"/>
      <c r="P791" s="33" t="str">
        <f t="shared" si="240"/>
        <v>MAIN UNIT</v>
      </c>
      <c r="Q791" s="13" t="s">
        <v>61</v>
      </c>
      <c r="R791" s="13" t="s">
        <v>62</v>
      </c>
      <c r="S791" s="13" t="s">
        <v>49</v>
      </c>
      <c r="T791" s="13" t="s">
        <v>78</v>
      </c>
      <c r="U791" s="13" t="s">
        <v>79</v>
      </c>
      <c r="V791" s="13" t="s">
        <v>311</v>
      </c>
      <c r="W791" s="13" t="s">
        <v>64</v>
      </c>
      <c r="X791" s="135">
        <v>1430000</v>
      </c>
      <c r="Y791" s="157" t="str">
        <f t="shared" ref="Y791:Y808" si="250">IF(W791="RMB","1.13", "1")</f>
        <v>1.13</v>
      </c>
      <c r="Z791" s="18">
        <f t="shared" si="234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35"/>
        <v>63006605.696460173</v>
      </c>
      <c r="AJ791" s="19">
        <f t="shared" si="236"/>
        <v>8897485.660753984</v>
      </c>
      <c r="AK791" s="20">
        <f t="shared" si="244"/>
        <v>0.141215124388995</v>
      </c>
      <c r="AL791" s="17"/>
      <c r="AM791" s="17"/>
      <c r="AN791" s="17"/>
      <c r="AO791" s="17"/>
      <c r="AP791" s="28" t="str">
        <f t="shared" si="245"/>
        <v>20215</v>
      </c>
      <c r="AQ791" s="28" t="str">
        <f t="shared" si="246"/>
        <v>20215RMB</v>
      </c>
      <c r="AR791" s="206" t="str">
        <f t="shared" si="247"/>
        <v>YAMAHA_Mounter</v>
      </c>
      <c r="AS791" s="22">
        <f t="shared" si="248"/>
        <v>4</v>
      </c>
      <c r="AT791" s="24" t="str">
        <f t="shared" si="249"/>
        <v>4-6 months</v>
      </c>
      <c r="AU791" s="22" t="s">
        <v>3744</v>
      </c>
    </row>
    <row r="792" spans="1:47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53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1710</v>
      </c>
      <c r="K792" s="155" t="s">
        <v>566</v>
      </c>
      <c r="L792" s="17" t="s">
        <v>293</v>
      </c>
      <c r="M792" s="13" t="s">
        <v>60</v>
      </c>
      <c r="N792" s="13">
        <v>1</v>
      </c>
      <c r="O792" s="13"/>
      <c r="P792" s="33" t="str">
        <f t="shared" si="240"/>
        <v>MAIN UNIT</v>
      </c>
      <c r="Q792" s="13" t="s">
        <v>61</v>
      </c>
      <c r="R792" s="13" t="s">
        <v>62</v>
      </c>
      <c r="S792" s="13" t="s">
        <v>49</v>
      </c>
      <c r="T792" s="13" t="s">
        <v>78</v>
      </c>
      <c r="U792" s="13" t="s">
        <v>79</v>
      </c>
      <c r="V792" s="13" t="s">
        <v>311</v>
      </c>
      <c r="W792" s="13" t="s">
        <v>64</v>
      </c>
      <c r="X792" s="135">
        <v>1430000</v>
      </c>
      <c r="Y792" s="157" t="str">
        <f t="shared" si="250"/>
        <v>1.13</v>
      </c>
      <c r="Z792" s="18">
        <f t="shared" si="234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35"/>
        <v>63006605.696460173</v>
      </c>
      <c r="AJ792" s="19">
        <f t="shared" si="236"/>
        <v>8897485.660753984</v>
      </c>
      <c r="AK792" s="20">
        <f t="shared" si="244"/>
        <v>0.141215124388995</v>
      </c>
      <c r="AL792" s="17"/>
      <c r="AM792" s="17"/>
      <c r="AN792" s="17"/>
      <c r="AO792" s="17"/>
      <c r="AP792" s="28" t="str">
        <f t="shared" si="245"/>
        <v>20215</v>
      </c>
      <c r="AQ792" s="28" t="str">
        <f t="shared" si="246"/>
        <v>20215RMB</v>
      </c>
      <c r="AR792" s="206" t="str">
        <f t="shared" si="247"/>
        <v>YAMAHA_Mounter</v>
      </c>
      <c r="AS792" s="22">
        <f t="shared" si="248"/>
        <v>4</v>
      </c>
      <c r="AT792" s="24" t="str">
        <f t="shared" si="249"/>
        <v>4-6 months</v>
      </c>
      <c r="AU792" s="22" t="s">
        <v>3744</v>
      </c>
    </row>
    <row r="793" spans="1:47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53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1710</v>
      </c>
      <c r="K793" s="155" t="s">
        <v>566</v>
      </c>
      <c r="L793" s="17" t="s">
        <v>293</v>
      </c>
      <c r="M793" s="13" t="s">
        <v>60</v>
      </c>
      <c r="N793" s="13">
        <v>1</v>
      </c>
      <c r="O793" s="13"/>
      <c r="P793" s="33" t="str">
        <f t="shared" si="240"/>
        <v>MAIN UNIT</v>
      </c>
      <c r="Q793" s="13" t="s">
        <v>61</v>
      </c>
      <c r="R793" s="13" t="s">
        <v>62</v>
      </c>
      <c r="S793" s="13" t="s">
        <v>49</v>
      </c>
      <c r="T793" s="13" t="s">
        <v>78</v>
      </c>
      <c r="U793" s="13" t="s">
        <v>79</v>
      </c>
      <c r="V793" s="13" t="s">
        <v>311</v>
      </c>
      <c r="W793" s="13" t="s">
        <v>64</v>
      </c>
      <c r="X793" s="135">
        <v>1430000</v>
      </c>
      <c r="Y793" s="157" t="str">
        <f t="shared" si="250"/>
        <v>1.13</v>
      </c>
      <c r="Z793" s="18">
        <f t="shared" si="234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35"/>
        <v>63006605.696460173</v>
      </c>
      <c r="AJ793" s="19">
        <f t="shared" si="236"/>
        <v>8897485.660753984</v>
      </c>
      <c r="AK793" s="20">
        <f t="shared" si="244"/>
        <v>0.141215124388995</v>
      </c>
      <c r="AL793" s="17"/>
      <c r="AM793" s="17"/>
      <c r="AN793" s="17"/>
      <c r="AO793" s="17"/>
      <c r="AP793" s="28" t="str">
        <f t="shared" si="245"/>
        <v>20215</v>
      </c>
      <c r="AQ793" s="28" t="str">
        <f t="shared" si="246"/>
        <v>20215RMB</v>
      </c>
      <c r="AR793" s="206" t="str">
        <f t="shared" si="247"/>
        <v>YAMAHA_Mounter</v>
      </c>
      <c r="AS793" s="22">
        <f t="shared" si="248"/>
        <v>4</v>
      </c>
      <c r="AT793" s="24" t="str">
        <f t="shared" si="249"/>
        <v>4-6 months</v>
      </c>
      <c r="AU793" s="22" t="s">
        <v>3744</v>
      </c>
    </row>
    <row r="794" spans="1:47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53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1710</v>
      </c>
      <c r="K794" s="155" t="s">
        <v>566</v>
      </c>
      <c r="L794" s="17" t="s">
        <v>293</v>
      </c>
      <c r="M794" s="13" t="s">
        <v>60</v>
      </c>
      <c r="N794" s="13">
        <v>1</v>
      </c>
      <c r="O794" s="13"/>
      <c r="P794" s="33" t="str">
        <f t="shared" si="240"/>
        <v>MAIN UNIT</v>
      </c>
      <c r="Q794" s="13" t="s">
        <v>61</v>
      </c>
      <c r="R794" s="13" t="s">
        <v>62</v>
      </c>
      <c r="S794" s="13" t="s">
        <v>49</v>
      </c>
      <c r="T794" s="13" t="s">
        <v>78</v>
      </c>
      <c r="U794" s="13" t="s">
        <v>79</v>
      </c>
      <c r="V794" s="13" t="s">
        <v>311</v>
      </c>
      <c r="W794" s="13" t="s">
        <v>64</v>
      </c>
      <c r="X794" s="135">
        <v>1430000</v>
      </c>
      <c r="Y794" s="157" t="str">
        <f t="shared" si="250"/>
        <v>1.13</v>
      </c>
      <c r="Z794" s="18">
        <f t="shared" si="234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35"/>
        <v>63006605.696460173</v>
      </c>
      <c r="AJ794" s="19">
        <f t="shared" si="236"/>
        <v>8897485.660753984</v>
      </c>
      <c r="AK794" s="20">
        <f t="shared" si="244"/>
        <v>0.141215124388995</v>
      </c>
      <c r="AL794" s="17"/>
      <c r="AM794" s="17"/>
      <c r="AN794" s="17"/>
      <c r="AO794" s="17"/>
      <c r="AP794" s="28" t="str">
        <f t="shared" si="245"/>
        <v>20215</v>
      </c>
      <c r="AQ794" s="28" t="str">
        <f t="shared" si="246"/>
        <v>20215RMB</v>
      </c>
      <c r="AR794" s="206" t="str">
        <f t="shared" si="247"/>
        <v>YAMAHA_Mounter</v>
      </c>
      <c r="AS794" s="22">
        <f t="shared" si="248"/>
        <v>4</v>
      </c>
      <c r="AT794" s="24" t="str">
        <f t="shared" si="249"/>
        <v>4-6 months</v>
      </c>
      <c r="AU794" s="22" t="s">
        <v>3744</v>
      </c>
    </row>
    <row r="795" spans="1:47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53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2127</v>
      </c>
      <c r="K795" s="155" t="s">
        <v>566</v>
      </c>
      <c r="L795" s="17" t="s">
        <v>293</v>
      </c>
      <c r="M795" s="13" t="s">
        <v>60</v>
      </c>
      <c r="N795" s="13">
        <v>1</v>
      </c>
      <c r="O795" s="13"/>
      <c r="P795" s="33" t="str">
        <f t="shared" si="240"/>
        <v>MAIN UNIT</v>
      </c>
      <c r="Q795" s="13" t="s">
        <v>61</v>
      </c>
      <c r="R795" s="13" t="s">
        <v>62</v>
      </c>
      <c r="S795" s="13" t="s">
        <v>49</v>
      </c>
      <c r="T795" s="13" t="s">
        <v>78</v>
      </c>
      <c r="U795" s="13" t="s">
        <v>79</v>
      </c>
      <c r="V795" s="13" t="s">
        <v>311</v>
      </c>
      <c r="W795" s="13" t="s">
        <v>64</v>
      </c>
      <c r="X795" s="135">
        <v>1300000</v>
      </c>
      <c r="Y795" s="157" t="str">
        <f t="shared" si="250"/>
        <v>1.13</v>
      </c>
      <c r="Z795" s="18">
        <f t="shared" si="234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35"/>
        <v>31750699.113741599</v>
      </c>
      <c r="AJ795" s="19">
        <f t="shared" si="236"/>
        <v>4396077.3195289988</v>
      </c>
      <c r="AK795" s="20">
        <f t="shared" si="244"/>
        <v>0.13845607946397598</v>
      </c>
      <c r="AL795" s="17"/>
      <c r="AM795" s="17"/>
      <c r="AN795" s="17"/>
      <c r="AO795" s="17"/>
      <c r="AP795" s="28" t="str">
        <f t="shared" si="245"/>
        <v>20222</v>
      </c>
      <c r="AQ795" s="28" t="str">
        <f t="shared" si="246"/>
        <v>20222RMB</v>
      </c>
      <c r="AR795" s="206" t="str">
        <f t="shared" si="247"/>
        <v>YAMAHA_Mounter</v>
      </c>
      <c r="AS795" s="22">
        <f t="shared" si="248"/>
        <v>1</v>
      </c>
      <c r="AT795" s="24" t="str">
        <f t="shared" si="249"/>
        <v>0-3 months</v>
      </c>
      <c r="AU795" s="22" t="s">
        <v>3751</v>
      </c>
    </row>
    <row r="796" spans="1:47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53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2127</v>
      </c>
      <c r="K796" s="155" t="s">
        <v>566</v>
      </c>
      <c r="L796" s="17" t="s">
        <v>293</v>
      </c>
      <c r="M796" s="13" t="s">
        <v>60</v>
      </c>
      <c r="N796" s="13">
        <v>1</v>
      </c>
      <c r="O796" s="13"/>
      <c r="P796" s="33" t="str">
        <f t="shared" si="240"/>
        <v>MAIN UNIT</v>
      </c>
      <c r="Q796" s="13" t="s">
        <v>61</v>
      </c>
      <c r="R796" s="13" t="s">
        <v>62</v>
      </c>
      <c r="S796" s="13" t="s">
        <v>49</v>
      </c>
      <c r="T796" s="13" t="s">
        <v>78</v>
      </c>
      <c r="U796" s="13" t="s">
        <v>79</v>
      </c>
      <c r="V796" s="13" t="s">
        <v>311</v>
      </c>
      <c r="W796" s="13" t="s">
        <v>64</v>
      </c>
      <c r="X796" s="135">
        <v>1300000</v>
      </c>
      <c r="Y796" s="157" t="str">
        <f t="shared" si="250"/>
        <v>1.13</v>
      </c>
      <c r="Z796" s="18">
        <f t="shared" si="234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35"/>
        <v>31750699.113741599</v>
      </c>
      <c r="AJ796" s="19">
        <f t="shared" si="236"/>
        <v>4396077.3195289988</v>
      </c>
      <c r="AK796" s="20">
        <f t="shared" si="244"/>
        <v>0.13845607946397598</v>
      </c>
      <c r="AL796" s="17"/>
      <c r="AM796" s="17"/>
      <c r="AN796" s="17"/>
      <c r="AO796" s="17"/>
      <c r="AP796" s="28" t="str">
        <f t="shared" si="245"/>
        <v>20222</v>
      </c>
      <c r="AQ796" s="28" t="str">
        <f t="shared" si="246"/>
        <v>20222RMB</v>
      </c>
      <c r="AR796" s="206" t="str">
        <f t="shared" si="247"/>
        <v>YAMAHA_Mounter</v>
      </c>
      <c r="AS796" s="22">
        <f t="shared" si="248"/>
        <v>1</v>
      </c>
      <c r="AT796" s="24" t="str">
        <f t="shared" si="249"/>
        <v>0-3 months</v>
      </c>
      <c r="AU796" s="22" t="s">
        <v>3751</v>
      </c>
    </row>
    <row r="797" spans="1:47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53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2127</v>
      </c>
      <c r="K797" s="155" t="s">
        <v>566</v>
      </c>
      <c r="L797" s="17" t="s">
        <v>293</v>
      </c>
      <c r="M797" s="13" t="s">
        <v>60</v>
      </c>
      <c r="N797" s="13">
        <v>1</v>
      </c>
      <c r="O797" s="13"/>
      <c r="P797" s="33" t="str">
        <f t="shared" si="240"/>
        <v>MAIN UNIT</v>
      </c>
      <c r="Q797" s="13" t="s">
        <v>61</v>
      </c>
      <c r="R797" s="13" t="s">
        <v>62</v>
      </c>
      <c r="S797" s="13" t="s">
        <v>49</v>
      </c>
      <c r="T797" s="13" t="s">
        <v>78</v>
      </c>
      <c r="U797" s="13" t="s">
        <v>79</v>
      </c>
      <c r="V797" s="13" t="s">
        <v>311</v>
      </c>
      <c r="W797" s="13" t="s">
        <v>64</v>
      </c>
      <c r="X797" s="135">
        <v>1300000</v>
      </c>
      <c r="Y797" s="157" t="str">
        <f t="shared" si="250"/>
        <v>1.13</v>
      </c>
      <c r="Z797" s="18">
        <f t="shared" si="234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35"/>
        <v>31750699.113741599</v>
      </c>
      <c r="AJ797" s="19">
        <f t="shared" si="236"/>
        <v>4396077.3195289988</v>
      </c>
      <c r="AK797" s="20">
        <f t="shared" si="244"/>
        <v>0.13845607946397598</v>
      </c>
      <c r="AL797" s="17"/>
      <c r="AM797" s="17"/>
      <c r="AN797" s="17"/>
      <c r="AO797" s="17"/>
      <c r="AP797" s="28" t="str">
        <f t="shared" si="245"/>
        <v>20222</v>
      </c>
      <c r="AQ797" s="28" t="str">
        <f t="shared" si="246"/>
        <v>20222RMB</v>
      </c>
      <c r="AR797" s="206" t="str">
        <f t="shared" si="247"/>
        <v>YAMAHA_Mounter</v>
      </c>
      <c r="AS797" s="22">
        <f t="shared" si="248"/>
        <v>1</v>
      </c>
      <c r="AT797" s="24" t="str">
        <f t="shared" si="249"/>
        <v>0-3 months</v>
      </c>
      <c r="AU797" s="22" t="s">
        <v>3751</v>
      </c>
    </row>
    <row r="798" spans="1:47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53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2127</v>
      </c>
      <c r="K798" s="155" t="s">
        <v>566</v>
      </c>
      <c r="L798" s="17" t="s">
        <v>293</v>
      </c>
      <c r="M798" s="13" t="s">
        <v>60</v>
      </c>
      <c r="N798" s="13">
        <v>1</v>
      </c>
      <c r="O798" s="13"/>
      <c r="P798" s="33" t="str">
        <f t="shared" si="240"/>
        <v>MAIN UNIT</v>
      </c>
      <c r="Q798" s="13" t="s">
        <v>61</v>
      </c>
      <c r="R798" s="13" t="s">
        <v>62</v>
      </c>
      <c r="S798" s="13" t="s">
        <v>49</v>
      </c>
      <c r="T798" s="13" t="s">
        <v>78</v>
      </c>
      <c r="U798" s="13" t="s">
        <v>79</v>
      </c>
      <c r="V798" s="13" t="s">
        <v>311</v>
      </c>
      <c r="W798" s="13" t="s">
        <v>64</v>
      </c>
      <c r="X798" s="135">
        <v>1300000</v>
      </c>
      <c r="Y798" s="157" t="str">
        <f t="shared" si="250"/>
        <v>1.13</v>
      </c>
      <c r="Z798" s="18">
        <f t="shared" si="234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35"/>
        <v>31750699.113741599</v>
      </c>
      <c r="AJ798" s="19">
        <f t="shared" si="236"/>
        <v>4396077.3195289988</v>
      </c>
      <c r="AK798" s="20">
        <f t="shared" si="244"/>
        <v>0.13845607946397598</v>
      </c>
      <c r="AL798" s="17"/>
      <c r="AM798" s="17"/>
      <c r="AN798" s="17"/>
      <c r="AO798" s="17"/>
      <c r="AP798" s="28" t="str">
        <f t="shared" si="245"/>
        <v>20222</v>
      </c>
      <c r="AQ798" s="28" t="str">
        <f t="shared" si="246"/>
        <v>20222RMB</v>
      </c>
      <c r="AR798" s="206" t="str">
        <f t="shared" si="247"/>
        <v>YAMAHA_Mounter</v>
      </c>
      <c r="AS798" s="22">
        <f t="shared" si="248"/>
        <v>1</v>
      </c>
      <c r="AT798" s="24" t="str">
        <f t="shared" si="249"/>
        <v>0-3 months</v>
      </c>
      <c r="AU798" s="22" t="s">
        <v>3751</v>
      </c>
    </row>
    <row r="799" spans="1:47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53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2127</v>
      </c>
      <c r="K799" s="155" t="s">
        <v>566</v>
      </c>
      <c r="L799" s="17" t="s">
        <v>293</v>
      </c>
      <c r="M799" s="13" t="s">
        <v>60</v>
      </c>
      <c r="N799" s="13">
        <v>1</v>
      </c>
      <c r="O799" s="13"/>
      <c r="P799" s="33" t="str">
        <f t="shared" si="240"/>
        <v>MAIN UNIT</v>
      </c>
      <c r="Q799" s="13" t="s">
        <v>61</v>
      </c>
      <c r="R799" s="13" t="s">
        <v>62</v>
      </c>
      <c r="S799" s="13" t="s">
        <v>49</v>
      </c>
      <c r="T799" s="13" t="s">
        <v>78</v>
      </c>
      <c r="U799" s="13" t="s">
        <v>79</v>
      </c>
      <c r="V799" s="13" t="s">
        <v>311</v>
      </c>
      <c r="W799" s="13" t="s">
        <v>64</v>
      </c>
      <c r="X799" s="135">
        <v>1300000</v>
      </c>
      <c r="Y799" s="157" t="str">
        <f t="shared" si="250"/>
        <v>1.13</v>
      </c>
      <c r="Z799" s="18">
        <f t="shared" si="234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35"/>
        <v>31750699.113741599</v>
      </c>
      <c r="AJ799" s="19">
        <f t="shared" si="236"/>
        <v>4396077.3195289988</v>
      </c>
      <c r="AK799" s="20">
        <f t="shared" si="244"/>
        <v>0.13845607946397598</v>
      </c>
      <c r="AL799" s="17"/>
      <c r="AM799" s="17"/>
      <c r="AN799" s="17"/>
      <c r="AO799" s="17"/>
      <c r="AP799" s="28" t="str">
        <f t="shared" si="245"/>
        <v>20222</v>
      </c>
      <c r="AQ799" s="28" t="str">
        <f t="shared" si="246"/>
        <v>20222RMB</v>
      </c>
      <c r="AR799" s="206" t="str">
        <f t="shared" si="247"/>
        <v>YAMAHA_Mounter</v>
      </c>
      <c r="AS799" s="22">
        <f t="shared" si="248"/>
        <v>1</v>
      </c>
      <c r="AT799" s="24" t="str">
        <f t="shared" si="249"/>
        <v>0-3 months</v>
      </c>
      <c r="AU799" s="22" t="s">
        <v>3751</v>
      </c>
    </row>
    <row r="800" spans="1:47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54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2397</v>
      </c>
      <c r="K800" s="155" t="s">
        <v>566</v>
      </c>
      <c r="L800" s="17" t="s">
        <v>293</v>
      </c>
      <c r="M800" s="13" t="s">
        <v>60</v>
      </c>
      <c r="N800" s="13">
        <v>1</v>
      </c>
      <c r="O800" s="13"/>
      <c r="P800" s="33" t="str">
        <f t="shared" si="240"/>
        <v>MAIN UNIT</v>
      </c>
      <c r="Q800" s="13" t="s">
        <v>61</v>
      </c>
      <c r="R800" s="13" t="s">
        <v>62</v>
      </c>
      <c r="S800" s="13" t="s">
        <v>49</v>
      </c>
      <c r="T800" s="13" t="s">
        <v>78</v>
      </c>
      <c r="U800" s="13" t="s">
        <v>79</v>
      </c>
      <c r="V800" s="13" t="s">
        <v>311</v>
      </c>
      <c r="W800" s="13" t="s">
        <v>64</v>
      </c>
      <c r="X800" s="135">
        <v>1140000</v>
      </c>
      <c r="Y800" s="157" t="str">
        <f t="shared" si="250"/>
        <v>1.13</v>
      </c>
      <c r="Z800" s="18">
        <f t="shared" si="234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35"/>
        <v>17329060.066371687</v>
      </c>
      <c r="AJ800" s="19">
        <f t="shared" si="236"/>
        <v>2472600.2142256643</v>
      </c>
      <c r="AK800" s="20">
        <f t="shared" si="244"/>
        <v>0.14268518919984163</v>
      </c>
      <c r="AL800" s="17"/>
      <c r="AM800" s="17"/>
      <c r="AN800" s="17"/>
      <c r="AO800" s="17"/>
      <c r="AP800" s="28" t="str">
        <f t="shared" si="245"/>
        <v>202212</v>
      </c>
      <c r="AQ800" s="28" t="str">
        <f t="shared" si="246"/>
        <v>202212RMB</v>
      </c>
      <c r="AR800" s="206" t="str">
        <f t="shared" si="247"/>
        <v>YAMAHA_Mounter</v>
      </c>
      <c r="AS800" s="22">
        <f t="shared" si="248"/>
        <v>0</v>
      </c>
      <c r="AT800" s="24" t="str">
        <f t="shared" si="249"/>
        <v>0-3 months</v>
      </c>
      <c r="AU800" s="22" t="s">
        <v>3751</v>
      </c>
    </row>
    <row r="801" spans="1:47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54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2397</v>
      </c>
      <c r="K801" s="155" t="s">
        <v>566</v>
      </c>
      <c r="L801" s="17" t="s">
        <v>293</v>
      </c>
      <c r="M801" s="13" t="s">
        <v>60</v>
      </c>
      <c r="N801" s="13">
        <v>1</v>
      </c>
      <c r="O801" s="13"/>
      <c r="P801" s="33" t="str">
        <f t="shared" si="240"/>
        <v>MAIN UNIT</v>
      </c>
      <c r="Q801" s="13" t="s">
        <v>61</v>
      </c>
      <c r="R801" s="13" t="s">
        <v>62</v>
      </c>
      <c r="S801" s="13" t="s">
        <v>49</v>
      </c>
      <c r="T801" s="13" t="s">
        <v>78</v>
      </c>
      <c r="U801" s="13" t="s">
        <v>79</v>
      </c>
      <c r="V801" s="13" t="s">
        <v>311</v>
      </c>
      <c r="W801" s="13" t="s">
        <v>64</v>
      </c>
      <c r="X801" s="135">
        <v>1140000</v>
      </c>
      <c r="Y801" s="157" t="str">
        <f t="shared" si="250"/>
        <v>1.13</v>
      </c>
      <c r="Z801" s="18">
        <f t="shared" si="234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35"/>
        <v>17329060.066371687</v>
      </c>
      <c r="AJ801" s="19">
        <f t="shared" si="236"/>
        <v>2472600.2142256643</v>
      </c>
      <c r="AK801" s="20">
        <f t="shared" si="244"/>
        <v>0.14268518919984163</v>
      </c>
      <c r="AL801" s="17"/>
      <c r="AM801" s="17"/>
      <c r="AN801" s="17"/>
      <c r="AO801" s="17"/>
      <c r="AP801" s="28" t="str">
        <f t="shared" si="245"/>
        <v>202212</v>
      </c>
      <c r="AQ801" s="28" t="str">
        <f t="shared" si="246"/>
        <v>202212RMB</v>
      </c>
      <c r="AR801" s="206" t="str">
        <f t="shared" si="247"/>
        <v>YAMAHA_Mounter</v>
      </c>
      <c r="AS801" s="22">
        <f t="shared" si="248"/>
        <v>0</v>
      </c>
      <c r="AT801" s="24" t="str">
        <f t="shared" si="249"/>
        <v>0-3 months</v>
      </c>
      <c r="AU801" s="22" t="s">
        <v>3751</v>
      </c>
    </row>
    <row r="802" spans="1:47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54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2397</v>
      </c>
      <c r="K802" s="155" t="s">
        <v>566</v>
      </c>
      <c r="L802" s="17" t="s">
        <v>293</v>
      </c>
      <c r="M802" s="13" t="s">
        <v>60</v>
      </c>
      <c r="N802" s="13">
        <v>1</v>
      </c>
      <c r="O802" s="13"/>
      <c r="P802" s="33" t="str">
        <f t="shared" si="240"/>
        <v>MAIN UNIT</v>
      </c>
      <c r="Q802" s="13" t="s">
        <v>61</v>
      </c>
      <c r="R802" s="13" t="s">
        <v>62</v>
      </c>
      <c r="S802" s="13" t="s">
        <v>49</v>
      </c>
      <c r="T802" s="13" t="s">
        <v>78</v>
      </c>
      <c r="U802" s="13" t="s">
        <v>79</v>
      </c>
      <c r="V802" s="13" t="s">
        <v>311</v>
      </c>
      <c r="W802" s="13" t="s">
        <v>64</v>
      </c>
      <c r="X802" s="135">
        <v>1140000</v>
      </c>
      <c r="Y802" s="157" t="str">
        <f t="shared" si="250"/>
        <v>1.13</v>
      </c>
      <c r="Z802" s="18">
        <f t="shared" si="234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35"/>
        <v>17329060.066371687</v>
      </c>
      <c r="AJ802" s="19">
        <f t="shared" si="236"/>
        <v>2472600.2142256643</v>
      </c>
      <c r="AK802" s="20">
        <f t="shared" si="244"/>
        <v>0.14268518919984163</v>
      </c>
      <c r="AL802" s="17"/>
      <c r="AM802" s="17"/>
      <c r="AN802" s="17"/>
      <c r="AO802" s="17"/>
      <c r="AP802" s="28" t="str">
        <f t="shared" si="245"/>
        <v>202212</v>
      </c>
      <c r="AQ802" s="28" t="str">
        <f t="shared" si="246"/>
        <v>202212RMB</v>
      </c>
      <c r="AR802" s="206" t="str">
        <f t="shared" si="247"/>
        <v>YAMAHA_Mounter</v>
      </c>
      <c r="AS802" s="22">
        <f t="shared" si="248"/>
        <v>0</v>
      </c>
      <c r="AT802" s="24" t="str">
        <f t="shared" si="249"/>
        <v>0-3 months</v>
      </c>
      <c r="AU802" s="22" t="s">
        <v>3751</v>
      </c>
    </row>
    <row r="803" spans="1:47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55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2464</v>
      </c>
      <c r="K803" s="155" t="s">
        <v>566</v>
      </c>
      <c r="L803" s="17" t="s">
        <v>293</v>
      </c>
      <c r="M803" s="13" t="s">
        <v>60</v>
      </c>
      <c r="N803" s="13">
        <v>1</v>
      </c>
      <c r="O803" s="13"/>
      <c r="P803" s="33" t="str">
        <f t="shared" si="240"/>
        <v>MAIN UNIT</v>
      </c>
      <c r="Q803" s="13" t="s">
        <v>61</v>
      </c>
      <c r="R803" s="13" t="s">
        <v>62</v>
      </c>
      <c r="S803" s="13" t="s">
        <v>49</v>
      </c>
      <c r="T803" s="13" t="s">
        <v>78</v>
      </c>
      <c r="U803" s="13" t="s">
        <v>79</v>
      </c>
      <c r="V803" s="13" t="s">
        <v>311</v>
      </c>
      <c r="W803" s="13" t="s">
        <v>64</v>
      </c>
      <c r="X803" s="135">
        <v>1210000</v>
      </c>
      <c r="Y803" s="157" t="str">
        <f t="shared" si="250"/>
        <v>1.13</v>
      </c>
      <c r="Z803" s="18">
        <f t="shared" si="234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35"/>
        <v>30573205.452778768</v>
      </c>
      <c r="AJ803" s="19">
        <f t="shared" si="236"/>
        <v>3790930.1683151261</v>
      </c>
      <c r="AK803" s="20">
        <f t="shared" si="244"/>
        <v>0.12399518179964254</v>
      </c>
      <c r="AL803" s="17"/>
      <c r="AM803" s="17"/>
      <c r="AN803" s="17"/>
      <c r="AO803" s="17"/>
      <c r="AP803" s="28" t="str">
        <f t="shared" si="245"/>
        <v>20234</v>
      </c>
      <c r="AQ803" s="28" t="str">
        <f t="shared" si="246"/>
        <v>20234RMB</v>
      </c>
      <c r="AR803" s="206" t="str">
        <f t="shared" si="247"/>
        <v>YAMAHA_Mounter</v>
      </c>
      <c r="AS803" s="22">
        <f t="shared" si="248"/>
        <v>2</v>
      </c>
      <c r="AT803" s="24" t="str">
        <f t="shared" si="249"/>
        <v>0-3 months</v>
      </c>
      <c r="AU803" s="22" t="s">
        <v>3751</v>
      </c>
    </row>
    <row r="804" spans="1:47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55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2464</v>
      </c>
      <c r="K804" s="155" t="s">
        <v>566</v>
      </c>
      <c r="L804" s="17" t="s">
        <v>293</v>
      </c>
      <c r="M804" s="13" t="s">
        <v>60</v>
      </c>
      <c r="N804" s="13">
        <v>1</v>
      </c>
      <c r="O804" s="13"/>
      <c r="P804" s="33" t="str">
        <f t="shared" si="240"/>
        <v>MAIN UNIT</v>
      </c>
      <c r="Q804" s="13" t="s">
        <v>61</v>
      </c>
      <c r="R804" s="13" t="s">
        <v>62</v>
      </c>
      <c r="S804" s="13" t="s">
        <v>49</v>
      </c>
      <c r="T804" s="13" t="s">
        <v>78</v>
      </c>
      <c r="U804" s="13" t="s">
        <v>79</v>
      </c>
      <c r="V804" s="13" t="s">
        <v>311</v>
      </c>
      <c r="W804" s="13" t="s">
        <v>64</v>
      </c>
      <c r="X804" s="135">
        <v>1210000</v>
      </c>
      <c r="Y804" s="157" t="str">
        <f t="shared" si="250"/>
        <v>1.13</v>
      </c>
      <c r="Z804" s="18">
        <f t="shared" si="234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35"/>
        <v>30573205.452778768</v>
      </c>
      <c r="AJ804" s="19">
        <f t="shared" si="236"/>
        <v>3790930.1683151261</v>
      </c>
      <c r="AK804" s="20">
        <f t="shared" si="244"/>
        <v>0.12399518179964254</v>
      </c>
      <c r="AL804" s="17"/>
      <c r="AM804" s="17"/>
      <c r="AN804" s="17"/>
      <c r="AO804" s="17"/>
      <c r="AP804" s="28" t="str">
        <f t="shared" si="245"/>
        <v>20234</v>
      </c>
      <c r="AQ804" s="28" t="str">
        <f t="shared" si="246"/>
        <v>20234RMB</v>
      </c>
      <c r="AR804" s="206" t="str">
        <f t="shared" si="247"/>
        <v>YAMAHA_Mounter</v>
      </c>
      <c r="AS804" s="22">
        <f t="shared" si="248"/>
        <v>2</v>
      </c>
      <c r="AT804" s="24" t="str">
        <f t="shared" si="249"/>
        <v>0-3 months</v>
      </c>
      <c r="AU804" s="22" t="s">
        <v>3751</v>
      </c>
    </row>
    <row r="805" spans="1:47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55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2464</v>
      </c>
      <c r="K805" s="155" t="s">
        <v>566</v>
      </c>
      <c r="L805" s="17" t="s">
        <v>293</v>
      </c>
      <c r="M805" s="13" t="s">
        <v>60</v>
      </c>
      <c r="N805" s="13">
        <v>1</v>
      </c>
      <c r="O805" s="13"/>
      <c r="P805" s="33" t="str">
        <f t="shared" si="240"/>
        <v>MAIN UNIT</v>
      </c>
      <c r="Q805" s="13" t="s">
        <v>61</v>
      </c>
      <c r="R805" s="13" t="s">
        <v>62</v>
      </c>
      <c r="S805" s="13" t="s">
        <v>49</v>
      </c>
      <c r="T805" s="13" t="s">
        <v>78</v>
      </c>
      <c r="U805" s="13" t="s">
        <v>79</v>
      </c>
      <c r="V805" s="13" t="s">
        <v>311</v>
      </c>
      <c r="W805" s="13" t="s">
        <v>64</v>
      </c>
      <c r="X805" s="135">
        <v>1210000</v>
      </c>
      <c r="Y805" s="157" t="str">
        <f t="shared" si="250"/>
        <v>1.13</v>
      </c>
      <c r="Z805" s="18">
        <f t="shared" si="234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35"/>
        <v>30573205.452778768</v>
      </c>
      <c r="AJ805" s="19">
        <f t="shared" si="236"/>
        <v>3790930.1683151261</v>
      </c>
      <c r="AK805" s="20">
        <f t="shared" si="244"/>
        <v>0.12399518179964254</v>
      </c>
      <c r="AL805" s="17"/>
      <c r="AM805" s="17"/>
      <c r="AN805" s="17"/>
      <c r="AO805" s="17"/>
      <c r="AP805" s="28" t="str">
        <f t="shared" si="245"/>
        <v>20234</v>
      </c>
      <c r="AQ805" s="28" t="str">
        <f t="shared" si="246"/>
        <v>20234RMB</v>
      </c>
      <c r="AR805" s="206" t="str">
        <f t="shared" si="247"/>
        <v>YAMAHA_Mounter</v>
      </c>
      <c r="AS805" s="22">
        <f t="shared" si="248"/>
        <v>2</v>
      </c>
      <c r="AT805" s="24" t="str">
        <f t="shared" si="249"/>
        <v>0-3 months</v>
      </c>
      <c r="AU805" s="22" t="s">
        <v>3751</v>
      </c>
    </row>
    <row r="806" spans="1:47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55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2464</v>
      </c>
      <c r="K806" s="155" t="s">
        <v>566</v>
      </c>
      <c r="L806" s="17" t="s">
        <v>293</v>
      </c>
      <c r="M806" s="13" t="s">
        <v>60</v>
      </c>
      <c r="N806" s="13">
        <v>1</v>
      </c>
      <c r="O806" s="13"/>
      <c r="P806" s="33" t="str">
        <f t="shared" si="240"/>
        <v>MAIN UNIT</v>
      </c>
      <c r="Q806" s="13" t="s">
        <v>61</v>
      </c>
      <c r="R806" s="13" t="s">
        <v>62</v>
      </c>
      <c r="S806" s="13" t="s">
        <v>49</v>
      </c>
      <c r="T806" s="13" t="s">
        <v>78</v>
      </c>
      <c r="U806" s="13" t="s">
        <v>79</v>
      </c>
      <c r="V806" s="13" t="s">
        <v>311</v>
      </c>
      <c r="W806" s="13" t="s">
        <v>64</v>
      </c>
      <c r="X806" s="135">
        <v>1210000</v>
      </c>
      <c r="Y806" s="157" t="str">
        <f t="shared" si="250"/>
        <v>1.13</v>
      </c>
      <c r="Z806" s="18">
        <f t="shared" si="234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35"/>
        <v>30573205.452778768</v>
      </c>
      <c r="AJ806" s="19">
        <f t="shared" si="236"/>
        <v>3790930.1683151261</v>
      </c>
      <c r="AK806" s="20">
        <f t="shared" si="244"/>
        <v>0.12399518179964254</v>
      </c>
      <c r="AL806" s="17"/>
      <c r="AM806" s="17"/>
      <c r="AN806" s="17"/>
      <c r="AO806" s="17"/>
      <c r="AP806" s="28" t="str">
        <f t="shared" si="245"/>
        <v>20234</v>
      </c>
      <c r="AQ806" s="28" t="str">
        <f t="shared" si="246"/>
        <v>20234RMB</v>
      </c>
      <c r="AR806" s="206" t="str">
        <f t="shared" si="247"/>
        <v>YAMAHA_Mounter</v>
      </c>
      <c r="AS806" s="22">
        <f t="shared" si="248"/>
        <v>2</v>
      </c>
      <c r="AT806" s="24" t="str">
        <f t="shared" si="249"/>
        <v>0-3 months</v>
      </c>
      <c r="AU806" s="22" t="s">
        <v>3751</v>
      </c>
    </row>
    <row r="807" spans="1:47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55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2493</v>
      </c>
      <c r="K807" s="155" t="s">
        <v>566</v>
      </c>
      <c r="L807" s="17" t="s">
        <v>293</v>
      </c>
      <c r="M807" s="13" t="s">
        <v>60</v>
      </c>
      <c r="N807" s="13">
        <v>1</v>
      </c>
      <c r="O807" s="13"/>
      <c r="P807" s="33" t="str">
        <f t="shared" si="240"/>
        <v>MAIN UNIT</v>
      </c>
      <c r="Q807" s="13" t="s">
        <v>61</v>
      </c>
      <c r="R807" s="13" t="s">
        <v>62</v>
      </c>
      <c r="S807" s="13" t="s">
        <v>49</v>
      </c>
      <c r="T807" s="13" t="s">
        <v>78</v>
      </c>
      <c r="U807" s="13" t="s">
        <v>79</v>
      </c>
      <c r="V807" s="13" t="s">
        <v>311</v>
      </c>
      <c r="W807" s="13" t="s">
        <v>64</v>
      </c>
      <c r="X807" s="135">
        <v>1170000</v>
      </c>
      <c r="Y807" s="157" t="str">
        <f t="shared" si="250"/>
        <v>1.13</v>
      </c>
      <c r="Z807" s="18">
        <f t="shared" si="234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35"/>
        <v>28177779.013274338</v>
      </c>
      <c r="AJ807" s="19">
        <f t="shared" si="236"/>
        <v>4727216.6376190251</v>
      </c>
      <c r="AK807" s="20">
        <f t="shared" si="244"/>
        <v>0.1677639900359808</v>
      </c>
      <c r="AL807" s="17"/>
      <c r="AM807" s="17"/>
      <c r="AN807" s="17"/>
      <c r="AO807" s="17"/>
      <c r="AP807" s="28" t="str">
        <f t="shared" si="245"/>
        <v>20235</v>
      </c>
      <c r="AQ807" s="28" t="str">
        <f t="shared" si="246"/>
        <v>20235RMB</v>
      </c>
      <c r="AR807" s="206" t="str">
        <f t="shared" si="247"/>
        <v>YAMAHA_Mounter</v>
      </c>
      <c r="AS807" s="22">
        <f t="shared" si="248"/>
        <v>2</v>
      </c>
      <c r="AT807" s="24" t="str">
        <f t="shared" si="249"/>
        <v>0-3 months</v>
      </c>
      <c r="AU807" s="22" t="s">
        <v>3751</v>
      </c>
    </row>
    <row r="808" spans="1:47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55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2493</v>
      </c>
      <c r="K808" s="155" t="s">
        <v>566</v>
      </c>
      <c r="L808" s="17" t="s">
        <v>293</v>
      </c>
      <c r="M808" s="13" t="s">
        <v>60</v>
      </c>
      <c r="N808" s="13">
        <v>1</v>
      </c>
      <c r="O808" s="13"/>
      <c r="P808" s="33" t="str">
        <f t="shared" si="240"/>
        <v>MAIN UNIT</v>
      </c>
      <c r="Q808" s="13" t="s">
        <v>61</v>
      </c>
      <c r="R808" s="13" t="s">
        <v>62</v>
      </c>
      <c r="S808" s="13" t="s">
        <v>49</v>
      </c>
      <c r="T808" s="13" t="s">
        <v>78</v>
      </c>
      <c r="U808" s="13" t="s">
        <v>79</v>
      </c>
      <c r="V808" s="13" t="s">
        <v>311</v>
      </c>
      <c r="W808" s="13" t="s">
        <v>64</v>
      </c>
      <c r="X808" s="135">
        <v>1170000</v>
      </c>
      <c r="Y808" s="157" t="str">
        <f t="shared" si="250"/>
        <v>1.13</v>
      </c>
      <c r="Z808" s="18">
        <f t="shared" si="234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35"/>
        <v>28177779.013274338</v>
      </c>
      <c r="AJ808" s="19">
        <f t="shared" si="236"/>
        <v>4727216.6376190251</v>
      </c>
      <c r="AK808" s="20">
        <f t="shared" si="244"/>
        <v>0.1677639900359808</v>
      </c>
      <c r="AL808" s="17"/>
      <c r="AM808" s="17"/>
      <c r="AN808" s="17"/>
      <c r="AO808" s="17"/>
      <c r="AP808" s="28" t="str">
        <f t="shared" si="245"/>
        <v>20235</v>
      </c>
      <c r="AQ808" s="28" t="str">
        <f t="shared" si="246"/>
        <v>20235RMB</v>
      </c>
      <c r="AR808" s="206" t="str">
        <f t="shared" si="247"/>
        <v>YAMAHA_Mounter</v>
      </c>
      <c r="AS808" s="22">
        <f t="shared" si="248"/>
        <v>2</v>
      </c>
      <c r="AT808" s="24" t="str">
        <f t="shared" si="249"/>
        <v>0-3 months</v>
      </c>
      <c r="AU808" s="22" t="s">
        <v>3751</v>
      </c>
    </row>
    <row r="809" spans="1:47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41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2838</v>
      </c>
      <c r="K809" s="155" t="s">
        <v>2839</v>
      </c>
      <c r="L809" s="17" t="s">
        <v>2788</v>
      </c>
      <c r="M809" s="13" t="s">
        <v>2607</v>
      </c>
      <c r="N809" s="13">
        <v>1</v>
      </c>
      <c r="O809" s="13"/>
      <c r="P809" s="33" t="str">
        <f t="shared" si="240"/>
        <v>MAIN UNIT</v>
      </c>
      <c r="Q809" s="13" t="s">
        <v>61</v>
      </c>
      <c r="R809" s="13" t="s">
        <v>2055</v>
      </c>
      <c r="S809" s="13" t="s">
        <v>49</v>
      </c>
      <c r="T809" s="13" t="s">
        <v>249</v>
      </c>
      <c r="U809" s="13" t="s">
        <v>79</v>
      </c>
      <c r="V809" s="13" t="s">
        <v>2779</v>
      </c>
      <c r="W809" s="13" t="s">
        <v>64</v>
      </c>
      <c r="X809" s="135">
        <v>310000</v>
      </c>
      <c r="Y809" s="156">
        <v>1.1599999999999999</v>
      </c>
      <c r="Z809" s="18">
        <f t="shared" si="234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35"/>
        <v>29840797.698275864</v>
      </c>
      <c r="AJ809" s="19">
        <f t="shared" si="236"/>
        <v>3940167.6555448272</v>
      </c>
      <c r="AK809" s="20">
        <f t="shared" si="244"/>
        <v>0.13203962224416277</v>
      </c>
      <c r="AL809" s="17"/>
      <c r="AM809" s="17"/>
      <c r="AN809" s="17"/>
      <c r="AO809" s="17"/>
      <c r="AP809" s="28" t="str">
        <f t="shared" si="245"/>
        <v>201812</v>
      </c>
      <c r="AQ809" s="28" t="str">
        <f t="shared" si="246"/>
        <v>201812RMB</v>
      </c>
      <c r="AR809" s="206" t="str">
        <f t="shared" si="247"/>
        <v>HELLER</v>
      </c>
      <c r="AS809" s="22">
        <f t="shared" si="248"/>
        <v>1</v>
      </c>
      <c r="AT809" s="24" t="str">
        <f t="shared" si="249"/>
        <v>0-3 months</v>
      </c>
      <c r="AU809" s="22" t="s">
        <v>3744</v>
      </c>
    </row>
    <row r="810" spans="1:47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53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1889</v>
      </c>
      <c r="K810" s="155" t="s">
        <v>1890</v>
      </c>
      <c r="L810" s="17" t="s">
        <v>92</v>
      </c>
      <c r="M810" s="13" t="s">
        <v>60</v>
      </c>
      <c r="N810" s="13">
        <v>1</v>
      </c>
      <c r="O810" s="13"/>
      <c r="P810" s="33" t="str">
        <f t="shared" si="240"/>
        <v>MAIN UNIT</v>
      </c>
      <c r="Q810" s="13" t="s">
        <v>61</v>
      </c>
      <c r="R810" s="13" t="s">
        <v>62</v>
      </c>
      <c r="S810" s="13" t="s">
        <v>49</v>
      </c>
      <c r="T810" s="13" t="s">
        <v>78</v>
      </c>
      <c r="U810" s="13" t="s">
        <v>79</v>
      </c>
      <c r="V810" s="13" t="s">
        <v>112</v>
      </c>
      <c r="W810" s="13" t="s">
        <v>109</v>
      </c>
      <c r="X810" s="135">
        <v>14135177</v>
      </c>
      <c r="Y810" s="157" t="str">
        <f>IF(W810="RMB","1.13", "1")</f>
        <v>1</v>
      </c>
      <c r="Z810" s="18">
        <f t="shared" si="234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35"/>
        <v>29500529.005044252</v>
      </c>
      <c r="AJ810" s="19">
        <f t="shared" si="236"/>
        <v>3253064.846231177</v>
      </c>
      <c r="AK810" s="20">
        <f t="shared" si="244"/>
        <v>0.11027140718984871</v>
      </c>
      <c r="AL810" s="17"/>
      <c r="AM810" s="17"/>
      <c r="AN810" s="17"/>
      <c r="AO810" s="17"/>
      <c r="AP810" s="28" t="str">
        <f t="shared" si="245"/>
        <v>202111</v>
      </c>
      <c r="AQ810" s="28" t="str">
        <f t="shared" si="246"/>
        <v>202111JPY</v>
      </c>
      <c r="AR810" s="206" t="str">
        <f t="shared" si="247"/>
        <v>YAMAHA_Mounter</v>
      </c>
      <c r="AS810" s="22">
        <f t="shared" si="248"/>
        <v>6</v>
      </c>
      <c r="AT810" s="24" t="str">
        <f t="shared" si="249"/>
        <v>4-6 months</v>
      </c>
      <c r="AU810" s="22" t="s">
        <v>3745</v>
      </c>
    </row>
    <row r="811" spans="1:47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48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1054</v>
      </c>
      <c r="K811" s="155" t="s">
        <v>1055</v>
      </c>
      <c r="L811" s="17" t="s">
        <v>92</v>
      </c>
      <c r="M811" s="13" t="s">
        <v>60</v>
      </c>
      <c r="N811" s="13">
        <v>1</v>
      </c>
      <c r="O811" s="13"/>
      <c r="P811" s="33" t="str">
        <f t="shared" si="240"/>
        <v>MAIN UNIT</v>
      </c>
      <c r="Q811" s="13" t="s">
        <v>68</v>
      </c>
      <c r="R811" s="13" t="s">
        <v>62</v>
      </c>
      <c r="S811" s="13" t="s">
        <v>49</v>
      </c>
      <c r="T811" s="13" t="s">
        <v>78</v>
      </c>
      <c r="U811" s="13" t="s">
        <v>79</v>
      </c>
      <c r="V811" s="13" t="s">
        <v>672</v>
      </c>
      <c r="W811" s="13" t="s">
        <v>64</v>
      </c>
      <c r="X811" s="135">
        <v>790000</v>
      </c>
      <c r="Y811" s="156">
        <v>1.1299999999999999</v>
      </c>
      <c r="Z811" s="18">
        <f t="shared" si="234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35"/>
        <v>33477255.428389374</v>
      </c>
      <c r="AJ811" s="19">
        <f t="shared" si="236"/>
        <v>4578663.362915583</v>
      </c>
      <c r="AK811" s="20">
        <f t="shared" si="244"/>
        <v>0.13676937682988152</v>
      </c>
      <c r="AL811" s="17"/>
      <c r="AM811" s="17"/>
      <c r="AN811" s="17"/>
      <c r="AO811" s="17"/>
      <c r="AP811" s="28" t="str">
        <f t="shared" si="245"/>
        <v>20204</v>
      </c>
      <c r="AQ811" s="28" t="str">
        <f t="shared" si="246"/>
        <v>20204RMB</v>
      </c>
      <c r="AR811" s="206" t="str">
        <f t="shared" si="247"/>
        <v>YAMAHA_Mounter</v>
      </c>
      <c r="AS811" s="22">
        <f t="shared" si="248"/>
        <v>1</v>
      </c>
      <c r="AT811" s="24" t="str">
        <f t="shared" si="249"/>
        <v>0-3 months</v>
      </c>
      <c r="AU811" s="22" t="s">
        <v>3744</v>
      </c>
    </row>
    <row r="812" spans="1:47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48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1525</v>
      </c>
      <c r="K812" s="155" t="s">
        <v>1526</v>
      </c>
      <c r="L812" s="17" t="s">
        <v>67</v>
      </c>
      <c r="M812" s="13" t="s">
        <v>60</v>
      </c>
      <c r="N812" s="13">
        <v>1</v>
      </c>
      <c r="O812" s="13"/>
      <c r="P812" s="33" t="str">
        <f t="shared" si="240"/>
        <v>MAIN UNIT</v>
      </c>
      <c r="Q812" s="13" t="s">
        <v>68</v>
      </c>
      <c r="R812" s="13" t="s">
        <v>62</v>
      </c>
      <c r="S812" s="13" t="s">
        <v>49</v>
      </c>
      <c r="T812" s="13" t="s">
        <v>78</v>
      </c>
      <c r="U812" s="13" t="s">
        <v>79</v>
      </c>
      <c r="V812" s="13" t="s">
        <v>112</v>
      </c>
      <c r="W812" s="13" t="s">
        <v>109</v>
      </c>
      <c r="X812" s="135">
        <v>10425000</v>
      </c>
      <c r="Y812" s="157" t="str">
        <f t="shared" ref="Y812:Y820" si="251">IF(W812="RMB","1.13", "1")</f>
        <v>1</v>
      </c>
      <c r="Z812" s="18">
        <f t="shared" si="234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35"/>
        <v>45803245.025628321</v>
      </c>
      <c r="AJ812" s="19">
        <f t="shared" si="236"/>
        <v>5664636.2584379362</v>
      </c>
      <c r="AK812" s="20">
        <f t="shared" si="244"/>
        <v>0.12367325186825515</v>
      </c>
      <c r="AL812" s="17"/>
      <c r="AM812" s="17"/>
      <c r="AN812" s="17"/>
      <c r="AO812" s="17"/>
      <c r="AP812" s="28" t="str">
        <f t="shared" si="245"/>
        <v>20211</v>
      </c>
      <c r="AQ812" s="28" t="str">
        <f t="shared" si="246"/>
        <v>20211JPY</v>
      </c>
      <c r="AR812" s="206" t="str">
        <f t="shared" si="247"/>
        <v>YAMAHA_Mounter</v>
      </c>
      <c r="AS812" s="22">
        <f t="shared" si="248"/>
        <v>2</v>
      </c>
      <c r="AT812" s="24" t="str">
        <f t="shared" si="249"/>
        <v>0-3 months</v>
      </c>
      <c r="AU812" s="22" t="s">
        <v>3745</v>
      </c>
    </row>
    <row r="813" spans="1:47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48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1525</v>
      </c>
      <c r="K813" s="155" t="s">
        <v>1526</v>
      </c>
      <c r="L813" s="17" t="s">
        <v>92</v>
      </c>
      <c r="M813" s="13" t="s">
        <v>60</v>
      </c>
      <c r="N813" s="13">
        <v>1</v>
      </c>
      <c r="O813" s="13"/>
      <c r="P813" s="33" t="str">
        <f t="shared" si="240"/>
        <v>MAIN UNIT</v>
      </c>
      <c r="Q813" s="13" t="s">
        <v>68</v>
      </c>
      <c r="R813" s="13" t="s">
        <v>62</v>
      </c>
      <c r="S813" s="13" t="s">
        <v>49</v>
      </c>
      <c r="T813" s="13" t="s">
        <v>78</v>
      </c>
      <c r="U813" s="13" t="s">
        <v>79</v>
      </c>
      <c r="V813" s="13" t="s">
        <v>112</v>
      </c>
      <c r="W813" s="13" t="s">
        <v>109</v>
      </c>
      <c r="X813" s="135">
        <v>13000000</v>
      </c>
      <c r="Y813" s="157" t="str">
        <f t="shared" si="251"/>
        <v>1</v>
      </c>
      <c r="Z813" s="18">
        <f t="shared" si="234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35"/>
        <v>45803245.025628321</v>
      </c>
      <c r="AJ813" s="19">
        <f t="shared" si="236"/>
        <v>5664636.2584379362</v>
      </c>
      <c r="AK813" s="20">
        <f t="shared" si="244"/>
        <v>0.12367325186825515</v>
      </c>
      <c r="AL813" s="17"/>
      <c r="AM813" s="17"/>
      <c r="AN813" s="17"/>
      <c r="AO813" s="17"/>
      <c r="AP813" s="28" t="str">
        <f t="shared" si="245"/>
        <v>20211</v>
      </c>
      <c r="AQ813" s="28" t="str">
        <f t="shared" si="246"/>
        <v>20211JPY</v>
      </c>
      <c r="AR813" s="206" t="str">
        <f t="shared" si="247"/>
        <v>YAMAHA_Mounter</v>
      </c>
      <c r="AS813" s="22">
        <f t="shared" si="248"/>
        <v>2</v>
      </c>
      <c r="AT813" s="24" t="str">
        <f t="shared" si="249"/>
        <v>0-3 months</v>
      </c>
      <c r="AU813" s="22" t="s">
        <v>3745</v>
      </c>
    </row>
    <row r="814" spans="1:47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53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1525</v>
      </c>
      <c r="K814" s="155" t="s">
        <v>1526</v>
      </c>
      <c r="L814" s="17" t="s">
        <v>67</v>
      </c>
      <c r="M814" s="13" t="s">
        <v>60</v>
      </c>
      <c r="N814" s="13">
        <v>1</v>
      </c>
      <c r="O814" s="13"/>
      <c r="P814" s="33" t="str">
        <f t="shared" si="240"/>
        <v>MAIN UNIT</v>
      </c>
      <c r="Q814" s="13" t="s">
        <v>68</v>
      </c>
      <c r="R814" s="13" t="s">
        <v>62</v>
      </c>
      <c r="S814" s="13" t="s">
        <v>49</v>
      </c>
      <c r="T814" s="13" t="s">
        <v>78</v>
      </c>
      <c r="U814" s="13" t="s">
        <v>79</v>
      </c>
      <c r="V814" s="13" t="s">
        <v>112</v>
      </c>
      <c r="W814" s="13" t="s">
        <v>109</v>
      </c>
      <c r="X814" s="135">
        <v>10425000</v>
      </c>
      <c r="Y814" s="157" t="str">
        <f t="shared" si="251"/>
        <v>1</v>
      </c>
      <c r="Z814" s="18">
        <f t="shared" ref="Z814:Z877" si="252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35"/>
        <v>47458373.787610628</v>
      </c>
      <c r="AJ814" s="19">
        <f t="shared" si="236"/>
        <v>7436880.1411522133</v>
      </c>
      <c r="AK814" s="20">
        <f t="shared" si="244"/>
        <v>0.15670322321692506</v>
      </c>
      <c r="AL814" s="17"/>
      <c r="AM814" s="17"/>
      <c r="AN814" s="17"/>
      <c r="AO814" s="17"/>
      <c r="AP814" s="28" t="str">
        <f t="shared" si="245"/>
        <v>20218</v>
      </c>
      <c r="AQ814" s="28" t="str">
        <f t="shared" si="246"/>
        <v>20218JPY</v>
      </c>
      <c r="AR814" s="206" t="str">
        <f t="shared" si="247"/>
        <v>YAMAHA_Mounter</v>
      </c>
      <c r="AS814" s="22">
        <f t="shared" si="248"/>
        <v>9</v>
      </c>
      <c r="AT814" s="24" t="str">
        <f t="shared" si="249"/>
        <v>&gt; 6 months</v>
      </c>
      <c r="AU814" s="22" t="s">
        <v>3745</v>
      </c>
    </row>
    <row r="815" spans="1:47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53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1525</v>
      </c>
      <c r="K815" s="155" t="s">
        <v>1526</v>
      </c>
      <c r="L815" s="17" t="s">
        <v>92</v>
      </c>
      <c r="M815" s="13" t="s">
        <v>60</v>
      </c>
      <c r="N815" s="13">
        <v>1</v>
      </c>
      <c r="O815" s="13"/>
      <c r="P815" s="33" t="str">
        <f t="shared" si="240"/>
        <v>MAIN UNIT</v>
      </c>
      <c r="Q815" s="13" t="s">
        <v>68</v>
      </c>
      <c r="R815" s="13" t="s">
        <v>62</v>
      </c>
      <c r="S815" s="13" t="s">
        <v>49</v>
      </c>
      <c r="T815" s="13" t="s">
        <v>78</v>
      </c>
      <c r="U815" s="13" t="s">
        <v>79</v>
      </c>
      <c r="V815" s="13" t="s">
        <v>112</v>
      </c>
      <c r="W815" s="13" t="s">
        <v>109</v>
      </c>
      <c r="X815" s="135">
        <v>13000000</v>
      </c>
      <c r="Y815" s="157" t="str">
        <f t="shared" si="251"/>
        <v>1</v>
      </c>
      <c r="Z815" s="18">
        <f t="shared" si="252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35"/>
        <v>47458373.787610628</v>
      </c>
      <c r="AJ815" s="19">
        <f t="shared" si="236"/>
        <v>7436880.1411522133</v>
      </c>
      <c r="AK815" s="20">
        <f t="shared" si="244"/>
        <v>0.15670322321692506</v>
      </c>
      <c r="AL815" s="17"/>
      <c r="AM815" s="17"/>
      <c r="AN815" s="17"/>
      <c r="AO815" s="17"/>
      <c r="AP815" s="28" t="str">
        <f t="shared" si="245"/>
        <v>20218</v>
      </c>
      <c r="AQ815" s="28" t="str">
        <f t="shared" si="246"/>
        <v>20218JPY</v>
      </c>
      <c r="AR815" s="206" t="str">
        <f t="shared" si="247"/>
        <v>YAMAHA_Mounter</v>
      </c>
      <c r="AS815" s="22">
        <f t="shared" si="248"/>
        <v>9</v>
      </c>
      <c r="AT815" s="24" t="str">
        <f t="shared" si="249"/>
        <v>&gt; 6 months</v>
      </c>
      <c r="AU815" s="22" t="s">
        <v>3745</v>
      </c>
    </row>
    <row r="816" spans="1:47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185</v>
      </c>
      <c r="G816" s="152" t="s">
        <v>185</v>
      </c>
      <c r="H816" s="155"/>
      <c r="I816" s="33" t="str">
        <f t="shared" si="239"/>
        <v>Cancel</v>
      </c>
      <c r="J816" s="186" t="s">
        <v>3085</v>
      </c>
      <c r="K816" s="155" t="s">
        <v>1526</v>
      </c>
      <c r="L816" s="17" t="s">
        <v>92</v>
      </c>
      <c r="M816" s="13" t="s">
        <v>60</v>
      </c>
      <c r="N816" s="13">
        <v>1</v>
      </c>
      <c r="O816" s="13"/>
      <c r="P816" s="33" t="str">
        <f t="shared" si="240"/>
        <v>MAIN UNIT</v>
      </c>
      <c r="Q816" s="13" t="s">
        <v>61</v>
      </c>
      <c r="R816" s="13" t="s">
        <v>62</v>
      </c>
      <c r="S816" s="13" t="s">
        <v>49</v>
      </c>
      <c r="T816" s="13" t="s">
        <v>120</v>
      </c>
      <c r="U816" s="13" t="s">
        <v>79</v>
      </c>
      <c r="V816" s="13" t="s">
        <v>112</v>
      </c>
      <c r="W816" s="13" t="s">
        <v>109</v>
      </c>
      <c r="X816" s="135">
        <v>17000000</v>
      </c>
      <c r="Y816" s="157" t="str">
        <f t="shared" si="251"/>
        <v>1</v>
      </c>
      <c r="Z816" s="18">
        <f t="shared" si="252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35"/>
        <v>499582152.5142017</v>
      </c>
      <c r="AJ816" s="19">
        <f t="shared" si="236"/>
        <v>59520528.679470733</v>
      </c>
      <c r="AK816" s="20">
        <f t="shared" si="244"/>
        <v>0.11914062257814291</v>
      </c>
      <c r="AL816" s="17"/>
      <c r="AM816" s="17"/>
      <c r="AN816" s="17"/>
      <c r="AO816" s="17"/>
      <c r="AP816" s="28" t="str">
        <f t="shared" si="245"/>
        <v>CancelCancel</v>
      </c>
      <c r="AQ816" s="28" t="str">
        <f t="shared" si="246"/>
        <v>CancelCancelJPY</v>
      </c>
      <c r="AR816" s="206" t="str">
        <f t="shared" si="247"/>
        <v>YAMAHA_Mounter</v>
      </c>
      <c r="AS816" s="22" t="str">
        <f t="shared" si="248"/>
        <v/>
      </c>
      <c r="AT816" s="24" t="str">
        <f t="shared" si="249"/>
        <v/>
      </c>
      <c r="AU816" s="22" t="s">
        <v>3745</v>
      </c>
    </row>
    <row r="817" spans="1:47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185</v>
      </c>
      <c r="G817" s="152" t="s">
        <v>185</v>
      </c>
      <c r="H817" s="155"/>
      <c r="I817" s="33" t="str">
        <f t="shared" si="239"/>
        <v>Cancel</v>
      </c>
      <c r="J817" s="186" t="s">
        <v>3085</v>
      </c>
      <c r="K817" s="155" t="s">
        <v>1526</v>
      </c>
      <c r="L817" s="17" t="s">
        <v>67</v>
      </c>
      <c r="M817" s="13" t="s">
        <v>60</v>
      </c>
      <c r="N817" s="13">
        <v>1</v>
      </c>
      <c r="O817" s="13"/>
      <c r="P817" s="33" t="str">
        <f t="shared" si="240"/>
        <v>MAIN UNIT</v>
      </c>
      <c r="Q817" s="13" t="s">
        <v>61</v>
      </c>
      <c r="R817" s="13" t="s">
        <v>62</v>
      </c>
      <c r="S817" s="13" t="s">
        <v>49</v>
      </c>
      <c r="T817" s="13" t="s">
        <v>120</v>
      </c>
      <c r="U817" s="13" t="s">
        <v>79</v>
      </c>
      <c r="V817" s="13" t="s">
        <v>112</v>
      </c>
      <c r="W817" s="13" t="s">
        <v>109</v>
      </c>
      <c r="X817" s="135">
        <v>8993000</v>
      </c>
      <c r="Y817" s="157" t="str">
        <f t="shared" si="251"/>
        <v>1</v>
      </c>
      <c r="Z817" s="18">
        <f t="shared" si="252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35"/>
        <v>499582152.5142017</v>
      </c>
      <c r="AJ817" s="19">
        <f t="shared" si="236"/>
        <v>59520528.679470733</v>
      </c>
      <c r="AK817" s="20">
        <f t="shared" si="244"/>
        <v>0.11914062257814291</v>
      </c>
      <c r="AL817" s="17"/>
      <c r="AM817" s="17"/>
      <c r="AN817" s="17"/>
      <c r="AO817" s="17"/>
      <c r="AP817" s="28" t="str">
        <f t="shared" si="245"/>
        <v>CancelCancel</v>
      </c>
      <c r="AQ817" s="28" t="str">
        <f t="shared" si="246"/>
        <v>CancelCancelJPY</v>
      </c>
      <c r="AR817" s="206" t="str">
        <f t="shared" si="247"/>
        <v>YAMAHA_Mounter</v>
      </c>
      <c r="AS817" s="22" t="str">
        <f t="shared" si="248"/>
        <v/>
      </c>
      <c r="AT817" s="24" t="str">
        <f t="shared" si="249"/>
        <v/>
      </c>
      <c r="AU817" s="22" t="s">
        <v>3745</v>
      </c>
    </row>
    <row r="818" spans="1:47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53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1815</v>
      </c>
      <c r="K818" s="155" t="s">
        <v>1816</v>
      </c>
      <c r="L818" s="17" t="s">
        <v>92</v>
      </c>
      <c r="M818" s="13" t="s">
        <v>60</v>
      </c>
      <c r="N818" s="13">
        <v>1</v>
      </c>
      <c r="O818" s="13"/>
      <c r="P818" s="33" t="str">
        <f t="shared" si="240"/>
        <v>MAIN UNIT</v>
      </c>
      <c r="Q818" s="13" t="s">
        <v>61</v>
      </c>
      <c r="R818" s="13" t="s">
        <v>62</v>
      </c>
      <c r="S818" s="13" t="s">
        <v>49</v>
      </c>
      <c r="T818" s="13" t="s">
        <v>78</v>
      </c>
      <c r="U818" s="13" t="s">
        <v>79</v>
      </c>
      <c r="V818" s="13" t="s">
        <v>131</v>
      </c>
      <c r="W818" s="13" t="s">
        <v>109</v>
      </c>
      <c r="X818" s="135">
        <v>14400000</v>
      </c>
      <c r="Y818" s="157" t="str">
        <f t="shared" si="251"/>
        <v>1</v>
      </c>
      <c r="Z818" s="18">
        <f t="shared" si="252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35"/>
        <v>41443303.53761062</v>
      </c>
      <c r="AJ818" s="19">
        <f t="shared" si="236"/>
        <v>6194988.76643031</v>
      </c>
      <c r="AK818" s="20">
        <f t="shared" si="244"/>
        <v>0.1494810557466355</v>
      </c>
      <c r="AL818" s="17"/>
      <c r="AM818" s="17"/>
      <c r="AN818" s="17"/>
      <c r="AO818" s="17"/>
      <c r="AP818" s="28" t="str">
        <f t="shared" si="245"/>
        <v>20217</v>
      </c>
      <c r="AQ818" s="28" t="str">
        <f t="shared" si="246"/>
        <v>20217JPY</v>
      </c>
      <c r="AR818" s="206" t="str">
        <f t="shared" si="247"/>
        <v>YAMAHA_Mounter</v>
      </c>
      <c r="AS818" s="22">
        <f t="shared" si="248"/>
        <v>4</v>
      </c>
      <c r="AT818" s="24" t="str">
        <f t="shared" si="249"/>
        <v>4-6 months</v>
      </c>
      <c r="AU818" s="22" t="s">
        <v>3746</v>
      </c>
    </row>
    <row r="819" spans="1:47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53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1815</v>
      </c>
      <c r="K819" s="155" t="s">
        <v>1816</v>
      </c>
      <c r="L819" s="17" t="s">
        <v>92</v>
      </c>
      <c r="M819" s="13" t="s">
        <v>60</v>
      </c>
      <c r="N819" s="13">
        <v>1</v>
      </c>
      <c r="O819" s="13"/>
      <c r="P819" s="33" t="str">
        <f t="shared" si="240"/>
        <v>MAIN UNIT</v>
      </c>
      <c r="Q819" s="13" t="s">
        <v>61</v>
      </c>
      <c r="R819" s="13" t="s">
        <v>62</v>
      </c>
      <c r="S819" s="13" t="s">
        <v>49</v>
      </c>
      <c r="T819" s="13" t="s">
        <v>78</v>
      </c>
      <c r="U819" s="13" t="s">
        <v>79</v>
      </c>
      <c r="V819" s="13" t="s">
        <v>131</v>
      </c>
      <c r="W819" s="13" t="s">
        <v>109</v>
      </c>
      <c r="X819" s="135">
        <v>14400000</v>
      </c>
      <c r="Y819" s="157" t="str">
        <f t="shared" si="251"/>
        <v>1</v>
      </c>
      <c r="Z819" s="18">
        <f t="shared" si="252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35"/>
        <v>10844605.840707963</v>
      </c>
      <c r="AJ819" s="19">
        <f t="shared" si="236"/>
        <v>1523130.9860707966</v>
      </c>
      <c r="AK819" s="20">
        <f t="shared" si="244"/>
        <v>0.14045056209911663</v>
      </c>
      <c r="AL819" s="17"/>
      <c r="AM819" s="17"/>
      <c r="AN819" s="17"/>
      <c r="AO819" s="17"/>
      <c r="AP819" s="28" t="str">
        <f t="shared" si="245"/>
        <v>20219</v>
      </c>
      <c r="AQ819" s="28" t="str">
        <f t="shared" si="246"/>
        <v>20219JPY</v>
      </c>
      <c r="AR819" s="206" t="str">
        <f t="shared" si="247"/>
        <v>YAMAHA_Mounter</v>
      </c>
      <c r="AS819" s="22">
        <f t="shared" si="248"/>
        <v>6</v>
      </c>
      <c r="AT819" s="24" t="str">
        <f t="shared" si="249"/>
        <v>4-6 months</v>
      </c>
      <c r="AU819" s="22" t="s">
        <v>3746</v>
      </c>
    </row>
    <row r="820" spans="1:47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185</v>
      </c>
      <c r="F820" s="13" t="s">
        <v>185</v>
      </c>
      <c r="G820" s="152" t="s">
        <v>185</v>
      </c>
      <c r="H820" s="155" t="s">
        <v>1617</v>
      </c>
      <c r="I820" s="33" t="str">
        <f t="shared" si="239"/>
        <v>Cancel</v>
      </c>
      <c r="J820" s="186" t="s">
        <v>2062</v>
      </c>
      <c r="K820" s="155" t="s">
        <v>2063</v>
      </c>
      <c r="L820" s="17" t="s">
        <v>92</v>
      </c>
      <c r="M820" s="13" t="s">
        <v>60</v>
      </c>
      <c r="N820" s="13">
        <v>1</v>
      </c>
      <c r="O820" s="13"/>
      <c r="P820" s="33" t="str">
        <f t="shared" si="240"/>
        <v>MAIN UNIT</v>
      </c>
      <c r="Q820" s="13" t="s">
        <v>68</v>
      </c>
      <c r="R820" s="13" t="s">
        <v>62</v>
      </c>
      <c r="S820" s="13" t="s">
        <v>49</v>
      </c>
      <c r="T820" s="13" t="s">
        <v>78</v>
      </c>
      <c r="U820" s="13" t="s">
        <v>79</v>
      </c>
      <c r="V820" s="13" t="s">
        <v>1713</v>
      </c>
      <c r="W820" s="13" t="s">
        <v>109</v>
      </c>
      <c r="X820" s="135">
        <v>13300000</v>
      </c>
      <c r="Y820" s="157" t="str">
        <f t="shared" si="251"/>
        <v>1</v>
      </c>
      <c r="Z820" s="18">
        <f t="shared" si="252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35"/>
        <v>499582152.5142017</v>
      </c>
      <c r="AJ820" s="19">
        <f t="shared" si="236"/>
        <v>59520528.679470733</v>
      </c>
      <c r="AK820" s="20">
        <f t="shared" si="244"/>
        <v>0.11914062257814291</v>
      </c>
      <c r="AL820" s="17"/>
      <c r="AM820" s="17"/>
      <c r="AN820" s="17"/>
      <c r="AO820" s="17"/>
      <c r="AP820" s="28" t="str">
        <f t="shared" si="245"/>
        <v>CancelCancel</v>
      </c>
      <c r="AQ820" s="28" t="str">
        <f t="shared" si="246"/>
        <v>CancelCancelJPY</v>
      </c>
      <c r="AR820" s="206" t="str">
        <f t="shared" si="247"/>
        <v>YAMAHA_Mounter</v>
      </c>
      <c r="AS820" s="22" t="str">
        <f t="shared" si="248"/>
        <v/>
      </c>
      <c r="AT820" s="24" t="str">
        <f t="shared" si="249"/>
        <v/>
      </c>
      <c r="AU820" s="22" t="s">
        <v>3745</v>
      </c>
    </row>
    <row r="821" spans="1:47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48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1143</v>
      </c>
      <c r="K821" s="155" t="s">
        <v>1144</v>
      </c>
      <c r="L821" s="17" t="s">
        <v>67</v>
      </c>
      <c r="M821" s="13" t="s">
        <v>60</v>
      </c>
      <c r="N821" s="13">
        <v>1</v>
      </c>
      <c r="O821" s="13"/>
      <c r="P821" s="33" t="str">
        <f t="shared" si="240"/>
        <v>MAIN UNIT</v>
      </c>
      <c r="Q821" s="13" t="s">
        <v>68</v>
      </c>
      <c r="R821" s="13" t="s">
        <v>62</v>
      </c>
      <c r="S821" s="13" t="s">
        <v>49</v>
      </c>
      <c r="T821" s="13" t="s">
        <v>78</v>
      </c>
      <c r="U821" s="13" t="s">
        <v>79</v>
      </c>
      <c r="V821" s="13" t="s">
        <v>1145</v>
      </c>
      <c r="W821" s="13" t="s">
        <v>109</v>
      </c>
      <c r="X821" s="135">
        <v>7620000</v>
      </c>
      <c r="Y821" s="156">
        <v>1</v>
      </c>
      <c r="Z821" s="18">
        <f t="shared" si="252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35"/>
        <v>48763143.537654862</v>
      </c>
      <c r="AJ821" s="19">
        <f t="shared" si="236"/>
        <v>5924029.9702154724</v>
      </c>
      <c r="AK821" s="20">
        <f t="shared" si="244"/>
        <v>0.1214858095774925</v>
      </c>
      <c r="AL821" s="17"/>
      <c r="AM821" s="17"/>
      <c r="AN821" s="17"/>
      <c r="AO821" s="17"/>
      <c r="AP821" s="28" t="str">
        <f t="shared" si="245"/>
        <v>202012</v>
      </c>
      <c r="AQ821" s="28" t="str">
        <f t="shared" si="246"/>
        <v>202012JPY</v>
      </c>
      <c r="AR821" s="206" t="str">
        <f t="shared" si="247"/>
        <v>YAMAHA_Mounter</v>
      </c>
      <c r="AS821" s="22">
        <f t="shared" si="248"/>
        <v>5</v>
      </c>
      <c r="AT821" s="24" t="str">
        <f t="shared" si="249"/>
        <v>4-6 months</v>
      </c>
      <c r="AU821" s="22" t="s">
        <v>3745</v>
      </c>
    </row>
    <row r="822" spans="1:47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48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1143</v>
      </c>
      <c r="K822" s="155" t="s">
        <v>1144</v>
      </c>
      <c r="L822" s="17" t="s">
        <v>67</v>
      </c>
      <c r="M822" s="13" t="s">
        <v>60</v>
      </c>
      <c r="N822" s="13">
        <v>1</v>
      </c>
      <c r="O822" s="13"/>
      <c r="P822" s="33" t="str">
        <f t="shared" si="240"/>
        <v>MAIN UNIT</v>
      </c>
      <c r="Q822" s="13" t="s">
        <v>68</v>
      </c>
      <c r="R822" s="13" t="s">
        <v>62</v>
      </c>
      <c r="S822" s="13" t="s">
        <v>49</v>
      </c>
      <c r="T822" s="13" t="s">
        <v>78</v>
      </c>
      <c r="U822" s="13" t="s">
        <v>79</v>
      </c>
      <c r="V822" s="13" t="s">
        <v>1145</v>
      </c>
      <c r="W822" s="13" t="s">
        <v>109</v>
      </c>
      <c r="X822" s="135">
        <v>7620000</v>
      </c>
      <c r="Y822" s="156">
        <v>1</v>
      </c>
      <c r="Z822" s="18">
        <f t="shared" si="252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35"/>
        <v>48763143.537654862</v>
      </c>
      <c r="AJ822" s="19">
        <f t="shared" si="236"/>
        <v>5924029.9702154724</v>
      </c>
      <c r="AK822" s="20">
        <f t="shared" si="244"/>
        <v>0.1214858095774925</v>
      </c>
      <c r="AL822" s="17"/>
      <c r="AM822" s="17"/>
      <c r="AN822" s="17"/>
      <c r="AO822" s="17"/>
      <c r="AP822" s="28" t="str">
        <f t="shared" si="245"/>
        <v>202012</v>
      </c>
      <c r="AQ822" s="28" t="str">
        <f t="shared" si="246"/>
        <v>202012JPY</v>
      </c>
      <c r="AR822" s="206" t="str">
        <f t="shared" si="247"/>
        <v>YAMAHA_Mounter</v>
      </c>
      <c r="AS822" s="22">
        <f t="shared" si="248"/>
        <v>5</v>
      </c>
      <c r="AT822" s="24" t="str">
        <f t="shared" si="249"/>
        <v>4-6 months</v>
      </c>
      <c r="AU822" s="22" t="s">
        <v>3745</v>
      </c>
    </row>
    <row r="823" spans="1:47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185</v>
      </c>
      <c r="F823" s="13" t="s">
        <v>185</v>
      </c>
      <c r="G823" s="152" t="s">
        <v>185</v>
      </c>
      <c r="H823" s="155"/>
      <c r="I823" s="33" t="str">
        <f t="shared" si="239"/>
        <v>Cancel</v>
      </c>
      <c r="J823" s="186" t="s">
        <v>1620</v>
      </c>
      <c r="K823" s="155" t="s">
        <v>1144</v>
      </c>
      <c r="L823" s="17" t="s">
        <v>67</v>
      </c>
      <c r="M823" s="13" t="s">
        <v>60</v>
      </c>
      <c r="N823" s="13">
        <v>1</v>
      </c>
      <c r="O823" s="13"/>
      <c r="P823" s="33" t="str">
        <f t="shared" si="240"/>
        <v>MAIN UNIT</v>
      </c>
      <c r="Q823" s="13" t="s">
        <v>68</v>
      </c>
      <c r="R823" s="13" t="s">
        <v>62</v>
      </c>
      <c r="S823" s="13" t="s">
        <v>49</v>
      </c>
      <c r="T823" s="13" t="s">
        <v>78</v>
      </c>
      <c r="U823" s="13" t="s">
        <v>79</v>
      </c>
      <c r="V823" s="13" t="s">
        <v>1145</v>
      </c>
      <c r="W823" s="13" t="s">
        <v>109</v>
      </c>
      <c r="X823" s="135">
        <v>7620000</v>
      </c>
      <c r="Y823" s="156">
        <v>1</v>
      </c>
      <c r="Z823" s="18">
        <f t="shared" si="252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35"/>
        <v>499582152.5142017</v>
      </c>
      <c r="AJ823" s="19">
        <f t="shared" si="236"/>
        <v>59520528.679470733</v>
      </c>
      <c r="AK823" s="20">
        <f t="shared" si="244"/>
        <v>0.11914062257814291</v>
      </c>
      <c r="AL823" s="17"/>
      <c r="AM823" s="17"/>
      <c r="AN823" s="17"/>
      <c r="AO823" s="17"/>
      <c r="AP823" s="28" t="str">
        <f t="shared" si="245"/>
        <v>CancelCancel</v>
      </c>
      <c r="AQ823" s="28" t="str">
        <f t="shared" si="246"/>
        <v>CancelCancelJPY</v>
      </c>
      <c r="AR823" s="206" t="str">
        <f t="shared" si="247"/>
        <v>YAMAHA_Mounter</v>
      </c>
      <c r="AS823" s="22" t="str">
        <f t="shared" si="248"/>
        <v/>
      </c>
      <c r="AT823" s="24" t="str">
        <f t="shared" si="249"/>
        <v/>
      </c>
      <c r="AU823" s="22" t="s">
        <v>3745</v>
      </c>
    </row>
    <row r="824" spans="1:47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185</v>
      </c>
      <c r="F824" s="13" t="s">
        <v>185</v>
      </c>
      <c r="G824" s="152" t="s">
        <v>185</v>
      </c>
      <c r="H824" s="155"/>
      <c r="I824" s="33" t="str">
        <f t="shared" si="239"/>
        <v>Cancel</v>
      </c>
      <c r="J824" s="186" t="s">
        <v>1621</v>
      </c>
      <c r="K824" s="155" t="s">
        <v>1144</v>
      </c>
      <c r="L824" s="17" t="s">
        <v>67</v>
      </c>
      <c r="M824" s="13" t="s">
        <v>60</v>
      </c>
      <c r="N824" s="13">
        <v>1</v>
      </c>
      <c r="O824" s="13"/>
      <c r="P824" s="33" t="str">
        <f t="shared" si="240"/>
        <v>MAIN UNIT</v>
      </c>
      <c r="Q824" s="13" t="s">
        <v>68</v>
      </c>
      <c r="R824" s="13" t="s">
        <v>62</v>
      </c>
      <c r="S824" s="13" t="s">
        <v>49</v>
      </c>
      <c r="T824" s="13" t="s">
        <v>78</v>
      </c>
      <c r="U824" s="13" t="s">
        <v>79</v>
      </c>
      <c r="V824" s="13" t="s">
        <v>1145</v>
      </c>
      <c r="W824" s="13" t="s">
        <v>109</v>
      </c>
      <c r="X824" s="135">
        <v>7620000</v>
      </c>
      <c r="Y824" s="156">
        <v>1</v>
      </c>
      <c r="Z824" s="18">
        <f t="shared" si="252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35"/>
        <v>499582152.5142017</v>
      </c>
      <c r="AJ824" s="19">
        <f t="shared" si="236"/>
        <v>59520528.679470733</v>
      </c>
      <c r="AK824" s="20">
        <f t="shared" si="244"/>
        <v>0.11914062257814291</v>
      </c>
      <c r="AL824" s="17"/>
      <c r="AM824" s="17"/>
      <c r="AN824" s="17"/>
      <c r="AO824" s="17"/>
      <c r="AP824" s="28" t="str">
        <f t="shared" si="245"/>
        <v>CancelCancel</v>
      </c>
      <c r="AQ824" s="28" t="str">
        <f t="shared" si="246"/>
        <v>CancelCancelJPY</v>
      </c>
      <c r="AR824" s="206" t="str">
        <f t="shared" si="247"/>
        <v>YAMAHA_Mounter</v>
      </c>
      <c r="AS824" s="22" t="str">
        <f t="shared" si="248"/>
        <v/>
      </c>
      <c r="AT824" s="24" t="str">
        <f t="shared" si="249"/>
        <v/>
      </c>
      <c r="AU824" s="22" t="s">
        <v>3745</v>
      </c>
    </row>
    <row r="825" spans="1:47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185</v>
      </c>
      <c r="F825" s="13" t="s">
        <v>185</v>
      </c>
      <c r="G825" s="152" t="s">
        <v>185</v>
      </c>
      <c r="H825" s="155"/>
      <c r="I825" s="33" t="str">
        <f t="shared" si="239"/>
        <v>Cancel</v>
      </c>
      <c r="J825" s="186" t="s">
        <v>1620</v>
      </c>
      <c r="K825" s="155" t="s">
        <v>1144</v>
      </c>
      <c r="L825" s="17" t="s">
        <v>67</v>
      </c>
      <c r="M825" s="13" t="s">
        <v>60</v>
      </c>
      <c r="N825" s="13">
        <v>1</v>
      </c>
      <c r="O825" s="13"/>
      <c r="P825" s="33" t="str">
        <f t="shared" si="240"/>
        <v>MAIN UNIT</v>
      </c>
      <c r="Q825" s="13" t="s">
        <v>68</v>
      </c>
      <c r="R825" s="13" t="s">
        <v>62</v>
      </c>
      <c r="S825" s="13" t="s">
        <v>49</v>
      </c>
      <c r="T825" s="13" t="s">
        <v>78</v>
      </c>
      <c r="U825" s="13" t="s">
        <v>79</v>
      </c>
      <c r="V825" s="13" t="s">
        <v>1145</v>
      </c>
      <c r="W825" s="13" t="s">
        <v>109</v>
      </c>
      <c r="X825" s="135">
        <v>7620000</v>
      </c>
      <c r="Y825" s="156">
        <v>1</v>
      </c>
      <c r="Z825" s="18">
        <f t="shared" si="252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35"/>
        <v>499582152.5142017</v>
      </c>
      <c r="AJ825" s="19">
        <f t="shared" si="236"/>
        <v>59520528.679470733</v>
      </c>
      <c r="AK825" s="20">
        <f t="shared" si="244"/>
        <v>0.11914062257814291</v>
      </c>
      <c r="AL825" s="17"/>
      <c r="AM825" s="17"/>
      <c r="AN825" s="17"/>
      <c r="AO825" s="17"/>
      <c r="AP825" s="28" t="str">
        <f t="shared" si="245"/>
        <v>CancelCancel</v>
      </c>
      <c r="AQ825" s="28" t="str">
        <f t="shared" si="246"/>
        <v>CancelCancelJPY</v>
      </c>
      <c r="AR825" s="206" t="str">
        <f t="shared" si="247"/>
        <v>YAMAHA_Mounter</v>
      </c>
      <c r="AS825" s="22" t="str">
        <f t="shared" si="248"/>
        <v/>
      </c>
      <c r="AT825" s="24" t="str">
        <f t="shared" si="249"/>
        <v/>
      </c>
      <c r="AU825" s="22" t="s">
        <v>3745</v>
      </c>
    </row>
    <row r="826" spans="1:47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3361</v>
      </c>
      <c r="K826" s="29" t="s">
        <v>3362</v>
      </c>
      <c r="L826" s="17" t="s">
        <v>92</v>
      </c>
      <c r="M826" s="22" t="s">
        <v>60</v>
      </c>
      <c r="N826" s="22">
        <v>1</v>
      </c>
      <c r="O826" s="22"/>
      <c r="P826" s="33" t="str">
        <f t="shared" si="240"/>
        <v>MAIN UNIT</v>
      </c>
      <c r="Q826" s="13" t="s">
        <v>68</v>
      </c>
      <c r="R826" s="22" t="s">
        <v>62</v>
      </c>
      <c r="S826" s="22" t="s">
        <v>49</v>
      </c>
      <c r="T826" s="22" t="s">
        <v>78</v>
      </c>
      <c r="U826" s="22" t="s">
        <v>78</v>
      </c>
      <c r="V826" s="22" t="s">
        <v>126</v>
      </c>
      <c r="W826" s="22" t="s">
        <v>109</v>
      </c>
      <c r="X826" s="30">
        <v>13950000</v>
      </c>
      <c r="Y826" s="31" t="str">
        <f>IF(W826="","",IF(W826="RMB","1.13", "1"))</f>
        <v>1</v>
      </c>
      <c r="Z826" s="18">
        <f t="shared" si="252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35"/>
        <v>20319282.700884953</v>
      </c>
      <c r="AJ826" s="27">
        <f t="shared" si="236"/>
        <v>2408851.9638623013</v>
      </c>
      <c r="AK826" s="28">
        <f t="shared" si="244"/>
        <v>0.11855004919821259</v>
      </c>
      <c r="AL826" s="24"/>
      <c r="AM826" s="24"/>
      <c r="AN826" s="24"/>
      <c r="AO826" s="24"/>
      <c r="AP826" s="28" t="str">
        <f t="shared" si="245"/>
        <v>20244</v>
      </c>
      <c r="AQ826" s="28" t="str">
        <f t="shared" si="246"/>
        <v>20244JPY</v>
      </c>
      <c r="AR826" s="206" t="str">
        <f t="shared" si="247"/>
        <v>YAMAHA_Mounter</v>
      </c>
      <c r="AS826" s="22">
        <f t="shared" si="248"/>
        <v>1</v>
      </c>
      <c r="AT826" s="24" t="str">
        <f t="shared" si="249"/>
        <v>0-3 months</v>
      </c>
      <c r="AU826" s="22" t="s">
        <v>3745</v>
      </c>
    </row>
    <row r="827" spans="1:47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3172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3177</v>
      </c>
      <c r="K827" s="29" t="s">
        <v>3176</v>
      </c>
      <c r="L827" s="17" t="s">
        <v>2620</v>
      </c>
      <c r="M827" s="22" t="s">
        <v>60</v>
      </c>
      <c r="N827" s="22">
        <v>1</v>
      </c>
      <c r="O827" s="22"/>
      <c r="P827" s="33" t="str">
        <f t="shared" si="240"/>
        <v>MAIN UNIT</v>
      </c>
      <c r="Q827" s="13" t="s">
        <v>61</v>
      </c>
      <c r="R827" s="22" t="s">
        <v>2055</v>
      </c>
      <c r="S827" s="22" t="s">
        <v>49</v>
      </c>
      <c r="T827" s="22" t="s">
        <v>1071</v>
      </c>
      <c r="U827" s="22" t="s">
        <v>2110</v>
      </c>
      <c r="V827" s="22" t="s">
        <v>121</v>
      </c>
      <c r="W827" s="22" t="s">
        <v>109</v>
      </c>
      <c r="X827" s="30">
        <v>8500000</v>
      </c>
      <c r="Y827" s="31" t="str">
        <f>IF(W827="","",IF(W827="RMB","1.13", "1"))</f>
        <v>1</v>
      </c>
      <c r="Z827" s="18">
        <f t="shared" si="252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35"/>
        <v>20319282.700884953</v>
      </c>
      <c r="AJ827" s="27">
        <f t="shared" si="236"/>
        <v>2408851.9638623013</v>
      </c>
      <c r="AK827" s="28">
        <f t="shared" si="244"/>
        <v>0.11855004919821259</v>
      </c>
      <c r="AL827" s="24"/>
      <c r="AM827" s="24"/>
      <c r="AN827" s="24"/>
      <c r="AO827" s="24"/>
      <c r="AP827" s="28" t="str">
        <f t="shared" si="245"/>
        <v>20244</v>
      </c>
      <c r="AQ827" s="28" t="str">
        <f t="shared" si="246"/>
        <v>20244JPY</v>
      </c>
      <c r="AR827" s="206" t="str">
        <f t="shared" si="247"/>
        <v>YAMAHA_Non_Mounter</v>
      </c>
      <c r="AS827" s="22">
        <f t="shared" si="248"/>
        <v>3</v>
      </c>
      <c r="AT827" s="24" t="str">
        <f t="shared" si="249"/>
        <v>0-3 months</v>
      </c>
      <c r="AU827" s="22" t="s">
        <v>3746</v>
      </c>
    </row>
    <row r="828" spans="1:47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3319</v>
      </c>
      <c r="K828" s="29" t="s">
        <v>1547</v>
      </c>
      <c r="L828" s="17" t="s">
        <v>67</v>
      </c>
      <c r="M828" s="13" t="s">
        <v>60</v>
      </c>
      <c r="N828" s="22">
        <v>1</v>
      </c>
      <c r="O828" s="22"/>
      <c r="P828" s="33" t="str">
        <f t="shared" si="240"/>
        <v>MAIN UNIT</v>
      </c>
      <c r="Q828" s="13" t="s">
        <v>61</v>
      </c>
      <c r="R828" s="22" t="s">
        <v>62</v>
      </c>
      <c r="S828" s="22" t="s">
        <v>49</v>
      </c>
      <c r="T828" s="22" t="s">
        <v>78</v>
      </c>
      <c r="U828" s="22" t="s">
        <v>78</v>
      </c>
      <c r="V828" s="22" t="s">
        <v>126</v>
      </c>
      <c r="W828" s="22" t="s">
        <v>109</v>
      </c>
      <c r="X828" s="30">
        <v>8050000</v>
      </c>
      <c r="Y828" s="31" t="str">
        <f>IF(W828="","",IF(W828="RMB","1.13", "1"))</f>
        <v>1</v>
      </c>
      <c r="Z828" s="18">
        <f t="shared" si="252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35"/>
        <v>20319282.700884953</v>
      </c>
      <c r="AJ828" s="27">
        <f t="shared" si="236"/>
        <v>2408851.9638623013</v>
      </c>
      <c r="AK828" s="28">
        <f t="shared" si="244"/>
        <v>0.11855004919821259</v>
      </c>
      <c r="AL828" s="24"/>
      <c r="AM828" s="24"/>
      <c r="AN828" s="24"/>
      <c r="AO828" s="24"/>
      <c r="AP828" s="28" t="str">
        <f t="shared" si="245"/>
        <v>20244</v>
      </c>
      <c r="AQ828" s="28" t="str">
        <f t="shared" si="246"/>
        <v>20244JPY</v>
      </c>
      <c r="AR828" s="206" t="str">
        <f t="shared" si="247"/>
        <v>YAMAHA_Mounter</v>
      </c>
      <c r="AS828" s="22">
        <f t="shared" si="248"/>
        <v>1</v>
      </c>
      <c r="AT828" s="24" t="str">
        <f t="shared" si="249"/>
        <v>0-3 months</v>
      </c>
      <c r="AU828" s="22" t="s">
        <v>3240</v>
      </c>
    </row>
    <row r="829" spans="1:47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48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1405</v>
      </c>
      <c r="K829" s="155" t="s">
        <v>1406</v>
      </c>
      <c r="L829" s="17" t="s">
        <v>92</v>
      </c>
      <c r="M829" s="13" t="s">
        <v>60</v>
      </c>
      <c r="N829" s="13">
        <v>1</v>
      </c>
      <c r="O829" s="13"/>
      <c r="P829" s="33" t="str">
        <f t="shared" si="240"/>
        <v>MAIN UNIT</v>
      </c>
      <c r="Q829" s="13" t="s">
        <v>68</v>
      </c>
      <c r="R829" s="13" t="s">
        <v>62</v>
      </c>
      <c r="S829" s="13" t="s">
        <v>49</v>
      </c>
      <c r="T829" s="13" t="s">
        <v>78</v>
      </c>
      <c r="U829" s="13" t="s">
        <v>263</v>
      </c>
      <c r="V829" s="13" t="s">
        <v>1407</v>
      </c>
      <c r="W829" s="13" t="s">
        <v>1341</v>
      </c>
      <c r="X829" s="135">
        <v>11000000</v>
      </c>
      <c r="Y829" s="156">
        <v>1</v>
      </c>
      <c r="Z829" s="18">
        <f t="shared" si="252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35"/>
        <v>44078731.611185849</v>
      </c>
      <c r="AJ829" s="19">
        <f t="shared" si="236"/>
        <v>5508173.2163771465</v>
      </c>
      <c r="AK829" s="20">
        <f t="shared" si="244"/>
        <v>0.12496215328889679</v>
      </c>
      <c r="AL829" s="17"/>
      <c r="AM829" s="17"/>
      <c r="AN829" s="17"/>
      <c r="AO829" s="17"/>
      <c r="AP829" s="28" t="str">
        <f t="shared" si="245"/>
        <v>202011</v>
      </c>
      <c r="AQ829" s="28" t="str">
        <f t="shared" si="246"/>
        <v>202011JPY</v>
      </c>
      <c r="AR829" s="206" t="str">
        <f t="shared" si="247"/>
        <v>YAMAHA_Mounter</v>
      </c>
      <c r="AS829" s="22">
        <f t="shared" si="248"/>
        <v>2</v>
      </c>
      <c r="AT829" s="24" t="str">
        <f t="shared" si="249"/>
        <v>0-3 months</v>
      </c>
      <c r="AU829" s="22" t="s">
        <v>3745</v>
      </c>
    </row>
    <row r="830" spans="1:47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47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919</v>
      </c>
      <c r="K830" s="155" t="s">
        <v>920</v>
      </c>
      <c r="L830" s="17" t="s">
        <v>688</v>
      </c>
      <c r="M830" s="13" t="s">
        <v>689</v>
      </c>
      <c r="N830" s="13">
        <v>1</v>
      </c>
      <c r="O830" s="13"/>
      <c r="P830" s="33" t="str">
        <f t="shared" si="240"/>
        <v>MAIN UNIT</v>
      </c>
      <c r="Q830" s="13" t="s">
        <v>61</v>
      </c>
      <c r="R830" s="13" t="s">
        <v>62</v>
      </c>
      <c r="S830" s="13" t="s">
        <v>49</v>
      </c>
      <c r="T830" s="13" t="s">
        <v>78</v>
      </c>
      <c r="U830" s="13" t="s">
        <v>79</v>
      </c>
      <c r="V830" s="13" t="s">
        <v>106</v>
      </c>
      <c r="W830" s="13" t="s">
        <v>109</v>
      </c>
      <c r="X830" s="135">
        <v>17025000</v>
      </c>
      <c r="Y830" s="156">
        <v>1</v>
      </c>
      <c r="Z830" s="18">
        <f t="shared" si="252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35"/>
        <v>28647263.974455759</v>
      </c>
      <c r="AJ830" s="19">
        <f t="shared" si="236"/>
        <v>3219855.6912513468</v>
      </c>
      <c r="AK830" s="20">
        <f t="shared" si="244"/>
        <v>0.11239662168514358</v>
      </c>
      <c r="AL830" s="17"/>
      <c r="AM830" s="17"/>
      <c r="AN830" s="17"/>
      <c r="AO830" s="17"/>
      <c r="AP830" s="28" t="str">
        <f t="shared" si="245"/>
        <v>201910</v>
      </c>
      <c r="AQ830" s="28" t="str">
        <f t="shared" si="246"/>
        <v>201910JPY</v>
      </c>
      <c r="AR830" s="206" t="str">
        <f t="shared" si="247"/>
        <v>SIGMA</v>
      </c>
      <c r="AS830" s="22">
        <f t="shared" si="248"/>
        <v>2</v>
      </c>
      <c r="AT830" s="24" t="str">
        <f t="shared" si="249"/>
        <v>0-3 months</v>
      </c>
      <c r="AU830" s="22" t="s">
        <v>3746</v>
      </c>
    </row>
    <row r="831" spans="1:47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47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919</v>
      </c>
      <c r="K831" s="155" t="s">
        <v>920</v>
      </c>
      <c r="L831" s="17" t="s">
        <v>688</v>
      </c>
      <c r="M831" s="13" t="s">
        <v>689</v>
      </c>
      <c r="N831" s="13">
        <v>1</v>
      </c>
      <c r="O831" s="13"/>
      <c r="P831" s="33" t="str">
        <f t="shared" si="240"/>
        <v>MAIN UNIT</v>
      </c>
      <c r="Q831" s="13" t="s">
        <v>61</v>
      </c>
      <c r="R831" s="13" t="s">
        <v>62</v>
      </c>
      <c r="S831" s="13" t="s">
        <v>49</v>
      </c>
      <c r="T831" s="13" t="s">
        <v>78</v>
      </c>
      <c r="U831" s="13" t="s">
        <v>79</v>
      </c>
      <c r="V831" s="13" t="s">
        <v>106</v>
      </c>
      <c r="W831" s="13" t="s">
        <v>109</v>
      </c>
      <c r="X831" s="135">
        <v>17025000</v>
      </c>
      <c r="Y831" s="156">
        <v>1</v>
      </c>
      <c r="Z831" s="18">
        <f t="shared" si="252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35"/>
        <v>28647263.974455759</v>
      </c>
      <c r="AJ831" s="19">
        <f t="shared" si="236"/>
        <v>3219855.6912513468</v>
      </c>
      <c r="AK831" s="20">
        <f t="shared" si="244"/>
        <v>0.11239662168514358</v>
      </c>
      <c r="AL831" s="17"/>
      <c r="AM831" s="17"/>
      <c r="AN831" s="17"/>
      <c r="AO831" s="17"/>
      <c r="AP831" s="28" t="str">
        <f t="shared" si="245"/>
        <v>201910</v>
      </c>
      <c r="AQ831" s="28" t="str">
        <f t="shared" si="246"/>
        <v>201910JPY</v>
      </c>
      <c r="AR831" s="206" t="str">
        <f t="shared" si="247"/>
        <v>SIGMA</v>
      </c>
      <c r="AS831" s="22">
        <f t="shared" si="248"/>
        <v>2</v>
      </c>
      <c r="AT831" s="24" t="str">
        <f t="shared" si="249"/>
        <v>0-3 months</v>
      </c>
      <c r="AU831" s="22" t="s">
        <v>3746</v>
      </c>
    </row>
    <row r="832" spans="1:47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47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686</v>
      </c>
      <c r="K832" s="155" t="s">
        <v>687</v>
      </c>
      <c r="L832" s="17" t="s">
        <v>688</v>
      </c>
      <c r="M832" s="13" t="s">
        <v>689</v>
      </c>
      <c r="N832" s="13">
        <v>1</v>
      </c>
      <c r="O832" s="13"/>
      <c r="P832" s="33" t="str">
        <f t="shared" si="240"/>
        <v>MAIN UNIT</v>
      </c>
      <c r="Q832" s="13" t="s">
        <v>68</v>
      </c>
      <c r="R832" s="13" t="s">
        <v>260</v>
      </c>
      <c r="S832" s="13" t="s">
        <v>261</v>
      </c>
      <c r="T832" s="13" t="s">
        <v>690</v>
      </c>
      <c r="U832" s="13" t="s">
        <v>691</v>
      </c>
      <c r="V832" s="13" t="s">
        <v>692</v>
      </c>
      <c r="W832" s="13" t="s">
        <v>693</v>
      </c>
      <c r="X832" s="135">
        <v>18449000</v>
      </c>
      <c r="Y832" s="156">
        <v>1</v>
      </c>
      <c r="Z832" s="18">
        <f t="shared" si="252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35"/>
        <v>21386017.707964607</v>
      </c>
      <c r="AJ832" s="19">
        <f t="shared" si="236"/>
        <v>2238764.3265707968</v>
      </c>
      <c r="AK832" s="20">
        <f t="shared" si="244"/>
        <v>0.10468355339185161</v>
      </c>
      <c r="AL832" s="17"/>
      <c r="AM832" s="17"/>
      <c r="AN832" s="17"/>
      <c r="AO832" s="17"/>
      <c r="AP832" s="28" t="str">
        <f t="shared" si="245"/>
        <v>20198</v>
      </c>
      <c r="AQ832" s="28" t="str">
        <f t="shared" si="246"/>
        <v>20198JPY</v>
      </c>
      <c r="AR832" s="206" t="str">
        <f t="shared" si="247"/>
        <v>SIGMA</v>
      </c>
      <c r="AS832" s="22">
        <f t="shared" si="248"/>
        <v>2</v>
      </c>
      <c r="AT832" s="24" t="str">
        <f t="shared" si="249"/>
        <v>0-3 months</v>
      </c>
      <c r="AU832" s="22" t="s">
        <v>3746</v>
      </c>
    </row>
    <row r="833" spans="1:47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47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686</v>
      </c>
      <c r="K833" s="155" t="s">
        <v>694</v>
      </c>
      <c r="L833" s="17" t="s">
        <v>688</v>
      </c>
      <c r="M833" s="13" t="s">
        <v>689</v>
      </c>
      <c r="N833" s="13">
        <v>1</v>
      </c>
      <c r="O833" s="13"/>
      <c r="P833" s="33" t="str">
        <f t="shared" si="240"/>
        <v>MAIN UNIT</v>
      </c>
      <c r="Q833" s="13" t="s">
        <v>68</v>
      </c>
      <c r="R833" s="13" t="s">
        <v>260</v>
      </c>
      <c r="S833" s="13" t="s">
        <v>261</v>
      </c>
      <c r="T833" s="13" t="s">
        <v>690</v>
      </c>
      <c r="U833" s="13" t="s">
        <v>691</v>
      </c>
      <c r="V833" s="13" t="s">
        <v>692</v>
      </c>
      <c r="W833" s="13" t="s">
        <v>693</v>
      </c>
      <c r="X833" s="135">
        <v>18449000</v>
      </c>
      <c r="Y833" s="156">
        <v>1</v>
      </c>
      <c r="Z833" s="18">
        <f t="shared" si="252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35"/>
        <v>21386017.707964607</v>
      </c>
      <c r="AJ833" s="19">
        <f t="shared" si="236"/>
        <v>2238764.3265707968</v>
      </c>
      <c r="AK833" s="20">
        <f t="shared" si="244"/>
        <v>0.10468355339185161</v>
      </c>
      <c r="AL833" s="17"/>
      <c r="AM833" s="17"/>
      <c r="AN833" s="17"/>
      <c r="AO833" s="17"/>
      <c r="AP833" s="28" t="str">
        <f t="shared" si="245"/>
        <v>20198</v>
      </c>
      <c r="AQ833" s="28" t="str">
        <f t="shared" si="246"/>
        <v>20198JPY</v>
      </c>
      <c r="AR833" s="206" t="str">
        <f t="shared" si="247"/>
        <v>SIGMA</v>
      </c>
      <c r="AS833" s="22">
        <f t="shared" si="248"/>
        <v>2</v>
      </c>
      <c r="AT833" s="24" t="str">
        <f t="shared" si="249"/>
        <v>0-3 months</v>
      </c>
      <c r="AU833" s="22" t="s">
        <v>3746</v>
      </c>
    </row>
    <row r="834" spans="1:47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48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1208</v>
      </c>
      <c r="K834" s="155" t="s">
        <v>1209</v>
      </c>
      <c r="L834" s="17" t="s">
        <v>688</v>
      </c>
      <c r="M834" s="13" t="s">
        <v>689</v>
      </c>
      <c r="N834" s="13">
        <v>1</v>
      </c>
      <c r="O834" s="13"/>
      <c r="P834" s="33" t="str">
        <f t="shared" si="240"/>
        <v>MAIN UNIT</v>
      </c>
      <c r="Q834" s="13" t="s">
        <v>61</v>
      </c>
      <c r="R834" s="13" t="s">
        <v>62</v>
      </c>
      <c r="S834" s="13" t="s">
        <v>49</v>
      </c>
      <c r="T834" s="13" t="s">
        <v>246</v>
      </c>
      <c r="U834" s="13" t="s">
        <v>79</v>
      </c>
      <c r="V834" s="13" t="s">
        <v>106</v>
      </c>
      <c r="W834" s="13" t="s">
        <v>109</v>
      </c>
      <c r="X834" s="135">
        <v>15800000</v>
      </c>
      <c r="Y834" s="156">
        <v>1</v>
      </c>
      <c r="Z834" s="18">
        <f t="shared" si="252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ref="AI834:AI897" si="253">IF(P834="C66 SERVICE","",SUMIFS(AB:AB,F:F,F834,G:G,G834,E:E,E834))</f>
        <v>29183109.05575221</v>
      </c>
      <c r="AJ834" s="19">
        <f t="shared" ref="AJ834:AJ897" si="254">IF(P834="C66 SERVICE","",SUMIFS(AC:AC,F:F,F834,G:G,G834,E:E,E834))</f>
        <v>3741266.5648721238</v>
      </c>
      <c r="AK834" s="20">
        <f t="shared" si="244"/>
        <v>0.12819972531798121</v>
      </c>
      <c r="AL834" s="17"/>
      <c r="AM834" s="17"/>
      <c r="AN834" s="17"/>
      <c r="AO834" s="17"/>
      <c r="AP834" s="28" t="str">
        <f t="shared" si="245"/>
        <v>20206</v>
      </c>
      <c r="AQ834" s="28" t="str">
        <f t="shared" si="246"/>
        <v>20206JPY</v>
      </c>
      <c r="AR834" s="206" t="str">
        <f t="shared" si="247"/>
        <v>SIGMA</v>
      </c>
      <c r="AS834" s="22">
        <f t="shared" si="248"/>
        <v>2</v>
      </c>
      <c r="AT834" s="24" t="str">
        <f t="shared" si="249"/>
        <v>0-3 months</v>
      </c>
      <c r="AU834" s="22" t="s">
        <v>3746</v>
      </c>
    </row>
    <row r="835" spans="1:47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53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1773</v>
      </c>
      <c r="K835" s="155" t="s">
        <v>1209</v>
      </c>
      <c r="L835" s="17" t="s">
        <v>688</v>
      </c>
      <c r="M835" s="13" t="s">
        <v>689</v>
      </c>
      <c r="N835" s="13">
        <v>1</v>
      </c>
      <c r="O835" s="13"/>
      <c r="P835" s="33" t="str">
        <f t="shared" si="240"/>
        <v>MAIN UNIT</v>
      </c>
      <c r="Q835" s="13" t="s">
        <v>61</v>
      </c>
      <c r="R835" s="13" t="s">
        <v>62</v>
      </c>
      <c r="S835" s="13" t="s">
        <v>49</v>
      </c>
      <c r="T835" s="13" t="s">
        <v>78</v>
      </c>
      <c r="U835" s="13" t="s">
        <v>79</v>
      </c>
      <c r="V835" s="13" t="s">
        <v>106</v>
      </c>
      <c r="W835" s="13" t="s">
        <v>109</v>
      </c>
      <c r="X835" s="135">
        <v>15800000</v>
      </c>
      <c r="Y835" s="157" t="str">
        <f>IF(W835="RMB","1.13", "1")</f>
        <v>1</v>
      </c>
      <c r="Z835" s="18">
        <f t="shared" si="252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53"/>
        <v>54700260.692079648</v>
      </c>
      <c r="AJ835" s="19">
        <f t="shared" si="254"/>
        <v>7482899.5749188727</v>
      </c>
      <c r="AK835" s="20">
        <f t="shared" si="244"/>
        <v>0.13679824337660537</v>
      </c>
      <c r="AL835" s="17"/>
      <c r="AM835" s="17"/>
      <c r="AN835" s="17"/>
      <c r="AO835" s="17"/>
      <c r="AP835" s="28" t="str">
        <f t="shared" si="245"/>
        <v>20216</v>
      </c>
      <c r="AQ835" s="28" t="str">
        <f t="shared" si="246"/>
        <v>20216JPY</v>
      </c>
      <c r="AR835" s="206" t="str">
        <f t="shared" si="247"/>
        <v>SIGMA</v>
      </c>
      <c r="AS835" s="22">
        <f t="shared" si="248"/>
        <v>4</v>
      </c>
      <c r="AT835" s="24" t="str">
        <f t="shared" si="249"/>
        <v>4-6 months</v>
      </c>
      <c r="AU835" s="22" t="s">
        <v>3746</v>
      </c>
    </row>
    <row r="836" spans="1:47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53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1842</v>
      </c>
      <c r="K836" s="155" t="s">
        <v>1209</v>
      </c>
      <c r="L836" s="17" t="s">
        <v>92</v>
      </c>
      <c r="M836" s="13" t="s">
        <v>60</v>
      </c>
      <c r="N836" s="13">
        <v>1</v>
      </c>
      <c r="O836" s="13"/>
      <c r="P836" s="33" t="str">
        <f t="shared" si="240"/>
        <v>MAIN UNIT</v>
      </c>
      <c r="Q836" s="13" t="s">
        <v>61</v>
      </c>
      <c r="R836" s="13" t="s">
        <v>62</v>
      </c>
      <c r="S836" s="13" t="s">
        <v>49</v>
      </c>
      <c r="T836" s="13" t="s">
        <v>78</v>
      </c>
      <c r="U836" s="13" t="s">
        <v>79</v>
      </c>
      <c r="V836" s="13" t="s">
        <v>80</v>
      </c>
      <c r="W836" s="13" t="s">
        <v>109</v>
      </c>
      <c r="X836" s="135">
        <v>12950000</v>
      </c>
      <c r="Y836" s="157" t="str">
        <f>IF(W836="RMB","1.13", "1")</f>
        <v>1</v>
      </c>
      <c r="Z836" s="18">
        <f t="shared" si="252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53"/>
        <v>41443303.53761062</v>
      </c>
      <c r="AJ836" s="19">
        <f t="shared" si="254"/>
        <v>6194988.76643031</v>
      </c>
      <c r="AK836" s="20">
        <f t="shared" si="244"/>
        <v>0.1494810557466355</v>
      </c>
      <c r="AL836" s="17"/>
      <c r="AM836" s="17"/>
      <c r="AN836" s="17"/>
      <c r="AO836" s="17"/>
      <c r="AP836" s="28" t="str">
        <f t="shared" si="245"/>
        <v>20217</v>
      </c>
      <c r="AQ836" s="28" t="str">
        <f t="shared" si="246"/>
        <v>20217JPY</v>
      </c>
      <c r="AR836" s="206" t="str">
        <f t="shared" si="247"/>
        <v>YAMAHA_Mounter</v>
      </c>
      <c r="AS836" s="22">
        <f t="shared" si="248"/>
        <v>1</v>
      </c>
      <c r="AT836" s="24" t="str">
        <f t="shared" si="249"/>
        <v>0-3 months</v>
      </c>
      <c r="AU836" s="22" t="s">
        <v>3746</v>
      </c>
    </row>
    <row r="837" spans="1:47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53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1842</v>
      </c>
      <c r="K837" s="155" t="s">
        <v>1209</v>
      </c>
      <c r="L837" s="17" t="s">
        <v>92</v>
      </c>
      <c r="M837" s="13" t="s">
        <v>60</v>
      </c>
      <c r="N837" s="13">
        <v>1</v>
      </c>
      <c r="O837" s="13"/>
      <c r="P837" s="33" t="str">
        <f t="shared" si="240"/>
        <v>MAIN UNIT</v>
      </c>
      <c r="Q837" s="13" t="s">
        <v>61</v>
      </c>
      <c r="R837" s="13" t="s">
        <v>62</v>
      </c>
      <c r="S837" s="13" t="s">
        <v>49</v>
      </c>
      <c r="T837" s="13" t="s">
        <v>78</v>
      </c>
      <c r="U837" s="13" t="s">
        <v>79</v>
      </c>
      <c r="V837" s="13" t="s">
        <v>80</v>
      </c>
      <c r="W837" s="13" t="s">
        <v>109</v>
      </c>
      <c r="X837" s="135">
        <v>12950000</v>
      </c>
      <c r="Y837" s="157" t="str">
        <f>IF(W837="RMB","1.13", "1")</f>
        <v>1</v>
      </c>
      <c r="Z837" s="18">
        <f t="shared" si="252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53"/>
        <v>41443303.53761062</v>
      </c>
      <c r="AJ837" s="19">
        <f t="shared" si="254"/>
        <v>6194988.76643031</v>
      </c>
      <c r="AK837" s="20">
        <f t="shared" si="244"/>
        <v>0.1494810557466355</v>
      </c>
      <c r="AL837" s="17"/>
      <c r="AM837" s="17"/>
      <c r="AN837" s="17"/>
      <c r="AO837" s="17"/>
      <c r="AP837" s="28" t="str">
        <f t="shared" si="245"/>
        <v>20217</v>
      </c>
      <c r="AQ837" s="28" t="str">
        <f t="shared" si="246"/>
        <v>20217JPY</v>
      </c>
      <c r="AR837" s="206" t="str">
        <f t="shared" si="247"/>
        <v>YAMAHA_Mounter</v>
      </c>
      <c r="AS837" s="22">
        <f t="shared" si="248"/>
        <v>1</v>
      </c>
      <c r="AT837" s="24" t="str">
        <f t="shared" si="249"/>
        <v>0-3 months</v>
      </c>
      <c r="AU837" s="22" t="s">
        <v>3746</v>
      </c>
    </row>
    <row r="838" spans="1:47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41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854</v>
      </c>
      <c r="K838" s="155" t="s">
        <v>855</v>
      </c>
      <c r="L838" s="17" t="s">
        <v>92</v>
      </c>
      <c r="M838" s="13" t="s">
        <v>60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61</v>
      </c>
      <c r="R838" s="13" t="s">
        <v>62</v>
      </c>
      <c r="S838" s="13" t="s">
        <v>49</v>
      </c>
      <c r="T838" s="13" t="s">
        <v>78</v>
      </c>
      <c r="U838" s="13" t="s">
        <v>79</v>
      </c>
      <c r="V838" s="13" t="s">
        <v>131</v>
      </c>
      <c r="W838" s="13" t="s">
        <v>693</v>
      </c>
      <c r="X838" s="135">
        <v>12770000</v>
      </c>
      <c r="Y838" s="156">
        <v>1</v>
      </c>
      <c r="Z838" s="18">
        <f t="shared" si="252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si="253"/>
        <v>47416008.333399981</v>
      </c>
      <c r="AJ838" s="19">
        <f t="shared" si="254"/>
        <v>6981738.4465290187</v>
      </c>
      <c r="AK838" s="20">
        <f t="shared" ref="AK838:AK901" si="262">IF(AJ838&gt;0,AJ838/AI838,"")</f>
        <v>0.14724433143839863</v>
      </c>
      <c r="AL838" s="17"/>
      <c r="AM838" s="17"/>
      <c r="AN838" s="17"/>
      <c r="AO838" s="17"/>
      <c r="AP838" s="28" t="str">
        <f t="shared" ref="AP838:AP901" si="263">IF(F838="","",F838&amp;G838)</f>
        <v>20193</v>
      </c>
      <c r="AQ838" s="28" t="str">
        <f t="shared" ref="AQ838:AQ901" si="264">IF(W838="","",F838&amp;G838&amp;W838)</f>
        <v>20193JPY</v>
      </c>
      <c r="AR838" s="206" t="str">
        <f t="shared" ref="AR838:AR901" si="265">IFERROR(IF(AND(M838="YAMAHA", R838="C28"), "YAMAHA_Non_Mounter", IF(AND(M838="YAMAHA", R838="C49"), "YAMAHA_Mounter", M838)),"")</f>
        <v>YAMAHA_Mounter</v>
      </c>
      <c r="AS838" s="22">
        <f t="shared" ref="AS838:AS901" si="266">IFERROR(IF(OR(G838="TBA", G838=""), "", DATEDIF(DATE(B838, C838, 1), DATE(F838, G838, 1), "M")),"")</f>
        <v>2</v>
      </c>
      <c r="AT838" s="24" t="str">
        <f t="shared" ref="AT838:AT901" si="267">IF(ISNUMBER(AS838), IF(AS838&gt;=0, IF(AS838&lt;=3, "0-3 months", IF(AS838&lt;=6, "4-6 months", "&gt; 6 months"))), "")</f>
        <v>0-3 months</v>
      </c>
      <c r="AU838" s="22" t="s">
        <v>3746</v>
      </c>
    </row>
    <row r="839" spans="1:47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41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854</v>
      </c>
      <c r="K839" s="155" t="s">
        <v>855</v>
      </c>
      <c r="L839" s="17" t="s">
        <v>92</v>
      </c>
      <c r="M839" s="13" t="s">
        <v>60</v>
      </c>
      <c r="N839" s="13">
        <v>1</v>
      </c>
      <c r="O839" s="13"/>
      <c r="P839" s="33" t="str">
        <f t="shared" si="258"/>
        <v>MAIN UNIT</v>
      </c>
      <c r="Q839" s="13" t="s">
        <v>61</v>
      </c>
      <c r="R839" s="13" t="s">
        <v>62</v>
      </c>
      <c r="S839" s="13" t="s">
        <v>49</v>
      </c>
      <c r="T839" s="13" t="s">
        <v>78</v>
      </c>
      <c r="U839" s="13" t="s">
        <v>79</v>
      </c>
      <c r="V839" s="13" t="s">
        <v>131</v>
      </c>
      <c r="W839" s="13" t="s">
        <v>693</v>
      </c>
      <c r="X839" s="135">
        <v>12770000</v>
      </c>
      <c r="Y839" s="156">
        <v>1</v>
      </c>
      <c r="Z839" s="18">
        <f t="shared" si="252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53"/>
        <v>47416008.333399981</v>
      </c>
      <c r="AJ839" s="19">
        <f t="shared" si="254"/>
        <v>6981738.4465290187</v>
      </c>
      <c r="AK839" s="20">
        <f t="shared" si="262"/>
        <v>0.14724433143839863</v>
      </c>
      <c r="AL839" s="17"/>
      <c r="AM839" s="17"/>
      <c r="AN839" s="17"/>
      <c r="AO839" s="17"/>
      <c r="AP839" s="28" t="str">
        <f t="shared" si="263"/>
        <v>20193</v>
      </c>
      <c r="AQ839" s="28" t="str">
        <f t="shared" si="264"/>
        <v>20193JPY</v>
      </c>
      <c r="AR839" s="206" t="str">
        <f t="shared" si="265"/>
        <v>YAMAHA_Mounter</v>
      </c>
      <c r="AS839" s="22">
        <f t="shared" si="266"/>
        <v>2</v>
      </c>
      <c r="AT839" s="24" t="str">
        <f t="shared" si="267"/>
        <v>0-3 months</v>
      </c>
      <c r="AU839" s="22" t="s">
        <v>3746</v>
      </c>
    </row>
    <row r="840" spans="1:47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41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854</v>
      </c>
      <c r="K840" s="155" t="s">
        <v>855</v>
      </c>
      <c r="L840" s="17" t="s">
        <v>92</v>
      </c>
      <c r="M840" s="13" t="s">
        <v>60</v>
      </c>
      <c r="N840" s="13">
        <v>1</v>
      </c>
      <c r="O840" s="13"/>
      <c r="P840" s="33" t="str">
        <f t="shared" si="258"/>
        <v>MAIN UNIT</v>
      </c>
      <c r="Q840" s="13" t="s">
        <v>61</v>
      </c>
      <c r="R840" s="13" t="s">
        <v>62</v>
      </c>
      <c r="S840" s="13" t="s">
        <v>49</v>
      </c>
      <c r="T840" s="13" t="s">
        <v>78</v>
      </c>
      <c r="U840" s="13" t="s">
        <v>79</v>
      </c>
      <c r="V840" s="13" t="s">
        <v>131</v>
      </c>
      <c r="W840" s="13" t="s">
        <v>693</v>
      </c>
      <c r="X840" s="135">
        <v>12770000</v>
      </c>
      <c r="Y840" s="156">
        <v>1</v>
      </c>
      <c r="Z840" s="18">
        <f t="shared" si="252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53"/>
        <v>47416008.333399981</v>
      </c>
      <c r="AJ840" s="19">
        <f t="shared" si="254"/>
        <v>6981738.4465290187</v>
      </c>
      <c r="AK840" s="20">
        <f t="shared" si="262"/>
        <v>0.14724433143839863</v>
      </c>
      <c r="AL840" s="17"/>
      <c r="AM840" s="17"/>
      <c r="AN840" s="17"/>
      <c r="AO840" s="17"/>
      <c r="AP840" s="28" t="str">
        <f t="shared" si="263"/>
        <v>20193</v>
      </c>
      <c r="AQ840" s="28" t="str">
        <f t="shared" si="264"/>
        <v>20193JPY</v>
      </c>
      <c r="AR840" s="206" t="str">
        <f t="shared" si="265"/>
        <v>YAMAHA_Mounter</v>
      </c>
      <c r="AS840" s="22">
        <f t="shared" si="266"/>
        <v>2</v>
      </c>
      <c r="AT840" s="24" t="str">
        <f t="shared" si="267"/>
        <v>0-3 months</v>
      </c>
      <c r="AU840" s="22" t="s">
        <v>3746</v>
      </c>
    </row>
    <row r="841" spans="1:47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48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1228</v>
      </c>
      <c r="K841" s="155" t="s">
        <v>1229</v>
      </c>
      <c r="L841" s="17" t="s">
        <v>92</v>
      </c>
      <c r="M841" s="13" t="s">
        <v>60</v>
      </c>
      <c r="N841" s="13">
        <v>1</v>
      </c>
      <c r="O841" s="13"/>
      <c r="P841" s="33" t="str">
        <f t="shared" si="258"/>
        <v>MAIN UNIT</v>
      </c>
      <c r="Q841" s="13" t="s">
        <v>61</v>
      </c>
      <c r="R841" s="13" t="s">
        <v>62</v>
      </c>
      <c r="S841" s="13" t="s">
        <v>49</v>
      </c>
      <c r="T841" s="13" t="s">
        <v>78</v>
      </c>
      <c r="U841" s="13" t="s">
        <v>79</v>
      </c>
      <c r="V841" s="13" t="s">
        <v>131</v>
      </c>
      <c r="W841" s="13" t="s">
        <v>109</v>
      </c>
      <c r="X841" s="135">
        <v>10300000</v>
      </c>
      <c r="Y841" s="156">
        <v>1</v>
      </c>
      <c r="Z841" s="18">
        <f t="shared" si="252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53"/>
        <v>29183109.05575221</v>
      </c>
      <c r="AJ841" s="19">
        <f t="shared" si="254"/>
        <v>3741266.5648721238</v>
      </c>
      <c r="AK841" s="20">
        <f t="shared" si="262"/>
        <v>0.12819972531798121</v>
      </c>
      <c r="AL841" s="17"/>
      <c r="AM841" s="17"/>
      <c r="AN841" s="17"/>
      <c r="AO841" s="17"/>
      <c r="AP841" s="28" t="str">
        <f t="shared" si="263"/>
        <v>20206</v>
      </c>
      <c r="AQ841" s="28" t="str">
        <f t="shared" si="264"/>
        <v>20206JPY</v>
      </c>
      <c r="AR841" s="206" t="str">
        <f t="shared" si="265"/>
        <v>YAMAHA_Mounter</v>
      </c>
      <c r="AS841" s="22">
        <f t="shared" si="266"/>
        <v>1</v>
      </c>
      <c r="AT841" s="24" t="str">
        <f t="shared" si="267"/>
        <v>0-3 months</v>
      </c>
      <c r="AU841" s="22" t="s">
        <v>3746</v>
      </c>
    </row>
    <row r="842" spans="1:47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48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1228</v>
      </c>
      <c r="K842" s="155" t="s">
        <v>1229</v>
      </c>
      <c r="L842" s="17" t="s">
        <v>92</v>
      </c>
      <c r="M842" s="13" t="s">
        <v>60</v>
      </c>
      <c r="N842" s="13">
        <v>1</v>
      </c>
      <c r="O842" s="13"/>
      <c r="P842" s="33" t="str">
        <f t="shared" si="258"/>
        <v>MAIN UNIT</v>
      </c>
      <c r="Q842" s="13" t="s">
        <v>61</v>
      </c>
      <c r="R842" s="13" t="s">
        <v>62</v>
      </c>
      <c r="S842" s="13" t="s">
        <v>49</v>
      </c>
      <c r="T842" s="13" t="s">
        <v>78</v>
      </c>
      <c r="U842" s="13" t="s">
        <v>79</v>
      </c>
      <c r="V842" s="13" t="s">
        <v>131</v>
      </c>
      <c r="W842" s="13" t="s">
        <v>109</v>
      </c>
      <c r="X842" s="135">
        <v>10300000</v>
      </c>
      <c r="Y842" s="156">
        <v>1</v>
      </c>
      <c r="Z842" s="18">
        <f t="shared" si="252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53"/>
        <v>29183109.05575221</v>
      </c>
      <c r="AJ842" s="19">
        <f t="shared" si="254"/>
        <v>3741266.5648721238</v>
      </c>
      <c r="AK842" s="20">
        <f t="shared" si="262"/>
        <v>0.12819972531798121</v>
      </c>
      <c r="AL842" s="17"/>
      <c r="AM842" s="17"/>
      <c r="AN842" s="17"/>
      <c r="AO842" s="17"/>
      <c r="AP842" s="28" t="str">
        <f t="shared" si="263"/>
        <v>20206</v>
      </c>
      <c r="AQ842" s="28" t="str">
        <f t="shared" si="264"/>
        <v>20206JPY</v>
      </c>
      <c r="AR842" s="206" t="str">
        <f t="shared" si="265"/>
        <v>YAMAHA_Mounter</v>
      </c>
      <c r="AS842" s="22">
        <f t="shared" si="266"/>
        <v>1</v>
      </c>
      <c r="AT842" s="24" t="str">
        <f t="shared" si="267"/>
        <v>0-3 months</v>
      </c>
      <c r="AU842" s="22" t="s">
        <v>3746</v>
      </c>
    </row>
    <row r="843" spans="1:47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48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1228</v>
      </c>
      <c r="K843" s="155" t="s">
        <v>1229</v>
      </c>
      <c r="L843" s="17" t="s">
        <v>92</v>
      </c>
      <c r="M843" s="13" t="s">
        <v>60</v>
      </c>
      <c r="N843" s="13">
        <v>1</v>
      </c>
      <c r="O843" s="13"/>
      <c r="P843" s="33" t="str">
        <f t="shared" si="258"/>
        <v>MAIN UNIT</v>
      </c>
      <c r="Q843" s="13" t="s">
        <v>61</v>
      </c>
      <c r="R843" s="13" t="s">
        <v>62</v>
      </c>
      <c r="S843" s="13" t="s">
        <v>49</v>
      </c>
      <c r="T843" s="13" t="s">
        <v>78</v>
      </c>
      <c r="U843" s="13" t="s">
        <v>79</v>
      </c>
      <c r="V843" s="13" t="s">
        <v>131</v>
      </c>
      <c r="W843" s="13" t="s">
        <v>109</v>
      </c>
      <c r="X843" s="135">
        <v>10300000</v>
      </c>
      <c r="Y843" s="156">
        <v>1</v>
      </c>
      <c r="Z843" s="18">
        <f t="shared" si="252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53"/>
        <v>29183109.05575221</v>
      </c>
      <c r="AJ843" s="19">
        <f t="shared" si="254"/>
        <v>3741266.5648721238</v>
      </c>
      <c r="AK843" s="20">
        <f t="shared" si="262"/>
        <v>0.12819972531798121</v>
      </c>
      <c r="AL843" s="17"/>
      <c r="AM843" s="17"/>
      <c r="AN843" s="17"/>
      <c r="AO843" s="17"/>
      <c r="AP843" s="28" t="str">
        <f t="shared" si="263"/>
        <v>20206</v>
      </c>
      <c r="AQ843" s="28" t="str">
        <f t="shared" si="264"/>
        <v>20206JPY</v>
      </c>
      <c r="AR843" s="206" t="str">
        <f t="shared" si="265"/>
        <v>YAMAHA_Mounter</v>
      </c>
      <c r="AS843" s="22">
        <f t="shared" si="266"/>
        <v>1</v>
      </c>
      <c r="AT843" s="24" t="str">
        <f t="shared" si="267"/>
        <v>0-3 months</v>
      </c>
      <c r="AU843" s="22" t="s">
        <v>3746</v>
      </c>
    </row>
    <row r="844" spans="1:47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48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1441</v>
      </c>
      <c r="K844" s="155" t="s">
        <v>1229</v>
      </c>
      <c r="L844" s="17" t="s">
        <v>67</v>
      </c>
      <c r="M844" s="13" t="s">
        <v>60</v>
      </c>
      <c r="N844" s="13">
        <v>1</v>
      </c>
      <c r="O844" s="13"/>
      <c r="P844" s="33" t="str">
        <f t="shared" si="258"/>
        <v>MAIN UNIT</v>
      </c>
      <c r="Q844" s="13" t="s">
        <v>61</v>
      </c>
      <c r="R844" s="13" t="s">
        <v>62</v>
      </c>
      <c r="S844" s="13" t="s">
        <v>49</v>
      </c>
      <c r="T844" s="13" t="s">
        <v>78</v>
      </c>
      <c r="U844" s="13" t="s">
        <v>79</v>
      </c>
      <c r="V844" s="13" t="s">
        <v>131</v>
      </c>
      <c r="W844" s="13" t="s">
        <v>109</v>
      </c>
      <c r="X844" s="135">
        <v>7672500</v>
      </c>
      <c r="Y844" s="157" t="str">
        <f t="shared" ref="Y844:Y851" si="268">IF(W844="RMB","1.13", "1")</f>
        <v>1</v>
      </c>
      <c r="Z844" s="18">
        <f t="shared" si="252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53"/>
        <v>48763143.537654862</v>
      </c>
      <c r="AJ844" s="19">
        <f t="shared" si="254"/>
        <v>5924029.9702154724</v>
      </c>
      <c r="AK844" s="20">
        <f t="shared" si="262"/>
        <v>0.1214858095774925</v>
      </c>
      <c r="AL844" s="17"/>
      <c r="AM844" s="17"/>
      <c r="AN844" s="17"/>
      <c r="AO844" s="17"/>
      <c r="AP844" s="28" t="str">
        <f t="shared" si="263"/>
        <v>202012</v>
      </c>
      <c r="AQ844" s="28" t="str">
        <f t="shared" si="264"/>
        <v>202012JPY</v>
      </c>
      <c r="AR844" s="206" t="str">
        <f t="shared" si="265"/>
        <v>YAMAHA_Mounter</v>
      </c>
      <c r="AS844" s="22">
        <f t="shared" si="266"/>
        <v>3</v>
      </c>
      <c r="AT844" s="24" t="str">
        <f t="shared" si="267"/>
        <v>0-3 months</v>
      </c>
      <c r="AU844" s="22" t="s">
        <v>3746</v>
      </c>
    </row>
    <row r="845" spans="1:47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48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1441</v>
      </c>
      <c r="K845" s="155" t="s">
        <v>1229</v>
      </c>
      <c r="L845" s="17" t="s">
        <v>67</v>
      </c>
      <c r="M845" s="13" t="s">
        <v>60</v>
      </c>
      <c r="N845" s="13">
        <v>1</v>
      </c>
      <c r="O845" s="13"/>
      <c r="P845" s="33" t="str">
        <f t="shared" si="258"/>
        <v>MAIN UNIT</v>
      </c>
      <c r="Q845" s="13" t="s">
        <v>61</v>
      </c>
      <c r="R845" s="13" t="s">
        <v>62</v>
      </c>
      <c r="S845" s="13" t="s">
        <v>49</v>
      </c>
      <c r="T845" s="13" t="s">
        <v>78</v>
      </c>
      <c r="U845" s="13" t="s">
        <v>79</v>
      </c>
      <c r="V845" s="13" t="s">
        <v>131</v>
      </c>
      <c r="W845" s="13" t="s">
        <v>109</v>
      </c>
      <c r="X845" s="135">
        <v>7672500</v>
      </c>
      <c r="Y845" s="157" t="str">
        <f t="shared" si="268"/>
        <v>1</v>
      </c>
      <c r="Z845" s="18">
        <f t="shared" si="252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53"/>
        <v>48763143.537654862</v>
      </c>
      <c r="AJ845" s="19">
        <f t="shared" si="254"/>
        <v>5924029.9702154724</v>
      </c>
      <c r="AK845" s="20">
        <f t="shared" si="262"/>
        <v>0.1214858095774925</v>
      </c>
      <c r="AL845" s="17"/>
      <c r="AM845" s="17"/>
      <c r="AN845" s="17"/>
      <c r="AO845" s="17"/>
      <c r="AP845" s="28" t="str">
        <f t="shared" si="263"/>
        <v>202012</v>
      </c>
      <c r="AQ845" s="28" t="str">
        <f t="shared" si="264"/>
        <v>202012JPY</v>
      </c>
      <c r="AR845" s="206" t="str">
        <f t="shared" si="265"/>
        <v>YAMAHA_Mounter</v>
      </c>
      <c r="AS845" s="22">
        <f t="shared" si="266"/>
        <v>3</v>
      </c>
      <c r="AT845" s="24" t="str">
        <f t="shared" si="267"/>
        <v>0-3 months</v>
      </c>
      <c r="AU845" s="22" t="s">
        <v>3746</v>
      </c>
    </row>
    <row r="846" spans="1:47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48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1441</v>
      </c>
      <c r="K846" s="155" t="s">
        <v>1229</v>
      </c>
      <c r="L846" s="17" t="s">
        <v>67</v>
      </c>
      <c r="M846" s="13" t="s">
        <v>60</v>
      </c>
      <c r="N846" s="13">
        <v>1</v>
      </c>
      <c r="O846" s="13"/>
      <c r="P846" s="33" t="str">
        <f t="shared" si="258"/>
        <v>MAIN UNIT</v>
      </c>
      <c r="Q846" s="13" t="s">
        <v>61</v>
      </c>
      <c r="R846" s="13" t="s">
        <v>62</v>
      </c>
      <c r="S846" s="13" t="s">
        <v>49</v>
      </c>
      <c r="T846" s="13" t="s">
        <v>78</v>
      </c>
      <c r="U846" s="13" t="s">
        <v>79</v>
      </c>
      <c r="V846" s="13" t="s">
        <v>131</v>
      </c>
      <c r="W846" s="13" t="s">
        <v>109</v>
      </c>
      <c r="X846" s="135">
        <v>7672500</v>
      </c>
      <c r="Y846" s="157" t="str">
        <f t="shared" si="268"/>
        <v>1</v>
      </c>
      <c r="Z846" s="18">
        <f t="shared" si="252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53"/>
        <v>48763143.537654862</v>
      </c>
      <c r="AJ846" s="19">
        <f t="shared" si="254"/>
        <v>5924029.9702154724</v>
      </c>
      <c r="AK846" s="20">
        <f t="shared" si="262"/>
        <v>0.1214858095774925</v>
      </c>
      <c r="AL846" s="17"/>
      <c r="AM846" s="17"/>
      <c r="AN846" s="17"/>
      <c r="AO846" s="17"/>
      <c r="AP846" s="28" t="str">
        <f t="shared" si="263"/>
        <v>202012</v>
      </c>
      <c r="AQ846" s="28" t="str">
        <f t="shared" si="264"/>
        <v>202012JPY</v>
      </c>
      <c r="AR846" s="206" t="str">
        <f t="shared" si="265"/>
        <v>YAMAHA_Mounter</v>
      </c>
      <c r="AS846" s="22">
        <f t="shared" si="266"/>
        <v>3</v>
      </c>
      <c r="AT846" s="24" t="str">
        <f t="shared" si="267"/>
        <v>0-3 months</v>
      </c>
      <c r="AU846" s="22" t="s">
        <v>3746</v>
      </c>
    </row>
    <row r="847" spans="1:47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48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1441</v>
      </c>
      <c r="K847" s="155" t="s">
        <v>1229</v>
      </c>
      <c r="L847" s="17" t="s">
        <v>67</v>
      </c>
      <c r="M847" s="13" t="s">
        <v>60</v>
      </c>
      <c r="N847" s="13">
        <v>1</v>
      </c>
      <c r="O847" s="13"/>
      <c r="P847" s="33" t="str">
        <f t="shared" si="258"/>
        <v>MAIN UNIT</v>
      </c>
      <c r="Q847" s="13" t="s">
        <v>61</v>
      </c>
      <c r="R847" s="13" t="s">
        <v>62</v>
      </c>
      <c r="S847" s="13" t="s">
        <v>49</v>
      </c>
      <c r="T847" s="13" t="s">
        <v>78</v>
      </c>
      <c r="U847" s="13" t="s">
        <v>79</v>
      </c>
      <c r="V847" s="13" t="s">
        <v>131</v>
      </c>
      <c r="W847" s="13" t="s">
        <v>109</v>
      </c>
      <c r="X847" s="135">
        <v>7672500</v>
      </c>
      <c r="Y847" s="157" t="str">
        <f t="shared" si="268"/>
        <v>1</v>
      </c>
      <c r="Z847" s="18">
        <f t="shared" si="252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53"/>
        <v>48763143.537654862</v>
      </c>
      <c r="AJ847" s="19">
        <f t="shared" si="254"/>
        <v>5924029.9702154724</v>
      </c>
      <c r="AK847" s="20">
        <f t="shared" si="262"/>
        <v>0.1214858095774925</v>
      </c>
      <c r="AL847" s="17"/>
      <c r="AM847" s="17"/>
      <c r="AN847" s="17"/>
      <c r="AO847" s="17"/>
      <c r="AP847" s="28" t="str">
        <f t="shared" si="263"/>
        <v>202012</v>
      </c>
      <c r="AQ847" s="28" t="str">
        <f t="shared" si="264"/>
        <v>202012JPY</v>
      </c>
      <c r="AR847" s="206" t="str">
        <f t="shared" si="265"/>
        <v>YAMAHA_Mounter</v>
      </c>
      <c r="AS847" s="22">
        <f t="shared" si="266"/>
        <v>3</v>
      </c>
      <c r="AT847" s="24" t="str">
        <f t="shared" si="267"/>
        <v>0-3 months</v>
      </c>
      <c r="AU847" s="22" t="s">
        <v>3746</v>
      </c>
    </row>
    <row r="848" spans="1:47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53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1763</v>
      </c>
      <c r="K848" s="155" t="s">
        <v>1229</v>
      </c>
      <c r="L848" s="17" t="s">
        <v>67</v>
      </c>
      <c r="M848" s="13" t="s">
        <v>60</v>
      </c>
      <c r="N848" s="13">
        <v>1</v>
      </c>
      <c r="O848" s="13"/>
      <c r="P848" s="33" t="str">
        <f t="shared" si="258"/>
        <v>MAIN UNIT</v>
      </c>
      <c r="Q848" s="13" t="s">
        <v>61</v>
      </c>
      <c r="R848" s="13" t="s">
        <v>62</v>
      </c>
      <c r="S848" s="13" t="s">
        <v>49</v>
      </c>
      <c r="T848" s="13" t="s">
        <v>78</v>
      </c>
      <c r="U848" s="13" t="s">
        <v>79</v>
      </c>
      <c r="V848" s="13" t="s">
        <v>131</v>
      </c>
      <c r="W848" s="13" t="s">
        <v>109</v>
      </c>
      <c r="X848" s="135">
        <v>7000000</v>
      </c>
      <c r="Y848" s="157" t="str">
        <f t="shared" si="268"/>
        <v>1</v>
      </c>
      <c r="Z848" s="18">
        <f t="shared" si="252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53"/>
        <v>63006605.696460173</v>
      </c>
      <c r="AJ848" s="19">
        <f t="shared" si="254"/>
        <v>8897485.660753984</v>
      </c>
      <c r="AK848" s="20">
        <f t="shared" si="262"/>
        <v>0.141215124388995</v>
      </c>
      <c r="AL848" s="17"/>
      <c r="AM848" s="17"/>
      <c r="AN848" s="17"/>
      <c r="AO848" s="17"/>
      <c r="AP848" s="28" t="str">
        <f t="shared" si="263"/>
        <v>20215</v>
      </c>
      <c r="AQ848" s="28" t="str">
        <f t="shared" si="264"/>
        <v>20215JPY</v>
      </c>
      <c r="AR848" s="206" t="str">
        <f t="shared" si="265"/>
        <v>YAMAHA_Mounter</v>
      </c>
      <c r="AS848" s="22">
        <f t="shared" si="266"/>
        <v>1</v>
      </c>
      <c r="AT848" s="24" t="str">
        <f t="shared" si="267"/>
        <v>0-3 months</v>
      </c>
      <c r="AU848" s="22" t="s">
        <v>3745</v>
      </c>
    </row>
    <row r="849" spans="1:47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53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1763</v>
      </c>
      <c r="K849" s="155" t="s">
        <v>1229</v>
      </c>
      <c r="L849" s="17" t="s">
        <v>67</v>
      </c>
      <c r="M849" s="13" t="s">
        <v>60</v>
      </c>
      <c r="N849" s="13">
        <v>1</v>
      </c>
      <c r="O849" s="13"/>
      <c r="P849" s="33" t="str">
        <f t="shared" si="258"/>
        <v>MAIN UNIT</v>
      </c>
      <c r="Q849" s="13" t="s">
        <v>61</v>
      </c>
      <c r="R849" s="13" t="s">
        <v>62</v>
      </c>
      <c r="S849" s="13" t="s">
        <v>49</v>
      </c>
      <c r="T849" s="13" t="s">
        <v>78</v>
      </c>
      <c r="U849" s="13" t="s">
        <v>79</v>
      </c>
      <c r="V849" s="13" t="s">
        <v>131</v>
      </c>
      <c r="W849" s="13" t="s">
        <v>109</v>
      </c>
      <c r="X849" s="135">
        <v>7000000</v>
      </c>
      <c r="Y849" s="157" t="str">
        <f t="shared" si="268"/>
        <v>1</v>
      </c>
      <c r="Z849" s="18">
        <f t="shared" si="252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53"/>
        <v>63006605.696460173</v>
      </c>
      <c r="AJ849" s="19">
        <f t="shared" si="254"/>
        <v>8897485.660753984</v>
      </c>
      <c r="AK849" s="20">
        <f t="shared" si="262"/>
        <v>0.141215124388995</v>
      </c>
      <c r="AL849" s="17"/>
      <c r="AM849" s="17"/>
      <c r="AN849" s="17"/>
      <c r="AO849" s="17"/>
      <c r="AP849" s="28" t="str">
        <f t="shared" si="263"/>
        <v>20215</v>
      </c>
      <c r="AQ849" s="28" t="str">
        <f t="shared" si="264"/>
        <v>20215JPY</v>
      </c>
      <c r="AR849" s="206" t="str">
        <f t="shared" si="265"/>
        <v>YAMAHA_Mounter</v>
      </c>
      <c r="AS849" s="22">
        <f t="shared" si="266"/>
        <v>1</v>
      </c>
      <c r="AT849" s="24" t="str">
        <f t="shared" si="267"/>
        <v>0-3 months</v>
      </c>
      <c r="AU849" s="22" t="s">
        <v>3745</v>
      </c>
    </row>
    <row r="850" spans="1:47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54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2427</v>
      </c>
      <c r="K850" s="155" t="s">
        <v>1229</v>
      </c>
      <c r="L850" s="17" t="s">
        <v>92</v>
      </c>
      <c r="M850" s="13" t="s">
        <v>60</v>
      </c>
      <c r="N850" s="13">
        <v>1</v>
      </c>
      <c r="O850" s="13"/>
      <c r="P850" s="33" t="str">
        <f t="shared" si="258"/>
        <v>MAIN UNIT</v>
      </c>
      <c r="Q850" s="13" t="s">
        <v>61</v>
      </c>
      <c r="R850" s="13" t="s">
        <v>62</v>
      </c>
      <c r="S850" s="13" t="s">
        <v>49</v>
      </c>
      <c r="T850" s="13" t="s">
        <v>78</v>
      </c>
      <c r="U850" s="13" t="s">
        <v>79</v>
      </c>
      <c r="V850" s="13" t="s">
        <v>1407</v>
      </c>
      <c r="W850" s="13" t="s">
        <v>64</v>
      </c>
      <c r="X850" s="135">
        <v>720000</v>
      </c>
      <c r="Y850" s="157" t="str">
        <f t="shared" si="268"/>
        <v>1.13</v>
      </c>
      <c r="Z850" s="18">
        <f t="shared" si="252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53"/>
        <v>33543315.897345133</v>
      </c>
      <c r="AJ850" s="19">
        <f t="shared" si="254"/>
        <v>4706169.3252984071</v>
      </c>
      <c r="AK850" s="20">
        <f t="shared" si="262"/>
        <v>0.14030125523967318</v>
      </c>
      <c r="AL850" s="17"/>
      <c r="AM850" s="17"/>
      <c r="AN850" s="17"/>
      <c r="AO850" s="17"/>
      <c r="AP850" s="28" t="str">
        <f t="shared" si="263"/>
        <v>20233</v>
      </c>
      <c r="AQ850" s="28" t="str">
        <f t="shared" si="264"/>
        <v>20233RMB</v>
      </c>
      <c r="AR850" s="206" t="str">
        <f t="shared" si="265"/>
        <v>YAMAHA_Mounter</v>
      </c>
      <c r="AS850" s="22">
        <f t="shared" si="266"/>
        <v>1</v>
      </c>
      <c r="AT850" s="24" t="str">
        <f t="shared" si="267"/>
        <v>0-3 months</v>
      </c>
      <c r="AU850" s="22" t="s">
        <v>3751</v>
      </c>
    </row>
    <row r="851" spans="1:47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54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2427</v>
      </c>
      <c r="K851" s="155" t="s">
        <v>1229</v>
      </c>
      <c r="L851" s="17" t="s">
        <v>67</v>
      </c>
      <c r="M851" s="13" t="s">
        <v>60</v>
      </c>
      <c r="N851" s="13">
        <v>1</v>
      </c>
      <c r="O851" s="13"/>
      <c r="P851" s="33" t="str">
        <f t="shared" si="258"/>
        <v>MAIN UNIT</v>
      </c>
      <c r="Q851" s="13" t="s">
        <v>61</v>
      </c>
      <c r="R851" s="13" t="s">
        <v>62</v>
      </c>
      <c r="S851" s="13" t="s">
        <v>49</v>
      </c>
      <c r="T851" s="13" t="s">
        <v>78</v>
      </c>
      <c r="U851" s="13" t="s">
        <v>79</v>
      </c>
      <c r="V851" s="13" t="s">
        <v>1407</v>
      </c>
      <c r="W851" s="13" t="s">
        <v>64</v>
      </c>
      <c r="X851" s="135">
        <v>430000</v>
      </c>
      <c r="Y851" s="157" t="str">
        <f t="shared" si="268"/>
        <v>1.13</v>
      </c>
      <c r="Z851" s="18">
        <f t="shared" si="252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53"/>
        <v>33543315.897345133</v>
      </c>
      <c r="AJ851" s="19">
        <f t="shared" si="254"/>
        <v>4706169.3252984071</v>
      </c>
      <c r="AK851" s="20">
        <f t="shared" si="262"/>
        <v>0.14030125523967318</v>
      </c>
      <c r="AL851" s="17"/>
      <c r="AM851" s="17"/>
      <c r="AN851" s="17"/>
      <c r="AO851" s="17"/>
      <c r="AP851" s="28" t="str">
        <f t="shared" si="263"/>
        <v>20233</v>
      </c>
      <c r="AQ851" s="28" t="str">
        <f t="shared" si="264"/>
        <v>20233RMB</v>
      </c>
      <c r="AR851" s="206" t="str">
        <f t="shared" si="265"/>
        <v>YAMAHA_Mounter</v>
      </c>
      <c r="AS851" s="22">
        <f t="shared" si="266"/>
        <v>1</v>
      </c>
      <c r="AT851" s="24" t="str">
        <f t="shared" si="267"/>
        <v>0-3 months</v>
      </c>
      <c r="AU851" s="22" t="s">
        <v>3751</v>
      </c>
    </row>
    <row r="852" spans="1:47" s="12" customFormat="1">
      <c r="A852" s="33" t="str">
        <f t="shared" si="255"/>
        <v>cancel</v>
      </c>
      <c r="B852" s="152"/>
      <c r="C852" s="152" t="s">
        <v>185</v>
      </c>
      <c r="D852" s="33" t="str">
        <f t="shared" si="256"/>
        <v/>
      </c>
      <c r="E852" s="33" t="s">
        <v>185</v>
      </c>
      <c r="F852" s="13" t="s">
        <v>185</v>
      </c>
      <c r="G852" s="152" t="s">
        <v>185</v>
      </c>
      <c r="H852" s="155"/>
      <c r="I852" s="33" t="str">
        <f t="shared" si="257"/>
        <v>Cancel</v>
      </c>
      <c r="J852" s="186" t="s">
        <v>2662</v>
      </c>
      <c r="K852" s="155" t="s">
        <v>1229</v>
      </c>
      <c r="L852" s="17" t="s">
        <v>92</v>
      </c>
      <c r="M852" s="13" t="s">
        <v>60</v>
      </c>
      <c r="N852" s="13">
        <v>1</v>
      </c>
      <c r="O852" s="13"/>
      <c r="P852" s="33" t="str">
        <f t="shared" si="258"/>
        <v>MAIN UNIT</v>
      </c>
      <c r="Q852" s="13" t="s">
        <v>61</v>
      </c>
      <c r="R852" s="13" t="s">
        <v>62</v>
      </c>
      <c r="S852" s="13" t="s">
        <v>49</v>
      </c>
      <c r="T852" s="13" t="s">
        <v>78</v>
      </c>
      <c r="U852" s="13" t="s">
        <v>79</v>
      </c>
      <c r="V852" s="13" t="s">
        <v>131</v>
      </c>
      <c r="W852" s="13" t="s">
        <v>109</v>
      </c>
      <c r="X852" s="135">
        <v>12770000</v>
      </c>
      <c r="Y852" s="156">
        <v>1</v>
      </c>
      <c r="Z852" s="18">
        <f t="shared" si="252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53"/>
        <v>499582152.5142017</v>
      </c>
      <c r="AJ852" s="19">
        <f t="shared" si="254"/>
        <v>59520528.679470733</v>
      </c>
      <c r="AK852" s="20">
        <f t="shared" si="262"/>
        <v>0.11914062257814291</v>
      </c>
      <c r="AL852" s="17"/>
      <c r="AM852" s="17"/>
      <c r="AN852" s="17"/>
      <c r="AO852" s="17"/>
      <c r="AP852" s="28" t="str">
        <f t="shared" si="263"/>
        <v>CancelCancel</v>
      </c>
      <c r="AQ852" s="28" t="str">
        <f t="shared" si="264"/>
        <v>CancelCancelJPY</v>
      </c>
      <c r="AR852" s="206" t="str">
        <f t="shared" si="265"/>
        <v>YAMAHA_Mounter</v>
      </c>
      <c r="AS852" s="22" t="str">
        <f t="shared" si="266"/>
        <v/>
      </c>
      <c r="AT852" s="24" t="str">
        <f t="shared" si="267"/>
        <v/>
      </c>
      <c r="AU852" s="22" t="s">
        <v>3746</v>
      </c>
    </row>
    <row r="853" spans="1:47" s="12" customFormat="1">
      <c r="A853" s="33" t="str">
        <f t="shared" si="255"/>
        <v>cancel</v>
      </c>
      <c r="B853" s="152"/>
      <c r="C853" s="152" t="s">
        <v>185</v>
      </c>
      <c r="D853" s="33" t="str">
        <f t="shared" si="256"/>
        <v/>
      </c>
      <c r="E853" s="33" t="s">
        <v>185</v>
      </c>
      <c r="F853" s="13" t="s">
        <v>185</v>
      </c>
      <c r="G853" s="152" t="s">
        <v>185</v>
      </c>
      <c r="H853" s="155"/>
      <c r="I853" s="33" t="str">
        <f t="shared" si="257"/>
        <v>Cancel</v>
      </c>
      <c r="J853" s="186" t="s">
        <v>2662</v>
      </c>
      <c r="K853" s="155" t="s">
        <v>1229</v>
      </c>
      <c r="L853" s="17" t="s">
        <v>92</v>
      </c>
      <c r="M853" s="13" t="s">
        <v>60</v>
      </c>
      <c r="N853" s="13">
        <v>1</v>
      </c>
      <c r="O853" s="13"/>
      <c r="P853" s="33" t="str">
        <f t="shared" si="258"/>
        <v>MAIN UNIT</v>
      </c>
      <c r="Q853" s="13" t="s">
        <v>61</v>
      </c>
      <c r="R853" s="13" t="s">
        <v>62</v>
      </c>
      <c r="S853" s="13" t="s">
        <v>49</v>
      </c>
      <c r="T853" s="13" t="s">
        <v>78</v>
      </c>
      <c r="U853" s="13" t="s">
        <v>79</v>
      </c>
      <c r="V853" s="13" t="s">
        <v>131</v>
      </c>
      <c r="W853" s="13" t="s">
        <v>109</v>
      </c>
      <c r="X853" s="135">
        <v>12770000</v>
      </c>
      <c r="Y853" s="156">
        <v>1</v>
      </c>
      <c r="Z853" s="18">
        <f t="shared" si="252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53"/>
        <v>499582152.5142017</v>
      </c>
      <c r="AJ853" s="19">
        <f t="shared" si="254"/>
        <v>59520528.679470733</v>
      </c>
      <c r="AK853" s="20">
        <f t="shared" si="262"/>
        <v>0.11914062257814291</v>
      </c>
      <c r="AL853" s="17"/>
      <c r="AM853" s="17"/>
      <c r="AN853" s="17"/>
      <c r="AO853" s="17"/>
      <c r="AP853" s="28" t="str">
        <f t="shared" si="263"/>
        <v>CancelCancel</v>
      </c>
      <c r="AQ853" s="28" t="str">
        <f t="shared" si="264"/>
        <v>CancelCancelJPY</v>
      </c>
      <c r="AR853" s="206" t="str">
        <f t="shared" si="265"/>
        <v>YAMAHA_Mounter</v>
      </c>
      <c r="AS853" s="22" t="str">
        <f t="shared" si="266"/>
        <v/>
      </c>
      <c r="AT853" s="24" t="str">
        <f t="shared" si="267"/>
        <v/>
      </c>
      <c r="AU853" s="22" t="s">
        <v>3746</v>
      </c>
    </row>
    <row r="854" spans="1:47" s="12" customFormat="1">
      <c r="A854" s="33" t="str">
        <f t="shared" si="255"/>
        <v>cancel</v>
      </c>
      <c r="B854" s="152"/>
      <c r="C854" s="152" t="s">
        <v>185</v>
      </c>
      <c r="D854" s="33" t="str">
        <f t="shared" si="256"/>
        <v/>
      </c>
      <c r="E854" s="33" t="s">
        <v>185</v>
      </c>
      <c r="F854" s="13" t="s">
        <v>185</v>
      </c>
      <c r="G854" s="152" t="s">
        <v>185</v>
      </c>
      <c r="H854" s="155"/>
      <c r="I854" s="33" t="str">
        <f t="shared" si="257"/>
        <v>Cancel</v>
      </c>
      <c r="J854" s="186" t="s">
        <v>2662</v>
      </c>
      <c r="K854" s="155" t="s">
        <v>1229</v>
      </c>
      <c r="L854" s="17" t="s">
        <v>92</v>
      </c>
      <c r="M854" s="13" t="s">
        <v>60</v>
      </c>
      <c r="N854" s="13">
        <v>1</v>
      </c>
      <c r="O854" s="13"/>
      <c r="P854" s="33" t="str">
        <f t="shared" si="258"/>
        <v>MAIN UNIT</v>
      </c>
      <c r="Q854" s="13" t="s">
        <v>61</v>
      </c>
      <c r="R854" s="13" t="s">
        <v>62</v>
      </c>
      <c r="S854" s="13" t="s">
        <v>49</v>
      </c>
      <c r="T854" s="13" t="s">
        <v>78</v>
      </c>
      <c r="U854" s="13" t="s">
        <v>79</v>
      </c>
      <c r="V854" s="13" t="s">
        <v>131</v>
      </c>
      <c r="W854" s="13" t="s">
        <v>109</v>
      </c>
      <c r="X854" s="135">
        <v>12770000</v>
      </c>
      <c r="Y854" s="156">
        <v>1</v>
      </c>
      <c r="Z854" s="18">
        <f t="shared" si="252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53"/>
        <v>499582152.5142017</v>
      </c>
      <c r="AJ854" s="19">
        <f t="shared" si="254"/>
        <v>59520528.679470733</v>
      </c>
      <c r="AK854" s="20">
        <f t="shared" si="262"/>
        <v>0.11914062257814291</v>
      </c>
      <c r="AL854" s="17"/>
      <c r="AM854" s="17"/>
      <c r="AN854" s="17"/>
      <c r="AO854" s="17"/>
      <c r="AP854" s="28" t="str">
        <f t="shared" si="263"/>
        <v>CancelCancel</v>
      </c>
      <c r="AQ854" s="28" t="str">
        <f t="shared" si="264"/>
        <v>CancelCancelJPY</v>
      </c>
      <c r="AR854" s="206" t="str">
        <f t="shared" si="265"/>
        <v>YAMAHA_Mounter</v>
      </c>
      <c r="AS854" s="22" t="str">
        <f t="shared" si="266"/>
        <v/>
      </c>
      <c r="AT854" s="24" t="str">
        <f t="shared" si="267"/>
        <v/>
      </c>
      <c r="AU854" s="22" t="s">
        <v>3746</v>
      </c>
    </row>
    <row r="855" spans="1:47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43</v>
      </c>
      <c r="M855" s="22" t="s">
        <v>43</v>
      </c>
      <c r="N855" s="22">
        <v>0</v>
      </c>
      <c r="O855" s="22"/>
      <c r="P855" s="33" t="str">
        <f t="shared" si="258"/>
        <v>C66 SERVICE/OTHERS</v>
      </c>
      <c r="Q855" s="22" t="s">
        <v>45</v>
      </c>
      <c r="R855" s="22" t="s">
        <v>45</v>
      </c>
      <c r="S855" s="22" t="s">
        <v>52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2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53"/>
        <v>20319282.700884953</v>
      </c>
      <c r="AJ855" s="27">
        <f t="shared" si="254"/>
        <v>2408851.9638623013</v>
      </c>
      <c r="AK855" s="28">
        <f t="shared" si="262"/>
        <v>0.11855004919821259</v>
      </c>
      <c r="AL855" s="24"/>
      <c r="AM855" s="24"/>
      <c r="AN855" s="24"/>
      <c r="AO855" s="24"/>
      <c r="AP855" s="28" t="str">
        <f t="shared" si="263"/>
        <v>20244</v>
      </c>
      <c r="AQ855" s="28" t="str">
        <f t="shared" si="264"/>
        <v/>
      </c>
      <c r="AR855" s="206" t="str">
        <f t="shared" si="265"/>
        <v>C66 SERVICE</v>
      </c>
      <c r="AS855" s="22" t="str">
        <f t="shared" si="266"/>
        <v/>
      </c>
      <c r="AT855" s="24" t="str">
        <f t="shared" si="267"/>
        <v/>
      </c>
      <c r="AU855" s="22">
        <v>0</v>
      </c>
    </row>
    <row r="856" spans="1:47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43</v>
      </c>
      <c r="M856" s="22" t="s">
        <v>43</v>
      </c>
      <c r="N856" s="22">
        <v>0</v>
      </c>
      <c r="O856" s="22"/>
      <c r="P856" s="33" t="str">
        <f t="shared" si="258"/>
        <v>C66 SERVICE/OTHERS</v>
      </c>
      <c r="Q856" s="22" t="s">
        <v>45</v>
      </c>
      <c r="R856" s="22" t="s">
        <v>45</v>
      </c>
      <c r="S856" s="22" t="s">
        <v>51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2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53"/>
        <v>20319282.700884953</v>
      </c>
      <c r="AJ856" s="27">
        <f t="shared" si="254"/>
        <v>2408851.9638623013</v>
      </c>
      <c r="AK856" s="28">
        <f t="shared" si="262"/>
        <v>0.11855004919821259</v>
      </c>
      <c r="AL856" s="24"/>
      <c r="AM856" s="24"/>
      <c r="AN856" s="24"/>
      <c r="AO856" s="24"/>
      <c r="AP856" s="28" t="str">
        <f t="shared" si="263"/>
        <v>20244</v>
      </c>
      <c r="AQ856" s="28" t="str">
        <f t="shared" si="264"/>
        <v/>
      </c>
      <c r="AR856" s="206" t="str">
        <f t="shared" si="265"/>
        <v>C66 SERVICE</v>
      </c>
      <c r="AS856" s="22" t="str">
        <f t="shared" si="266"/>
        <v/>
      </c>
      <c r="AT856" s="24" t="str">
        <f t="shared" si="267"/>
        <v/>
      </c>
      <c r="AU856" s="22">
        <v>0</v>
      </c>
    </row>
    <row r="857" spans="1:47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43</v>
      </c>
      <c r="M857" s="22" t="s">
        <v>43</v>
      </c>
      <c r="N857" s="22">
        <v>0</v>
      </c>
      <c r="O857" s="22"/>
      <c r="P857" s="33" t="str">
        <f t="shared" si="258"/>
        <v>C66 SERVICE/OTHERS</v>
      </c>
      <c r="Q857" s="22" t="s">
        <v>45</v>
      </c>
      <c r="R857" s="22" t="s">
        <v>45</v>
      </c>
      <c r="S857" s="22" t="s">
        <v>50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2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53"/>
        <v>20319282.700884953</v>
      </c>
      <c r="AJ857" s="27">
        <f t="shared" si="254"/>
        <v>2408851.9638623013</v>
      </c>
      <c r="AK857" s="28">
        <f t="shared" si="262"/>
        <v>0.11855004919821259</v>
      </c>
      <c r="AL857" s="24"/>
      <c r="AM857" s="24"/>
      <c r="AN857" s="24"/>
      <c r="AO857" s="24"/>
      <c r="AP857" s="28" t="str">
        <f t="shared" si="263"/>
        <v>20244</v>
      </c>
      <c r="AQ857" s="28" t="str">
        <f t="shared" si="264"/>
        <v/>
      </c>
      <c r="AR857" s="206" t="str">
        <f t="shared" si="265"/>
        <v>C66 SERVICE</v>
      </c>
      <c r="AS857" s="22" t="str">
        <f t="shared" si="266"/>
        <v/>
      </c>
      <c r="AT857" s="24" t="str">
        <f t="shared" si="267"/>
        <v/>
      </c>
      <c r="AU857" s="22">
        <v>0</v>
      </c>
    </row>
    <row r="858" spans="1:47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43</v>
      </c>
      <c r="M858" s="22" t="s">
        <v>43</v>
      </c>
      <c r="N858" s="22">
        <v>0</v>
      </c>
      <c r="O858" s="22"/>
      <c r="P858" s="33" t="str">
        <f t="shared" si="258"/>
        <v>C66 SERVICE/OTHERS</v>
      </c>
      <c r="Q858" s="22" t="s">
        <v>45</v>
      </c>
      <c r="R858" s="22" t="s">
        <v>45</v>
      </c>
      <c r="S858" s="22" t="s">
        <v>49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2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53"/>
        <v>20319282.700884953</v>
      </c>
      <c r="AJ858" s="27">
        <f t="shared" si="254"/>
        <v>2408851.9638623013</v>
      </c>
      <c r="AK858" s="28">
        <f t="shared" si="262"/>
        <v>0.11855004919821259</v>
      </c>
      <c r="AL858" s="24"/>
      <c r="AM858" s="24"/>
      <c r="AN858" s="24"/>
      <c r="AO858" s="24"/>
      <c r="AP858" s="28" t="str">
        <f t="shared" si="263"/>
        <v>20244</v>
      </c>
      <c r="AQ858" s="28" t="str">
        <f t="shared" si="264"/>
        <v/>
      </c>
      <c r="AR858" s="206" t="str">
        <f t="shared" si="265"/>
        <v>C66 SERVICE</v>
      </c>
      <c r="AS858" s="22" t="str">
        <f t="shared" si="266"/>
        <v/>
      </c>
      <c r="AT858" s="24" t="str">
        <f t="shared" si="267"/>
        <v/>
      </c>
      <c r="AU858" s="22">
        <v>0</v>
      </c>
    </row>
    <row r="859" spans="1:47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47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1000</v>
      </c>
      <c r="K859" s="155" t="s">
        <v>1001</v>
      </c>
      <c r="L859" s="17" t="s">
        <v>67</v>
      </c>
      <c r="M859" s="13" t="s">
        <v>60</v>
      </c>
      <c r="N859" s="13">
        <v>1</v>
      </c>
      <c r="O859" s="13"/>
      <c r="P859" s="33" t="str">
        <f t="shared" si="258"/>
        <v>MAIN UNIT</v>
      </c>
      <c r="Q859" s="13" t="s">
        <v>68</v>
      </c>
      <c r="R859" s="13" t="s">
        <v>62</v>
      </c>
      <c r="S859" s="13" t="s">
        <v>49</v>
      </c>
      <c r="T859" s="13" t="s">
        <v>78</v>
      </c>
      <c r="U859" s="13" t="s">
        <v>79</v>
      </c>
      <c r="V859" s="13" t="s">
        <v>1002</v>
      </c>
      <c r="W859" s="13" t="s">
        <v>109</v>
      </c>
      <c r="X859" s="135">
        <v>7150000</v>
      </c>
      <c r="Y859" s="156">
        <v>1</v>
      </c>
      <c r="Z859" s="18">
        <f t="shared" si="252"/>
        <v>7150000</v>
      </c>
      <c r="AA859" s="13">
        <v>7.2700000000000001E-2</v>
      </c>
      <c r="AB859" s="21">
        <f t="shared" ref="AB859:AB922" si="269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53"/>
        <v>14005204.685000001</v>
      </c>
      <c r="AJ859" s="19">
        <f t="shared" si="254"/>
        <v>1436995.246084</v>
      </c>
      <c r="AK859" s="20">
        <f t="shared" si="262"/>
        <v>0.10260437304590525</v>
      </c>
      <c r="AL859" s="17"/>
      <c r="AM859" s="17"/>
      <c r="AN859" s="17"/>
      <c r="AO859" s="17"/>
      <c r="AP859" s="28" t="str">
        <f t="shared" si="263"/>
        <v>20202</v>
      </c>
      <c r="AQ859" s="28" t="str">
        <f t="shared" si="264"/>
        <v>20202JPY</v>
      </c>
      <c r="AR859" s="206" t="str">
        <f t="shared" si="265"/>
        <v>YAMAHA_Mounter</v>
      </c>
      <c r="AS859" s="22">
        <f t="shared" si="266"/>
        <v>2</v>
      </c>
      <c r="AT859" s="24" t="str">
        <f t="shared" si="267"/>
        <v>0-3 months</v>
      </c>
      <c r="AU859" s="22" t="s">
        <v>3746</v>
      </c>
    </row>
    <row r="860" spans="1:47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48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1468</v>
      </c>
      <c r="K860" s="155" t="s">
        <v>1469</v>
      </c>
      <c r="L860" s="17" t="s">
        <v>67</v>
      </c>
      <c r="M860" s="13" t="s">
        <v>60</v>
      </c>
      <c r="N860" s="13">
        <v>1</v>
      </c>
      <c r="O860" s="13"/>
      <c r="P860" s="33" t="str">
        <f t="shared" si="258"/>
        <v>MAIN UNIT</v>
      </c>
      <c r="Q860" s="13" t="s">
        <v>68</v>
      </c>
      <c r="R860" s="13" t="s">
        <v>62</v>
      </c>
      <c r="S860" s="13" t="s">
        <v>49</v>
      </c>
      <c r="T860" s="13" t="s">
        <v>78</v>
      </c>
      <c r="U860" s="13" t="s">
        <v>79</v>
      </c>
      <c r="V860" s="13" t="s">
        <v>1344</v>
      </c>
      <c r="W860" s="13" t="s">
        <v>109</v>
      </c>
      <c r="X860" s="135">
        <v>7771400</v>
      </c>
      <c r="Y860" s="156">
        <v>1</v>
      </c>
      <c r="Z860" s="18">
        <f t="shared" si="252"/>
        <v>7771400</v>
      </c>
      <c r="AA860" s="13">
        <v>7.6100000000000001E-2</v>
      </c>
      <c r="AB860" s="21">
        <f t="shared" si="269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53"/>
        <v>44078731.611185849</v>
      </c>
      <c r="AJ860" s="19">
        <f t="shared" si="254"/>
        <v>5508173.2163771465</v>
      </c>
      <c r="AK860" s="20">
        <f t="shared" si="262"/>
        <v>0.12496215328889679</v>
      </c>
      <c r="AL860" s="17"/>
      <c r="AM860" s="17"/>
      <c r="AN860" s="17"/>
      <c r="AO860" s="17"/>
      <c r="AP860" s="28" t="str">
        <f t="shared" si="263"/>
        <v>202011</v>
      </c>
      <c r="AQ860" s="28" t="str">
        <f t="shared" si="264"/>
        <v>202011JPY</v>
      </c>
      <c r="AR860" s="206" t="str">
        <f t="shared" si="265"/>
        <v>YAMAHA_Mounter</v>
      </c>
      <c r="AS860" s="22">
        <f t="shared" si="266"/>
        <v>4</v>
      </c>
      <c r="AT860" s="24" t="str">
        <f t="shared" si="267"/>
        <v>4-6 months</v>
      </c>
      <c r="AU860" s="22" t="s">
        <v>3745</v>
      </c>
    </row>
    <row r="861" spans="1:47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48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1641</v>
      </c>
      <c r="K861" s="155" t="s">
        <v>1642</v>
      </c>
      <c r="L861" s="17" t="s">
        <v>67</v>
      </c>
      <c r="M861" s="13" t="s">
        <v>60</v>
      </c>
      <c r="N861" s="13">
        <v>1</v>
      </c>
      <c r="O861" s="13"/>
      <c r="P861" s="33" t="str">
        <f t="shared" si="258"/>
        <v>MAIN UNIT</v>
      </c>
      <c r="Q861" s="13" t="s">
        <v>61</v>
      </c>
      <c r="R861" s="13" t="s">
        <v>62</v>
      </c>
      <c r="S861" s="13" t="s">
        <v>49</v>
      </c>
      <c r="T861" s="13" t="s">
        <v>78</v>
      </c>
      <c r="U861" s="13" t="s">
        <v>79</v>
      </c>
      <c r="V861" s="13" t="s">
        <v>126</v>
      </c>
      <c r="W861" s="13" t="s">
        <v>109</v>
      </c>
      <c r="X861" s="135">
        <v>7771400</v>
      </c>
      <c r="Y861" s="157" t="str">
        <f>IF(W861="RMB","1.13", "1")</f>
        <v>1</v>
      </c>
      <c r="Z861" s="18">
        <f t="shared" si="252"/>
        <v>7771400</v>
      </c>
      <c r="AA861" s="13">
        <v>7.6799999999999993E-2</v>
      </c>
      <c r="AB861" s="21">
        <f t="shared" si="269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53"/>
        <v>45803245.025628321</v>
      </c>
      <c r="AJ861" s="19">
        <f t="shared" si="254"/>
        <v>5664636.2584379362</v>
      </c>
      <c r="AK861" s="20">
        <f t="shared" si="262"/>
        <v>0.12367325186825515</v>
      </c>
      <c r="AL861" s="17"/>
      <c r="AM861" s="17"/>
      <c r="AN861" s="17"/>
      <c r="AO861" s="17"/>
      <c r="AP861" s="28" t="str">
        <f t="shared" si="263"/>
        <v>20211</v>
      </c>
      <c r="AQ861" s="28" t="str">
        <f t="shared" si="264"/>
        <v>20211JPY</v>
      </c>
      <c r="AR861" s="206" t="str">
        <f t="shared" si="265"/>
        <v>YAMAHA_Mounter</v>
      </c>
      <c r="AS861" s="22">
        <f t="shared" si="266"/>
        <v>0</v>
      </c>
      <c r="AT861" s="24" t="str">
        <f t="shared" si="267"/>
        <v>0-3 months</v>
      </c>
      <c r="AU861" s="22" t="s">
        <v>3745</v>
      </c>
    </row>
    <row r="862" spans="1:47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48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1641</v>
      </c>
      <c r="K862" s="155" t="s">
        <v>1642</v>
      </c>
      <c r="L862" s="17" t="s">
        <v>67</v>
      </c>
      <c r="M862" s="13" t="s">
        <v>60</v>
      </c>
      <c r="N862" s="13">
        <v>1</v>
      </c>
      <c r="O862" s="13"/>
      <c r="P862" s="33" t="str">
        <f t="shared" si="258"/>
        <v>MAIN UNIT</v>
      </c>
      <c r="Q862" s="13" t="s">
        <v>61</v>
      </c>
      <c r="R862" s="13" t="s">
        <v>62</v>
      </c>
      <c r="S862" s="13" t="s">
        <v>49</v>
      </c>
      <c r="T862" s="13" t="s">
        <v>78</v>
      </c>
      <c r="U862" s="13" t="s">
        <v>79</v>
      </c>
      <c r="V862" s="13" t="s">
        <v>126</v>
      </c>
      <c r="W862" s="13" t="s">
        <v>109</v>
      </c>
      <c r="X862" s="135">
        <v>7771400</v>
      </c>
      <c r="Y862" s="157" t="str">
        <f>IF(W862="RMB","1.13", "1")</f>
        <v>1</v>
      </c>
      <c r="Z862" s="18">
        <f t="shared" si="252"/>
        <v>7771400</v>
      </c>
      <c r="AA862" s="13">
        <v>7.6799999999999993E-2</v>
      </c>
      <c r="AB862" s="21">
        <f t="shared" si="269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53"/>
        <v>45803245.025628321</v>
      </c>
      <c r="AJ862" s="19">
        <f t="shared" si="254"/>
        <v>5664636.2584379362</v>
      </c>
      <c r="AK862" s="20">
        <f t="shared" si="262"/>
        <v>0.12367325186825515</v>
      </c>
      <c r="AL862" s="17"/>
      <c r="AM862" s="17"/>
      <c r="AN862" s="17"/>
      <c r="AO862" s="17"/>
      <c r="AP862" s="28" t="str">
        <f t="shared" si="263"/>
        <v>20211</v>
      </c>
      <c r="AQ862" s="28" t="str">
        <f t="shared" si="264"/>
        <v>20211JPY</v>
      </c>
      <c r="AR862" s="206" t="str">
        <f t="shared" si="265"/>
        <v>YAMAHA_Mounter</v>
      </c>
      <c r="AS862" s="22">
        <f t="shared" si="266"/>
        <v>0</v>
      </c>
      <c r="AT862" s="24" t="str">
        <f t="shared" si="267"/>
        <v>0-3 months</v>
      </c>
      <c r="AU862" s="22" t="s">
        <v>3745</v>
      </c>
    </row>
    <row r="863" spans="1:47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54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2282</v>
      </c>
      <c r="K863" s="155" t="s">
        <v>2283</v>
      </c>
      <c r="L863" s="17" t="s">
        <v>67</v>
      </c>
      <c r="M863" s="13" t="s">
        <v>60</v>
      </c>
      <c r="N863" s="13">
        <v>1</v>
      </c>
      <c r="O863" s="13"/>
      <c r="P863" s="33" t="str">
        <f t="shared" si="258"/>
        <v>MAIN UNIT</v>
      </c>
      <c r="Q863" s="13" t="s">
        <v>68</v>
      </c>
      <c r="R863" s="13" t="s">
        <v>62</v>
      </c>
      <c r="S863" s="13" t="s">
        <v>50</v>
      </c>
      <c r="T863" s="13" t="s">
        <v>69</v>
      </c>
      <c r="U863" s="13" t="s">
        <v>70</v>
      </c>
      <c r="V863" s="13" t="s">
        <v>1400</v>
      </c>
      <c r="W863" s="13" t="s">
        <v>64</v>
      </c>
      <c r="X863" s="135">
        <v>471400</v>
      </c>
      <c r="Y863" s="157" t="str">
        <f>IF(W863="RMB","1.13", "1")</f>
        <v>1.13</v>
      </c>
      <c r="Z863" s="18">
        <f t="shared" si="252"/>
        <v>471400</v>
      </c>
      <c r="AA863" s="13">
        <v>1.135</v>
      </c>
      <c r="AB863" s="21">
        <f t="shared" si="269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53"/>
        <v>15948576.102654871</v>
      </c>
      <c r="AJ863" s="19">
        <f t="shared" si="254"/>
        <v>2739848.7004853105</v>
      </c>
      <c r="AK863" s="20">
        <f t="shared" si="262"/>
        <v>0.17179268436567344</v>
      </c>
      <c r="AL863" s="17"/>
      <c r="AM863" s="17"/>
      <c r="AN863" s="17"/>
      <c r="AO863" s="17"/>
      <c r="AP863" s="28" t="str">
        <f t="shared" si="263"/>
        <v>20229</v>
      </c>
      <c r="AQ863" s="28" t="str">
        <f t="shared" si="264"/>
        <v>20229RMB</v>
      </c>
      <c r="AR863" s="206" t="str">
        <f t="shared" si="265"/>
        <v>YAMAHA_Mounter</v>
      </c>
      <c r="AS863" s="22">
        <f t="shared" si="266"/>
        <v>1</v>
      </c>
      <c r="AT863" s="24" t="str">
        <f t="shared" si="267"/>
        <v>0-3 months</v>
      </c>
      <c r="AU863" s="22" t="s">
        <v>3240</v>
      </c>
    </row>
    <row r="864" spans="1:47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41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867</v>
      </c>
      <c r="K864" s="155" t="s">
        <v>868</v>
      </c>
      <c r="L864" s="17" t="s">
        <v>92</v>
      </c>
      <c r="M864" s="13" t="s">
        <v>60</v>
      </c>
      <c r="N864" s="13">
        <v>1</v>
      </c>
      <c r="O864" s="13"/>
      <c r="P864" s="33" t="str">
        <f t="shared" si="258"/>
        <v>MAIN UNIT</v>
      </c>
      <c r="Q864" s="13" t="s">
        <v>68</v>
      </c>
      <c r="R864" s="13" t="s">
        <v>62</v>
      </c>
      <c r="S864" s="13" t="s">
        <v>49</v>
      </c>
      <c r="T864" s="13" t="s">
        <v>78</v>
      </c>
      <c r="U864" s="13" t="s">
        <v>79</v>
      </c>
      <c r="V864" s="13" t="s">
        <v>311</v>
      </c>
      <c r="W864" s="13" t="s">
        <v>109</v>
      </c>
      <c r="X864" s="135">
        <v>14300000</v>
      </c>
      <c r="Y864" s="156">
        <v>1</v>
      </c>
      <c r="Z864" s="18">
        <f t="shared" si="252"/>
        <v>14300000</v>
      </c>
      <c r="AA864" s="13">
        <v>7.22E-2</v>
      </c>
      <c r="AB864" s="21">
        <f t="shared" si="269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53"/>
        <v>47416008.333399981</v>
      </c>
      <c r="AJ864" s="19">
        <f t="shared" si="254"/>
        <v>6981738.4465290187</v>
      </c>
      <c r="AK864" s="20">
        <f t="shared" si="262"/>
        <v>0.14724433143839863</v>
      </c>
      <c r="AL864" s="17"/>
      <c r="AM864" s="17"/>
      <c r="AN864" s="17"/>
      <c r="AO864" s="17"/>
      <c r="AP864" s="28" t="str">
        <f t="shared" si="263"/>
        <v>20193</v>
      </c>
      <c r="AQ864" s="28" t="str">
        <f t="shared" si="264"/>
        <v>20193JPY</v>
      </c>
      <c r="AR864" s="206" t="str">
        <f t="shared" si="265"/>
        <v>YAMAHA_Mounter</v>
      </c>
      <c r="AS864" s="22">
        <f t="shared" si="266"/>
        <v>0</v>
      </c>
      <c r="AT864" s="24" t="str">
        <f t="shared" si="267"/>
        <v>0-3 months</v>
      </c>
      <c r="AU864" s="22" t="s">
        <v>3745</v>
      </c>
    </row>
    <row r="865" spans="1:47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48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1123</v>
      </c>
      <c r="K865" s="155" t="s">
        <v>1124</v>
      </c>
      <c r="L865" s="17" t="s">
        <v>92</v>
      </c>
      <c r="M865" s="13" t="s">
        <v>60</v>
      </c>
      <c r="N865" s="13">
        <v>1</v>
      </c>
      <c r="O865" s="13"/>
      <c r="P865" s="33" t="str">
        <f t="shared" si="258"/>
        <v>MAIN UNIT</v>
      </c>
      <c r="Q865" s="13" t="s">
        <v>61</v>
      </c>
      <c r="R865" s="13" t="s">
        <v>62</v>
      </c>
      <c r="S865" s="13" t="s">
        <v>49</v>
      </c>
      <c r="T865" s="13" t="s">
        <v>78</v>
      </c>
      <c r="U865" s="13" t="s">
        <v>79</v>
      </c>
      <c r="V865" s="13" t="s">
        <v>1125</v>
      </c>
      <c r="W865" s="13" t="s">
        <v>1101</v>
      </c>
      <c r="X865" s="135">
        <v>840000</v>
      </c>
      <c r="Y865" s="156" t="s">
        <v>1058</v>
      </c>
      <c r="Z865" s="18">
        <f t="shared" si="252"/>
        <v>840000</v>
      </c>
      <c r="AA865" s="13">
        <v>1.105</v>
      </c>
      <c r="AB865" s="21">
        <f t="shared" si="269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53"/>
        <v>37969334.083628319</v>
      </c>
      <c r="AJ865" s="19">
        <f t="shared" si="254"/>
        <v>5097226.4551657084</v>
      </c>
      <c r="AK865" s="20">
        <f t="shared" si="262"/>
        <v>0.13424587441904964</v>
      </c>
      <c r="AL865" s="17"/>
      <c r="AM865" s="17"/>
      <c r="AN865" s="17"/>
      <c r="AO865" s="17"/>
      <c r="AP865" s="28" t="str">
        <f t="shared" si="263"/>
        <v>20208</v>
      </c>
      <c r="AQ865" s="28" t="str">
        <f t="shared" si="264"/>
        <v>20208RMB</v>
      </c>
      <c r="AR865" s="206" t="str">
        <f t="shared" si="265"/>
        <v>YAMAHA_Mounter</v>
      </c>
      <c r="AS865" s="22">
        <f t="shared" si="266"/>
        <v>1</v>
      </c>
      <c r="AT865" s="24" t="str">
        <f t="shared" si="267"/>
        <v>0-3 months</v>
      </c>
      <c r="AU865" s="22" t="s">
        <v>3744</v>
      </c>
    </row>
    <row r="866" spans="1:47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41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280</v>
      </c>
      <c r="K866" s="155" t="s">
        <v>281</v>
      </c>
      <c r="L866" s="17" t="s">
        <v>92</v>
      </c>
      <c r="M866" s="13" t="s">
        <v>60</v>
      </c>
      <c r="N866" s="13">
        <v>1</v>
      </c>
      <c r="O866" s="13"/>
      <c r="P866" s="33" t="str">
        <f t="shared" si="258"/>
        <v>MAIN UNIT</v>
      </c>
      <c r="Q866" s="13" t="s">
        <v>61</v>
      </c>
      <c r="R866" s="13" t="s">
        <v>62</v>
      </c>
      <c r="S866" s="13" t="s">
        <v>49</v>
      </c>
      <c r="T866" s="13" t="s">
        <v>249</v>
      </c>
      <c r="U866" s="13" t="s">
        <v>79</v>
      </c>
      <c r="V866" s="13" t="s">
        <v>112</v>
      </c>
      <c r="W866" s="13" t="s">
        <v>109</v>
      </c>
      <c r="X866" s="135">
        <v>13730000</v>
      </c>
      <c r="Y866" s="156">
        <v>1</v>
      </c>
      <c r="Z866" s="18">
        <f t="shared" si="252"/>
        <v>13730000</v>
      </c>
      <c r="AA866" s="13">
        <v>7.0699999999999999E-2</v>
      </c>
      <c r="AB866" s="21">
        <f t="shared" si="269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53"/>
        <v>10785027.603448275</v>
      </c>
      <c r="AJ866" s="19">
        <f t="shared" si="254"/>
        <v>1540894.1297982759</v>
      </c>
      <c r="AK866" s="20">
        <f t="shared" si="262"/>
        <v>0.1428734525728621</v>
      </c>
      <c r="AL866" s="17"/>
      <c r="AM866" s="17"/>
      <c r="AN866" s="17"/>
      <c r="AO866" s="17"/>
      <c r="AP866" s="28" t="str">
        <f t="shared" si="263"/>
        <v>201811</v>
      </c>
      <c r="AQ866" s="28" t="str">
        <f t="shared" si="264"/>
        <v>201811JPY</v>
      </c>
      <c r="AR866" s="206" t="str">
        <f t="shared" si="265"/>
        <v>YAMAHA_Mounter</v>
      </c>
      <c r="AS866" s="22">
        <f t="shared" si="266"/>
        <v>3</v>
      </c>
      <c r="AT866" s="24" t="str">
        <f t="shared" si="267"/>
        <v>0-3 months</v>
      </c>
      <c r="AU866" s="22" t="s">
        <v>3746</v>
      </c>
    </row>
    <row r="867" spans="1:47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41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280</v>
      </c>
      <c r="K867" s="155" t="s">
        <v>281</v>
      </c>
      <c r="L867" s="17" t="s">
        <v>92</v>
      </c>
      <c r="M867" s="13" t="s">
        <v>60</v>
      </c>
      <c r="N867" s="13">
        <v>1</v>
      </c>
      <c r="O867" s="13"/>
      <c r="P867" s="33" t="str">
        <f t="shared" si="258"/>
        <v>MAIN UNIT</v>
      </c>
      <c r="Q867" s="13" t="s">
        <v>61</v>
      </c>
      <c r="R867" s="13" t="s">
        <v>62</v>
      </c>
      <c r="S867" s="13" t="s">
        <v>49</v>
      </c>
      <c r="T867" s="13" t="s">
        <v>249</v>
      </c>
      <c r="U867" s="13" t="s">
        <v>79</v>
      </c>
      <c r="V867" s="13" t="s">
        <v>112</v>
      </c>
      <c r="W867" s="13" t="s">
        <v>109</v>
      </c>
      <c r="X867" s="135">
        <v>13730000</v>
      </c>
      <c r="Y867" s="156">
        <v>1</v>
      </c>
      <c r="Z867" s="18">
        <f t="shared" si="252"/>
        <v>13730000</v>
      </c>
      <c r="AA867" s="13">
        <v>7.0699999999999999E-2</v>
      </c>
      <c r="AB867" s="21">
        <f t="shared" si="269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53"/>
        <v>10785027.603448275</v>
      </c>
      <c r="AJ867" s="19">
        <f t="shared" si="254"/>
        <v>1540894.1297982759</v>
      </c>
      <c r="AK867" s="20">
        <f t="shared" si="262"/>
        <v>0.1428734525728621</v>
      </c>
      <c r="AL867" s="17"/>
      <c r="AM867" s="17"/>
      <c r="AN867" s="17"/>
      <c r="AO867" s="17"/>
      <c r="AP867" s="28" t="str">
        <f t="shared" si="263"/>
        <v>201811</v>
      </c>
      <c r="AQ867" s="28" t="str">
        <f t="shared" si="264"/>
        <v>201811JPY</v>
      </c>
      <c r="AR867" s="206" t="str">
        <f t="shared" si="265"/>
        <v>YAMAHA_Mounter</v>
      </c>
      <c r="AS867" s="22">
        <f t="shared" si="266"/>
        <v>3</v>
      </c>
      <c r="AT867" s="24" t="str">
        <f t="shared" si="267"/>
        <v>0-3 months</v>
      </c>
      <c r="AU867" s="22" t="s">
        <v>3746</v>
      </c>
    </row>
    <row r="868" spans="1:47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53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1609</v>
      </c>
      <c r="K868" s="155" t="s">
        <v>1610</v>
      </c>
      <c r="L868" s="17" t="s">
        <v>92</v>
      </c>
      <c r="M868" s="13" t="s">
        <v>60</v>
      </c>
      <c r="N868" s="13">
        <v>1</v>
      </c>
      <c r="O868" s="13"/>
      <c r="P868" s="33" t="str">
        <f t="shared" si="258"/>
        <v>MAIN UNIT</v>
      </c>
      <c r="Q868" s="13" t="s">
        <v>61</v>
      </c>
      <c r="R868" s="13" t="s">
        <v>62</v>
      </c>
      <c r="S868" s="13" t="s">
        <v>49</v>
      </c>
      <c r="T868" s="13" t="s">
        <v>78</v>
      </c>
      <c r="U868" s="13" t="s">
        <v>79</v>
      </c>
      <c r="V868" s="13" t="s">
        <v>112</v>
      </c>
      <c r="W868" s="13" t="s">
        <v>109</v>
      </c>
      <c r="X868" s="135">
        <v>15000000</v>
      </c>
      <c r="Y868" s="157" t="str">
        <f t="shared" ref="Y868:Y874" si="270">IF(W868="RMB","1.13", "1")</f>
        <v>1</v>
      </c>
      <c r="Z868" s="18">
        <f t="shared" si="252"/>
        <v>15000000</v>
      </c>
      <c r="AA868" s="13">
        <v>7.17E-2</v>
      </c>
      <c r="AB868" s="21">
        <f t="shared" si="269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53"/>
        <v>41443303.53761062</v>
      </c>
      <c r="AJ868" s="19">
        <f t="shared" si="254"/>
        <v>6194988.76643031</v>
      </c>
      <c r="AK868" s="20">
        <f t="shared" si="262"/>
        <v>0.1494810557466355</v>
      </c>
      <c r="AL868" s="17"/>
      <c r="AM868" s="17"/>
      <c r="AN868" s="17"/>
      <c r="AO868" s="17"/>
      <c r="AP868" s="28" t="str">
        <f t="shared" si="263"/>
        <v>20217</v>
      </c>
      <c r="AQ868" s="28" t="str">
        <f t="shared" si="264"/>
        <v>20217JPY</v>
      </c>
      <c r="AR868" s="206" t="str">
        <f t="shared" si="265"/>
        <v>YAMAHA_Mounter</v>
      </c>
      <c r="AS868" s="22">
        <f t="shared" si="266"/>
        <v>10</v>
      </c>
      <c r="AT868" s="24" t="str">
        <f t="shared" si="267"/>
        <v>&gt; 6 months</v>
      </c>
      <c r="AU868" s="22" t="s">
        <v>3745</v>
      </c>
    </row>
    <row r="869" spans="1:47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53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1609</v>
      </c>
      <c r="K869" s="155" t="s">
        <v>1610</v>
      </c>
      <c r="L869" s="17" t="s">
        <v>92</v>
      </c>
      <c r="M869" s="13" t="s">
        <v>60</v>
      </c>
      <c r="N869" s="13">
        <v>1</v>
      </c>
      <c r="O869" s="13"/>
      <c r="P869" s="33" t="str">
        <f t="shared" si="258"/>
        <v>MAIN UNIT</v>
      </c>
      <c r="Q869" s="13" t="s">
        <v>61</v>
      </c>
      <c r="R869" s="13" t="s">
        <v>62</v>
      </c>
      <c r="S869" s="13" t="s">
        <v>49</v>
      </c>
      <c r="T869" s="13" t="s">
        <v>78</v>
      </c>
      <c r="U869" s="13" t="s">
        <v>79</v>
      </c>
      <c r="V869" s="13" t="s">
        <v>112</v>
      </c>
      <c r="W869" s="13" t="s">
        <v>109</v>
      </c>
      <c r="X869" s="135">
        <v>15000000</v>
      </c>
      <c r="Y869" s="157" t="str">
        <f t="shared" si="270"/>
        <v>1</v>
      </c>
      <c r="Z869" s="18">
        <f t="shared" si="252"/>
        <v>15000000</v>
      </c>
      <c r="AA869" s="13">
        <v>7.17E-2</v>
      </c>
      <c r="AB869" s="21">
        <f t="shared" si="269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53"/>
        <v>41443303.53761062</v>
      </c>
      <c r="AJ869" s="19">
        <f t="shared" si="254"/>
        <v>6194988.76643031</v>
      </c>
      <c r="AK869" s="20">
        <f t="shared" si="262"/>
        <v>0.1494810557466355</v>
      </c>
      <c r="AL869" s="17"/>
      <c r="AM869" s="17"/>
      <c r="AN869" s="17"/>
      <c r="AO869" s="17"/>
      <c r="AP869" s="28" t="str">
        <f t="shared" si="263"/>
        <v>20217</v>
      </c>
      <c r="AQ869" s="28" t="str">
        <f t="shared" si="264"/>
        <v>20217JPY</v>
      </c>
      <c r="AR869" s="206" t="str">
        <f t="shared" si="265"/>
        <v>YAMAHA_Mounter</v>
      </c>
      <c r="AS869" s="22">
        <f t="shared" si="266"/>
        <v>10</v>
      </c>
      <c r="AT869" s="24" t="str">
        <f t="shared" si="267"/>
        <v>&gt; 6 months</v>
      </c>
      <c r="AU869" s="22" t="s">
        <v>3745</v>
      </c>
    </row>
    <row r="870" spans="1:47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53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1609</v>
      </c>
      <c r="K870" s="155" t="s">
        <v>1610</v>
      </c>
      <c r="L870" s="17" t="s">
        <v>67</v>
      </c>
      <c r="M870" s="13" t="s">
        <v>60</v>
      </c>
      <c r="N870" s="13">
        <v>1</v>
      </c>
      <c r="O870" s="13"/>
      <c r="P870" s="33" t="str">
        <f t="shared" si="258"/>
        <v>MAIN UNIT</v>
      </c>
      <c r="Q870" s="13" t="s">
        <v>61</v>
      </c>
      <c r="R870" s="13" t="s">
        <v>62</v>
      </c>
      <c r="S870" s="13" t="s">
        <v>49</v>
      </c>
      <c r="T870" s="13" t="s">
        <v>78</v>
      </c>
      <c r="U870" s="13" t="s">
        <v>79</v>
      </c>
      <c r="V870" s="13" t="s">
        <v>112</v>
      </c>
      <c r="W870" s="13" t="s">
        <v>109</v>
      </c>
      <c r="X870" s="135">
        <v>6800000</v>
      </c>
      <c r="Y870" s="157" t="str">
        <f t="shared" si="270"/>
        <v>1</v>
      </c>
      <c r="Z870" s="18">
        <f t="shared" si="252"/>
        <v>6800000</v>
      </c>
      <c r="AA870" s="13">
        <v>7.17E-2</v>
      </c>
      <c r="AB870" s="21">
        <f t="shared" si="269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53"/>
        <v>41443303.53761062</v>
      </c>
      <c r="AJ870" s="19">
        <f t="shared" si="254"/>
        <v>6194988.76643031</v>
      </c>
      <c r="AK870" s="20">
        <f t="shared" si="262"/>
        <v>0.1494810557466355</v>
      </c>
      <c r="AL870" s="17"/>
      <c r="AM870" s="17"/>
      <c r="AN870" s="17"/>
      <c r="AO870" s="17"/>
      <c r="AP870" s="28" t="str">
        <f t="shared" si="263"/>
        <v>20217</v>
      </c>
      <c r="AQ870" s="28" t="str">
        <f t="shared" si="264"/>
        <v>20217JPY</v>
      </c>
      <c r="AR870" s="206" t="str">
        <f t="shared" si="265"/>
        <v>YAMAHA_Mounter</v>
      </c>
      <c r="AS870" s="22">
        <f t="shared" si="266"/>
        <v>10</v>
      </c>
      <c r="AT870" s="24" t="str">
        <f t="shared" si="267"/>
        <v>&gt; 6 months</v>
      </c>
      <c r="AU870" s="22" t="s">
        <v>3745</v>
      </c>
    </row>
    <row r="871" spans="1:47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185</v>
      </c>
      <c r="F871" s="13" t="s">
        <v>185</v>
      </c>
      <c r="G871" s="152" t="s">
        <v>1616</v>
      </c>
      <c r="H871" s="155"/>
      <c r="I871" s="33" t="str">
        <f t="shared" si="257"/>
        <v>Cancel</v>
      </c>
      <c r="J871" s="186" t="s">
        <v>2073</v>
      </c>
      <c r="K871" s="155" t="s">
        <v>1610</v>
      </c>
      <c r="L871" s="17" t="s">
        <v>92</v>
      </c>
      <c r="M871" s="13" t="s">
        <v>60</v>
      </c>
      <c r="N871" s="13">
        <v>1</v>
      </c>
      <c r="O871" s="13"/>
      <c r="P871" s="33" t="str">
        <f t="shared" si="258"/>
        <v>MAIN UNIT</v>
      </c>
      <c r="Q871" s="13" t="s">
        <v>61</v>
      </c>
      <c r="R871" s="13" t="s">
        <v>62</v>
      </c>
      <c r="S871" s="13" t="s">
        <v>49</v>
      </c>
      <c r="T871" s="13" t="s">
        <v>78</v>
      </c>
      <c r="U871" s="13" t="s">
        <v>79</v>
      </c>
      <c r="V871" s="13" t="s">
        <v>112</v>
      </c>
      <c r="W871" s="13" t="s">
        <v>109</v>
      </c>
      <c r="X871" s="135">
        <v>12600000</v>
      </c>
      <c r="Y871" s="157" t="str">
        <f t="shared" si="270"/>
        <v>1</v>
      </c>
      <c r="Z871" s="18">
        <f t="shared" si="252"/>
        <v>12600000</v>
      </c>
      <c r="AA871" s="13">
        <v>7.2400000000000006E-2</v>
      </c>
      <c r="AB871" s="21">
        <f t="shared" si="269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53"/>
        <v>499582152.5142017</v>
      </c>
      <c r="AJ871" s="19">
        <f t="shared" si="254"/>
        <v>59520528.679470733</v>
      </c>
      <c r="AK871" s="20">
        <f t="shared" si="262"/>
        <v>0.11914062257814291</v>
      </c>
      <c r="AL871" s="17"/>
      <c r="AM871" s="17"/>
      <c r="AN871" s="17"/>
      <c r="AO871" s="17"/>
      <c r="AP871" s="28" t="str">
        <f t="shared" si="263"/>
        <v>CancelCANCEL</v>
      </c>
      <c r="AQ871" s="28" t="str">
        <f t="shared" si="264"/>
        <v>CancelCANCELJPY</v>
      </c>
      <c r="AR871" s="206" t="str">
        <f t="shared" si="265"/>
        <v>YAMAHA_Mounter</v>
      </c>
      <c r="AS871" s="22" t="str">
        <f t="shared" si="266"/>
        <v/>
      </c>
      <c r="AT871" s="24" t="str">
        <f t="shared" si="267"/>
        <v/>
      </c>
      <c r="AU871" s="22" t="s">
        <v>3745</v>
      </c>
    </row>
    <row r="872" spans="1:47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185</v>
      </c>
      <c r="F872" s="13" t="s">
        <v>185</v>
      </c>
      <c r="G872" s="152" t="s">
        <v>1616</v>
      </c>
      <c r="H872" s="155"/>
      <c r="I872" s="33" t="str">
        <f t="shared" si="257"/>
        <v>Cancel</v>
      </c>
      <c r="J872" s="186" t="s">
        <v>2073</v>
      </c>
      <c r="K872" s="155" t="s">
        <v>1610</v>
      </c>
      <c r="L872" s="17" t="s">
        <v>92</v>
      </c>
      <c r="M872" s="13" t="s">
        <v>60</v>
      </c>
      <c r="N872" s="13">
        <v>1</v>
      </c>
      <c r="O872" s="13"/>
      <c r="P872" s="33" t="str">
        <f t="shared" si="258"/>
        <v>MAIN UNIT</v>
      </c>
      <c r="Q872" s="13" t="s">
        <v>61</v>
      </c>
      <c r="R872" s="13" t="s">
        <v>62</v>
      </c>
      <c r="S872" s="13" t="s">
        <v>49</v>
      </c>
      <c r="T872" s="13" t="s">
        <v>78</v>
      </c>
      <c r="U872" s="13" t="s">
        <v>79</v>
      </c>
      <c r="V872" s="13" t="s">
        <v>112</v>
      </c>
      <c r="W872" s="13" t="s">
        <v>109</v>
      </c>
      <c r="X872" s="135">
        <v>12600000</v>
      </c>
      <c r="Y872" s="157" t="str">
        <f t="shared" si="270"/>
        <v>1</v>
      </c>
      <c r="Z872" s="18">
        <f t="shared" si="252"/>
        <v>12600000</v>
      </c>
      <c r="AA872" s="13">
        <v>7.2400000000000006E-2</v>
      </c>
      <c r="AB872" s="21">
        <f t="shared" si="269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53"/>
        <v>499582152.5142017</v>
      </c>
      <c r="AJ872" s="19">
        <f t="shared" si="254"/>
        <v>59520528.679470733</v>
      </c>
      <c r="AK872" s="20">
        <f t="shared" si="262"/>
        <v>0.11914062257814291</v>
      </c>
      <c r="AL872" s="17"/>
      <c r="AM872" s="17"/>
      <c r="AN872" s="17"/>
      <c r="AO872" s="17"/>
      <c r="AP872" s="28" t="str">
        <f t="shared" si="263"/>
        <v>CancelCANCEL</v>
      </c>
      <c r="AQ872" s="28" t="str">
        <f t="shared" si="264"/>
        <v>CancelCANCELJPY</v>
      </c>
      <c r="AR872" s="206" t="str">
        <f t="shared" si="265"/>
        <v>YAMAHA_Mounter</v>
      </c>
      <c r="AS872" s="22" t="str">
        <f t="shared" si="266"/>
        <v/>
      </c>
      <c r="AT872" s="24" t="str">
        <f t="shared" si="267"/>
        <v/>
      </c>
      <c r="AU872" s="22" t="s">
        <v>3745</v>
      </c>
    </row>
    <row r="873" spans="1:47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185</v>
      </c>
      <c r="F873" s="13" t="s">
        <v>185</v>
      </c>
      <c r="G873" s="152" t="s">
        <v>1616</v>
      </c>
      <c r="H873" s="155"/>
      <c r="I873" s="33" t="str">
        <f t="shared" si="257"/>
        <v>Cancel</v>
      </c>
      <c r="J873" s="186" t="s">
        <v>2073</v>
      </c>
      <c r="K873" s="155" t="s">
        <v>1610</v>
      </c>
      <c r="L873" s="17" t="s">
        <v>67</v>
      </c>
      <c r="M873" s="13" t="s">
        <v>60</v>
      </c>
      <c r="N873" s="13">
        <v>1</v>
      </c>
      <c r="O873" s="13"/>
      <c r="P873" s="33" t="str">
        <f t="shared" si="258"/>
        <v>MAIN UNIT</v>
      </c>
      <c r="Q873" s="13" t="s">
        <v>61</v>
      </c>
      <c r="R873" s="13" t="s">
        <v>62</v>
      </c>
      <c r="S873" s="13" t="s">
        <v>49</v>
      </c>
      <c r="T873" s="13" t="s">
        <v>78</v>
      </c>
      <c r="U873" s="13" t="s">
        <v>79</v>
      </c>
      <c r="V873" s="13" t="s">
        <v>112</v>
      </c>
      <c r="W873" s="13" t="s">
        <v>109</v>
      </c>
      <c r="X873" s="135">
        <v>11498600</v>
      </c>
      <c r="Y873" s="157" t="str">
        <f t="shared" si="270"/>
        <v>1</v>
      </c>
      <c r="Z873" s="18">
        <f t="shared" si="252"/>
        <v>11498600</v>
      </c>
      <c r="AA873" s="13">
        <v>7.2400000000000006E-2</v>
      </c>
      <c r="AB873" s="21">
        <f t="shared" si="269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53"/>
        <v>499582152.5142017</v>
      </c>
      <c r="AJ873" s="19">
        <f t="shared" si="254"/>
        <v>59520528.679470733</v>
      </c>
      <c r="AK873" s="20">
        <f t="shared" si="262"/>
        <v>0.11914062257814291</v>
      </c>
      <c r="AL873" s="17"/>
      <c r="AM873" s="17"/>
      <c r="AN873" s="17"/>
      <c r="AO873" s="17"/>
      <c r="AP873" s="28" t="str">
        <f t="shared" si="263"/>
        <v>CancelCANCEL</v>
      </c>
      <c r="AQ873" s="28" t="str">
        <f t="shared" si="264"/>
        <v>CancelCANCELJPY</v>
      </c>
      <c r="AR873" s="206" t="str">
        <f t="shared" si="265"/>
        <v>YAMAHA_Mounter</v>
      </c>
      <c r="AS873" s="22" t="str">
        <f t="shared" si="266"/>
        <v/>
      </c>
      <c r="AT873" s="24" t="str">
        <f t="shared" si="267"/>
        <v/>
      </c>
      <c r="AU873" s="22" t="s">
        <v>3745</v>
      </c>
    </row>
    <row r="874" spans="1:47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185</v>
      </c>
      <c r="F874" s="13" t="s">
        <v>185</v>
      </c>
      <c r="G874" s="152" t="s">
        <v>1616</v>
      </c>
      <c r="H874" s="155"/>
      <c r="I874" s="33" t="str">
        <f t="shared" si="257"/>
        <v>Cancel</v>
      </c>
      <c r="J874" s="186" t="s">
        <v>2073</v>
      </c>
      <c r="K874" s="155" t="s">
        <v>1610</v>
      </c>
      <c r="L874" s="17" t="s">
        <v>67</v>
      </c>
      <c r="M874" s="13" t="s">
        <v>60</v>
      </c>
      <c r="N874" s="13">
        <v>1</v>
      </c>
      <c r="O874" s="13"/>
      <c r="P874" s="33" t="str">
        <f t="shared" si="258"/>
        <v>MAIN UNIT</v>
      </c>
      <c r="Q874" s="13" t="s">
        <v>61</v>
      </c>
      <c r="R874" s="13" t="s">
        <v>62</v>
      </c>
      <c r="S874" s="13" t="s">
        <v>49</v>
      </c>
      <c r="T874" s="13" t="s">
        <v>78</v>
      </c>
      <c r="U874" s="13" t="s">
        <v>79</v>
      </c>
      <c r="V874" s="13" t="s">
        <v>112</v>
      </c>
      <c r="W874" s="13" t="s">
        <v>109</v>
      </c>
      <c r="X874" s="135">
        <v>11498600</v>
      </c>
      <c r="Y874" s="157" t="str">
        <f t="shared" si="270"/>
        <v>1</v>
      </c>
      <c r="Z874" s="18">
        <f t="shared" si="252"/>
        <v>11498600</v>
      </c>
      <c r="AA874" s="13">
        <v>7.2400000000000006E-2</v>
      </c>
      <c r="AB874" s="21">
        <f t="shared" si="269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53"/>
        <v>499582152.5142017</v>
      </c>
      <c r="AJ874" s="19">
        <f t="shared" si="254"/>
        <v>59520528.679470733</v>
      </c>
      <c r="AK874" s="20">
        <f t="shared" si="262"/>
        <v>0.11914062257814291</v>
      </c>
      <c r="AL874" s="17"/>
      <c r="AM874" s="17"/>
      <c r="AN874" s="17"/>
      <c r="AO874" s="17"/>
      <c r="AP874" s="28" t="str">
        <f t="shared" si="263"/>
        <v>CancelCANCEL</v>
      </c>
      <c r="AQ874" s="28" t="str">
        <f t="shared" si="264"/>
        <v>CancelCANCELJPY</v>
      </c>
      <c r="AR874" s="206" t="str">
        <f t="shared" si="265"/>
        <v>YAMAHA_Mounter</v>
      </c>
      <c r="AS874" s="22" t="str">
        <f t="shared" si="266"/>
        <v/>
      </c>
      <c r="AT874" s="24" t="str">
        <f t="shared" si="267"/>
        <v/>
      </c>
      <c r="AU874" s="22" t="s">
        <v>3745</v>
      </c>
    </row>
    <row r="875" spans="1:47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55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2108</v>
      </c>
      <c r="K875" s="155" t="s">
        <v>2109</v>
      </c>
      <c r="L875" s="17" t="s">
        <v>92</v>
      </c>
      <c r="M875" s="13" t="s">
        <v>60</v>
      </c>
      <c r="N875" s="13">
        <v>1</v>
      </c>
      <c r="O875" s="13"/>
      <c r="P875" s="33" t="str">
        <f t="shared" si="258"/>
        <v>MAIN UNIT</v>
      </c>
      <c r="Q875" s="13" t="s">
        <v>61</v>
      </c>
      <c r="R875" s="13" t="s">
        <v>62</v>
      </c>
      <c r="S875" s="13" t="s">
        <v>49</v>
      </c>
      <c r="T875" s="13" t="s">
        <v>78</v>
      </c>
      <c r="U875" s="13" t="s">
        <v>2110</v>
      </c>
      <c r="V875" s="13" t="s">
        <v>112</v>
      </c>
      <c r="W875" s="13" t="s">
        <v>109</v>
      </c>
      <c r="X875" s="135">
        <v>13000000</v>
      </c>
      <c r="Y875" s="157" t="str">
        <f t="shared" ref="Y875:Y886" si="271">IF(W875="","",IF(W875="RMB","1.13", "1"))</f>
        <v>1</v>
      </c>
      <c r="Z875" s="18">
        <f t="shared" si="252"/>
        <v>13000000</v>
      </c>
      <c r="AA875" s="13">
        <v>5.6300000000000003E-2</v>
      </c>
      <c r="AB875" s="21">
        <f t="shared" si="269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53"/>
        <v>23146578.081415929</v>
      </c>
      <c r="AJ875" s="19">
        <f t="shared" si="254"/>
        <v>2745231.3889985834</v>
      </c>
      <c r="AK875" s="20">
        <f t="shared" si="262"/>
        <v>0.11860204041143742</v>
      </c>
      <c r="AL875" s="17"/>
      <c r="AM875" s="17"/>
      <c r="AN875" s="17"/>
      <c r="AO875" s="17"/>
      <c r="AP875" s="28" t="str">
        <f t="shared" si="263"/>
        <v>20241</v>
      </c>
      <c r="AQ875" s="28" t="str">
        <f t="shared" si="264"/>
        <v>20241JPY</v>
      </c>
      <c r="AR875" s="206" t="str">
        <f t="shared" si="265"/>
        <v>YAMAHA_Mounter</v>
      </c>
      <c r="AS875" s="22">
        <f t="shared" si="266"/>
        <v>2</v>
      </c>
      <c r="AT875" s="24" t="str">
        <f t="shared" si="267"/>
        <v>0-3 months</v>
      </c>
      <c r="AU875" s="22" t="s">
        <v>3745</v>
      </c>
    </row>
    <row r="876" spans="1:47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55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2108</v>
      </c>
      <c r="K876" s="155" t="s">
        <v>2109</v>
      </c>
      <c r="L876" s="17" t="s">
        <v>92</v>
      </c>
      <c r="M876" s="13" t="s">
        <v>60</v>
      </c>
      <c r="N876" s="13">
        <v>1</v>
      </c>
      <c r="O876" s="13"/>
      <c r="P876" s="33" t="str">
        <f t="shared" si="258"/>
        <v>MAIN UNIT</v>
      </c>
      <c r="Q876" s="13" t="s">
        <v>61</v>
      </c>
      <c r="R876" s="13" t="s">
        <v>62</v>
      </c>
      <c r="S876" s="13" t="s">
        <v>49</v>
      </c>
      <c r="T876" s="13" t="s">
        <v>78</v>
      </c>
      <c r="U876" s="13" t="s">
        <v>2110</v>
      </c>
      <c r="V876" s="13" t="s">
        <v>112</v>
      </c>
      <c r="W876" s="13" t="s">
        <v>109</v>
      </c>
      <c r="X876" s="135">
        <v>13000000</v>
      </c>
      <c r="Y876" s="157" t="str">
        <f t="shared" si="271"/>
        <v>1</v>
      </c>
      <c r="Z876" s="18">
        <f t="shared" si="252"/>
        <v>13000000</v>
      </c>
      <c r="AA876" s="13">
        <v>5.6300000000000003E-2</v>
      </c>
      <c r="AB876" s="21">
        <f t="shared" si="269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53"/>
        <v>23146578.081415929</v>
      </c>
      <c r="AJ876" s="19">
        <f t="shared" si="254"/>
        <v>2745231.3889985834</v>
      </c>
      <c r="AK876" s="20">
        <f t="shared" si="262"/>
        <v>0.11860204041143742</v>
      </c>
      <c r="AL876" s="17"/>
      <c r="AM876" s="17"/>
      <c r="AN876" s="17"/>
      <c r="AO876" s="17"/>
      <c r="AP876" s="28" t="str">
        <f t="shared" si="263"/>
        <v>20241</v>
      </c>
      <c r="AQ876" s="28" t="str">
        <f t="shared" si="264"/>
        <v>20241JPY</v>
      </c>
      <c r="AR876" s="206" t="str">
        <f t="shared" si="265"/>
        <v>YAMAHA_Mounter</v>
      </c>
      <c r="AS876" s="22">
        <f t="shared" si="266"/>
        <v>2</v>
      </c>
      <c r="AT876" s="24" t="str">
        <f t="shared" si="267"/>
        <v>0-3 months</v>
      </c>
      <c r="AU876" s="22" t="s">
        <v>3745</v>
      </c>
    </row>
    <row r="877" spans="1:47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55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2108</v>
      </c>
      <c r="K877" s="155" t="s">
        <v>2109</v>
      </c>
      <c r="L877" s="17" t="s">
        <v>92</v>
      </c>
      <c r="M877" s="13" t="s">
        <v>60</v>
      </c>
      <c r="N877" s="13">
        <v>1</v>
      </c>
      <c r="O877" s="13"/>
      <c r="P877" s="33" t="str">
        <f t="shared" si="258"/>
        <v>MAIN UNIT</v>
      </c>
      <c r="Q877" s="13" t="s">
        <v>61</v>
      </c>
      <c r="R877" s="13" t="s">
        <v>62</v>
      </c>
      <c r="S877" s="13" t="s">
        <v>49</v>
      </c>
      <c r="T877" s="13" t="s">
        <v>78</v>
      </c>
      <c r="U877" s="13" t="s">
        <v>2110</v>
      </c>
      <c r="V877" s="13" t="s">
        <v>112</v>
      </c>
      <c r="W877" s="13" t="s">
        <v>109</v>
      </c>
      <c r="X877" s="135">
        <v>13000000</v>
      </c>
      <c r="Y877" s="157" t="str">
        <f t="shared" si="271"/>
        <v>1</v>
      </c>
      <c r="Z877" s="18">
        <f t="shared" si="252"/>
        <v>13000000</v>
      </c>
      <c r="AA877" s="13">
        <v>5.6300000000000003E-2</v>
      </c>
      <c r="AB877" s="21">
        <f t="shared" si="269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53"/>
        <v>23146578.081415929</v>
      </c>
      <c r="AJ877" s="19">
        <f t="shared" si="254"/>
        <v>2745231.3889985834</v>
      </c>
      <c r="AK877" s="20">
        <f t="shared" si="262"/>
        <v>0.11860204041143742</v>
      </c>
      <c r="AL877" s="17"/>
      <c r="AM877" s="17"/>
      <c r="AN877" s="17"/>
      <c r="AO877" s="17"/>
      <c r="AP877" s="28" t="str">
        <f t="shared" si="263"/>
        <v>20241</v>
      </c>
      <c r="AQ877" s="28" t="str">
        <f t="shared" si="264"/>
        <v>20241JPY</v>
      </c>
      <c r="AR877" s="206" t="str">
        <f t="shared" si="265"/>
        <v>YAMAHA_Mounter</v>
      </c>
      <c r="AS877" s="22">
        <f t="shared" si="266"/>
        <v>2</v>
      </c>
      <c r="AT877" s="24" t="str">
        <f t="shared" si="267"/>
        <v>0-3 months</v>
      </c>
      <c r="AU877" s="22" t="s">
        <v>3745</v>
      </c>
    </row>
    <row r="878" spans="1:47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55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2108</v>
      </c>
      <c r="K878" s="155" t="s">
        <v>2109</v>
      </c>
      <c r="L878" s="17" t="s">
        <v>92</v>
      </c>
      <c r="M878" s="13" t="s">
        <v>60</v>
      </c>
      <c r="N878" s="13">
        <v>1</v>
      </c>
      <c r="O878" s="13"/>
      <c r="P878" s="33" t="str">
        <f t="shared" si="258"/>
        <v>MAIN UNIT</v>
      </c>
      <c r="Q878" s="13" t="s">
        <v>61</v>
      </c>
      <c r="R878" s="13" t="s">
        <v>62</v>
      </c>
      <c r="S878" s="13" t="s">
        <v>49</v>
      </c>
      <c r="T878" s="13" t="s">
        <v>78</v>
      </c>
      <c r="U878" s="13" t="s">
        <v>2110</v>
      </c>
      <c r="V878" s="13" t="s">
        <v>112</v>
      </c>
      <c r="W878" s="13" t="s">
        <v>109</v>
      </c>
      <c r="X878" s="135">
        <v>13000000</v>
      </c>
      <c r="Y878" s="157" t="str">
        <f t="shared" si="271"/>
        <v>1</v>
      </c>
      <c r="Z878" s="18">
        <f t="shared" ref="Z878:Z941" si="272">IF(X878="","",X878*MAX(O878,N878))</f>
        <v>13000000</v>
      </c>
      <c r="AA878" s="13">
        <v>5.6300000000000003E-2</v>
      </c>
      <c r="AB878" s="21">
        <f t="shared" si="269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53"/>
        <v>23146578.081415929</v>
      </c>
      <c r="AJ878" s="19">
        <f t="shared" si="254"/>
        <v>2745231.3889985834</v>
      </c>
      <c r="AK878" s="20">
        <f t="shared" si="262"/>
        <v>0.11860204041143742</v>
      </c>
      <c r="AL878" s="17"/>
      <c r="AM878" s="17"/>
      <c r="AN878" s="17"/>
      <c r="AO878" s="17"/>
      <c r="AP878" s="28" t="str">
        <f t="shared" si="263"/>
        <v>20241</v>
      </c>
      <c r="AQ878" s="28" t="str">
        <f t="shared" si="264"/>
        <v>20241JPY</v>
      </c>
      <c r="AR878" s="206" t="str">
        <f t="shared" si="265"/>
        <v>YAMAHA_Mounter</v>
      </c>
      <c r="AS878" s="22">
        <f t="shared" si="266"/>
        <v>2</v>
      </c>
      <c r="AT878" s="24" t="str">
        <f t="shared" si="267"/>
        <v>0-3 months</v>
      </c>
      <c r="AU878" s="22" t="s">
        <v>3745</v>
      </c>
    </row>
    <row r="879" spans="1:47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55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2108</v>
      </c>
      <c r="K879" s="155" t="s">
        <v>2109</v>
      </c>
      <c r="L879" s="17" t="s">
        <v>67</v>
      </c>
      <c r="M879" s="13" t="s">
        <v>60</v>
      </c>
      <c r="N879" s="13">
        <v>1</v>
      </c>
      <c r="O879" s="13"/>
      <c r="P879" s="33" t="str">
        <f t="shared" si="258"/>
        <v>MAIN UNIT</v>
      </c>
      <c r="Q879" s="13" t="s">
        <v>61</v>
      </c>
      <c r="R879" s="13" t="s">
        <v>62</v>
      </c>
      <c r="S879" s="13" t="s">
        <v>49</v>
      </c>
      <c r="T879" s="13" t="s">
        <v>78</v>
      </c>
      <c r="U879" s="13" t="s">
        <v>2110</v>
      </c>
      <c r="V879" s="13" t="s">
        <v>112</v>
      </c>
      <c r="W879" s="13" t="s">
        <v>109</v>
      </c>
      <c r="X879" s="135">
        <v>8500000</v>
      </c>
      <c r="Y879" s="157" t="str">
        <f t="shared" si="271"/>
        <v>1</v>
      </c>
      <c r="Z879" s="18">
        <f t="shared" si="272"/>
        <v>8500000</v>
      </c>
      <c r="AA879" s="13">
        <v>5.6300000000000003E-2</v>
      </c>
      <c r="AB879" s="21">
        <f t="shared" si="269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53"/>
        <v>23146578.081415929</v>
      </c>
      <c r="AJ879" s="19">
        <f t="shared" si="254"/>
        <v>2745231.3889985834</v>
      </c>
      <c r="AK879" s="20">
        <f t="shared" si="262"/>
        <v>0.11860204041143742</v>
      </c>
      <c r="AL879" s="17"/>
      <c r="AM879" s="17"/>
      <c r="AN879" s="17"/>
      <c r="AO879" s="17"/>
      <c r="AP879" s="28" t="str">
        <f t="shared" si="263"/>
        <v>20241</v>
      </c>
      <c r="AQ879" s="28" t="str">
        <f t="shared" si="264"/>
        <v>20241JPY</v>
      </c>
      <c r="AR879" s="206" t="str">
        <f t="shared" si="265"/>
        <v>YAMAHA_Mounter</v>
      </c>
      <c r="AS879" s="22">
        <f t="shared" si="266"/>
        <v>2</v>
      </c>
      <c r="AT879" s="24" t="str">
        <f t="shared" si="267"/>
        <v>0-3 months</v>
      </c>
      <c r="AU879" s="22" t="s">
        <v>3745</v>
      </c>
    </row>
    <row r="880" spans="1:47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55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2108</v>
      </c>
      <c r="K880" s="155" t="s">
        <v>2109</v>
      </c>
      <c r="L880" s="17" t="s">
        <v>67</v>
      </c>
      <c r="M880" s="13" t="s">
        <v>60</v>
      </c>
      <c r="N880" s="13">
        <v>1</v>
      </c>
      <c r="O880" s="13"/>
      <c r="P880" s="33" t="str">
        <f t="shared" si="258"/>
        <v>MAIN UNIT</v>
      </c>
      <c r="Q880" s="13" t="s">
        <v>61</v>
      </c>
      <c r="R880" s="13" t="s">
        <v>62</v>
      </c>
      <c r="S880" s="13" t="s">
        <v>49</v>
      </c>
      <c r="T880" s="13" t="s">
        <v>78</v>
      </c>
      <c r="U880" s="13" t="s">
        <v>2110</v>
      </c>
      <c r="V880" s="13" t="s">
        <v>112</v>
      </c>
      <c r="W880" s="13" t="s">
        <v>109</v>
      </c>
      <c r="X880" s="135">
        <v>8500000</v>
      </c>
      <c r="Y880" s="157" t="str">
        <f t="shared" si="271"/>
        <v>1</v>
      </c>
      <c r="Z880" s="18">
        <f t="shared" si="272"/>
        <v>8500000</v>
      </c>
      <c r="AA880" s="13">
        <v>5.6300000000000003E-2</v>
      </c>
      <c r="AB880" s="21">
        <f t="shared" si="269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53"/>
        <v>23146578.081415929</v>
      </c>
      <c r="AJ880" s="19">
        <f t="shared" si="254"/>
        <v>2745231.3889985834</v>
      </c>
      <c r="AK880" s="20">
        <f t="shared" si="262"/>
        <v>0.11860204041143742</v>
      </c>
      <c r="AL880" s="17"/>
      <c r="AM880" s="17"/>
      <c r="AN880" s="17"/>
      <c r="AO880" s="17"/>
      <c r="AP880" s="28" t="str">
        <f t="shared" si="263"/>
        <v>20241</v>
      </c>
      <c r="AQ880" s="28" t="str">
        <f t="shared" si="264"/>
        <v>20241JPY</v>
      </c>
      <c r="AR880" s="206" t="str">
        <f t="shared" si="265"/>
        <v>YAMAHA_Mounter</v>
      </c>
      <c r="AS880" s="22">
        <f t="shared" si="266"/>
        <v>2</v>
      </c>
      <c r="AT880" s="24" t="str">
        <f t="shared" si="267"/>
        <v>0-3 months</v>
      </c>
      <c r="AU880" s="22" t="s">
        <v>3745</v>
      </c>
    </row>
    <row r="881" spans="1:47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55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2108</v>
      </c>
      <c r="K881" s="155" t="s">
        <v>2109</v>
      </c>
      <c r="L881" s="17" t="s">
        <v>67</v>
      </c>
      <c r="M881" s="13" t="s">
        <v>60</v>
      </c>
      <c r="N881" s="13">
        <v>1</v>
      </c>
      <c r="O881" s="13"/>
      <c r="P881" s="33" t="str">
        <f t="shared" si="258"/>
        <v>MAIN UNIT</v>
      </c>
      <c r="Q881" s="13" t="s">
        <v>61</v>
      </c>
      <c r="R881" s="13" t="s">
        <v>62</v>
      </c>
      <c r="S881" s="13" t="s">
        <v>49</v>
      </c>
      <c r="T881" s="13" t="s">
        <v>78</v>
      </c>
      <c r="U881" s="13" t="s">
        <v>2110</v>
      </c>
      <c r="V881" s="13" t="s">
        <v>112</v>
      </c>
      <c r="W881" s="13" t="s">
        <v>109</v>
      </c>
      <c r="X881" s="135">
        <v>8500000</v>
      </c>
      <c r="Y881" s="157" t="str">
        <f t="shared" si="271"/>
        <v>1</v>
      </c>
      <c r="Z881" s="18">
        <f t="shared" si="272"/>
        <v>8500000</v>
      </c>
      <c r="AA881" s="13">
        <v>5.6300000000000003E-2</v>
      </c>
      <c r="AB881" s="21">
        <f t="shared" si="269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53"/>
        <v>23146578.081415929</v>
      </c>
      <c r="AJ881" s="19">
        <f t="shared" si="254"/>
        <v>2745231.3889985834</v>
      </c>
      <c r="AK881" s="20">
        <f t="shared" si="262"/>
        <v>0.11860204041143742</v>
      </c>
      <c r="AL881" s="17"/>
      <c r="AM881" s="17"/>
      <c r="AN881" s="17"/>
      <c r="AO881" s="17"/>
      <c r="AP881" s="28" t="str">
        <f t="shared" si="263"/>
        <v>20241</v>
      </c>
      <c r="AQ881" s="28" t="str">
        <f t="shared" si="264"/>
        <v>20241JPY</v>
      </c>
      <c r="AR881" s="206" t="str">
        <f t="shared" si="265"/>
        <v>YAMAHA_Mounter</v>
      </c>
      <c r="AS881" s="22">
        <f t="shared" si="266"/>
        <v>2</v>
      </c>
      <c r="AT881" s="24" t="str">
        <f t="shared" si="267"/>
        <v>0-3 months</v>
      </c>
      <c r="AU881" s="22" t="s">
        <v>3745</v>
      </c>
    </row>
    <row r="882" spans="1:47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55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2108</v>
      </c>
      <c r="K882" s="155" t="s">
        <v>2109</v>
      </c>
      <c r="L882" s="17" t="s">
        <v>67</v>
      </c>
      <c r="M882" s="13" t="s">
        <v>60</v>
      </c>
      <c r="N882" s="13">
        <v>1</v>
      </c>
      <c r="O882" s="13"/>
      <c r="P882" s="33" t="str">
        <f t="shared" si="258"/>
        <v>MAIN UNIT</v>
      </c>
      <c r="Q882" s="13" t="s">
        <v>61</v>
      </c>
      <c r="R882" s="13" t="s">
        <v>62</v>
      </c>
      <c r="S882" s="13" t="s">
        <v>49</v>
      </c>
      <c r="T882" s="13" t="s">
        <v>78</v>
      </c>
      <c r="U882" s="13" t="s">
        <v>2110</v>
      </c>
      <c r="V882" s="13" t="s">
        <v>112</v>
      </c>
      <c r="W882" s="13" t="s">
        <v>109</v>
      </c>
      <c r="X882" s="135">
        <v>8500000</v>
      </c>
      <c r="Y882" s="157" t="str">
        <f t="shared" si="271"/>
        <v>1</v>
      </c>
      <c r="Z882" s="18">
        <f t="shared" si="272"/>
        <v>8500000</v>
      </c>
      <c r="AA882" s="13">
        <v>5.6300000000000003E-2</v>
      </c>
      <c r="AB882" s="21">
        <f t="shared" si="269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53"/>
        <v>23146578.081415929</v>
      </c>
      <c r="AJ882" s="19">
        <f t="shared" si="254"/>
        <v>2745231.3889985834</v>
      </c>
      <c r="AK882" s="20">
        <f t="shared" si="262"/>
        <v>0.11860204041143742</v>
      </c>
      <c r="AL882" s="17"/>
      <c r="AM882" s="17"/>
      <c r="AN882" s="17"/>
      <c r="AO882" s="17"/>
      <c r="AP882" s="28" t="str">
        <f t="shared" si="263"/>
        <v>20241</v>
      </c>
      <c r="AQ882" s="28" t="str">
        <f t="shared" si="264"/>
        <v>20241JPY</v>
      </c>
      <c r="AR882" s="206" t="str">
        <f t="shared" si="265"/>
        <v>YAMAHA_Mounter</v>
      </c>
      <c r="AS882" s="22">
        <f t="shared" si="266"/>
        <v>2</v>
      </c>
      <c r="AT882" s="24" t="str">
        <f t="shared" si="267"/>
        <v>0-3 months</v>
      </c>
      <c r="AU882" s="22" t="s">
        <v>3745</v>
      </c>
    </row>
    <row r="883" spans="1:47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55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2108</v>
      </c>
      <c r="K883" s="155" t="s">
        <v>2109</v>
      </c>
      <c r="L883" s="17" t="s">
        <v>67</v>
      </c>
      <c r="M883" s="13" t="s">
        <v>60</v>
      </c>
      <c r="N883" s="13">
        <v>1</v>
      </c>
      <c r="O883" s="13"/>
      <c r="P883" s="33" t="str">
        <f t="shared" si="258"/>
        <v>MAIN UNIT</v>
      </c>
      <c r="Q883" s="13" t="s">
        <v>61</v>
      </c>
      <c r="R883" s="13" t="s">
        <v>62</v>
      </c>
      <c r="S883" s="13" t="s">
        <v>49</v>
      </c>
      <c r="T883" s="13" t="s">
        <v>78</v>
      </c>
      <c r="U883" s="13" t="s">
        <v>2110</v>
      </c>
      <c r="V883" s="13" t="s">
        <v>112</v>
      </c>
      <c r="W883" s="13" t="s">
        <v>109</v>
      </c>
      <c r="X883" s="135">
        <v>8500000</v>
      </c>
      <c r="Y883" s="157" t="str">
        <f t="shared" si="271"/>
        <v>1</v>
      </c>
      <c r="Z883" s="18">
        <f t="shared" si="272"/>
        <v>8500000</v>
      </c>
      <c r="AA883" s="13">
        <v>5.6300000000000003E-2</v>
      </c>
      <c r="AB883" s="21">
        <f t="shared" si="269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53"/>
        <v>23146578.081415929</v>
      </c>
      <c r="AJ883" s="19">
        <f t="shared" si="254"/>
        <v>2745231.3889985834</v>
      </c>
      <c r="AK883" s="20">
        <f t="shared" si="262"/>
        <v>0.11860204041143742</v>
      </c>
      <c r="AL883" s="17"/>
      <c r="AM883" s="17"/>
      <c r="AN883" s="17"/>
      <c r="AO883" s="17"/>
      <c r="AP883" s="28" t="str">
        <f t="shared" si="263"/>
        <v>20241</v>
      </c>
      <c r="AQ883" s="28" t="str">
        <f t="shared" si="264"/>
        <v>20241JPY</v>
      </c>
      <c r="AR883" s="206" t="str">
        <f t="shared" si="265"/>
        <v>YAMAHA_Mounter</v>
      </c>
      <c r="AS883" s="22">
        <f t="shared" si="266"/>
        <v>2</v>
      </c>
      <c r="AT883" s="24" t="str">
        <f t="shared" si="267"/>
        <v>0-3 months</v>
      </c>
      <c r="AU883" s="22" t="s">
        <v>3745</v>
      </c>
    </row>
    <row r="884" spans="1:47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55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2108</v>
      </c>
      <c r="K884" s="155" t="s">
        <v>2109</v>
      </c>
      <c r="L884" s="17" t="s">
        <v>67</v>
      </c>
      <c r="M884" s="13" t="s">
        <v>60</v>
      </c>
      <c r="N884" s="13">
        <v>1</v>
      </c>
      <c r="O884" s="13"/>
      <c r="P884" s="33" t="str">
        <f t="shared" si="258"/>
        <v>MAIN UNIT</v>
      </c>
      <c r="Q884" s="13" t="s">
        <v>61</v>
      </c>
      <c r="R884" s="13" t="s">
        <v>62</v>
      </c>
      <c r="S884" s="13" t="s">
        <v>49</v>
      </c>
      <c r="T884" s="13" t="s">
        <v>78</v>
      </c>
      <c r="U884" s="13" t="s">
        <v>2110</v>
      </c>
      <c r="V884" s="13" t="s">
        <v>112</v>
      </c>
      <c r="W884" s="13" t="s">
        <v>109</v>
      </c>
      <c r="X884" s="135">
        <v>8500000</v>
      </c>
      <c r="Y884" s="157" t="str">
        <f t="shared" si="271"/>
        <v>1</v>
      </c>
      <c r="Z884" s="18">
        <f t="shared" si="272"/>
        <v>8500000</v>
      </c>
      <c r="AA884" s="13">
        <v>5.6300000000000003E-2</v>
      </c>
      <c r="AB884" s="21">
        <f t="shared" si="269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53"/>
        <v>23146578.081415929</v>
      </c>
      <c r="AJ884" s="19">
        <f t="shared" si="254"/>
        <v>2745231.3889985834</v>
      </c>
      <c r="AK884" s="20">
        <f t="shared" si="262"/>
        <v>0.11860204041143742</v>
      </c>
      <c r="AL884" s="17"/>
      <c r="AM884" s="17"/>
      <c r="AN884" s="17"/>
      <c r="AO884" s="17"/>
      <c r="AP884" s="28" t="str">
        <f t="shared" si="263"/>
        <v>20241</v>
      </c>
      <c r="AQ884" s="28" t="str">
        <f t="shared" si="264"/>
        <v>20241JPY</v>
      </c>
      <c r="AR884" s="206" t="str">
        <f t="shared" si="265"/>
        <v>YAMAHA_Mounter</v>
      </c>
      <c r="AS884" s="22">
        <f t="shared" si="266"/>
        <v>2</v>
      </c>
      <c r="AT884" s="24" t="str">
        <f t="shared" si="267"/>
        <v>0-3 months</v>
      </c>
      <c r="AU884" s="22" t="s">
        <v>3745</v>
      </c>
    </row>
    <row r="885" spans="1:47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55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2108</v>
      </c>
      <c r="K885" s="155" t="s">
        <v>2109</v>
      </c>
      <c r="L885" s="17" t="s">
        <v>67</v>
      </c>
      <c r="M885" s="13" t="s">
        <v>60</v>
      </c>
      <c r="N885" s="13">
        <v>1</v>
      </c>
      <c r="O885" s="13"/>
      <c r="P885" s="33" t="str">
        <f t="shared" si="258"/>
        <v>MAIN UNIT</v>
      </c>
      <c r="Q885" s="13" t="s">
        <v>61</v>
      </c>
      <c r="R885" s="13" t="s">
        <v>62</v>
      </c>
      <c r="S885" s="13" t="s">
        <v>49</v>
      </c>
      <c r="T885" s="13" t="s">
        <v>78</v>
      </c>
      <c r="U885" s="13" t="s">
        <v>2110</v>
      </c>
      <c r="V885" s="13" t="s">
        <v>112</v>
      </c>
      <c r="W885" s="13" t="s">
        <v>109</v>
      </c>
      <c r="X885" s="135">
        <v>8500000</v>
      </c>
      <c r="Y885" s="157" t="str">
        <f t="shared" si="271"/>
        <v>1</v>
      </c>
      <c r="Z885" s="18">
        <f t="shared" si="272"/>
        <v>8500000</v>
      </c>
      <c r="AA885" s="13">
        <v>5.6300000000000003E-2</v>
      </c>
      <c r="AB885" s="21">
        <f t="shared" si="269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53"/>
        <v>23146578.081415929</v>
      </c>
      <c r="AJ885" s="19">
        <f t="shared" si="254"/>
        <v>2745231.3889985834</v>
      </c>
      <c r="AK885" s="20">
        <f t="shared" si="262"/>
        <v>0.11860204041143742</v>
      </c>
      <c r="AL885" s="17"/>
      <c r="AM885" s="17"/>
      <c r="AN885" s="17"/>
      <c r="AO885" s="17"/>
      <c r="AP885" s="28" t="str">
        <f t="shared" si="263"/>
        <v>20241</v>
      </c>
      <c r="AQ885" s="28" t="str">
        <f t="shared" si="264"/>
        <v>20241JPY</v>
      </c>
      <c r="AR885" s="206" t="str">
        <f t="shared" si="265"/>
        <v>YAMAHA_Mounter</v>
      </c>
      <c r="AS885" s="22">
        <f t="shared" si="266"/>
        <v>2</v>
      </c>
      <c r="AT885" s="24" t="str">
        <f t="shared" si="267"/>
        <v>0-3 months</v>
      </c>
      <c r="AU885" s="22" t="s">
        <v>3745</v>
      </c>
    </row>
    <row r="886" spans="1:47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55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2108</v>
      </c>
      <c r="K886" s="155" t="s">
        <v>2109</v>
      </c>
      <c r="L886" s="17" t="s">
        <v>67</v>
      </c>
      <c r="M886" s="13" t="s">
        <v>60</v>
      </c>
      <c r="N886" s="13">
        <v>1</v>
      </c>
      <c r="O886" s="13"/>
      <c r="P886" s="33" t="str">
        <f t="shared" si="258"/>
        <v>MAIN UNIT</v>
      </c>
      <c r="Q886" s="13" t="s">
        <v>61</v>
      </c>
      <c r="R886" s="13" t="s">
        <v>62</v>
      </c>
      <c r="S886" s="13" t="s">
        <v>49</v>
      </c>
      <c r="T886" s="13" t="s">
        <v>78</v>
      </c>
      <c r="U886" s="13" t="s">
        <v>2110</v>
      </c>
      <c r="V886" s="13" t="s">
        <v>112</v>
      </c>
      <c r="W886" s="13" t="s">
        <v>109</v>
      </c>
      <c r="X886" s="135">
        <v>8500000</v>
      </c>
      <c r="Y886" s="157" t="str">
        <f t="shared" si="271"/>
        <v>1</v>
      </c>
      <c r="Z886" s="18">
        <f t="shared" si="272"/>
        <v>8500000</v>
      </c>
      <c r="AA886" s="13">
        <v>5.6300000000000003E-2</v>
      </c>
      <c r="AB886" s="21">
        <f t="shared" si="269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53"/>
        <v>23146578.081415929</v>
      </c>
      <c r="AJ886" s="19">
        <f t="shared" si="254"/>
        <v>2745231.3889985834</v>
      </c>
      <c r="AK886" s="20">
        <f t="shared" si="262"/>
        <v>0.11860204041143742</v>
      </c>
      <c r="AL886" s="17"/>
      <c r="AM886" s="17"/>
      <c r="AN886" s="17"/>
      <c r="AO886" s="17"/>
      <c r="AP886" s="28" t="str">
        <f t="shared" si="263"/>
        <v>20241</v>
      </c>
      <c r="AQ886" s="28" t="str">
        <f t="shared" si="264"/>
        <v>20241JPY</v>
      </c>
      <c r="AR886" s="206" t="str">
        <f t="shared" si="265"/>
        <v>YAMAHA_Mounter</v>
      </c>
      <c r="AS886" s="22">
        <f t="shared" si="266"/>
        <v>2</v>
      </c>
      <c r="AT886" s="24" t="str">
        <f t="shared" si="267"/>
        <v>0-3 months</v>
      </c>
      <c r="AU886" s="22" t="s">
        <v>3745</v>
      </c>
    </row>
    <row r="887" spans="1:47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55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2546</v>
      </c>
      <c r="K887" s="155" t="s">
        <v>2547</v>
      </c>
      <c r="L887" s="17" t="s">
        <v>92</v>
      </c>
      <c r="M887" s="13" t="s">
        <v>60</v>
      </c>
      <c r="N887" s="13">
        <v>1</v>
      </c>
      <c r="O887" s="13"/>
      <c r="P887" s="33" t="str">
        <f t="shared" si="258"/>
        <v>MAIN UNIT</v>
      </c>
      <c r="Q887" s="13" t="s">
        <v>68</v>
      </c>
      <c r="R887" s="13" t="s">
        <v>62</v>
      </c>
      <c r="S887" s="13" t="s">
        <v>49</v>
      </c>
      <c r="T887" s="13" t="s">
        <v>78</v>
      </c>
      <c r="U887" s="13" t="s">
        <v>2548</v>
      </c>
      <c r="V887" s="13" t="s">
        <v>471</v>
      </c>
      <c r="W887" s="13" t="s">
        <v>64</v>
      </c>
      <c r="X887" s="135">
        <v>830000</v>
      </c>
      <c r="Y887" s="157" t="str">
        <f>IF(W887="RMB","1.13", "1")</f>
        <v>1.13</v>
      </c>
      <c r="Z887" s="18">
        <f t="shared" si="272"/>
        <v>830000</v>
      </c>
      <c r="AA887" s="13">
        <v>1.0920000000000001</v>
      </c>
      <c r="AB887" s="21">
        <f t="shared" si="269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53"/>
        <v>22953677.784070797</v>
      </c>
      <c r="AJ887" s="19">
        <f t="shared" si="254"/>
        <v>4168706.6744155753</v>
      </c>
      <c r="AK887" s="20">
        <f t="shared" si="262"/>
        <v>0.18161388835511752</v>
      </c>
      <c r="AL887" s="17"/>
      <c r="AM887" s="17"/>
      <c r="AN887" s="17"/>
      <c r="AO887" s="17"/>
      <c r="AP887" s="28" t="str">
        <f t="shared" si="263"/>
        <v>20238</v>
      </c>
      <c r="AQ887" s="28" t="str">
        <f t="shared" si="264"/>
        <v>20238RMB</v>
      </c>
      <c r="AR887" s="206" t="str">
        <f t="shared" si="265"/>
        <v>YAMAHA_Mounter</v>
      </c>
      <c r="AS887" s="22">
        <f t="shared" si="266"/>
        <v>1</v>
      </c>
      <c r="AT887" s="24" t="str">
        <f t="shared" si="267"/>
        <v>0-3 months</v>
      </c>
      <c r="AU887" s="22" t="s">
        <v>3751</v>
      </c>
    </row>
    <row r="888" spans="1:47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3333</v>
      </c>
      <c r="K888" s="29" t="s">
        <v>2547</v>
      </c>
      <c r="L888" s="17" t="s">
        <v>67</v>
      </c>
      <c r="M888" s="13" t="s">
        <v>60</v>
      </c>
      <c r="N888" s="22">
        <v>1</v>
      </c>
      <c r="O888" s="22"/>
      <c r="P888" s="33" t="str">
        <f t="shared" si="258"/>
        <v>MAIN UNIT</v>
      </c>
      <c r="Q888" s="13" t="s">
        <v>61</v>
      </c>
      <c r="R888" s="22" t="s">
        <v>62</v>
      </c>
      <c r="S888" s="22" t="s">
        <v>49</v>
      </c>
      <c r="T888" s="22" t="s">
        <v>78</v>
      </c>
      <c r="U888" s="22" t="s">
        <v>2548</v>
      </c>
      <c r="V888" s="22" t="s">
        <v>471</v>
      </c>
      <c r="W888" s="22" t="s">
        <v>109</v>
      </c>
      <c r="X888" s="30">
        <v>8374200</v>
      </c>
      <c r="Y888" s="31" t="str">
        <f>IF(W888="","",IF(W888="RMB","1.13", "1"))</f>
        <v>1</v>
      </c>
      <c r="Z888" s="18">
        <f t="shared" si="272"/>
        <v>8374200</v>
      </c>
      <c r="AA888" s="22">
        <v>5.3100000000000001E-2</v>
      </c>
      <c r="AB888" s="21">
        <f t="shared" si="269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53"/>
        <v>21241742.157380536</v>
      </c>
      <c r="AJ888" s="27">
        <f t="shared" si="254"/>
        <v>2987081.1613773629</v>
      </c>
      <c r="AK888" s="28">
        <f t="shared" si="262"/>
        <v>0.14062317201884914</v>
      </c>
      <c r="AL888" s="24"/>
      <c r="AM888" s="24"/>
      <c r="AN888" s="24"/>
      <c r="AO888" s="24"/>
      <c r="AP888" s="28" t="str">
        <f t="shared" si="263"/>
        <v>20243</v>
      </c>
      <c r="AQ888" s="28" t="str">
        <f t="shared" si="264"/>
        <v>20243JPY</v>
      </c>
      <c r="AR888" s="206" t="str">
        <f t="shared" si="265"/>
        <v>YAMAHA_Mounter</v>
      </c>
      <c r="AS888" s="22">
        <f t="shared" si="266"/>
        <v>0</v>
      </c>
      <c r="AT888" s="24" t="str">
        <f t="shared" si="267"/>
        <v>0-3 months</v>
      </c>
      <c r="AU888" s="22" t="s">
        <v>3745</v>
      </c>
    </row>
    <row r="889" spans="1:47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47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1013</v>
      </c>
      <c r="K889" s="155" t="s">
        <v>1014</v>
      </c>
      <c r="L889" s="17" t="s">
        <v>92</v>
      </c>
      <c r="M889" s="13" t="s">
        <v>60</v>
      </c>
      <c r="N889" s="13">
        <v>1</v>
      </c>
      <c r="O889" s="13"/>
      <c r="P889" s="33" t="str">
        <f t="shared" si="258"/>
        <v>MAIN UNIT</v>
      </c>
      <c r="Q889" s="13" t="s">
        <v>68</v>
      </c>
      <c r="R889" s="13" t="s">
        <v>62</v>
      </c>
      <c r="S889" s="13" t="s">
        <v>49</v>
      </c>
      <c r="T889" s="13" t="s">
        <v>78</v>
      </c>
      <c r="U889" s="13" t="s">
        <v>79</v>
      </c>
      <c r="V889" s="13" t="s">
        <v>121</v>
      </c>
      <c r="W889" s="13" t="s">
        <v>109</v>
      </c>
      <c r="X889" s="135">
        <v>12800000</v>
      </c>
      <c r="Y889" s="156">
        <v>1</v>
      </c>
      <c r="Z889" s="18">
        <f t="shared" si="272"/>
        <v>12800000</v>
      </c>
      <c r="AA889" s="13">
        <v>7.2999999999999995E-2</v>
      </c>
      <c r="AB889" s="21">
        <f t="shared" si="269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53"/>
        <v>11620538.477876106</v>
      </c>
      <c r="AJ889" s="19">
        <f t="shared" si="254"/>
        <v>1598596.3145221241</v>
      </c>
      <c r="AK889" s="20">
        <f t="shared" si="262"/>
        <v>0.13756645766163331</v>
      </c>
      <c r="AL889" s="17"/>
      <c r="AM889" s="17"/>
      <c r="AN889" s="17"/>
      <c r="AO889" s="17"/>
      <c r="AP889" s="28" t="str">
        <f t="shared" si="263"/>
        <v>20201</v>
      </c>
      <c r="AQ889" s="28" t="str">
        <f t="shared" si="264"/>
        <v>20201JPY</v>
      </c>
      <c r="AR889" s="206" t="str">
        <f t="shared" si="265"/>
        <v>YAMAHA_Mounter</v>
      </c>
      <c r="AS889" s="22">
        <f t="shared" si="266"/>
        <v>2</v>
      </c>
      <c r="AT889" s="24" t="str">
        <f t="shared" si="267"/>
        <v>0-3 months</v>
      </c>
      <c r="AU889" s="22" t="s">
        <v>3746</v>
      </c>
    </row>
    <row r="890" spans="1:47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47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968</v>
      </c>
      <c r="K890" s="155" t="s">
        <v>969</v>
      </c>
      <c r="L890" s="17" t="s">
        <v>92</v>
      </c>
      <c r="M890" s="13" t="s">
        <v>60</v>
      </c>
      <c r="N890" s="13">
        <v>1</v>
      </c>
      <c r="O890" s="13"/>
      <c r="P890" s="33" t="str">
        <f t="shared" si="258"/>
        <v>MAIN UNIT</v>
      </c>
      <c r="Q890" s="13" t="s">
        <v>61</v>
      </c>
      <c r="R890" s="13" t="s">
        <v>260</v>
      </c>
      <c r="S890" s="13" t="s">
        <v>261</v>
      </c>
      <c r="T890" s="13" t="s">
        <v>783</v>
      </c>
      <c r="U890" s="13" t="s">
        <v>79</v>
      </c>
      <c r="V890" s="13" t="s">
        <v>285</v>
      </c>
      <c r="W890" s="13" t="s">
        <v>693</v>
      </c>
      <c r="X890" s="135">
        <v>15943175</v>
      </c>
      <c r="Y890" s="156">
        <v>1</v>
      </c>
      <c r="Z890" s="18">
        <f t="shared" si="272"/>
        <v>15943175</v>
      </c>
      <c r="AA890" s="13">
        <v>7.5200000000000003E-2</v>
      </c>
      <c r="AB890" s="21">
        <f t="shared" si="269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53"/>
        <v>37599388.802345134</v>
      </c>
      <c r="AJ890" s="19">
        <f t="shared" si="254"/>
        <v>4866784.3630338367</v>
      </c>
      <c r="AK890" s="20">
        <f t="shared" si="262"/>
        <v>0.12943785838163113</v>
      </c>
      <c r="AL890" s="17"/>
      <c r="AM890" s="17"/>
      <c r="AN890" s="17"/>
      <c r="AO890" s="17"/>
      <c r="AP890" s="28" t="str">
        <f t="shared" si="263"/>
        <v>20199</v>
      </c>
      <c r="AQ890" s="28" t="str">
        <f t="shared" si="264"/>
        <v>20199JPY</v>
      </c>
      <c r="AR890" s="206" t="str">
        <f t="shared" si="265"/>
        <v>YAMAHA_Mounter</v>
      </c>
      <c r="AS890" s="22">
        <f t="shared" si="266"/>
        <v>2</v>
      </c>
      <c r="AT890" s="24" t="str">
        <f t="shared" si="267"/>
        <v>0-3 months</v>
      </c>
      <c r="AU890" s="22" t="s">
        <v>3745</v>
      </c>
    </row>
    <row r="891" spans="1:47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47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968</v>
      </c>
      <c r="K891" s="155" t="s">
        <v>970</v>
      </c>
      <c r="L891" s="17" t="s">
        <v>92</v>
      </c>
      <c r="M891" s="13" t="s">
        <v>60</v>
      </c>
      <c r="N891" s="13">
        <v>1</v>
      </c>
      <c r="O891" s="13"/>
      <c r="P891" s="33" t="str">
        <f t="shared" si="258"/>
        <v>MAIN UNIT</v>
      </c>
      <c r="Q891" s="13" t="s">
        <v>61</v>
      </c>
      <c r="R891" s="13" t="s">
        <v>260</v>
      </c>
      <c r="S891" s="13" t="s">
        <v>261</v>
      </c>
      <c r="T891" s="13" t="s">
        <v>783</v>
      </c>
      <c r="U891" s="13" t="s">
        <v>79</v>
      </c>
      <c r="V891" s="13" t="s">
        <v>285</v>
      </c>
      <c r="W891" s="13" t="s">
        <v>693</v>
      </c>
      <c r="X891" s="135">
        <v>15943175</v>
      </c>
      <c r="Y891" s="156">
        <v>1</v>
      </c>
      <c r="Z891" s="18">
        <f t="shared" si="272"/>
        <v>15943175</v>
      </c>
      <c r="AA891" s="13">
        <v>7.5200000000000003E-2</v>
      </c>
      <c r="AB891" s="21">
        <f t="shared" si="269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53"/>
        <v>37599388.802345134</v>
      </c>
      <c r="AJ891" s="19">
        <f t="shared" si="254"/>
        <v>4866784.3630338367</v>
      </c>
      <c r="AK891" s="20">
        <f t="shared" si="262"/>
        <v>0.12943785838163113</v>
      </c>
      <c r="AL891" s="17"/>
      <c r="AM891" s="17"/>
      <c r="AN891" s="17"/>
      <c r="AO891" s="17"/>
      <c r="AP891" s="28" t="str">
        <f t="shared" si="263"/>
        <v>20199</v>
      </c>
      <c r="AQ891" s="28" t="str">
        <f t="shared" si="264"/>
        <v>20199JPY</v>
      </c>
      <c r="AR891" s="206" t="str">
        <f t="shared" si="265"/>
        <v>YAMAHA_Mounter</v>
      </c>
      <c r="AS891" s="22">
        <f t="shared" si="266"/>
        <v>2</v>
      </c>
      <c r="AT891" s="24" t="str">
        <f t="shared" si="267"/>
        <v>0-3 months</v>
      </c>
      <c r="AU891" s="22" t="s">
        <v>3745</v>
      </c>
    </row>
    <row r="892" spans="1:47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47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971</v>
      </c>
      <c r="K892" s="155" t="s">
        <v>970</v>
      </c>
      <c r="L892" s="17" t="s">
        <v>67</v>
      </c>
      <c r="M892" s="13" t="s">
        <v>60</v>
      </c>
      <c r="N892" s="13">
        <v>1</v>
      </c>
      <c r="O892" s="13"/>
      <c r="P892" s="33" t="str">
        <f t="shared" si="258"/>
        <v>MAIN UNIT</v>
      </c>
      <c r="Q892" s="13" t="s">
        <v>61</v>
      </c>
      <c r="R892" s="13" t="s">
        <v>260</v>
      </c>
      <c r="S892" s="13" t="s">
        <v>261</v>
      </c>
      <c r="T892" s="13" t="s">
        <v>783</v>
      </c>
      <c r="U892" s="13" t="s">
        <v>79</v>
      </c>
      <c r="V892" s="13" t="s">
        <v>285</v>
      </c>
      <c r="W892" s="13" t="s">
        <v>693</v>
      </c>
      <c r="X892" s="135">
        <v>11000000</v>
      </c>
      <c r="Y892" s="156">
        <v>1</v>
      </c>
      <c r="Z892" s="18">
        <f t="shared" si="272"/>
        <v>11000000</v>
      </c>
      <c r="AA892" s="13">
        <v>7.5200000000000003E-2</v>
      </c>
      <c r="AB892" s="21">
        <f t="shared" si="269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53"/>
        <v>37599388.802345134</v>
      </c>
      <c r="AJ892" s="19">
        <f t="shared" si="254"/>
        <v>4866784.3630338367</v>
      </c>
      <c r="AK892" s="20">
        <f t="shared" si="262"/>
        <v>0.12943785838163113</v>
      </c>
      <c r="AL892" s="17"/>
      <c r="AM892" s="17"/>
      <c r="AN892" s="17"/>
      <c r="AO892" s="17"/>
      <c r="AP892" s="28" t="str">
        <f t="shared" si="263"/>
        <v>20199</v>
      </c>
      <c r="AQ892" s="28" t="str">
        <f t="shared" si="264"/>
        <v>20199JPY</v>
      </c>
      <c r="AR892" s="206" t="str">
        <f t="shared" si="265"/>
        <v>YAMAHA_Mounter</v>
      </c>
      <c r="AS892" s="22">
        <f t="shared" si="266"/>
        <v>2</v>
      </c>
      <c r="AT892" s="24" t="str">
        <f t="shared" si="267"/>
        <v>0-3 months</v>
      </c>
      <c r="AU892" s="22" t="s">
        <v>3745</v>
      </c>
    </row>
    <row r="893" spans="1:47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47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971</v>
      </c>
      <c r="K893" s="155" t="s">
        <v>970</v>
      </c>
      <c r="L893" s="17" t="s">
        <v>67</v>
      </c>
      <c r="M893" s="13" t="s">
        <v>60</v>
      </c>
      <c r="N893" s="13">
        <v>1</v>
      </c>
      <c r="O893" s="13"/>
      <c r="P893" s="33" t="str">
        <f t="shared" si="258"/>
        <v>MAIN UNIT</v>
      </c>
      <c r="Q893" s="13" t="s">
        <v>61</v>
      </c>
      <c r="R893" s="13" t="s">
        <v>260</v>
      </c>
      <c r="S893" s="13" t="s">
        <v>261</v>
      </c>
      <c r="T893" s="13" t="s">
        <v>783</v>
      </c>
      <c r="U893" s="13" t="s">
        <v>79</v>
      </c>
      <c r="V893" s="13" t="s">
        <v>285</v>
      </c>
      <c r="W893" s="13" t="s">
        <v>693</v>
      </c>
      <c r="X893" s="135">
        <v>11000000</v>
      </c>
      <c r="Y893" s="156">
        <v>1</v>
      </c>
      <c r="Z893" s="18">
        <f t="shared" si="272"/>
        <v>11000000</v>
      </c>
      <c r="AA893" s="13">
        <v>7.5200000000000003E-2</v>
      </c>
      <c r="AB893" s="21">
        <f t="shared" si="269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53"/>
        <v>37599388.802345134</v>
      </c>
      <c r="AJ893" s="19">
        <f t="shared" si="254"/>
        <v>4866784.3630338367</v>
      </c>
      <c r="AK893" s="20">
        <f t="shared" si="262"/>
        <v>0.12943785838163113</v>
      </c>
      <c r="AL893" s="17"/>
      <c r="AM893" s="17"/>
      <c r="AN893" s="17"/>
      <c r="AO893" s="17"/>
      <c r="AP893" s="28" t="str">
        <f t="shared" si="263"/>
        <v>20199</v>
      </c>
      <c r="AQ893" s="28" t="str">
        <f t="shared" si="264"/>
        <v>20199JPY</v>
      </c>
      <c r="AR893" s="206" t="str">
        <f t="shared" si="265"/>
        <v>YAMAHA_Mounter</v>
      </c>
      <c r="AS893" s="22">
        <f t="shared" si="266"/>
        <v>2</v>
      </c>
      <c r="AT893" s="24" t="str">
        <f t="shared" si="267"/>
        <v>0-3 months</v>
      </c>
      <c r="AU893" s="22" t="s">
        <v>3745</v>
      </c>
    </row>
    <row r="894" spans="1:47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48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1268</v>
      </c>
      <c r="K894" s="155" t="s">
        <v>969</v>
      </c>
      <c r="L894" s="17" t="s">
        <v>92</v>
      </c>
      <c r="M894" s="13" t="s">
        <v>60</v>
      </c>
      <c r="N894" s="13">
        <v>1</v>
      </c>
      <c r="O894" s="13"/>
      <c r="P894" s="33" t="str">
        <f t="shared" si="258"/>
        <v>MAIN UNIT</v>
      </c>
      <c r="Q894" s="13" t="s">
        <v>61</v>
      </c>
      <c r="R894" s="13" t="s">
        <v>62</v>
      </c>
      <c r="S894" s="13" t="s">
        <v>49</v>
      </c>
      <c r="T894" s="13" t="s">
        <v>120</v>
      </c>
      <c r="U894" s="13" t="s">
        <v>79</v>
      </c>
      <c r="V894" s="13" t="s">
        <v>126</v>
      </c>
      <c r="W894" s="13" t="s">
        <v>109</v>
      </c>
      <c r="X894" s="135">
        <v>15943175</v>
      </c>
      <c r="Y894" s="156">
        <v>1</v>
      </c>
      <c r="Z894" s="18">
        <f t="shared" si="272"/>
        <v>15943175</v>
      </c>
      <c r="AA894" s="13">
        <v>7.4300000000000005E-2</v>
      </c>
      <c r="AB894" s="21">
        <f t="shared" si="269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53"/>
        <v>28065694.408805311</v>
      </c>
      <c r="AJ894" s="19">
        <f t="shared" si="254"/>
        <v>4157433.2906989697</v>
      </c>
      <c r="AK894" s="20">
        <f t="shared" si="262"/>
        <v>0.14813220831602228</v>
      </c>
      <c r="AL894" s="17"/>
      <c r="AM894" s="17"/>
      <c r="AN894" s="17"/>
      <c r="AO894" s="17"/>
      <c r="AP894" s="28" t="str">
        <f t="shared" si="263"/>
        <v>20205</v>
      </c>
      <c r="AQ894" s="28" t="str">
        <f t="shared" si="264"/>
        <v>20205JPY</v>
      </c>
      <c r="AR894" s="206" t="str">
        <f t="shared" si="265"/>
        <v>YAMAHA_Mounter</v>
      </c>
      <c r="AS894" s="22">
        <f t="shared" si="266"/>
        <v>2</v>
      </c>
      <c r="AT894" s="24" t="str">
        <f t="shared" si="267"/>
        <v>0-3 months</v>
      </c>
      <c r="AU894" s="22" t="s">
        <v>3745</v>
      </c>
    </row>
    <row r="895" spans="1:47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48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1268</v>
      </c>
      <c r="K895" s="155" t="s">
        <v>969</v>
      </c>
      <c r="L895" s="17" t="s">
        <v>92</v>
      </c>
      <c r="M895" s="13" t="s">
        <v>60</v>
      </c>
      <c r="N895" s="13">
        <v>1</v>
      </c>
      <c r="O895" s="13"/>
      <c r="P895" s="33" t="str">
        <f t="shared" si="258"/>
        <v>MAIN UNIT</v>
      </c>
      <c r="Q895" s="13" t="s">
        <v>61</v>
      </c>
      <c r="R895" s="13" t="s">
        <v>62</v>
      </c>
      <c r="S895" s="13" t="s">
        <v>49</v>
      </c>
      <c r="T895" s="13" t="s">
        <v>120</v>
      </c>
      <c r="U895" s="13" t="s">
        <v>79</v>
      </c>
      <c r="V895" s="13" t="s">
        <v>126</v>
      </c>
      <c r="W895" s="13" t="s">
        <v>109</v>
      </c>
      <c r="X895" s="135">
        <v>15943175</v>
      </c>
      <c r="Y895" s="156">
        <v>1</v>
      </c>
      <c r="Z895" s="18">
        <f t="shared" si="272"/>
        <v>15943175</v>
      </c>
      <c r="AA895" s="13">
        <v>7.4300000000000005E-2</v>
      </c>
      <c r="AB895" s="21">
        <f t="shared" si="269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53"/>
        <v>28065694.408805311</v>
      </c>
      <c r="AJ895" s="19">
        <f t="shared" si="254"/>
        <v>4157433.2906989697</v>
      </c>
      <c r="AK895" s="20">
        <f t="shared" si="262"/>
        <v>0.14813220831602228</v>
      </c>
      <c r="AL895" s="17"/>
      <c r="AM895" s="17"/>
      <c r="AN895" s="17"/>
      <c r="AO895" s="17"/>
      <c r="AP895" s="28" t="str">
        <f t="shared" si="263"/>
        <v>20205</v>
      </c>
      <c r="AQ895" s="28" t="str">
        <f t="shared" si="264"/>
        <v>20205JPY</v>
      </c>
      <c r="AR895" s="206" t="str">
        <f t="shared" si="265"/>
        <v>YAMAHA_Mounter</v>
      </c>
      <c r="AS895" s="22">
        <f t="shared" si="266"/>
        <v>2</v>
      </c>
      <c r="AT895" s="24" t="str">
        <f t="shared" si="267"/>
        <v>0-3 months</v>
      </c>
      <c r="AU895" s="22" t="s">
        <v>3745</v>
      </c>
    </row>
    <row r="896" spans="1:47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48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1268</v>
      </c>
      <c r="K896" s="155" t="s">
        <v>969</v>
      </c>
      <c r="L896" s="17" t="s">
        <v>67</v>
      </c>
      <c r="M896" s="13" t="s">
        <v>60</v>
      </c>
      <c r="N896" s="13">
        <v>1</v>
      </c>
      <c r="O896" s="13"/>
      <c r="P896" s="33" t="str">
        <f t="shared" si="258"/>
        <v>MAIN UNIT</v>
      </c>
      <c r="Q896" s="13" t="s">
        <v>61</v>
      </c>
      <c r="R896" s="13" t="s">
        <v>62</v>
      </c>
      <c r="S896" s="13" t="s">
        <v>49</v>
      </c>
      <c r="T896" s="13" t="s">
        <v>120</v>
      </c>
      <c r="U896" s="13" t="s">
        <v>79</v>
      </c>
      <c r="V896" s="13" t="s">
        <v>126</v>
      </c>
      <c r="W896" s="13" t="s">
        <v>109</v>
      </c>
      <c r="X896" s="135">
        <v>11000000</v>
      </c>
      <c r="Y896" s="156">
        <v>1</v>
      </c>
      <c r="Z896" s="18">
        <f t="shared" si="272"/>
        <v>11000000</v>
      </c>
      <c r="AA896" s="13">
        <v>7.4300000000000005E-2</v>
      </c>
      <c r="AB896" s="21">
        <f t="shared" si="269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53"/>
        <v>28065694.408805311</v>
      </c>
      <c r="AJ896" s="19">
        <f t="shared" si="254"/>
        <v>4157433.2906989697</v>
      </c>
      <c r="AK896" s="20">
        <f t="shared" si="262"/>
        <v>0.14813220831602228</v>
      </c>
      <c r="AL896" s="17"/>
      <c r="AM896" s="17"/>
      <c r="AN896" s="17"/>
      <c r="AO896" s="17"/>
      <c r="AP896" s="28" t="str">
        <f t="shared" si="263"/>
        <v>20205</v>
      </c>
      <c r="AQ896" s="28" t="str">
        <f t="shared" si="264"/>
        <v>20205JPY</v>
      </c>
      <c r="AR896" s="206" t="str">
        <f t="shared" si="265"/>
        <v>YAMAHA_Mounter</v>
      </c>
      <c r="AS896" s="22">
        <f t="shared" si="266"/>
        <v>2</v>
      </c>
      <c r="AT896" s="24" t="str">
        <f t="shared" si="267"/>
        <v>0-3 months</v>
      </c>
      <c r="AU896" s="22" t="s">
        <v>3745</v>
      </c>
    </row>
    <row r="897" spans="1:47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48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1268</v>
      </c>
      <c r="K897" s="155" t="s">
        <v>969</v>
      </c>
      <c r="L897" s="17" t="s">
        <v>67</v>
      </c>
      <c r="M897" s="13" t="s">
        <v>60</v>
      </c>
      <c r="N897" s="13">
        <v>1</v>
      </c>
      <c r="O897" s="13"/>
      <c r="P897" s="33" t="str">
        <f t="shared" si="258"/>
        <v>MAIN UNIT</v>
      </c>
      <c r="Q897" s="13" t="s">
        <v>61</v>
      </c>
      <c r="R897" s="13" t="s">
        <v>62</v>
      </c>
      <c r="S897" s="13" t="s">
        <v>49</v>
      </c>
      <c r="T897" s="13" t="s">
        <v>120</v>
      </c>
      <c r="U897" s="13" t="s">
        <v>79</v>
      </c>
      <c r="V897" s="13" t="s">
        <v>126</v>
      </c>
      <c r="W897" s="13" t="s">
        <v>109</v>
      </c>
      <c r="X897" s="135">
        <v>11000000</v>
      </c>
      <c r="Y897" s="156">
        <v>1</v>
      </c>
      <c r="Z897" s="18">
        <f t="shared" si="272"/>
        <v>11000000</v>
      </c>
      <c r="AA897" s="13">
        <v>7.4300000000000005E-2</v>
      </c>
      <c r="AB897" s="21">
        <f t="shared" si="269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53"/>
        <v>28065694.408805311</v>
      </c>
      <c r="AJ897" s="19">
        <f t="shared" si="254"/>
        <v>4157433.2906989697</v>
      </c>
      <c r="AK897" s="20">
        <f t="shared" si="262"/>
        <v>0.14813220831602228</v>
      </c>
      <c r="AL897" s="17"/>
      <c r="AM897" s="17"/>
      <c r="AN897" s="17"/>
      <c r="AO897" s="17"/>
      <c r="AP897" s="28" t="str">
        <f t="shared" si="263"/>
        <v>20205</v>
      </c>
      <c r="AQ897" s="28" t="str">
        <f t="shared" si="264"/>
        <v>20205JPY</v>
      </c>
      <c r="AR897" s="206" t="str">
        <f t="shared" si="265"/>
        <v>YAMAHA_Mounter</v>
      </c>
      <c r="AS897" s="22">
        <f t="shared" si="266"/>
        <v>2</v>
      </c>
      <c r="AT897" s="24" t="str">
        <f t="shared" si="267"/>
        <v>0-3 months</v>
      </c>
      <c r="AU897" s="22" t="s">
        <v>3745</v>
      </c>
    </row>
    <row r="898" spans="1:47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48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1295</v>
      </c>
      <c r="K898" s="155" t="s">
        <v>1296</v>
      </c>
      <c r="L898" s="17" t="s">
        <v>67</v>
      </c>
      <c r="M898" s="13" t="s">
        <v>60</v>
      </c>
      <c r="N898" s="13">
        <v>1</v>
      </c>
      <c r="O898" s="13"/>
      <c r="P898" s="33" t="str">
        <f t="shared" si="258"/>
        <v>MAIN UNIT</v>
      </c>
      <c r="Q898" s="13" t="s">
        <v>61</v>
      </c>
      <c r="R898" s="13" t="s">
        <v>62</v>
      </c>
      <c r="S898" s="13" t="s">
        <v>49</v>
      </c>
      <c r="T898" s="13" t="s">
        <v>1297</v>
      </c>
      <c r="U898" s="13" t="s">
        <v>79</v>
      </c>
      <c r="V898" s="13" t="s">
        <v>1298</v>
      </c>
      <c r="W898" s="13" t="s">
        <v>1046</v>
      </c>
      <c r="X898" s="135">
        <v>11256350</v>
      </c>
      <c r="Y898" s="156">
        <v>1</v>
      </c>
      <c r="Z898" s="18">
        <f t="shared" si="272"/>
        <v>11256350</v>
      </c>
      <c r="AA898" s="13">
        <v>7.4300000000000005E-2</v>
      </c>
      <c r="AB898" s="21">
        <f t="shared" si="269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ref="AI898:AI961" si="273">IF(P898="C66 SERVICE","",SUMIFS(AB:AB,F:F,F898,G:G,G898,E:E,E898))</f>
        <v>28065694.408805311</v>
      </c>
      <c r="AJ898" s="19">
        <f t="shared" ref="AJ898:AJ961" si="274">IF(P898="C66 SERVICE","",SUMIFS(AC:AC,F:F,F898,G:G,G898,E:E,E898))</f>
        <v>4157433.2906989697</v>
      </c>
      <c r="AK898" s="20">
        <f t="shared" si="262"/>
        <v>0.14813220831602228</v>
      </c>
      <c r="AL898" s="17"/>
      <c r="AM898" s="17"/>
      <c r="AN898" s="17"/>
      <c r="AO898" s="17"/>
      <c r="AP898" s="28" t="str">
        <f t="shared" si="263"/>
        <v>20205</v>
      </c>
      <c r="AQ898" s="28" t="str">
        <f t="shared" si="264"/>
        <v>20205JPY</v>
      </c>
      <c r="AR898" s="206" t="str">
        <f t="shared" si="265"/>
        <v>YAMAHA_Mounter</v>
      </c>
      <c r="AS898" s="22">
        <f t="shared" si="266"/>
        <v>0</v>
      </c>
      <c r="AT898" s="24" t="str">
        <f t="shared" si="267"/>
        <v>0-3 months</v>
      </c>
      <c r="AU898" s="22" t="s">
        <v>3745</v>
      </c>
    </row>
    <row r="899" spans="1:47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48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1295</v>
      </c>
      <c r="K899" s="155" t="s">
        <v>1296</v>
      </c>
      <c r="L899" s="17" t="s">
        <v>67</v>
      </c>
      <c r="M899" s="13" t="s">
        <v>60</v>
      </c>
      <c r="N899" s="13">
        <v>1</v>
      </c>
      <c r="O899" s="13"/>
      <c r="P899" s="33" t="str">
        <f t="shared" si="258"/>
        <v>MAIN UNIT</v>
      </c>
      <c r="Q899" s="13" t="s">
        <v>61</v>
      </c>
      <c r="R899" s="13" t="s">
        <v>62</v>
      </c>
      <c r="S899" s="13" t="s">
        <v>49</v>
      </c>
      <c r="T899" s="13" t="s">
        <v>1297</v>
      </c>
      <c r="U899" s="13" t="s">
        <v>79</v>
      </c>
      <c r="V899" s="13" t="s">
        <v>1298</v>
      </c>
      <c r="W899" s="13" t="s">
        <v>1046</v>
      </c>
      <c r="X899" s="135">
        <v>11256350</v>
      </c>
      <c r="Y899" s="156">
        <v>1</v>
      </c>
      <c r="Z899" s="18">
        <f t="shared" si="272"/>
        <v>11256350</v>
      </c>
      <c r="AA899" s="13">
        <v>7.4300000000000005E-2</v>
      </c>
      <c r="AB899" s="21">
        <f t="shared" si="269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73"/>
        <v>28065694.408805311</v>
      </c>
      <c r="AJ899" s="19">
        <f t="shared" si="274"/>
        <v>4157433.2906989697</v>
      </c>
      <c r="AK899" s="20">
        <f t="shared" si="262"/>
        <v>0.14813220831602228</v>
      </c>
      <c r="AL899" s="17"/>
      <c r="AM899" s="17"/>
      <c r="AN899" s="17"/>
      <c r="AO899" s="17"/>
      <c r="AP899" s="28" t="str">
        <f t="shared" si="263"/>
        <v>20205</v>
      </c>
      <c r="AQ899" s="28" t="str">
        <f t="shared" si="264"/>
        <v>20205JPY</v>
      </c>
      <c r="AR899" s="206" t="str">
        <f t="shared" si="265"/>
        <v>YAMAHA_Mounter</v>
      </c>
      <c r="AS899" s="22">
        <f t="shared" si="266"/>
        <v>0</v>
      </c>
      <c r="AT899" s="24" t="str">
        <f t="shared" si="267"/>
        <v>0-3 months</v>
      </c>
      <c r="AU899" s="22" t="s">
        <v>3745</v>
      </c>
    </row>
    <row r="900" spans="1:47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53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1695</v>
      </c>
      <c r="K900" s="155" t="s">
        <v>969</v>
      </c>
      <c r="L900" s="17" t="s">
        <v>92</v>
      </c>
      <c r="M900" s="13" t="s">
        <v>60</v>
      </c>
      <c r="N900" s="13">
        <v>1</v>
      </c>
      <c r="O900" s="13"/>
      <c r="P900" s="33" t="str">
        <f t="shared" si="258"/>
        <v>MAIN UNIT</v>
      </c>
      <c r="Q900" s="13" t="s">
        <v>61</v>
      </c>
      <c r="R900" s="13" t="s">
        <v>62</v>
      </c>
      <c r="S900" s="13" t="s">
        <v>49</v>
      </c>
      <c r="T900" s="13" t="s">
        <v>78</v>
      </c>
      <c r="U900" s="13" t="s">
        <v>79</v>
      </c>
      <c r="V900" s="13" t="s">
        <v>126</v>
      </c>
      <c r="W900" s="13" t="s">
        <v>109</v>
      </c>
      <c r="X900" s="135">
        <v>12034882</v>
      </c>
      <c r="Y900" s="157" t="str">
        <f t="shared" ref="Y900:Y911" si="275">IF(W900="RMB","1.13", "1")</f>
        <v>1</v>
      </c>
      <c r="Z900" s="18">
        <f t="shared" si="272"/>
        <v>12034882</v>
      </c>
      <c r="AA900" s="13">
        <v>7.17E-2</v>
      </c>
      <c r="AB900" s="21">
        <f t="shared" si="269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73"/>
        <v>43684091.636631854</v>
      </c>
      <c r="AJ900" s="19">
        <f t="shared" si="274"/>
        <v>6483951.8242071122</v>
      </c>
      <c r="AK900" s="20">
        <f t="shared" si="262"/>
        <v>0.14842821680123736</v>
      </c>
      <c r="AL900" s="17"/>
      <c r="AM900" s="17"/>
      <c r="AN900" s="17"/>
      <c r="AO900" s="17"/>
      <c r="AP900" s="28" t="str">
        <f t="shared" si="263"/>
        <v>20214</v>
      </c>
      <c r="AQ900" s="28" t="str">
        <f t="shared" si="264"/>
        <v>20214JPY</v>
      </c>
      <c r="AR900" s="206" t="str">
        <f t="shared" si="265"/>
        <v>YAMAHA_Mounter</v>
      </c>
      <c r="AS900" s="22">
        <f t="shared" si="266"/>
        <v>1</v>
      </c>
      <c r="AT900" s="24" t="str">
        <f t="shared" si="267"/>
        <v>0-3 months</v>
      </c>
      <c r="AU900" s="22" t="s">
        <v>3745</v>
      </c>
    </row>
    <row r="901" spans="1:47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53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1695</v>
      </c>
      <c r="K901" s="155" t="s">
        <v>969</v>
      </c>
      <c r="L901" s="17" t="s">
        <v>67</v>
      </c>
      <c r="M901" s="13" t="s">
        <v>60</v>
      </c>
      <c r="N901" s="13">
        <v>1</v>
      </c>
      <c r="O901" s="13"/>
      <c r="P901" s="33" t="str">
        <f t="shared" si="258"/>
        <v>MAIN UNIT</v>
      </c>
      <c r="Q901" s="13" t="s">
        <v>61</v>
      </c>
      <c r="R901" s="13" t="s">
        <v>62</v>
      </c>
      <c r="S901" s="13" t="s">
        <v>49</v>
      </c>
      <c r="T901" s="13" t="s">
        <v>78</v>
      </c>
      <c r="U901" s="13" t="s">
        <v>79</v>
      </c>
      <c r="V901" s="13" t="s">
        <v>126</v>
      </c>
      <c r="W901" s="13" t="s">
        <v>109</v>
      </c>
      <c r="X901" s="135">
        <v>8000000</v>
      </c>
      <c r="Y901" s="157" t="str">
        <f t="shared" si="275"/>
        <v>1</v>
      </c>
      <c r="Z901" s="18">
        <f t="shared" si="272"/>
        <v>8000000</v>
      </c>
      <c r="AA901" s="13">
        <v>7.17E-2</v>
      </c>
      <c r="AB901" s="21">
        <f t="shared" si="269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73"/>
        <v>43684091.636631854</v>
      </c>
      <c r="AJ901" s="19">
        <f t="shared" si="274"/>
        <v>6483951.8242071122</v>
      </c>
      <c r="AK901" s="20">
        <f t="shared" si="262"/>
        <v>0.14842821680123736</v>
      </c>
      <c r="AL901" s="17"/>
      <c r="AM901" s="17"/>
      <c r="AN901" s="17"/>
      <c r="AO901" s="17"/>
      <c r="AP901" s="28" t="str">
        <f t="shared" si="263"/>
        <v>20214</v>
      </c>
      <c r="AQ901" s="28" t="str">
        <f t="shared" si="264"/>
        <v>20214JPY</v>
      </c>
      <c r="AR901" s="206" t="str">
        <f t="shared" si="265"/>
        <v>YAMAHA_Mounter</v>
      </c>
      <c r="AS901" s="22">
        <f t="shared" si="266"/>
        <v>1</v>
      </c>
      <c r="AT901" s="24" t="str">
        <f t="shared" si="267"/>
        <v>0-3 months</v>
      </c>
      <c r="AU901" s="22" t="s">
        <v>3745</v>
      </c>
    </row>
    <row r="902" spans="1:47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185</v>
      </c>
      <c r="F902" s="13" t="s">
        <v>185</v>
      </c>
      <c r="G902" s="152" t="s">
        <v>185</v>
      </c>
      <c r="H902" s="155" t="s">
        <v>1617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2069</v>
      </c>
      <c r="K902" s="155" t="s">
        <v>969</v>
      </c>
      <c r="L902" s="17" t="s">
        <v>92</v>
      </c>
      <c r="M902" s="13" t="s">
        <v>60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61</v>
      </c>
      <c r="R902" s="13" t="s">
        <v>62</v>
      </c>
      <c r="S902" s="13" t="s">
        <v>49</v>
      </c>
      <c r="T902" s="13" t="s">
        <v>78</v>
      </c>
      <c r="U902" s="13" t="s">
        <v>79</v>
      </c>
      <c r="V902" s="13" t="s">
        <v>126</v>
      </c>
      <c r="W902" s="13" t="s">
        <v>109</v>
      </c>
      <c r="X902" s="135">
        <v>11918157</v>
      </c>
      <c r="Y902" s="157" t="str">
        <f t="shared" si="275"/>
        <v>1</v>
      </c>
      <c r="Z902" s="18">
        <f t="shared" si="272"/>
        <v>11918157</v>
      </c>
      <c r="AA902" s="13">
        <v>6.25E-2</v>
      </c>
      <c r="AB902" s="21">
        <f t="shared" si="269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si="273"/>
        <v>499582152.5142017</v>
      </c>
      <c r="AJ902" s="19">
        <f t="shared" si="274"/>
        <v>59520528.679470733</v>
      </c>
      <c r="AK902" s="20">
        <f t="shared" ref="AK902:AK965" si="282">IF(AJ902&gt;0,AJ902/AI902,"")</f>
        <v>0.11914062257814291</v>
      </c>
      <c r="AL902" s="17"/>
      <c r="AM902" s="17"/>
      <c r="AN902" s="17"/>
      <c r="AO902" s="17"/>
      <c r="AP902" s="28" t="str">
        <f t="shared" ref="AP902:AP965" si="283">IF(F902="","",F902&amp;G902)</f>
        <v>CancelCancel</v>
      </c>
      <c r="AQ902" s="28" t="str">
        <f t="shared" ref="AQ902:AQ965" si="284">IF(W902="","",F902&amp;G902&amp;W902)</f>
        <v>CancelCancelJPY</v>
      </c>
      <c r="AR902" s="206" t="str">
        <f t="shared" ref="AR902:AR965" si="285">IFERROR(IF(AND(M902="YAMAHA", R902="C28"), "YAMAHA_Non_Mounter", IF(AND(M902="YAMAHA", R902="C49"), "YAMAHA_Mounter", M902)),"")</f>
        <v>YAMAHA_Mounter</v>
      </c>
      <c r="AS902" s="22" t="str">
        <f t="shared" ref="AS902:AS965" si="286">IFERROR(IF(OR(G902="TBA", G902=""), "", DATEDIF(DATE(B902, C902, 1), DATE(F902, G902, 1), "M")),"")</f>
        <v/>
      </c>
      <c r="AT902" s="24" t="str">
        <f t="shared" ref="AT902:AT965" si="287">IF(ISNUMBER(AS902), IF(AS902&gt;=0, IF(AS902&lt;=3, "0-3 months", IF(AS902&lt;=6, "4-6 months", "&gt; 6 months"))), "")</f>
        <v/>
      </c>
      <c r="AU902" s="22" t="s">
        <v>3745</v>
      </c>
    </row>
    <row r="903" spans="1:47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185</v>
      </c>
      <c r="F903" s="13" t="s">
        <v>185</v>
      </c>
      <c r="G903" s="152" t="s">
        <v>185</v>
      </c>
      <c r="H903" s="155" t="s">
        <v>1617</v>
      </c>
      <c r="I903" s="33" t="str">
        <f t="shared" si="278"/>
        <v>Cancel</v>
      </c>
      <c r="J903" s="186" t="s">
        <v>2069</v>
      </c>
      <c r="K903" s="155" t="s">
        <v>969</v>
      </c>
      <c r="L903" s="17" t="s">
        <v>92</v>
      </c>
      <c r="M903" s="13" t="s">
        <v>60</v>
      </c>
      <c r="N903" s="13">
        <v>1</v>
      </c>
      <c r="O903" s="13"/>
      <c r="P903" s="33" t="str">
        <f t="shared" si="279"/>
        <v>MAIN UNIT</v>
      </c>
      <c r="Q903" s="13" t="s">
        <v>61</v>
      </c>
      <c r="R903" s="13" t="s">
        <v>62</v>
      </c>
      <c r="S903" s="13" t="s">
        <v>49</v>
      </c>
      <c r="T903" s="13" t="s">
        <v>78</v>
      </c>
      <c r="U903" s="13" t="s">
        <v>79</v>
      </c>
      <c r="V903" s="13" t="s">
        <v>126</v>
      </c>
      <c r="W903" s="13" t="s">
        <v>109</v>
      </c>
      <c r="X903" s="135">
        <v>11918157</v>
      </c>
      <c r="Y903" s="157" t="str">
        <f t="shared" si="275"/>
        <v>1</v>
      </c>
      <c r="Z903" s="18">
        <f t="shared" si="272"/>
        <v>11918157</v>
      </c>
      <c r="AA903" s="13">
        <v>6.25E-2</v>
      </c>
      <c r="AB903" s="21">
        <f t="shared" si="269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73"/>
        <v>499582152.5142017</v>
      </c>
      <c r="AJ903" s="19">
        <f t="shared" si="274"/>
        <v>59520528.679470733</v>
      </c>
      <c r="AK903" s="20">
        <f t="shared" si="282"/>
        <v>0.11914062257814291</v>
      </c>
      <c r="AL903" s="17"/>
      <c r="AM903" s="17"/>
      <c r="AN903" s="17"/>
      <c r="AO903" s="17"/>
      <c r="AP903" s="28" t="str">
        <f t="shared" si="283"/>
        <v>CancelCancel</v>
      </c>
      <c r="AQ903" s="28" t="str">
        <f t="shared" si="284"/>
        <v>CancelCancelJPY</v>
      </c>
      <c r="AR903" s="206" t="str">
        <f t="shared" si="285"/>
        <v>YAMAHA_Mounter</v>
      </c>
      <c r="AS903" s="22" t="str">
        <f t="shared" si="286"/>
        <v/>
      </c>
      <c r="AT903" s="24" t="str">
        <f t="shared" si="287"/>
        <v/>
      </c>
      <c r="AU903" s="22" t="s">
        <v>3745</v>
      </c>
    </row>
    <row r="904" spans="1:47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185</v>
      </c>
      <c r="F904" s="13" t="s">
        <v>185</v>
      </c>
      <c r="G904" s="152" t="s">
        <v>185</v>
      </c>
      <c r="H904" s="155" t="s">
        <v>1617</v>
      </c>
      <c r="I904" s="33" t="str">
        <f t="shared" si="278"/>
        <v>Cancel</v>
      </c>
      <c r="J904" s="186" t="s">
        <v>2069</v>
      </c>
      <c r="K904" s="155" t="s">
        <v>969</v>
      </c>
      <c r="L904" s="17" t="s">
        <v>92</v>
      </c>
      <c r="M904" s="13" t="s">
        <v>60</v>
      </c>
      <c r="N904" s="13">
        <v>1</v>
      </c>
      <c r="O904" s="13"/>
      <c r="P904" s="33" t="str">
        <f t="shared" si="279"/>
        <v>MAIN UNIT</v>
      </c>
      <c r="Q904" s="13" t="s">
        <v>61</v>
      </c>
      <c r="R904" s="13" t="s">
        <v>62</v>
      </c>
      <c r="S904" s="13" t="s">
        <v>49</v>
      </c>
      <c r="T904" s="13" t="s">
        <v>78</v>
      </c>
      <c r="U904" s="13" t="s">
        <v>79</v>
      </c>
      <c r="V904" s="13" t="s">
        <v>126</v>
      </c>
      <c r="W904" s="13" t="s">
        <v>109</v>
      </c>
      <c r="X904" s="135">
        <v>11918157</v>
      </c>
      <c r="Y904" s="157" t="str">
        <f t="shared" si="275"/>
        <v>1</v>
      </c>
      <c r="Z904" s="18">
        <f t="shared" si="272"/>
        <v>11918157</v>
      </c>
      <c r="AA904" s="13">
        <v>6.25E-2</v>
      </c>
      <c r="AB904" s="21">
        <f t="shared" si="269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73"/>
        <v>499582152.5142017</v>
      </c>
      <c r="AJ904" s="19">
        <f t="shared" si="274"/>
        <v>59520528.679470733</v>
      </c>
      <c r="AK904" s="20">
        <f t="shared" si="282"/>
        <v>0.11914062257814291</v>
      </c>
      <c r="AL904" s="17"/>
      <c r="AM904" s="17"/>
      <c r="AN904" s="17"/>
      <c r="AO904" s="17"/>
      <c r="AP904" s="28" t="str">
        <f t="shared" si="283"/>
        <v>CancelCancel</v>
      </c>
      <c r="AQ904" s="28" t="str">
        <f t="shared" si="284"/>
        <v>CancelCancelJPY</v>
      </c>
      <c r="AR904" s="206" t="str">
        <f t="shared" si="285"/>
        <v>YAMAHA_Mounter</v>
      </c>
      <c r="AS904" s="22" t="str">
        <f t="shared" si="286"/>
        <v/>
      </c>
      <c r="AT904" s="24" t="str">
        <f t="shared" si="287"/>
        <v/>
      </c>
      <c r="AU904" s="22" t="s">
        <v>3745</v>
      </c>
    </row>
    <row r="905" spans="1:47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185</v>
      </c>
      <c r="F905" s="13" t="s">
        <v>185</v>
      </c>
      <c r="G905" s="152" t="s">
        <v>185</v>
      </c>
      <c r="H905" s="155" t="s">
        <v>1617</v>
      </c>
      <c r="I905" s="33" t="str">
        <f t="shared" si="278"/>
        <v>Cancel</v>
      </c>
      <c r="J905" s="186" t="s">
        <v>2069</v>
      </c>
      <c r="K905" s="155" t="s">
        <v>969</v>
      </c>
      <c r="L905" s="17" t="s">
        <v>67</v>
      </c>
      <c r="M905" s="13" t="s">
        <v>60</v>
      </c>
      <c r="N905" s="13">
        <v>1</v>
      </c>
      <c r="O905" s="13"/>
      <c r="P905" s="33" t="str">
        <f t="shared" si="279"/>
        <v>MAIN UNIT</v>
      </c>
      <c r="Q905" s="13" t="s">
        <v>61</v>
      </c>
      <c r="R905" s="13" t="s">
        <v>62</v>
      </c>
      <c r="S905" s="13" t="s">
        <v>49</v>
      </c>
      <c r="T905" s="13" t="s">
        <v>78</v>
      </c>
      <c r="U905" s="13" t="s">
        <v>79</v>
      </c>
      <c r="V905" s="13" t="s">
        <v>126</v>
      </c>
      <c r="W905" s="13" t="s">
        <v>109</v>
      </c>
      <c r="X905" s="135">
        <v>8000000</v>
      </c>
      <c r="Y905" s="157" t="str">
        <f t="shared" si="275"/>
        <v>1</v>
      </c>
      <c r="Z905" s="18">
        <f t="shared" si="272"/>
        <v>8000000</v>
      </c>
      <c r="AA905" s="13">
        <v>6.25E-2</v>
      </c>
      <c r="AB905" s="21">
        <f t="shared" si="269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73"/>
        <v>499582152.5142017</v>
      </c>
      <c r="AJ905" s="19">
        <f t="shared" si="274"/>
        <v>59520528.679470733</v>
      </c>
      <c r="AK905" s="20">
        <f t="shared" si="282"/>
        <v>0.11914062257814291</v>
      </c>
      <c r="AL905" s="17"/>
      <c r="AM905" s="17"/>
      <c r="AN905" s="17"/>
      <c r="AO905" s="17"/>
      <c r="AP905" s="28" t="str">
        <f t="shared" si="283"/>
        <v>CancelCancel</v>
      </c>
      <c r="AQ905" s="28" t="str">
        <f t="shared" si="284"/>
        <v>CancelCancelJPY</v>
      </c>
      <c r="AR905" s="206" t="str">
        <f t="shared" si="285"/>
        <v>YAMAHA_Mounter</v>
      </c>
      <c r="AS905" s="22" t="str">
        <f t="shared" si="286"/>
        <v/>
      </c>
      <c r="AT905" s="24" t="str">
        <f t="shared" si="287"/>
        <v/>
      </c>
      <c r="AU905" s="22" t="s">
        <v>3745</v>
      </c>
    </row>
    <row r="906" spans="1:47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185</v>
      </c>
      <c r="F906" s="13" t="s">
        <v>185</v>
      </c>
      <c r="G906" s="152" t="s">
        <v>185</v>
      </c>
      <c r="H906" s="155" t="s">
        <v>1617</v>
      </c>
      <c r="I906" s="33" t="str">
        <f t="shared" si="278"/>
        <v>Cancel</v>
      </c>
      <c r="J906" s="186" t="s">
        <v>2069</v>
      </c>
      <c r="K906" s="155" t="s">
        <v>969</v>
      </c>
      <c r="L906" s="17" t="s">
        <v>67</v>
      </c>
      <c r="M906" s="13" t="s">
        <v>60</v>
      </c>
      <c r="N906" s="13">
        <v>1</v>
      </c>
      <c r="O906" s="13"/>
      <c r="P906" s="33" t="str">
        <f t="shared" si="279"/>
        <v>MAIN UNIT</v>
      </c>
      <c r="Q906" s="13" t="s">
        <v>61</v>
      </c>
      <c r="R906" s="13" t="s">
        <v>62</v>
      </c>
      <c r="S906" s="13" t="s">
        <v>49</v>
      </c>
      <c r="T906" s="13" t="s">
        <v>78</v>
      </c>
      <c r="U906" s="13" t="s">
        <v>79</v>
      </c>
      <c r="V906" s="13" t="s">
        <v>126</v>
      </c>
      <c r="W906" s="13" t="s">
        <v>109</v>
      </c>
      <c r="X906" s="135">
        <v>8000000</v>
      </c>
      <c r="Y906" s="157" t="str">
        <f t="shared" si="275"/>
        <v>1</v>
      </c>
      <c r="Z906" s="18">
        <f t="shared" si="272"/>
        <v>8000000</v>
      </c>
      <c r="AA906" s="13">
        <v>6.25E-2</v>
      </c>
      <c r="AB906" s="21">
        <f t="shared" si="269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73"/>
        <v>499582152.5142017</v>
      </c>
      <c r="AJ906" s="19">
        <f t="shared" si="274"/>
        <v>59520528.679470733</v>
      </c>
      <c r="AK906" s="20">
        <f t="shared" si="282"/>
        <v>0.11914062257814291</v>
      </c>
      <c r="AL906" s="17"/>
      <c r="AM906" s="17"/>
      <c r="AN906" s="17"/>
      <c r="AO906" s="17"/>
      <c r="AP906" s="28" t="str">
        <f t="shared" si="283"/>
        <v>CancelCancel</v>
      </c>
      <c r="AQ906" s="28" t="str">
        <f t="shared" si="284"/>
        <v>CancelCancelJPY</v>
      </c>
      <c r="AR906" s="206" t="str">
        <f t="shared" si="285"/>
        <v>YAMAHA_Mounter</v>
      </c>
      <c r="AS906" s="22" t="str">
        <f t="shared" si="286"/>
        <v/>
      </c>
      <c r="AT906" s="24" t="str">
        <f t="shared" si="287"/>
        <v/>
      </c>
      <c r="AU906" s="22" t="s">
        <v>3745</v>
      </c>
    </row>
    <row r="907" spans="1:47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185</v>
      </c>
      <c r="F907" s="13" t="s">
        <v>185</v>
      </c>
      <c r="G907" s="152" t="s">
        <v>185</v>
      </c>
      <c r="H907" s="155" t="s">
        <v>1617</v>
      </c>
      <c r="I907" s="33" t="str">
        <f t="shared" si="278"/>
        <v>Cancel</v>
      </c>
      <c r="J907" s="186" t="s">
        <v>2069</v>
      </c>
      <c r="K907" s="155" t="s">
        <v>969</v>
      </c>
      <c r="L907" s="17" t="s">
        <v>67</v>
      </c>
      <c r="M907" s="13" t="s">
        <v>60</v>
      </c>
      <c r="N907" s="13">
        <v>1</v>
      </c>
      <c r="O907" s="13"/>
      <c r="P907" s="33" t="str">
        <f t="shared" si="279"/>
        <v>MAIN UNIT</v>
      </c>
      <c r="Q907" s="13" t="s">
        <v>61</v>
      </c>
      <c r="R907" s="13" t="s">
        <v>62</v>
      </c>
      <c r="S907" s="13" t="s">
        <v>49</v>
      </c>
      <c r="T907" s="13" t="s">
        <v>78</v>
      </c>
      <c r="U907" s="13" t="s">
        <v>79</v>
      </c>
      <c r="V907" s="13" t="s">
        <v>126</v>
      </c>
      <c r="W907" s="13" t="s">
        <v>109</v>
      </c>
      <c r="X907" s="135">
        <v>8000000</v>
      </c>
      <c r="Y907" s="157" t="str">
        <f t="shared" si="275"/>
        <v>1</v>
      </c>
      <c r="Z907" s="18">
        <f t="shared" si="272"/>
        <v>8000000</v>
      </c>
      <c r="AA907" s="13">
        <v>6.25E-2</v>
      </c>
      <c r="AB907" s="21">
        <f t="shared" si="269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73"/>
        <v>499582152.5142017</v>
      </c>
      <c r="AJ907" s="19">
        <f t="shared" si="274"/>
        <v>59520528.679470733</v>
      </c>
      <c r="AK907" s="20">
        <f t="shared" si="282"/>
        <v>0.11914062257814291</v>
      </c>
      <c r="AL907" s="17"/>
      <c r="AM907" s="17"/>
      <c r="AN907" s="17"/>
      <c r="AO907" s="17"/>
      <c r="AP907" s="28" t="str">
        <f t="shared" si="283"/>
        <v>CancelCancel</v>
      </c>
      <c r="AQ907" s="28" t="str">
        <f t="shared" si="284"/>
        <v>CancelCancelJPY</v>
      </c>
      <c r="AR907" s="206" t="str">
        <f t="shared" si="285"/>
        <v>YAMAHA_Mounter</v>
      </c>
      <c r="AS907" s="22" t="str">
        <f t="shared" si="286"/>
        <v/>
      </c>
      <c r="AT907" s="24" t="str">
        <f t="shared" si="287"/>
        <v/>
      </c>
      <c r="AU907" s="22" t="s">
        <v>3745</v>
      </c>
    </row>
    <row r="908" spans="1:47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54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2388</v>
      </c>
      <c r="K908" s="155" t="s">
        <v>969</v>
      </c>
      <c r="L908" s="17" t="s">
        <v>92</v>
      </c>
      <c r="M908" s="13" t="s">
        <v>60</v>
      </c>
      <c r="N908" s="13">
        <v>1</v>
      </c>
      <c r="O908" s="13"/>
      <c r="P908" s="33" t="str">
        <f t="shared" si="279"/>
        <v>MAIN UNIT</v>
      </c>
      <c r="Q908" s="13" t="s">
        <v>61</v>
      </c>
      <c r="R908" s="13" t="s">
        <v>62</v>
      </c>
      <c r="S908" s="13" t="s">
        <v>49</v>
      </c>
      <c r="T908" s="13" t="s">
        <v>78</v>
      </c>
      <c r="U908" s="13" t="s">
        <v>79</v>
      </c>
      <c r="V908" s="13" t="s">
        <v>126</v>
      </c>
      <c r="W908" s="13" t="s">
        <v>109</v>
      </c>
      <c r="X908" s="135">
        <v>12669000</v>
      </c>
      <c r="Y908" s="157" t="str">
        <f t="shared" si="275"/>
        <v>1</v>
      </c>
      <c r="Z908" s="18">
        <f t="shared" si="272"/>
        <v>12669000</v>
      </c>
      <c r="AA908" s="13">
        <v>5.7500000000000002E-2</v>
      </c>
      <c r="AB908" s="21">
        <f t="shared" si="269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73"/>
        <v>17329060.066371687</v>
      </c>
      <c r="AJ908" s="19">
        <f t="shared" si="274"/>
        <v>2472600.2142256643</v>
      </c>
      <c r="AK908" s="20">
        <f t="shared" si="282"/>
        <v>0.14268518919984163</v>
      </c>
      <c r="AL908" s="17"/>
      <c r="AM908" s="17"/>
      <c r="AN908" s="17"/>
      <c r="AO908" s="17"/>
      <c r="AP908" s="28" t="str">
        <f t="shared" si="283"/>
        <v>202212</v>
      </c>
      <c r="AQ908" s="28" t="str">
        <f t="shared" si="284"/>
        <v>202212JPY</v>
      </c>
      <c r="AR908" s="206" t="str">
        <f t="shared" si="285"/>
        <v>YAMAHA_Mounter</v>
      </c>
      <c r="AS908" s="22">
        <f t="shared" si="286"/>
        <v>3</v>
      </c>
      <c r="AT908" s="24" t="str">
        <f t="shared" si="287"/>
        <v>0-3 months</v>
      </c>
      <c r="AU908" s="22" t="s">
        <v>3745</v>
      </c>
    </row>
    <row r="909" spans="1:47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54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2388</v>
      </c>
      <c r="K909" s="155" t="s">
        <v>969</v>
      </c>
      <c r="L909" s="17" t="s">
        <v>67</v>
      </c>
      <c r="M909" s="13" t="s">
        <v>60</v>
      </c>
      <c r="N909" s="13">
        <v>1</v>
      </c>
      <c r="O909" s="13"/>
      <c r="P909" s="33" t="str">
        <f t="shared" si="279"/>
        <v>MAIN UNIT</v>
      </c>
      <c r="Q909" s="13" t="s">
        <v>61</v>
      </c>
      <c r="R909" s="13" t="s">
        <v>62</v>
      </c>
      <c r="S909" s="13" t="s">
        <v>49</v>
      </c>
      <c r="T909" s="13" t="s">
        <v>78</v>
      </c>
      <c r="U909" s="13" t="s">
        <v>79</v>
      </c>
      <c r="V909" s="13" t="s">
        <v>126</v>
      </c>
      <c r="W909" s="13" t="s">
        <v>109</v>
      </c>
      <c r="X909" s="135">
        <v>7416000</v>
      </c>
      <c r="Y909" s="157" t="str">
        <f t="shared" si="275"/>
        <v>1</v>
      </c>
      <c r="Z909" s="18">
        <f t="shared" si="272"/>
        <v>7416000</v>
      </c>
      <c r="AA909" s="13">
        <v>5.7500000000000002E-2</v>
      </c>
      <c r="AB909" s="21">
        <f t="shared" si="269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73"/>
        <v>17329060.066371687</v>
      </c>
      <c r="AJ909" s="19">
        <f t="shared" si="274"/>
        <v>2472600.2142256643</v>
      </c>
      <c r="AK909" s="20">
        <f t="shared" si="282"/>
        <v>0.14268518919984163</v>
      </c>
      <c r="AL909" s="17"/>
      <c r="AM909" s="17"/>
      <c r="AN909" s="17"/>
      <c r="AO909" s="17"/>
      <c r="AP909" s="28" t="str">
        <f t="shared" si="283"/>
        <v>202212</v>
      </c>
      <c r="AQ909" s="28" t="str">
        <f t="shared" si="284"/>
        <v>202212JPY</v>
      </c>
      <c r="AR909" s="206" t="str">
        <f t="shared" si="285"/>
        <v>YAMAHA_Mounter</v>
      </c>
      <c r="AS909" s="22">
        <f t="shared" si="286"/>
        <v>3</v>
      </c>
      <c r="AT909" s="24" t="str">
        <f t="shared" si="287"/>
        <v>0-3 months</v>
      </c>
      <c r="AU909" s="22" t="s">
        <v>3745</v>
      </c>
    </row>
    <row r="910" spans="1:47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54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2171</v>
      </c>
      <c r="K910" s="155" t="s">
        <v>2172</v>
      </c>
      <c r="L910" s="17" t="s">
        <v>67</v>
      </c>
      <c r="M910" s="13" t="s">
        <v>60</v>
      </c>
      <c r="N910" s="13">
        <v>1</v>
      </c>
      <c r="O910" s="13"/>
      <c r="P910" s="33" t="str">
        <f t="shared" si="279"/>
        <v>MAIN UNIT</v>
      </c>
      <c r="Q910" s="13" t="s">
        <v>68</v>
      </c>
      <c r="R910" s="13" t="s">
        <v>62</v>
      </c>
      <c r="S910" s="13" t="s">
        <v>49</v>
      </c>
      <c r="T910" s="13" t="s">
        <v>78</v>
      </c>
      <c r="U910" s="13" t="s">
        <v>79</v>
      </c>
      <c r="V910" s="13" t="s">
        <v>1885</v>
      </c>
      <c r="W910" s="13" t="s">
        <v>64</v>
      </c>
      <c r="X910" s="135">
        <v>516500</v>
      </c>
      <c r="Y910" s="157" t="str">
        <f t="shared" si="275"/>
        <v>1.13</v>
      </c>
      <c r="Z910" s="18">
        <f t="shared" si="272"/>
        <v>516500</v>
      </c>
      <c r="AA910" s="13">
        <v>1.1950000000000001</v>
      </c>
      <c r="AB910" s="21">
        <f t="shared" si="269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73"/>
        <v>44014086.982070789</v>
      </c>
      <c r="AJ910" s="19">
        <f t="shared" si="274"/>
        <v>6419974.0221889298</v>
      </c>
      <c r="AK910" s="20">
        <f t="shared" si="282"/>
        <v>0.14586180158193709</v>
      </c>
      <c r="AL910" s="17"/>
      <c r="AM910" s="17"/>
      <c r="AN910" s="17"/>
      <c r="AO910" s="17"/>
      <c r="AP910" s="28" t="str">
        <f t="shared" si="283"/>
        <v>20225</v>
      </c>
      <c r="AQ910" s="28" t="str">
        <f t="shared" si="284"/>
        <v>20225RMB</v>
      </c>
      <c r="AR910" s="206" t="str">
        <f t="shared" si="285"/>
        <v>YAMAHA_Mounter</v>
      </c>
      <c r="AS910" s="22">
        <f t="shared" si="286"/>
        <v>2</v>
      </c>
      <c r="AT910" s="24" t="str">
        <f t="shared" si="287"/>
        <v>0-3 months</v>
      </c>
      <c r="AU910" s="22" t="s">
        <v>3751</v>
      </c>
    </row>
    <row r="911" spans="1:47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54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2171</v>
      </c>
      <c r="K911" s="155" t="s">
        <v>2172</v>
      </c>
      <c r="L911" s="17" t="s">
        <v>67</v>
      </c>
      <c r="M911" s="13" t="s">
        <v>60</v>
      </c>
      <c r="N911" s="13">
        <v>1</v>
      </c>
      <c r="O911" s="13"/>
      <c r="P911" s="33" t="str">
        <f t="shared" si="279"/>
        <v>MAIN UNIT</v>
      </c>
      <c r="Q911" s="13" t="s">
        <v>68</v>
      </c>
      <c r="R911" s="13" t="s">
        <v>62</v>
      </c>
      <c r="S911" s="13" t="s">
        <v>49</v>
      </c>
      <c r="T911" s="13" t="s">
        <v>78</v>
      </c>
      <c r="U911" s="13" t="s">
        <v>79</v>
      </c>
      <c r="V911" s="13" t="s">
        <v>1885</v>
      </c>
      <c r="W911" s="13" t="s">
        <v>64</v>
      </c>
      <c r="X911" s="135">
        <v>516500</v>
      </c>
      <c r="Y911" s="157" t="str">
        <f t="shared" si="275"/>
        <v>1.13</v>
      </c>
      <c r="Z911" s="18">
        <f t="shared" si="272"/>
        <v>516500</v>
      </c>
      <c r="AA911" s="13">
        <v>1.1950000000000001</v>
      </c>
      <c r="AB911" s="21">
        <f t="shared" si="269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73"/>
        <v>44014086.982070789</v>
      </c>
      <c r="AJ911" s="19">
        <f t="shared" si="274"/>
        <v>6419974.0221889298</v>
      </c>
      <c r="AK911" s="20">
        <f t="shared" si="282"/>
        <v>0.14586180158193709</v>
      </c>
      <c r="AL911" s="17"/>
      <c r="AM911" s="17"/>
      <c r="AN911" s="17"/>
      <c r="AO911" s="17"/>
      <c r="AP911" s="28" t="str">
        <f t="shared" si="283"/>
        <v>20225</v>
      </c>
      <c r="AQ911" s="28" t="str">
        <f t="shared" si="284"/>
        <v>20225RMB</v>
      </c>
      <c r="AR911" s="206" t="str">
        <f t="shared" si="285"/>
        <v>YAMAHA_Mounter</v>
      </c>
      <c r="AS911" s="22">
        <f t="shared" si="286"/>
        <v>2</v>
      </c>
      <c r="AT911" s="24" t="str">
        <f t="shared" si="287"/>
        <v>0-3 months</v>
      </c>
      <c r="AU911" s="22" t="s">
        <v>3751</v>
      </c>
    </row>
    <row r="912" spans="1:47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3168</v>
      </c>
      <c r="K912" s="29" t="s">
        <v>2172</v>
      </c>
      <c r="L912" s="17" t="s">
        <v>67</v>
      </c>
      <c r="M912" s="22" t="s">
        <v>60</v>
      </c>
      <c r="N912" s="22">
        <v>1</v>
      </c>
      <c r="O912" s="22"/>
      <c r="P912" s="33" t="str">
        <f t="shared" si="279"/>
        <v>MAIN UNIT</v>
      </c>
      <c r="Q912" s="13" t="s">
        <v>61</v>
      </c>
      <c r="R912" s="22" t="s">
        <v>62</v>
      </c>
      <c r="S912" s="22" t="s">
        <v>49</v>
      </c>
      <c r="T912" s="22" t="s">
        <v>120</v>
      </c>
      <c r="U912" s="22" t="s">
        <v>2370</v>
      </c>
      <c r="V912" s="22" t="s">
        <v>311</v>
      </c>
      <c r="W912" s="22" t="s">
        <v>64</v>
      </c>
      <c r="X912" s="30">
        <v>440000</v>
      </c>
      <c r="Y912" s="31" t="str">
        <f>IF(W912="","",IF(W912="RMB","1.13", "1"))</f>
        <v>1.13</v>
      </c>
      <c r="Z912" s="18">
        <f t="shared" si="272"/>
        <v>440000</v>
      </c>
      <c r="AA912" s="22">
        <v>1.0900000000000001</v>
      </c>
      <c r="AB912" s="21">
        <f t="shared" si="269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73"/>
        <v>21241742.157380536</v>
      </c>
      <c r="AJ912" s="27">
        <f t="shared" si="274"/>
        <v>2987081.1613773629</v>
      </c>
      <c r="AK912" s="28">
        <f t="shared" si="282"/>
        <v>0.14062317201884914</v>
      </c>
      <c r="AL912" s="24"/>
      <c r="AM912" s="24"/>
      <c r="AN912" s="24"/>
      <c r="AO912" s="24"/>
      <c r="AP912" s="28" t="str">
        <f t="shared" si="283"/>
        <v>20243</v>
      </c>
      <c r="AQ912" s="28" t="str">
        <f t="shared" si="284"/>
        <v>20243RMB</v>
      </c>
      <c r="AR912" s="206" t="str">
        <f t="shared" si="285"/>
        <v>YAMAHA_Mounter</v>
      </c>
      <c r="AS912" s="22">
        <f t="shared" si="286"/>
        <v>2</v>
      </c>
      <c r="AT912" s="24" t="str">
        <f t="shared" si="287"/>
        <v>0-3 months</v>
      </c>
      <c r="AU912" s="22" t="s">
        <v>3751</v>
      </c>
    </row>
    <row r="913" spans="1:47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48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1378</v>
      </c>
      <c r="K913" s="155" t="s">
        <v>1379</v>
      </c>
      <c r="L913" s="17" t="s">
        <v>67</v>
      </c>
      <c r="M913" s="13" t="s">
        <v>60</v>
      </c>
      <c r="N913" s="13">
        <v>1</v>
      </c>
      <c r="O913" s="13"/>
      <c r="P913" s="33" t="str">
        <f t="shared" si="279"/>
        <v>MAIN UNIT</v>
      </c>
      <c r="Q913" s="13" t="s">
        <v>61</v>
      </c>
      <c r="R913" s="13" t="s">
        <v>62</v>
      </c>
      <c r="S913" s="13" t="s">
        <v>49</v>
      </c>
      <c r="T913" s="13" t="s">
        <v>78</v>
      </c>
      <c r="U913" s="13" t="s">
        <v>79</v>
      </c>
      <c r="V913" s="13" t="s">
        <v>1186</v>
      </c>
      <c r="W913" s="13" t="s">
        <v>1105</v>
      </c>
      <c r="X913" s="135">
        <v>6600000</v>
      </c>
      <c r="Y913" s="156">
        <v>1</v>
      </c>
      <c r="Z913" s="18">
        <f t="shared" si="272"/>
        <v>6600000</v>
      </c>
      <c r="AA913" s="13">
        <v>7.4899999999999994E-2</v>
      </c>
      <c r="AB913" s="21">
        <f t="shared" si="269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73"/>
        <v>47907808.356810622</v>
      </c>
      <c r="AJ913" s="19">
        <f t="shared" si="274"/>
        <v>6027384.8806384448</v>
      </c>
      <c r="AK913" s="20">
        <f t="shared" si="282"/>
        <v>0.12581216063459488</v>
      </c>
      <c r="AL913" s="17"/>
      <c r="AM913" s="17"/>
      <c r="AN913" s="17"/>
      <c r="AO913" s="17"/>
      <c r="AP913" s="28" t="str">
        <f t="shared" si="283"/>
        <v>20209</v>
      </c>
      <c r="AQ913" s="28" t="str">
        <f t="shared" si="284"/>
        <v>20209JPY</v>
      </c>
      <c r="AR913" s="206" t="str">
        <f t="shared" si="285"/>
        <v>YAMAHA_Mounter</v>
      </c>
      <c r="AS913" s="22">
        <f t="shared" si="286"/>
        <v>2</v>
      </c>
      <c r="AT913" s="24" t="str">
        <f t="shared" si="287"/>
        <v>0-3 months</v>
      </c>
      <c r="AU913" s="22" t="s">
        <v>3745</v>
      </c>
    </row>
    <row r="914" spans="1:47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185</v>
      </c>
      <c r="F914" s="13" t="s">
        <v>185</v>
      </c>
      <c r="G914" s="152" t="s">
        <v>185</v>
      </c>
      <c r="H914" s="155"/>
      <c r="I914" s="33" t="str">
        <f t="shared" si="278"/>
        <v>Cancel</v>
      </c>
      <c r="J914" s="186" t="s">
        <v>615</v>
      </c>
      <c r="K914" s="155" t="s">
        <v>616</v>
      </c>
      <c r="L914" s="17" t="s">
        <v>67</v>
      </c>
      <c r="M914" s="13" t="s">
        <v>60</v>
      </c>
      <c r="N914" s="13">
        <v>3</v>
      </c>
      <c r="O914" s="13"/>
      <c r="P914" s="33" t="str">
        <f t="shared" si="279"/>
        <v>MAIN UNIT</v>
      </c>
      <c r="Q914" s="13" t="s">
        <v>68</v>
      </c>
      <c r="R914" s="13" t="s">
        <v>62</v>
      </c>
      <c r="S914" s="13" t="s">
        <v>370</v>
      </c>
      <c r="T914" s="13" t="s">
        <v>78</v>
      </c>
      <c r="U914" s="13" t="s">
        <v>79</v>
      </c>
      <c r="V914" s="13" t="s">
        <v>594</v>
      </c>
      <c r="W914" s="13" t="s">
        <v>372</v>
      </c>
      <c r="X914" s="135">
        <v>8544600</v>
      </c>
      <c r="Y914" s="156">
        <v>1</v>
      </c>
      <c r="Z914" s="18">
        <f t="shared" si="272"/>
        <v>25633800</v>
      </c>
      <c r="AA914" s="13">
        <v>7.0199999999999999E-2</v>
      </c>
      <c r="AB914" s="21">
        <f t="shared" si="269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73"/>
        <v>499582152.5142017</v>
      </c>
      <c r="AJ914" s="19">
        <f t="shared" si="274"/>
        <v>59520528.679470733</v>
      </c>
      <c r="AK914" s="20">
        <f t="shared" si="282"/>
        <v>0.11914062257814291</v>
      </c>
      <c r="AL914" s="17"/>
      <c r="AM914" s="17"/>
      <c r="AN914" s="17"/>
      <c r="AO914" s="17"/>
      <c r="AP914" s="28" t="str">
        <f t="shared" si="283"/>
        <v>CancelCancel</v>
      </c>
      <c r="AQ914" s="28" t="str">
        <f t="shared" si="284"/>
        <v>CancelCancelJPY</v>
      </c>
      <c r="AR914" s="206" t="str">
        <f t="shared" si="285"/>
        <v>YAMAHA_Mounter</v>
      </c>
      <c r="AS914" s="22" t="str">
        <f t="shared" si="286"/>
        <v/>
      </c>
      <c r="AT914" s="24" t="str">
        <f t="shared" si="287"/>
        <v/>
      </c>
      <c r="AU914" s="22" t="s">
        <v>3745</v>
      </c>
    </row>
    <row r="915" spans="1:47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47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1246</v>
      </c>
      <c r="K915" s="155" t="s">
        <v>1247</v>
      </c>
      <c r="L915" s="17" t="s">
        <v>92</v>
      </c>
      <c r="M915" s="13" t="s">
        <v>60</v>
      </c>
      <c r="N915" s="13">
        <v>1</v>
      </c>
      <c r="O915" s="13"/>
      <c r="P915" s="33" t="str">
        <f t="shared" si="279"/>
        <v>MAIN UNIT</v>
      </c>
      <c r="Q915" s="13" t="s">
        <v>68</v>
      </c>
      <c r="R915" s="13" t="s">
        <v>62</v>
      </c>
      <c r="S915" s="13" t="s">
        <v>49</v>
      </c>
      <c r="T915" s="13" t="s">
        <v>78</v>
      </c>
      <c r="U915" s="13" t="s">
        <v>79</v>
      </c>
      <c r="V915" s="13" t="s">
        <v>112</v>
      </c>
      <c r="W915" s="13" t="s">
        <v>64</v>
      </c>
      <c r="X915" s="135">
        <v>882530</v>
      </c>
      <c r="Y915" s="156">
        <v>1.1299999999999999</v>
      </c>
      <c r="Z915" s="18">
        <f t="shared" si="272"/>
        <v>882530</v>
      </c>
      <c r="AA915" s="13">
        <v>1.1100000000000001</v>
      </c>
      <c r="AB915" s="21">
        <f t="shared" si="269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73"/>
        <v>23168285.927433632</v>
      </c>
      <c r="AJ915" s="19">
        <f t="shared" si="274"/>
        <v>2764878.916878053</v>
      </c>
      <c r="AK915" s="20">
        <f t="shared" si="282"/>
        <v>0.11933895004309111</v>
      </c>
      <c r="AL915" s="17"/>
      <c r="AM915" s="17"/>
      <c r="AN915" s="17"/>
      <c r="AO915" s="17"/>
      <c r="AP915" s="28" t="str">
        <f t="shared" si="283"/>
        <v>20203</v>
      </c>
      <c r="AQ915" s="28" t="str">
        <f t="shared" si="284"/>
        <v>20203RMB</v>
      </c>
      <c r="AR915" s="206" t="str">
        <f t="shared" si="285"/>
        <v>YAMAHA_Mounter</v>
      </c>
      <c r="AS915" s="22">
        <f t="shared" si="286"/>
        <v>0</v>
      </c>
      <c r="AT915" s="24" t="str">
        <f t="shared" si="287"/>
        <v>0-3 months</v>
      </c>
      <c r="AU915" s="22" t="s">
        <v>3744</v>
      </c>
    </row>
    <row r="916" spans="1:47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53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1715</v>
      </c>
      <c r="K916" s="155" t="s">
        <v>1247</v>
      </c>
      <c r="L916" s="17" t="s">
        <v>67</v>
      </c>
      <c r="M916" s="13" t="s">
        <v>60</v>
      </c>
      <c r="N916" s="13">
        <v>1</v>
      </c>
      <c r="O916" s="13"/>
      <c r="P916" s="33" t="str">
        <f t="shared" si="279"/>
        <v>MAIN UNIT</v>
      </c>
      <c r="Q916" s="13" t="s">
        <v>61</v>
      </c>
      <c r="R916" s="13" t="s">
        <v>62</v>
      </c>
      <c r="S916" s="13" t="s">
        <v>49</v>
      </c>
      <c r="T916" s="13" t="s">
        <v>78</v>
      </c>
      <c r="U916" s="13" t="s">
        <v>79</v>
      </c>
      <c r="V916" s="13" t="s">
        <v>112</v>
      </c>
      <c r="W916" s="13" t="s">
        <v>109</v>
      </c>
      <c r="X916" s="135">
        <v>6950000</v>
      </c>
      <c r="Y916" s="157" t="str">
        <f>IF(W916="RMB","1.13", "1")</f>
        <v>1</v>
      </c>
      <c r="Z916" s="18">
        <f t="shared" si="272"/>
        <v>6950000</v>
      </c>
      <c r="AA916" s="13">
        <v>7.2800000000000004E-2</v>
      </c>
      <c r="AB916" s="21">
        <f t="shared" si="269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73"/>
        <v>63006605.696460173</v>
      </c>
      <c r="AJ916" s="19">
        <f t="shared" si="274"/>
        <v>8897485.660753984</v>
      </c>
      <c r="AK916" s="20">
        <f t="shared" si="282"/>
        <v>0.141215124388995</v>
      </c>
      <c r="AL916" s="17"/>
      <c r="AM916" s="17"/>
      <c r="AN916" s="17"/>
      <c r="AO916" s="17"/>
      <c r="AP916" s="28" t="str">
        <f t="shared" si="283"/>
        <v>20215</v>
      </c>
      <c r="AQ916" s="28" t="str">
        <f t="shared" si="284"/>
        <v>20215JPY</v>
      </c>
      <c r="AR916" s="206" t="str">
        <f t="shared" si="285"/>
        <v>YAMAHA_Mounter</v>
      </c>
      <c r="AS916" s="22">
        <f t="shared" si="286"/>
        <v>4</v>
      </c>
      <c r="AT916" s="24" t="str">
        <f t="shared" si="287"/>
        <v>4-6 months</v>
      </c>
      <c r="AU916" s="22" t="s">
        <v>3745</v>
      </c>
    </row>
    <row r="917" spans="1:47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53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1748</v>
      </c>
      <c r="K917" s="155" t="s">
        <v>1247</v>
      </c>
      <c r="L917" s="17" t="s">
        <v>67</v>
      </c>
      <c r="M917" s="13" t="s">
        <v>60</v>
      </c>
      <c r="N917" s="13">
        <v>1</v>
      </c>
      <c r="O917" s="13"/>
      <c r="P917" s="33" t="str">
        <f t="shared" si="279"/>
        <v>MAIN UNIT</v>
      </c>
      <c r="Q917" s="13" t="s">
        <v>61</v>
      </c>
      <c r="R917" s="13" t="s">
        <v>62</v>
      </c>
      <c r="S917" s="13" t="s">
        <v>49</v>
      </c>
      <c r="T917" s="13" t="s">
        <v>78</v>
      </c>
      <c r="U917" s="13" t="s">
        <v>79</v>
      </c>
      <c r="V917" s="13" t="s">
        <v>112</v>
      </c>
      <c r="W917" s="13" t="s">
        <v>109</v>
      </c>
      <c r="X917" s="135">
        <v>10300000</v>
      </c>
      <c r="Y917" s="157" t="str">
        <f>IF(W917="RMB","1.13", "1")</f>
        <v>1</v>
      </c>
      <c r="Z917" s="18">
        <f t="shared" si="272"/>
        <v>10300000</v>
      </c>
      <c r="AA917" s="13">
        <v>7.2800000000000004E-2</v>
      </c>
      <c r="AB917" s="21">
        <f t="shared" si="269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73"/>
        <v>63006605.696460173</v>
      </c>
      <c r="AJ917" s="19">
        <f t="shared" si="274"/>
        <v>8897485.660753984</v>
      </c>
      <c r="AK917" s="20">
        <f t="shared" si="282"/>
        <v>0.141215124388995</v>
      </c>
      <c r="AL917" s="17"/>
      <c r="AM917" s="17"/>
      <c r="AN917" s="17"/>
      <c r="AO917" s="17"/>
      <c r="AP917" s="28" t="str">
        <f t="shared" si="283"/>
        <v>20215</v>
      </c>
      <c r="AQ917" s="28" t="str">
        <f t="shared" si="284"/>
        <v>20215JPY</v>
      </c>
      <c r="AR917" s="206" t="str">
        <f t="shared" si="285"/>
        <v>YAMAHA_Mounter</v>
      </c>
      <c r="AS917" s="22">
        <f t="shared" si="286"/>
        <v>1</v>
      </c>
      <c r="AT917" s="24" t="str">
        <f t="shared" si="287"/>
        <v>0-3 months</v>
      </c>
      <c r="AU917" s="22" t="s">
        <v>3745</v>
      </c>
    </row>
    <row r="918" spans="1:47" s="12" customFormat="1">
      <c r="A918" s="33" t="str">
        <f t="shared" si="276"/>
        <v>cancel</v>
      </c>
      <c r="B918" s="152"/>
      <c r="C918" s="152" t="s">
        <v>185</v>
      </c>
      <c r="D918" s="33" t="str">
        <f t="shared" si="277"/>
        <v/>
      </c>
      <c r="E918" s="33" t="s">
        <v>185</v>
      </c>
      <c r="F918" s="13" t="s">
        <v>185</v>
      </c>
      <c r="G918" s="152" t="s">
        <v>185</v>
      </c>
      <c r="H918" s="155"/>
      <c r="I918" s="33" t="str">
        <f t="shared" si="278"/>
        <v>Cancel</v>
      </c>
      <c r="J918" s="186" t="s">
        <v>2702</v>
      </c>
      <c r="K918" s="155" t="s">
        <v>616</v>
      </c>
      <c r="L918" s="17" t="s">
        <v>67</v>
      </c>
      <c r="M918" s="13" t="s">
        <v>60</v>
      </c>
      <c r="N918" s="13">
        <v>1</v>
      </c>
      <c r="O918" s="13"/>
      <c r="P918" s="33" t="str">
        <f t="shared" si="279"/>
        <v>MAIN UNIT</v>
      </c>
      <c r="Q918" s="13" t="s">
        <v>68</v>
      </c>
      <c r="R918" s="13" t="s">
        <v>62</v>
      </c>
      <c r="S918" s="13" t="s">
        <v>370</v>
      </c>
      <c r="T918" s="13" t="s">
        <v>78</v>
      </c>
      <c r="U918" s="13" t="s">
        <v>1624</v>
      </c>
      <c r="V918" s="13" t="s">
        <v>594</v>
      </c>
      <c r="W918" s="13" t="s">
        <v>372</v>
      </c>
      <c r="X918" s="135">
        <v>8544600</v>
      </c>
      <c r="Y918" s="156">
        <v>1</v>
      </c>
      <c r="Z918" s="18">
        <f t="shared" si="272"/>
        <v>8544600</v>
      </c>
      <c r="AA918" s="13">
        <v>7.2999999999999995E-2</v>
      </c>
      <c r="AB918" s="21">
        <f t="shared" si="269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73"/>
        <v>499582152.5142017</v>
      </c>
      <c r="AJ918" s="19">
        <f t="shared" si="274"/>
        <v>59520528.679470733</v>
      </c>
      <c r="AK918" s="20">
        <f t="shared" si="282"/>
        <v>0.11914062257814291</v>
      </c>
      <c r="AL918" s="17"/>
      <c r="AM918" s="17"/>
      <c r="AN918" s="17"/>
      <c r="AO918" s="17"/>
      <c r="AP918" s="28" t="str">
        <f t="shared" si="283"/>
        <v>CancelCancel</v>
      </c>
      <c r="AQ918" s="28" t="str">
        <f t="shared" si="284"/>
        <v>CancelCancelJPY</v>
      </c>
      <c r="AR918" s="206" t="str">
        <f t="shared" si="285"/>
        <v>YAMAHA_Mounter</v>
      </c>
      <c r="AS918" s="22" t="str">
        <f t="shared" si="286"/>
        <v/>
      </c>
      <c r="AT918" s="24" t="str">
        <f t="shared" si="287"/>
        <v/>
      </c>
      <c r="AU918" s="22" t="s">
        <v>3745</v>
      </c>
    </row>
    <row r="919" spans="1:47" s="12" customFormat="1">
      <c r="A919" s="33" t="str">
        <f t="shared" si="276"/>
        <v>cancel</v>
      </c>
      <c r="B919" s="152"/>
      <c r="C919" s="152" t="s">
        <v>185</v>
      </c>
      <c r="D919" s="33" t="str">
        <f t="shared" si="277"/>
        <v/>
      </c>
      <c r="E919" s="33" t="s">
        <v>185</v>
      </c>
      <c r="F919" s="13" t="s">
        <v>185</v>
      </c>
      <c r="G919" s="152" t="s">
        <v>185</v>
      </c>
      <c r="H919" s="155"/>
      <c r="I919" s="33" t="str">
        <f t="shared" si="278"/>
        <v>Cancel</v>
      </c>
      <c r="J919" s="186" t="s">
        <v>2702</v>
      </c>
      <c r="K919" s="155" t="s">
        <v>616</v>
      </c>
      <c r="L919" s="17" t="s">
        <v>67</v>
      </c>
      <c r="M919" s="13" t="s">
        <v>60</v>
      </c>
      <c r="N919" s="13">
        <v>1</v>
      </c>
      <c r="O919" s="13"/>
      <c r="P919" s="33" t="str">
        <f t="shared" si="279"/>
        <v>MAIN UNIT</v>
      </c>
      <c r="Q919" s="13" t="s">
        <v>68</v>
      </c>
      <c r="R919" s="13" t="s">
        <v>62</v>
      </c>
      <c r="S919" s="13" t="s">
        <v>370</v>
      </c>
      <c r="T919" s="13" t="s">
        <v>78</v>
      </c>
      <c r="U919" s="13" t="s">
        <v>1624</v>
      </c>
      <c r="V919" s="13" t="s">
        <v>594</v>
      </c>
      <c r="W919" s="13" t="s">
        <v>372</v>
      </c>
      <c r="X919" s="135">
        <v>8544600</v>
      </c>
      <c r="Y919" s="156">
        <v>1</v>
      </c>
      <c r="Z919" s="18">
        <f t="shared" si="272"/>
        <v>8544600</v>
      </c>
      <c r="AA919" s="13">
        <v>7.2999999999999995E-2</v>
      </c>
      <c r="AB919" s="21">
        <f t="shared" si="269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73"/>
        <v>499582152.5142017</v>
      </c>
      <c r="AJ919" s="19">
        <f t="shared" si="274"/>
        <v>59520528.679470733</v>
      </c>
      <c r="AK919" s="20">
        <f t="shared" si="282"/>
        <v>0.11914062257814291</v>
      </c>
      <c r="AL919" s="17"/>
      <c r="AM919" s="17"/>
      <c r="AN919" s="17"/>
      <c r="AO919" s="17"/>
      <c r="AP919" s="28" t="str">
        <f t="shared" si="283"/>
        <v>CancelCancel</v>
      </c>
      <c r="AQ919" s="28" t="str">
        <f t="shared" si="284"/>
        <v>CancelCancelJPY</v>
      </c>
      <c r="AR919" s="206" t="str">
        <f t="shared" si="285"/>
        <v>YAMAHA_Mounter</v>
      </c>
      <c r="AS919" s="22" t="str">
        <f t="shared" si="286"/>
        <v/>
      </c>
      <c r="AT919" s="24" t="str">
        <f t="shared" si="287"/>
        <v/>
      </c>
      <c r="AU919" s="22" t="s">
        <v>3745</v>
      </c>
    </row>
    <row r="920" spans="1:47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41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450</v>
      </c>
      <c r="K920" s="155" t="s">
        <v>451</v>
      </c>
      <c r="L920" s="17" t="s">
        <v>67</v>
      </c>
      <c r="M920" s="13" t="s">
        <v>60</v>
      </c>
      <c r="N920" s="13">
        <v>2</v>
      </c>
      <c r="O920" s="13"/>
      <c r="P920" s="33" t="str">
        <f t="shared" si="279"/>
        <v>MAIN UNIT</v>
      </c>
      <c r="Q920" s="13" t="s">
        <v>68</v>
      </c>
      <c r="R920" s="13" t="s">
        <v>62</v>
      </c>
      <c r="S920" s="13" t="s">
        <v>49</v>
      </c>
      <c r="T920" s="13" t="s">
        <v>78</v>
      </c>
      <c r="U920" s="13" t="s">
        <v>79</v>
      </c>
      <c r="V920" s="13" t="s">
        <v>112</v>
      </c>
      <c r="W920" s="13" t="s">
        <v>109</v>
      </c>
      <c r="X920" s="135">
        <v>9961884.5</v>
      </c>
      <c r="Y920" s="156">
        <v>1</v>
      </c>
      <c r="Z920" s="18">
        <f t="shared" si="272"/>
        <v>19923769</v>
      </c>
      <c r="AA920" s="13">
        <v>7.3599999999999999E-2</v>
      </c>
      <c r="AB920" s="21">
        <f t="shared" si="269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73"/>
        <v>24398045.86045352</v>
      </c>
      <c r="AJ920" s="19">
        <f t="shared" si="274"/>
        <v>3478417.4064663448</v>
      </c>
      <c r="AK920" s="20">
        <f t="shared" si="282"/>
        <v>0.14256950849102498</v>
      </c>
      <c r="AL920" s="17"/>
      <c r="AM920" s="17"/>
      <c r="AN920" s="17"/>
      <c r="AO920" s="17"/>
      <c r="AP920" s="28" t="str">
        <f t="shared" si="283"/>
        <v>20186</v>
      </c>
      <c r="AQ920" s="28" t="str">
        <f t="shared" si="284"/>
        <v>20186JPY</v>
      </c>
      <c r="AR920" s="206" t="str">
        <f t="shared" si="285"/>
        <v>YAMAHA_Mounter</v>
      </c>
      <c r="AS920" s="22">
        <f t="shared" si="286"/>
        <v>3</v>
      </c>
      <c r="AT920" s="24" t="str">
        <f t="shared" si="287"/>
        <v>0-3 months</v>
      </c>
      <c r="AU920" s="22" t="s">
        <v>3745</v>
      </c>
    </row>
    <row r="921" spans="1:47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55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2331</v>
      </c>
      <c r="K921" s="155" t="s">
        <v>2332</v>
      </c>
      <c r="L921" s="17" t="s">
        <v>67</v>
      </c>
      <c r="M921" s="13" t="s">
        <v>60</v>
      </c>
      <c r="N921" s="13">
        <v>1</v>
      </c>
      <c r="O921" s="13"/>
      <c r="P921" s="33" t="str">
        <f t="shared" si="279"/>
        <v>MAIN UNIT</v>
      </c>
      <c r="Q921" s="13" t="s">
        <v>68</v>
      </c>
      <c r="R921" s="13" t="s">
        <v>62</v>
      </c>
      <c r="S921" s="13" t="s">
        <v>49</v>
      </c>
      <c r="T921" s="13" t="s">
        <v>78</v>
      </c>
      <c r="U921" s="13" t="s">
        <v>79</v>
      </c>
      <c r="V921" s="13" t="s">
        <v>121</v>
      </c>
      <c r="W921" s="13" t="s">
        <v>64</v>
      </c>
      <c r="X921" s="135">
        <v>550000</v>
      </c>
      <c r="Y921" s="157" t="str">
        <f>IF(W921="RMB","1.13", "1")</f>
        <v>1.13</v>
      </c>
      <c r="Z921" s="18">
        <f t="shared" si="272"/>
        <v>550000</v>
      </c>
      <c r="AA921" s="13">
        <v>1.135</v>
      </c>
      <c r="AB921" s="21">
        <f t="shared" si="269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73"/>
        <v>28177779.013274338</v>
      </c>
      <c r="AJ921" s="19">
        <f t="shared" si="274"/>
        <v>4727216.6376190251</v>
      </c>
      <c r="AK921" s="20">
        <f t="shared" si="282"/>
        <v>0.1677639900359808</v>
      </c>
      <c r="AL921" s="17"/>
      <c r="AM921" s="17"/>
      <c r="AN921" s="17"/>
      <c r="AO921" s="17"/>
      <c r="AP921" s="28" t="str">
        <f t="shared" si="283"/>
        <v>20235</v>
      </c>
      <c r="AQ921" s="28" t="str">
        <f t="shared" si="284"/>
        <v>20235RMB</v>
      </c>
      <c r="AR921" s="206" t="str">
        <f t="shared" si="285"/>
        <v>YAMAHA_Mounter</v>
      </c>
      <c r="AS921" s="22">
        <f t="shared" si="286"/>
        <v>9</v>
      </c>
      <c r="AT921" s="24" t="str">
        <f t="shared" si="287"/>
        <v>&gt; 6 months</v>
      </c>
      <c r="AU921" s="22" t="s">
        <v>3751</v>
      </c>
    </row>
    <row r="922" spans="1:47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48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1596</v>
      </c>
      <c r="K922" s="155" t="s">
        <v>1597</v>
      </c>
      <c r="L922" s="17" t="s">
        <v>92</v>
      </c>
      <c r="M922" s="13" t="s">
        <v>60</v>
      </c>
      <c r="N922" s="13">
        <v>1</v>
      </c>
      <c r="O922" s="13"/>
      <c r="P922" s="33" t="str">
        <f t="shared" si="279"/>
        <v>MAIN UNIT</v>
      </c>
      <c r="Q922" s="13" t="s">
        <v>68</v>
      </c>
      <c r="R922" s="13" t="s">
        <v>62</v>
      </c>
      <c r="S922" s="13" t="s">
        <v>49</v>
      </c>
      <c r="T922" s="13" t="s">
        <v>78</v>
      </c>
      <c r="U922" s="13" t="s">
        <v>79</v>
      </c>
      <c r="V922" s="13" t="s">
        <v>672</v>
      </c>
      <c r="W922" s="13" t="s">
        <v>109</v>
      </c>
      <c r="X922" s="135">
        <v>11900000</v>
      </c>
      <c r="Y922" s="157" t="str">
        <f>IF(W922="RMB","1.13", "1")</f>
        <v>1</v>
      </c>
      <c r="Z922" s="18">
        <f t="shared" si="272"/>
        <v>11900000</v>
      </c>
      <c r="AA922" s="13">
        <v>7.5700000000000003E-2</v>
      </c>
      <c r="AB922" s="21">
        <f t="shared" si="269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73"/>
        <v>31097187.02948761</v>
      </c>
      <c r="AJ922" s="19">
        <f t="shared" si="274"/>
        <v>3892353.6644401965</v>
      </c>
      <c r="AK922" s="20">
        <f t="shared" si="282"/>
        <v>0.12516738767237401</v>
      </c>
      <c r="AL922" s="17"/>
      <c r="AM922" s="17"/>
      <c r="AN922" s="17"/>
      <c r="AO922" s="17"/>
      <c r="AP922" s="28" t="str">
        <f t="shared" si="283"/>
        <v>20212</v>
      </c>
      <c r="AQ922" s="28" t="str">
        <f t="shared" si="284"/>
        <v>20212JPY</v>
      </c>
      <c r="AR922" s="206" t="str">
        <f t="shared" si="285"/>
        <v>YAMAHA_Mounter</v>
      </c>
      <c r="AS922" s="22">
        <f t="shared" si="286"/>
        <v>2</v>
      </c>
      <c r="AT922" s="24" t="str">
        <f t="shared" si="287"/>
        <v>0-3 months</v>
      </c>
      <c r="AU922" s="22" t="s">
        <v>3745</v>
      </c>
    </row>
    <row r="923" spans="1:47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48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1463</v>
      </c>
      <c r="K923" s="155" t="s">
        <v>1464</v>
      </c>
      <c r="L923" s="17" t="s">
        <v>293</v>
      </c>
      <c r="M923" s="13" t="s">
        <v>60</v>
      </c>
      <c r="N923" s="13">
        <v>1</v>
      </c>
      <c r="O923" s="13"/>
      <c r="P923" s="33" t="str">
        <f t="shared" si="279"/>
        <v>MAIN UNIT</v>
      </c>
      <c r="Q923" s="13" t="s">
        <v>68</v>
      </c>
      <c r="R923" s="13" t="s">
        <v>62</v>
      </c>
      <c r="S923" s="13" t="s">
        <v>49</v>
      </c>
      <c r="T923" s="13" t="s">
        <v>78</v>
      </c>
      <c r="U923" s="13" t="s">
        <v>79</v>
      </c>
      <c r="V923" s="13" t="s">
        <v>715</v>
      </c>
      <c r="W923" s="13" t="s">
        <v>64</v>
      </c>
      <c r="X923" s="135">
        <v>1450000</v>
      </c>
      <c r="Y923" s="157" t="str">
        <f>IF(W923="RMB","1.13", "1")</f>
        <v>1.13</v>
      </c>
      <c r="Z923" s="18">
        <f t="shared" si="272"/>
        <v>1450000</v>
      </c>
      <c r="AA923" s="13">
        <v>1.155</v>
      </c>
      <c r="AB923" s="21">
        <f t="shared" ref="AB923:AB986" si="288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73"/>
        <v>44078731.611185849</v>
      </c>
      <c r="AJ923" s="19">
        <f t="shared" si="274"/>
        <v>5508173.2163771465</v>
      </c>
      <c r="AK923" s="20">
        <f t="shared" si="282"/>
        <v>0.12496215328889679</v>
      </c>
      <c r="AL923" s="17"/>
      <c r="AM923" s="17"/>
      <c r="AN923" s="17"/>
      <c r="AO923" s="17"/>
      <c r="AP923" s="28" t="str">
        <f t="shared" si="283"/>
        <v>202011</v>
      </c>
      <c r="AQ923" s="28" t="str">
        <f t="shared" si="284"/>
        <v>202011RMB</v>
      </c>
      <c r="AR923" s="206" t="str">
        <f t="shared" si="285"/>
        <v>YAMAHA_Mounter</v>
      </c>
      <c r="AS923" s="22">
        <f t="shared" si="286"/>
        <v>1</v>
      </c>
      <c r="AT923" s="24" t="str">
        <f t="shared" si="287"/>
        <v>0-3 months</v>
      </c>
      <c r="AU923" s="22" t="s">
        <v>3744</v>
      </c>
    </row>
    <row r="924" spans="1:47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54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2173</v>
      </c>
      <c r="K924" s="155" t="s">
        <v>2174</v>
      </c>
      <c r="L924" s="17" t="s">
        <v>67</v>
      </c>
      <c r="M924" s="13" t="s">
        <v>60</v>
      </c>
      <c r="N924" s="13">
        <v>1</v>
      </c>
      <c r="O924" s="13"/>
      <c r="P924" s="33" t="str">
        <f t="shared" si="279"/>
        <v>MAIN UNIT</v>
      </c>
      <c r="Q924" s="13" t="s">
        <v>68</v>
      </c>
      <c r="R924" s="13" t="s">
        <v>62</v>
      </c>
      <c r="S924" s="13" t="s">
        <v>49</v>
      </c>
      <c r="T924" s="13" t="s">
        <v>78</v>
      </c>
      <c r="U924" s="13" t="s">
        <v>79</v>
      </c>
      <c r="V924" s="13" t="s">
        <v>2011</v>
      </c>
      <c r="W924" s="13" t="s">
        <v>109</v>
      </c>
      <c r="X924" s="135">
        <v>10068000</v>
      </c>
      <c r="Y924" s="157" t="str">
        <f>IF(W924="RMB","1.13", "1")</f>
        <v>1</v>
      </c>
      <c r="Z924" s="18">
        <f t="shared" si="272"/>
        <v>10068000</v>
      </c>
      <c r="AA924" s="13">
        <v>6.2799999999999995E-2</v>
      </c>
      <c r="AB924" s="21">
        <f t="shared" si="288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73"/>
        <v>44014086.982070789</v>
      </c>
      <c r="AJ924" s="19">
        <f t="shared" si="274"/>
        <v>6419974.0221889298</v>
      </c>
      <c r="AK924" s="20">
        <f t="shared" si="282"/>
        <v>0.14586180158193709</v>
      </c>
      <c r="AL924" s="17"/>
      <c r="AM924" s="17"/>
      <c r="AN924" s="17"/>
      <c r="AO924" s="17"/>
      <c r="AP924" s="28" t="str">
        <f t="shared" si="283"/>
        <v>20225</v>
      </c>
      <c r="AQ924" s="28" t="str">
        <f t="shared" si="284"/>
        <v>20225JPY</v>
      </c>
      <c r="AR924" s="206" t="str">
        <f t="shared" si="285"/>
        <v>YAMAHA_Mounter</v>
      </c>
      <c r="AS924" s="22">
        <f t="shared" si="286"/>
        <v>2</v>
      </c>
      <c r="AT924" s="24" t="str">
        <f t="shared" si="287"/>
        <v>0-3 months</v>
      </c>
      <c r="AU924" s="22" t="s">
        <v>3745</v>
      </c>
    </row>
    <row r="925" spans="1:47" s="12" customFormat="1">
      <c r="A925" s="33" t="str">
        <f t="shared" si="276"/>
        <v>cancel</v>
      </c>
      <c r="B925" s="152"/>
      <c r="C925" s="152" t="s">
        <v>1616</v>
      </c>
      <c r="D925" s="33" t="str">
        <f t="shared" si="277"/>
        <v/>
      </c>
      <c r="E925" s="33" t="s">
        <v>185</v>
      </c>
      <c r="F925" s="13" t="s">
        <v>185</v>
      </c>
      <c r="G925" s="152" t="s">
        <v>185</v>
      </c>
      <c r="H925" s="155"/>
      <c r="I925" s="33" t="str">
        <f t="shared" si="278"/>
        <v>Cancel</v>
      </c>
      <c r="J925" s="186" t="s">
        <v>2657</v>
      </c>
      <c r="K925" s="155" t="s">
        <v>2658</v>
      </c>
      <c r="L925" s="17" t="s">
        <v>92</v>
      </c>
      <c r="M925" s="13" t="s">
        <v>60</v>
      </c>
      <c r="N925" s="13">
        <v>1</v>
      </c>
      <c r="O925" s="13"/>
      <c r="P925" s="33" t="str">
        <f t="shared" si="279"/>
        <v>MAIN UNIT</v>
      </c>
      <c r="Q925" s="13" t="s">
        <v>68</v>
      </c>
      <c r="R925" s="13" t="s">
        <v>62</v>
      </c>
      <c r="S925" s="13" t="s">
        <v>49</v>
      </c>
      <c r="T925" s="13" t="s">
        <v>78</v>
      </c>
      <c r="U925" s="13" t="s">
        <v>79</v>
      </c>
      <c r="V925" s="13" t="s">
        <v>63</v>
      </c>
      <c r="W925" s="13" t="s">
        <v>109</v>
      </c>
      <c r="X925" s="135">
        <v>12786600</v>
      </c>
      <c r="Y925" s="156">
        <v>1</v>
      </c>
      <c r="Z925" s="18">
        <f t="shared" si="272"/>
        <v>12786600</v>
      </c>
      <c r="AA925" s="13">
        <v>7.3999999999999996E-2</v>
      </c>
      <c r="AB925" s="21">
        <f t="shared" si="288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73"/>
        <v>499582152.5142017</v>
      </c>
      <c r="AJ925" s="19">
        <f t="shared" si="274"/>
        <v>59520528.679470733</v>
      </c>
      <c r="AK925" s="20">
        <f t="shared" si="282"/>
        <v>0.11914062257814291</v>
      </c>
      <c r="AL925" s="17"/>
      <c r="AM925" s="17"/>
      <c r="AN925" s="17"/>
      <c r="AO925" s="17"/>
      <c r="AP925" s="28" t="str">
        <f t="shared" si="283"/>
        <v>CancelCancel</v>
      </c>
      <c r="AQ925" s="28" t="str">
        <f t="shared" si="284"/>
        <v>CancelCancelJPY</v>
      </c>
      <c r="AR925" s="206" t="str">
        <f t="shared" si="285"/>
        <v>YAMAHA_Mounter</v>
      </c>
      <c r="AS925" s="22" t="str">
        <f t="shared" si="286"/>
        <v/>
      </c>
      <c r="AT925" s="24" t="str">
        <f t="shared" si="287"/>
        <v/>
      </c>
      <c r="AU925" s="22" t="s">
        <v>3745</v>
      </c>
    </row>
    <row r="926" spans="1:47" s="12" customFormat="1">
      <c r="A926" s="33" t="str">
        <f t="shared" si="276"/>
        <v>cancel</v>
      </c>
      <c r="B926" s="152"/>
      <c r="C926" s="152" t="s">
        <v>185</v>
      </c>
      <c r="D926" s="33" t="str">
        <f t="shared" si="277"/>
        <v/>
      </c>
      <c r="E926" s="33" t="s">
        <v>185</v>
      </c>
      <c r="F926" s="13" t="s">
        <v>185</v>
      </c>
      <c r="G926" s="152" t="s">
        <v>185</v>
      </c>
      <c r="H926" s="155"/>
      <c r="I926" s="33" t="str">
        <f t="shared" si="278"/>
        <v>Cancel</v>
      </c>
      <c r="J926" s="186" t="s">
        <v>2659</v>
      </c>
      <c r="K926" s="155" t="s">
        <v>2658</v>
      </c>
      <c r="L926" s="17" t="s">
        <v>92</v>
      </c>
      <c r="M926" s="13" t="s">
        <v>60</v>
      </c>
      <c r="N926" s="13">
        <v>1</v>
      </c>
      <c r="O926" s="13"/>
      <c r="P926" s="33" t="str">
        <f t="shared" si="279"/>
        <v>MAIN UNIT</v>
      </c>
      <c r="Q926" s="13" t="s">
        <v>68</v>
      </c>
      <c r="R926" s="13" t="s">
        <v>62</v>
      </c>
      <c r="S926" s="13" t="s">
        <v>49</v>
      </c>
      <c r="T926" s="13" t="s">
        <v>78</v>
      </c>
      <c r="U926" s="13" t="s">
        <v>79</v>
      </c>
      <c r="V926" s="13" t="s">
        <v>63</v>
      </c>
      <c r="W926" s="13" t="s">
        <v>109</v>
      </c>
      <c r="X926" s="135">
        <v>12786600</v>
      </c>
      <c r="Y926" s="156">
        <v>1</v>
      </c>
      <c r="Z926" s="18">
        <f t="shared" si="272"/>
        <v>12786600</v>
      </c>
      <c r="AA926" s="13">
        <v>7.2300000000000003E-2</v>
      </c>
      <c r="AB926" s="21">
        <f t="shared" si="288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73"/>
        <v>499582152.5142017</v>
      </c>
      <c r="AJ926" s="19">
        <f t="shared" si="274"/>
        <v>59520528.679470733</v>
      </c>
      <c r="AK926" s="20">
        <f t="shared" si="282"/>
        <v>0.11914062257814291</v>
      </c>
      <c r="AL926" s="17"/>
      <c r="AM926" s="17"/>
      <c r="AN926" s="17"/>
      <c r="AO926" s="17"/>
      <c r="AP926" s="28" t="str">
        <f t="shared" si="283"/>
        <v>CancelCancel</v>
      </c>
      <c r="AQ926" s="28" t="str">
        <f t="shared" si="284"/>
        <v>CancelCancelJPY</v>
      </c>
      <c r="AR926" s="206" t="str">
        <f t="shared" si="285"/>
        <v>YAMAHA_Mounter</v>
      </c>
      <c r="AS926" s="22" t="str">
        <f t="shared" si="286"/>
        <v/>
      </c>
      <c r="AT926" s="24" t="str">
        <f t="shared" si="287"/>
        <v/>
      </c>
      <c r="AU926" s="22" t="s">
        <v>3745</v>
      </c>
    </row>
    <row r="927" spans="1:47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55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2052</v>
      </c>
      <c r="L927" s="17" t="s">
        <v>2053</v>
      </c>
      <c r="M927" s="13" t="s">
        <v>2054</v>
      </c>
      <c r="N927" s="13">
        <v>1</v>
      </c>
      <c r="O927" s="13"/>
      <c r="P927" s="33" t="str">
        <f t="shared" si="279"/>
        <v>MAIN UNIT</v>
      </c>
      <c r="Q927" s="13" t="s">
        <v>68</v>
      </c>
      <c r="R927" s="13" t="s">
        <v>2055</v>
      </c>
      <c r="S927" s="13" t="s">
        <v>49</v>
      </c>
      <c r="T927" s="13" t="s">
        <v>78</v>
      </c>
      <c r="U927" s="13" t="s">
        <v>2056</v>
      </c>
      <c r="V927" s="13" t="s">
        <v>2057</v>
      </c>
      <c r="W927" s="13" t="s">
        <v>901</v>
      </c>
      <c r="X927" s="135">
        <v>7650</v>
      </c>
      <c r="Y927" s="157" t="str">
        <f>IF(W927="","",IF(W927="RMB","1.13", "1"))</f>
        <v>1</v>
      </c>
      <c r="Z927" s="18">
        <f t="shared" si="272"/>
        <v>7650</v>
      </c>
      <c r="AA927" s="13">
        <v>7.8</v>
      </c>
      <c r="AB927" s="21">
        <f t="shared" si="288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73"/>
        <v>5219988.5752212387</v>
      </c>
      <c r="AJ927" s="19">
        <f t="shared" si="274"/>
        <v>631627.0013460177</v>
      </c>
      <c r="AK927" s="20">
        <f t="shared" si="282"/>
        <v>0.12100160608478869</v>
      </c>
      <c r="AL927" s="17"/>
      <c r="AM927" s="17"/>
      <c r="AN927" s="17"/>
      <c r="AO927" s="17"/>
      <c r="AP927" s="28" t="str">
        <f t="shared" si="283"/>
        <v>202310</v>
      </c>
      <c r="AQ927" s="28" t="str">
        <f t="shared" si="284"/>
        <v>202310USD</v>
      </c>
      <c r="AR927" s="206" t="str">
        <f t="shared" si="285"/>
        <v>SOLDERSTAR</v>
      </c>
      <c r="AS927" s="22">
        <f t="shared" si="286"/>
        <v>1</v>
      </c>
      <c r="AT927" s="24" t="str">
        <f t="shared" si="287"/>
        <v>0-3 months</v>
      </c>
      <c r="AU927" s="22" t="s">
        <v>3746</v>
      </c>
    </row>
    <row r="928" spans="1:47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48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2913</v>
      </c>
      <c r="K928" s="155" t="s">
        <v>2914</v>
      </c>
      <c r="L928" s="17" t="s">
        <v>2915</v>
      </c>
      <c r="M928" s="13" t="s">
        <v>2832</v>
      </c>
      <c r="N928" s="13">
        <v>3</v>
      </c>
      <c r="O928" s="13"/>
      <c r="P928" s="33" t="str">
        <f t="shared" si="279"/>
        <v>MAIN UNIT</v>
      </c>
      <c r="Q928" s="13" t="s">
        <v>61</v>
      </c>
      <c r="R928" s="13" t="s">
        <v>2055</v>
      </c>
      <c r="S928" s="13" t="s">
        <v>50</v>
      </c>
      <c r="T928" s="13" t="s">
        <v>238</v>
      </c>
      <c r="U928" s="13" t="s">
        <v>70</v>
      </c>
      <c r="V928" s="13" t="s">
        <v>2828</v>
      </c>
      <c r="W928" s="13" t="s">
        <v>64</v>
      </c>
      <c r="X928" s="135">
        <v>468000</v>
      </c>
      <c r="Y928" s="157" t="str">
        <f t="shared" ref="Y928:Y933" si="289">IF(W928="RMB","1.13", "1")</f>
        <v>1.13</v>
      </c>
      <c r="Z928" s="18">
        <f t="shared" si="272"/>
        <v>1404000</v>
      </c>
      <c r="AA928" s="13">
        <v>1.175</v>
      </c>
      <c r="AB928" s="21">
        <f t="shared" si="288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73"/>
        <v>48763143.537654862</v>
      </c>
      <c r="AJ928" s="19">
        <f t="shared" si="274"/>
        <v>5924029.9702154724</v>
      </c>
      <c r="AK928" s="20">
        <f t="shared" si="282"/>
        <v>0.1214858095774925</v>
      </c>
      <c r="AL928" s="17"/>
      <c r="AM928" s="17"/>
      <c r="AN928" s="17"/>
      <c r="AO928" s="17"/>
      <c r="AP928" s="28" t="str">
        <f t="shared" si="283"/>
        <v>202012</v>
      </c>
      <c r="AQ928" s="28" t="str">
        <f t="shared" si="284"/>
        <v>202012RMB</v>
      </c>
      <c r="AR928" s="206" t="str">
        <f t="shared" si="285"/>
        <v>PEMTRON</v>
      </c>
      <c r="AS928" s="22">
        <f t="shared" si="286"/>
        <v>7</v>
      </c>
      <c r="AT928" s="24" t="str">
        <f t="shared" si="287"/>
        <v>&gt; 6 months</v>
      </c>
      <c r="AU928" s="22" t="s">
        <v>3744</v>
      </c>
    </row>
    <row r="929" spans="1:47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53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2961</v>
      </c>
      <c r="K929" s="155" t="s">
        <v>2914</v>
      </c>
      <c r="L929" s="17" t="s">
        <v>2837</v>
      </c>
      <c r="M929" s="13" t="s">
        <v>2832</v>
      </c>
      <c r="N929" s="13">
        <v>1</v>
      </c>
      <c r="O929" s="13"/>
      <c r="P929" s="33" t="str">
        <f t="shared" si="279"/>
        <v>MAIN UNIT</v>
      </c>
      <c r="Q929" s="13" t="s">
        <v>61</v>
      </c>
      <c r="R929" s="13" t="s">
        <v>2055</v>
      </c>
      <c r="S929" s="13" t="s">
        <v>51</v>
      </c>
      <c r="T929" s="13" t="s">
        <v>2962</v>
      </c>
      <c r="U929" s="13" t="s">
        <v>149</v>
      </c>
      <c r="V929" s="13" t="s">
        <v>2828</v>
      </c>
      <c r="W929" s="13" t="s">
        <v>64</v>
      </c>
      <c r="X929" s="135">
        <v>468000</v>
      </c>
      <c r="Y929" s="157" t="str">
        <f t="shared" si="289"/>
        <v>1.13</v>
      </c>
      <c r="Z929" s="18">
        <f t="shared" si="272"/>
        <v>468000</v>
      </c>
      <c r="AA929" s="13">
        <v>1.2</v>
      </c>
      <c r="AB929" s="21">
        <f t="shared" si="288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73"/>
        <v>10844605.840707963</v>
      </c>
      <c r="AJ929" s="19">
        <f t="shared" si="274"/>
        <v>1523130.9860707966</v>
      </c>
      <c r="AK929" s="20">
        <f t="shared" si="282"/>
        <v>0.14045056209911663</v>
      </c>
      <c r="AL929" s="17"/>
      <c r="AM929" s="17"/>
      <c r="AN929" s="17"/>
      <c r="AO929" s="17"/>
      <c r="AP929" s="28" t="str">
        <f t="shared" si="283"/>
        <v>20219</v>
      </c>
      <c r="AQ929" s="28" t="str">
        <f t="shared" si="284"/>
        <v>20219RMB</v>
      </c>
      <c r="AR929" s="206" t="str">
        <f t="shared" si="285"/>
        <v>PEMTRON</v>
      </c>
      <c r="AS929" s="22">
        <f t="shared" si="286"/>
        <v>2</v>
      </c>
      <c r="AT929" s="24" t="str">
        <f t="shared" si="287"/>
        <v>0-3 months</v>
      </c>
      <c r="AU929" s="22" t="s">
        <v>3744</v>
      </c>
    </row>
    <row r="930" spans="1:47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53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2961</v>
      </c>
      <c r="K930" s="155" t="s">
        <v>2914</v>
      </c>
      <c r="L930" s="17" t="s">
        <v>2837</v>
      </c>
      <c r="M930" s="13" t="s">
        <v>2832</v>
      </c>
      <c r="N930" s="13">
        <v>1</v>
      </c>
      <c r="O930" s="13"/>
      <c r="P930" s="33" t="str">
        <f t="shared" si="279"/>
        <v>MAIN UNIT</v>
      </c>
      <c r="Q930" s="13" t="s">
        <v>61</v>
      </c>
      <c r="R930" s="13" t="s">
        <v>2055</v>
      </c>
      <c r="S930" s="13" t="s">
        <v>51</v>
      </c>
      <c r="T930" s="13" t="s">
        <v>2962</v>
      </c>
      <c r="U930" s="13" t="s">
        <v>149</v>
      </c>
      <c r="V930" s="13" t="s">
        <v>2828</v>
      </c>
      <c r="W930" s="13" t="s">
        <v>64</v>
      </c>
      <c r="X930" s="135">
        <v>468000</v>
      </c>
      <c r="Y930" s="157" t="str">
        <f t="shared" si="289"/>
        <v>1.13</v>
      </c>
      <c r="Z930" s="18">
        <f t="shared" si="272"/>
        <v>468000</v>
      </c>
      <c r="AA930" s="13">
        <v>1.2</v>
      </c>
      <c r="AB930" s="21">
        <f t="shared" si="288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73"/>
        <v>10844605.840707963</v>
      </c>
      <c r="AJ930" s="19">
        <f t="shared" si="274"/>
        <v>1523130.9860707966</v>
      </c>
      <c r="AK930" s="20">
        <f t="shared" si="282"/>
        <v>0.14045056209911663</v>
      </c>
      <c r="AL930" s="17"/>
      <c r="AM930" s="17"/>
      <c r="AN930" s="17"/>
      <c r="AO930" s="17"/>
      <c r="AP930" s="28" t="str">
        <f t="shared" si="283"/>
        <v>20219</v>
      </c>
      <c r="AQ930" s="28" t="str">
        <f t="shared" si="284"/>
        <v>20219RMB</v>
      </c>
      <c r="AR930" s="206" t="str">
        <f t="shared" si="285"/>
        <v>PEMTRON</v>
      </c>
      <c r="AS930" s="22">
        <f t="shared" si="286"/>
        <v>2</v>
      </c>
      <c r="AT930" s="24" t="str">
        <f t="shared" si="287"/>
        <v>0-3 months</v>
      </c>
      <c r="AU930" s="22" t="s">
        <v>3744</v>
      </c>
    </row>
    <row r="931" spans="1:47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48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1556</v>
      </c>
      <c r="K931" s="155" t="s">
        <v>1557</v>
      </c>
      <c r="L931" s="17" t="s">
        <v>67</v>
      </c>
      <c r="M931" s="13" t="s">
        <v>60</v>
      </c>
      <c r="N931" s="13">
        <v>1</v>
      </c>
      <c r="O931" s="13"/>
      <c r="P931" s="33" t="str">
        <f t="shared" si="279"/>
        <v>MAIN UNIT</v>
      </c>
      <c r="Q931" s="13" t="s">
        <v>61</v>
      </c>
      <c r="R931" s="13" t="s">
        <v>62</v>
      </c>
      <c r="S931" s="13" t="s">
        <v>49</v>
      </c>
      <c r="T931" s="13" t="s">
        <v>78</v>
      </c>
      <c r="U931" s="13" t="s">
        <v>79</v>
      </c>
      <c r="V931" s="13" t="s">
        <v>311</v>
      </c>
      <c r="W931" s="13" t="s">
        <v>109</v>
      </c>
      <c r="X931" s="135">
        <v>9526667</v>
      </c>
      <c r="Y931" s="157" t="str">
        <f t="shared" si="289"/>
        <v>1</v>
      </c>
      <c r="Z931" s="18">
        <f t="shared" si="272"/>
        <v>9526667</v>
      </c>
      <c r="AA931" s="13">
        <v>7.5700000000000003E-2</v>
      </c>
      <c r="AB931" s="21">
        <f t="shared" si="288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73"/>
        <v>31097187.02948761</v>
      </c>
      <c r="AJ931" s="19">
        <f t="shared" si="274"/>
        <v>3892353.6644401965</v>
      </c>
      <c r="AK931" s="20">
        <f t="shared" si="282"/>
        <v>0.12516738767237401</v>
      </c>
      <c r="AL931" s="17"/>
      <c r="AM931" s="17"/>
      <c r="AN931" s="17"/>
      <c r="AO931" s="17"/>
      <c r="AP931" s="28" t="str">
        <f t="shared" si="283"/>
        <v>20212</v>
      </c>
      <c r="AQ931" s="28" t="str">
        <f t="shared" si="284"/>
        <v>20212JPY</v>
      </c>
      <c r="AR931" s="206" t="str">
        <f t="shared" si="285"/>
        <v>YAMAHA_Mounter</v>
      </c>
      <c r="AS931" s="22">
        <f t="shared" si="286"/>
        <v>4</v>
      </c>
      <c r="AT931" s="24" t="str">
        <f t="shared" si="287"/>
        <v>4-6 months</v>
      </c>
      <c r="AU931" s="22" t="s">
        <v>3746</v>
      </c>
    </row>
    <row r="932" spans="1:47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48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1556</v>
      </c>
      <c r="K932" s="155" t="s">
        <v>1557</v>
      </c>
      <c r="L932" s="17" t="s">
        <v>67</v>
      </c>
      <c r="M932" s="13" t="s">
        <v>60</v>
      </c>
      <c r="N932" s="13">
        <v>1</v>
      </c>
      <c r="O932" s="13"/>
      <c r="P932" s="33" t="str">
        <f t="shared" si="279"/>
        <v>MAIN UNIT</v>
      </c>
      <c r="Q932" s="13" t="s">
        <v>61</v>
      </c>
      <c r="R932" s="13" t="s">
        <v>62</v>
      </c>
      <c r="S932" s="13" t="s">
        <v>49</v>
      </c>
      <c r="T932" s="13" t="s">
        <v>78</v>
      </c>
      <c r="U932" s="13" t="s">
        <v>79</v>
      </c>
      <c r="V932" s="13" t="s">
        <v>311</v>
      </c>
      <c r="W932" s="13" t="s">
        <v>109</v>
      </c>
      <c r="X932" s="135">
        <v>9526667</v>
      </c>
      <c r="Y932" s="157" t="str">
        <f t="shared" si="289"/>
        <v>1</v>
      </c>
      <c r="Z932" s="18">
        <f t="shared" si="272"/>
        <v>9526667</v>
      </c>
      <c r="AA932" s="13">
        <v>7.5700000000000003E-2</v>
      </c>
      <c r="AB932" s="21">
        <f t="shared" si="288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73"/>
        <v>31097187.02948761</v>
      </c>
      <c r="AJ932" s="19">
        <f t="shared" si="274"/>
        <v>3892353.6644401965</v>
      </c>
      <c r="AK932" s="20">
        <f t="shared" si="282"/>
        <v>0.12516738767237401</v>
      </c>
      <c r="AL932" s="17"/>
      <c r="AM932" s="17"/>
      <c r="AN932" s="17"/>
      <c r="AO932" s="17"/>
      <c r="AP932" s="28" t="str">
        <f t="shared" si="283"/>
        <v>20212</v>
      </c>
      <c r="AQ932" s="28" t="str">
        <f t="shared" si="284"/>
        <v>20212JPY</v>
      </c>
      <c r="AR932" s="206" t="str">
        <f t="shared" si="285"/>
        <v>YAMAHA_Mounter</v>
      </c>
      <c r="AS932" s="22">
        <f t="shared" si="286"/>
        <v>4</v>
      </c>
      <c r="AT932" s="24" t="str">
        <f t="shared" si="287"/>
        <v>4-6 months</v>
      </c>
      <c r="AU932" s="22" t="s">
        <v>3746</v>
      </c>
    </row>
    <row r="933" spans="1:47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48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1556</v>
      </c>
      <c r="K933" s="155" t="s">
        <v>1557</v>
      </c>
      <c r="L933" s="17" t="s">
        <v>67</v>
      </c>
      <c r="M933" s="13" t="s">
        <v>60</v>
      </c>
      <c r="N933" s="13">
        <v>1</v>
      </c>
      <c r="O933" s="13"/>
      <c r="P933" s="33" t="str">
        <f t="shared" si="279"/>
        <v>MAIN UNIT</v>
      </c>
      <c r="Q933" s="13" t="s">
        <v>61</v>
      </c>
      <c r="R933" s="13" t="s">
        <v>62</v>
      </c>
      <c r="S933" s="13" t="s">
        <v>49</v>
      </c>
      <c r="T933" s="13" t="s">
        <v>78</v>
      </c>
      <c r="U933" s="13" t="s">
        <v>79</v>
      </c>
      <c r="V933" s="13" t="s">
        <v>311</v>
      </c>
      <c r="W933" s="13" t="s">
        <v>109</v>
      </c>
      <c r="X933" s="135">
        <v>9526667</v>
      </c>
      <c r="Y933" s="157" t="str">
        <f t="shared" si="289"/>
        <v>1</v>
      </c>
      <c r="Z933" s="18">
        <f t="shared" si="272"/>
        <v>9526667</v>
      </c>
      <c r="AA933" s="13">
        <v>7.5700000000000003E-2</v>
      </c>
      <c r="AB933" s="21">
        <f t="shared" si="288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73"/>
        <v>31097187.02948761</v>
      </c>
      <c r="AJ933" s="19">
        <f t="shared" si="274"/>
        <v>3892353.6644401965</v>
      </c>
      <c r="AK933" s="20">
        <f t="shared" si="282"/>
        <v>0.12516738767237401</v>
      </c>
      <c r="AL933" s="17"/>
      <c r="AM933" s="17"/>
      <c r="AN933" s="17"/>
      <c r="AO933" s="17"/>
      <c r="AP933" s="28" t="str">
        <f t="shared" si="283"/>
        <v>20212</v>
      </c>
      <c r="AQ933" s="28" t="str">
        <f t="shared" si="284"/>
        <v>20212JPY</v>
      </c>
      <c r="AR933" s="206" t="str">
        <f t="shared" si="285"/>
        <v>YAMAHA_Mounter</v>
      </c>
      <c r="AS933" s="22">
        <f t="shared" si="286"/>
        <v>4</v>
      </c>
      <c r="AT933" s="24" t="str">
        <f t="shared" si="287"/>
        <v>4-6 months</v>
      </c>
      <c r="AU933" s="22" t="s">
        <v>3746</v>
      </c>
    </row>
    <row r="934" spans="1:47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41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744</v>
      </c>
      <c r="K934" s="155" t="s">
        <v>745</v>
      </c>
      <c r="L934" s="17" t="s">
        <v>92</v>
      </c>
      <c r="M934" s="13" t="s">
        <v>60</v>
      </c>
      <c r="N934" s="13">
        <v>1</v>
      </c>
      <c r="O934" s="13"/>
      <c r="P934" s="33" t="str">
        <f t="shared" si="279"/>
        <v>MAIN UNIT</v>
      </c>
      <c r="Q934" s="13" t="s">
        <v>61</v>
      </c>
      <c r="R934" s="13" t="s">
        <v>62</v>
      </c>
      <c r="S934" s="13" t="s">
        <v>49</v>
      </c>
      <c r="T934" s="13" t="s">
        <v>444</v>
      </c>
      <c r="U934" s="13" t="s">
        <v>79</v>
      </c>
      <c r="V934" s="13" t="s">
        <v>112</v>
      </c>
      <c r="W934" s="13" t="s">
        <v>109</v>
      </c>
      <c r="X934" s="135">
        <v>14626800</v>
      </c>
      <c r="Y934" s="156">
        <v>1</v>
      </c>
      <c r="Z934" s="18">
        <f t="shared" si="272"/>
        <v>14626800</v>
      </c>
      <c r="AA934" s="13">
        <v>7.2300000000000003E-2</v>
      </c>
      <c r="AB934" s="21">
        <f t="shared" si="288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73"/>
        <v>23237072.69172414</v>
      </c>
      <c r="AJ934" s="19">
        <f t="shared" si="274"/>
        <v>2402195.7372206897</v>
      </c>
      <c r="AK934" s="20">
        <f t="shared" si="282"/>
        <v>0.10337772614862238</v>
      </c>
      <c r="AL934" s="17"/>
      <c r="AM934" s="17"/>
      <c r="AN934" s="17"/>
      <c r="AO934" s="17"/>
      <c r="AP934" s="28" t="str">
        <f t="shared" si="283"/>
        <v>20191</v>
      </c>
      <c r="AQ934" s="28" t="str">
        <f t="shared" si="284"/>
        <v>20191JPY</v>
      </c>
      <c r="AR934" s="206" t="str">
        <f t="shared" si="285"/>
        <v>YAMAHA_Mounter</v>
      </c>
      <c r="AS934" s="22">
        <f t="shared" si="286"/>
        <v>0</v>
      </c>
      <c r="AT934" s="24" t="str">
        <f t="shared" si="287"/>
        <v>0-3 months</v>
      </c>
      <c r="AU934" s="22" t="s">
        <v>3745</v>
      </c>
    </row>
    <row r="935" spans="1:47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53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1711</v>
      </c>
      <c r="K935" s="155" t="s">
        <v>1712</v>
      </c>
      <c r="L935" s="17" t="s">
        <v>92</v>
      </c>
      <c r="M935" s="13" t="s">
        <v>60</v>
      </c>
      <c r="N935" s="13">
        <v>1</v>
      </c>
      <c r="O935" s="13"/>
      <c r="P935" s="33" t="str">
        <f t="shared" si="279"/>
        <v>MAIN UNIT</v>
      </c>
      <c r="Q935" s="13" t="s">
        <v>68</v>
      </c>
      <c r="R935" s="13" t="s">
        <v>62</v>
      </c>
      <c r="S935" s="13" t="s">
        <v>49</v>
      </c>
      <c r="T935" s="13" t="s">
        <v>78</v>
      </c>
      <c r="U935" s="13" t="s">
        <v>79</v>
      </c>
      <c r="V935" s="13" t="s">
        <v>1713</v>
      </c>
      <c r="W935" s="13" t="s">
        <v>109</v>
      </c>
      <c r="X935" s="135">
        <v>12726000</v>
      </c>
      <c r="Y935" s="157" t="str">
        <f>IF(W935="RMB","1.13", "1")</f>
        <v>1</v>
      </c>
      <c r="Z935" s="18">
        <f t="shared" si="272"/>
        <v>12726000</v>
      </c>
      <c r="AA935" s="13">
        <v>7.2800000000000004E-2</v>
      </c>
      <c r="AB935" s="21">
        <f t="shared" si="288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73"/>
        <v>63006605.696460173</v>
      </c>
      <c r="AJ935" s="19">
        <f t="shared" si="274"/>
        <v>8897485.660753984</v>
      </c>
      <c r="AK935" s="20">
        <f t="shared" si="282"/>
        <v>0.141215124388995</v>
      </c>
      <c r="AL935" s="17"/>
      <c r="AM935" s="17"/>
      <c r="AN935" s="17"/>
      <c r="AO935" s="17"/>
      <c r="AP935" s="28" t="str">
        <f t="shared" si="283"/>
        <v>20215</v>
      </c>
      <c r="AQ935" s="28" t="str">
        <f t="shared" si="284"/>
        <v>20215JPY</v>
      </c>
      <c r="AR935" s="206" t="str">
        <f t="shared" si="285"/>
        <v>YAMAHA_Mounter</v>
      </c>
      <c r="AS935" s="22">
        <f t="shared" si="286"/>
        <v>4</v>
      </c>
      <c r="AT935" s="24" t="str">
        <f t="shared" si="287"/>
        <v>4-6 months</v>
      </c>
      <c r="AU935" s="22" t="s">
        <v>3745</v>
      </c>
    </row>
    <row r="936" spans="1:47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53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1906</v>
      </c>
      <c r="K936" s="155" t="s">
        <v>1907</v>
      </c>
      <c r="L936" s="17" t="s">
        <v>92</v>
      </c>
      <c r="M936" s="13" t="s">
        <v>60</v>
      </c>
      <c r="N936" s="13">
        <v>1</v>
      </c>
      <c r="O936" s="13"/>
      <c r="P936" s="33" t="str">
        <f t="shared" si="279"/>
        <v>MAIN UNIT</v>
      </c>
      <c r="Q936" s="13" t="s">
        <v>68</v>
      </c>
      <c r="R936" s="13" t="s">
        <v>62</v>
      </c>
      <c r="S936" s="13" t="s">
        <v>51</v>
      </c>
      <c r="T936" s="13" t="s">
        <v>349</v>
      </c>
      <c r="U936" s="13" t="s">
        <v>149</v>
      </c>
      <c r="V936" s="13" t="s">
        <v>954</v>
      </c>
      <c r="W936" s="13" t="s">
        <v>64</v>
      </c>
      <c r="X936" s="135">
        <v>1275000</v>
      </c>
      <c r="Y936" s="157" t="str">
        <f>IF(W936="RMB","1.13", "1")</f>
        <v>1.13</v>
      </c>
      <c r="Z936" s="18">
        <f t="shared" si="272"/>
        <v>1275000</v>
      </c>
      <c r="AA936" s="13">
        <v>1.2150000000000001</v>
      </c>
      <c r="AB936" s="21">
        <f t="shared" si="288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73"/>
        <v>25380121.402654871</v>
      </c>
      <c r="AJ936" s="19">
        <f t="shared" si="274"/>
        <v>3850343.1237796471</v>
      </c>
      <c r="AK936" s="20">
        <f t="shared" si="282"/>
        <v>0.1517070412191521</v>
      </c>
      <c r="AL936" s="17"/>
      <c r="AM936" s="17"/>
      <c r="AN936" s="17"/>
      <c r="AO936" s="17"/>
      <c r="AP936" s="28" t="str">
        <f t="shared" si="283"/>
        <v>202112</v>
      </c>
      <c r="AQ936" s="28" t="str">
        <f t="shared" si="284"/>
        <v>202112RMB</v>
      </c>
      <c r="AR936" s="206" t="str">
        <f t="shared" si="285"/>
        <v>YAMAHA_Mounter</v>
      </c>
      <c r="AS936" s="22">
        <f t="shared" si="286"/>
        <v>9</v>
      </c>
      <c r="AT936" s="24" t="str">
        <f t="shared" si="287"/>
        <v>&gt; 6 months</v>
      </c>
      <c r="AU936" s="22" t="s">
        <v>3240</v>
      </c>
    </row>
    <row r="937" spans="1:47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53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1906</v>
      </c>
      <c r="K937" s="155" t="s">
        <v>1907</v>
      </c>
      <c r="L937" s="17" t="s">
        <v>67</v>
      </c>
      <c r="M937" s="13" t="s">
        <v>60</v>
      </c>
      <c r="N937" s="13">
        <v>1</v>
      </c>
      <c r="O937" s="13"/>
      <c r="P937" s="33" t="str">
        <f t="shared" si="279"/>
        <v>MAIN UNIT</v>
      </c>
      <c r="Q937" s="13" t="s">
        <v>68</v>
      </c>
      <c r="R937" s="13" t="s">
        <v>62</v>
      </c>
      <c r="S937" s="13" t="s">
        <v>51</v>
      </c>
      <c r="T937" s="13" t="s">
        <v>349</v>
      </c>
      <c r="U937" s="13" t="s">
        <v>149</v>
      </c>
      <c r="V937" s="13" t="s">
        <v>954</v>
      </c>
      <c r="W937" s="13" t="s">
        <v>64</v>
      </c>
      <c r="X937" s="135">
        <v>1000000</v>
      </c>
      <c r="Y937" s="157" t="str">
        <f>IF(W937="RMB","1.13", "1")</f>
        <v>1.13</v>
      </c>
      <c r="Z937" s="18">
        <f t="shared" si="272"/>
        <v>1000000</v>
      </c>
      <c r="AA937" s="13">
        <v>1.2150000000000001</v>
      </c>
      <c r="AB937" s="21">
        <f t="shared" si="288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73"/>
        <v>25380121.402654871</v>
      </c>
      <c r="AJ937" s="19">
        <f t="shared" si="274"/>
        <v>3850343.1237796471</v>
      </c>
      <c r="AK937" s="20">
        <f t="shared" si="282"/>
        <v>0.1517070412191521</v>
      </c>
      <c r="AL937" s="17"/>
      <c r="AM937" s="17"/>
      <c r="AN937" s="17"/>
      <c r="AO937" s="17"/>
      <c r="AP937" s="28" t="str">
        <f t="shared" si="283"/>
        <v>202112</v>
      </c>
      <c r="AQ937" s="28" t="str">
        <f t="shared" si="284"/>
        <v>202112RMB</v>
      </c>
      <c r="AR937" s="206" t="str">
        <f t="shared" si="285"/>
        <v>YAMAHA_Mounter</v>
      </c>
      <c r="AS937" s="22">
        <f t="shared" si="286"/>
        <v>9</v>
      </c>
      <c r="AT937" s="24" t="str">
        <f t="shared" si="287"/>
        <v>&gt; 6 months</v>
      </c>
      <c r="AU937" s="22" t="s">
        <v>3240</v>
      </c>
    </row>
    <row r="938" spans="1:47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48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1527</v>
      </c>
      <c r="K938" s="155" t="s">
        <v>1528</v>
      </c>
      <c r="L938" s="17" t="s">
        <v>92</v>
      </c>
      <c r="M938" s="13" t="s">
        <v>60</v>
      </c>
      <c r="N938" s="13">
        <v>1</v>
      </c>
      <c r="O938" s="13"/>
      <c r="P938" s="33" t="str">
        <f t="shared" si="279"/>
        <v>MAIN UNIT</v>
      </c>
      <c r="Q938" s="13" t="s">
        <v>68</v>
      </c>
      <c r="R938" s="13" t="s">
        <v>62</v>
      </c>
      <c r="S938" s="13" t="s">
        <v>49</v>
      </c>
      <c r="T938" s="13" t="s">
        <v>78</v>
      </c>
      <c r="U938" s="13" t="s">
        <v>79</v>
      </c>
      <c r="V938" s="13" t="s">
        <v>112</v>
      </c>
      <c r="W938" s="13" t="s">
        <v>109</v>
      </c>
      <c r="X938" s="135">
        <v>13000000</v>
      </c>
      <c r="Y938" s="157" t="str">
        <f>IF(W938="RMB","1.13", "1")</f>
        <v>1</v>
      </c>
      <c r="Z938" s="18">
        <f t="shared" si="272"/>
        <v>13000000</v>
      </c>
      <c r="AA938" s="13">
        <v>7.5700000000000003E-2</v>
      </c>
      <c r="AB938" s="21">
        <f t="shared" si="288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73"/>
        <v>31097187.02948761</v>
      </c>
      <c r="AJ938" s="19">
        <f t="shared" si="274"/>
        <v>3892353.6644401965</v>
      </c>
      <c r="AK938" s="20">
        <f t="shared" si="282"/>
        <v>0.12516738767237401</v>
      </c>
      <c r="AL938" s="17"/>
      <c r="AM938" s="17"/>
      <c r="AN938" s="17"/>
      <c r="AO938" s="17"/>
      <c r="AP938" s="28" t="str">
        <f t="shared" si="283"/>
        <v>20212</v>
      </c>
      <c r="AQ938" s="28" t="str">
        <f t="shared" si="284"/>
        <v>20212JPY</v>
      </c>
      <c r="AR938" s="206" t="str">
        <f t="shared" si="285"/>
        <v>YAMAHA_Mounter</v>
      </c>
      <c r="AS938" s="22">
        <f t="shared" si="286"/>
        <v>3</v>
      </c>
      <c r="AT938" s="24" t="str">
        <f t="shared" si="287"/>
        <v>0-3 months</v>
      </c>
      <c r="AU938" s="22" t="s">
        <v>3745</v>
      </c>
    </row>
    <row r="939" spans="1:47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48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1527</v>
      </c>
      <c r="K939" s="155" t="s">
        <v>1528</v>
      </c>
      <c r="L939" s="17" t="s">
        <v>67</v>
      </c>
      <c r="M939" s="13" t="s">
        <v>60</v>
      </c>
      <c r="N939" s="13">
        <v>1</v>
      </c>
      <c r="O939" s="13"/>
      <c r="P939" s="33" t="str">
        <f t="shared" si="279"/>
        <v>MAIN UNIT</v>
      </c>
      <c r="Q939" s="13" t="s">
        <v>68</v>
      </c>
      <c r="R939" s="13" t="s">
        <v>62</v>
      </c>
      <c r="S939" s="13" t="s">
        <v>49</v>
      </c>
      <c r="T939" s="13" t="s">
        <v>78</v>
      </c>
      <c r="U939" s="13" t="s">
        <v>79</v>
      </c>
      <c r="V939" s="13" t="s">
        <v>112</v>
      </c>
      <c r="W939" s="13" t="s">
        <v>109</v>
      </c>
      <c r="X939" s="135">
        <v>9000000</v>
      </c>
      <c r="Y939" s="157" t="str">
        <f>IF(W939="RMB","1.13", "1")</f>
        <v>1</v>
      </c>
      <c r="Z939" s="18">
        <f t="shared" si="272"/>
        <v>9000000</v>
      </c>
      <c r="AA939" s="13">
        <v>7.5700000000000003E-2</v>
      </c>
      <c r="AB939" s="21">
        <f t="shared" si="288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73"/>
        <v>31097187.02948761</v>
      </c>
      <c r="AJ939" s="19">
        <f t="shared" si="274"/>
        <v>3892353.6644401965</v>
      </c>
      <c r="AK939" s="20">
        <f t="shared" si="282"/>
        <v>0.12516738767237401</v>
      </c>
      <c r="AL939" s="17"/>
      <c r="AM939" s="17"/>
      <c r="AN939" s="17"/>
      <c r="AO939" s="17"/>
      <c r="AP939" s="28" t="str">
        <f t="shared" si="283"/>
        <v>20212</v>
      </c>
      <c r="AQ939" s="28" t="str">
        <f t="shared" si="284"/>
        <v>20212JPY</v>
      </c>
      <c r="AR939" s="206" t="str">
        <f t="shared" si="285"/>
        <v>YAMAHA_Mounter</v>
      </c>
      <c r="AS939" s="22">
        <f t="shared" si="286"/>
        <v>3</v>
      </c>
      <c r="AT939" s="24" t="str">
        <f t="shared" si="287"/>
        <v>0-3 months</v>
      </c>
      <c r="AU939" s="22" t="s">
        <v>3745</v>
      </c>
    </row>
    <row r="940" spans="1:47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47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643</v>
      </c>
      <c r="K940" s="155" t="s">
        <v>644</v>
      </c>
      <c r="L940" s="17" t="s">
        <v>77</v>
      </c>
      <c r="M940" s="13" t="s">
        <v>60</v>
      </c>
      <c r="N940" s="13">
        <v>1</v>
      </c>
      <c r="O940" s="13"/>
      <c r="P940" s="33" t="str">
        <f t="shared" si="279"/>
        <v>MAIN UNIT</v>
      </c>
      <c r="Q940" s="13" t="s">
        <v>68</v>
      </c>
      <c r="R940" s="13" t="s">
        <v>62</v>
      </c>
      <c r="S940" s="13" t="s">
        <v>49</v>
      </c>
      <c r="T940" s="13" t="s">
        <v>78</v>
      </c>
      <c r="U940" s="13" t="s">
        <v>79</v>
      </c>
      <c r="V940" s="13" t="s">
        <v>106</v>
      </c>
      <c r="W940" s="13" t="s">
        <v>64</v>
      </c>
      <c r="X940" s="135">
        <v>621000</v>
      </c>
      <c r="Y940" s="156">
        <v>1</v>
      </c>
      <c r="Z940" s="18">
        <f t="shared" si="272"/>
        <v>621000</v>
      </c>
      <c r="AA940" s="13">
        <v>1.1599999999999999</v>
      </c>
      <c r="AB940" s="21">
        <f t="shared" si="288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73"/>
        <v>32843736.557277881</v>
      </c>
      <c r="AJ940" s="19">
        <f t="shared" si="274"/>
        <v>3921470.6822663117</v>
      </c>
      <c r="AK940" s="20">
        <f t="shared" si="282"/>
        <v>0.11939782416131177</v>
      </c>
      <c r="AL940" s="17"/>
      <c r="AM940" s="17"/>
      <c r="AN940" s="17"/>
      <c r="AO940" s="17"/>
      <c r="AP940" s="28" t="str">
        <f t="shared" si="283"/>
        <v>20194</v>
      </c>
      <c r="AQ940" s="28" t="str">
        <f t="shared" si="284"/>
        <v>20194RMB</v>
      </c>
      <c r="AR940" s="206" t="str">
        <f t="shared" si="285"/>
        <v>YAMAHA_Mounter</v>
      </c>
      <c r="AS940" s="22">
        <f t="shared" si="286"/>
        <v>3</v>
      </c>
      <c r="AT940" s="24" t="str">
        <f t="shared" si="287"/>
        <v>0-3 months</v>
      </c>
      <c r="AU940" s="22" t="s">
        <v>3745</v>
      </c>
    </row>
    <row r="941" spans="1:47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47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643</v>
      </c>
      <c r="K941" s="155" t="s">
        <v>644</v>
      </c>
      <c r="L941" s="17" t="s">
        <v>67</v>
      </c>
      <c r="M941" s="13" t="s">
        <v>60</v>
      </c>
      <c r="N941" s="13">
        <v>1</v>
      </c>
      <c r="O941" s="13"/>
      <c r="P941" s="33" t="str">
        <f t="shared" si="279"/>
        <v>MAIN UNIT</v>
      </c>
      <c r="Q941" s="13" t="s">
        <v>68</v>
      </c>
      <c r="R941" s="13" t="s">
        <v>62</v>
      </c>
      <c r="S941" s="13" t="s">
        <v>49</v>
      </c>
      <c r="T941" s="13" t="s">
        <v>78</v>
      </c>
      <c r="U941" s="13" t="s">
        <v>79</v>
      </c>
      <c r="V941" s="13" t="s">
        <v>106</v>
      </c>
      <c r="W941" s="13" t="s">
        <v>64</v>
      </c>
      <c r="X941" s="135">
        <v>552000</v>
      </c>
      <c r="Y941" s="156">
        <v>1</v>
      </c>
      <c r="Z941" s="18">
        <f t="shared" si="272"/>
        <v>552000</v>
      </c>
      <c r="AA941" s="13">
        <v>1.1599999999999999</v>
      </c>
      <c r="AB941" s="21">
        <f t="shared" si="288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73"/>
        <v>32843736.557277881</v>
      </c>
      <c r="AJ941" s="19">
        <f t="shared" si="274"/>
        <v>3921470.6822663117</v>
      </c>
      <c r="AK941" s="20">
        <f t="shared" si="282"/>
        <v>0.11939782416131177</v>
      </c>
      <c r="AL941" s="17"/>
      <c r="AM941" s="17"/>
      <c r="AN941" s="17"/>
      <c r="AO941" s="17"/>
      <c r="AP941" s="28" t="str">
        <f t="shared" si="283"/>
        <v>20194</v>
      </c>
      <c r="AQ941" s="28" t="str">
        <f t="shared" si="284"/>
        <v>20194RMB</v>
      </c>
      <c r="AR941" s="206" t="str">
        <f t="shared" si="285"/>
        <v>YAMAHA_Mounter</v>
      </c>
      <c r="AS941" s="22">
        <f t="shared" si="286"/>
        <v>3</v>
      </c>
      <c r="AT941" s="24" t="str">
        <f t="shared" si="287"/>
        <v>0-3 months</v>
      </c>
      <c r="AU941" s="22" t="s">
        <v>3745</v>
      </c>
    </row>
    <row r="942" spans="1:47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47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643</v>
      </c>
      <c r="K942" s="155" t="s">
        <v>644</v>
      </c>
      <c r="L942" s="17" t="s">
        <v>67</v>
      </c>
      <c r="M942" s="13" t="s">
        <v>60</v>
      </c>
      <c r="N942" s="13">
        <v>1</v>
      </c>
      <c r="O942" s="13"/>
      <c r="P942" s="33" t="str">
        <f t="shared" si="279"/>
        <v>MAIN UNIT</v>
      </c>
      <c r="Q942" s="13" t="s">
        <v>68</v>
      </c>
      <c r="R942" s="13" t="s">
        <v>62</v>
      </c>
      <c r="S942" s="13" t="s">
        <v>49</v>
      </c>
      <c r="T942" s="13" t="s">
        <v>78</v>
      </c>
      <c r="U942" s="13" t="s">
        <v>79</v>
      </c>
      <c r="V942" s="13" t="s">
        <v>106</v>
      </c>
      <c r="W942" s="13" t="s">
        <v>64</v>
      </c>
      <c r="X942" s="135">
        <v>552000</v>
      </c>
      <c r="Y942" s="156">
        <v>1</v>
      </c>
      <c r="Z942" s="18">
        <f t="shared" ref="Z942:Z1005" si="290">IF(X942="","",X942*MAX(O942,N942))</f>
        <v>552000</v>
      </c>
      <c r="AA942" s="13">
        <v>1.1599999999999999</v>
      </c>
      <c r="AB942" s="21">
        <f t="shared" si="288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73"/>
        <v>32843736.557277881</v>
      </c>
      <c r="AJ942" s="19">
        <f t="shared" si="274"/>
        <v>3921470.6822663117</v>
      </c>
      <c r="AK942" s="20">
        <f t="shared" si="282"/>
        <v>0.11939782416131177</v>
      </c>
      <c r="AL942" s="17"/>
      <c r="AM942" s="17"/>
      <c r="AN942" s="17"/>
      <c r="AO942" s="17"/>
      <c r="AP942" s="28" t="str">
        <f t="shared" si="283"/>
        <v>20194</v>
      </c>
      <c r="AQ942" s="28" t="str">
        <f t="shared" si="284"/>
        <v>20194RMB</v>
      </c>
      <c r="AR942" s="206" t="str">
        <f t="shared" si="285"/>
        <v>YAMAHA_Mounter</v>
      </c>
      <c r="AS942" s="22">
        <f t="shared" si="286"/>
        <v>3</v>
      </c>
      <c r="AT942" s="24" t="str">
        <f t="shared" si="287"/>
        <v>0-3 months</v>
      </c>
      <c r="AU942" s="22" t="s">
        <v>3745</v>
      </c>
    </row>
    <row r="943" spans="1:47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47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790</v>
      </c>
      <c r="K943" s="155" t="s">
        <v>791</v>
      </c>
      <c r="L943" s="17" t="s">
        <v>92</v>
      </c>
      <c r="M943" s="13" t="s">
        <v>60</v>
      </c>
      <c r="N943" s="13">
        <v>1</v>
      </c>
      <c r="O943" s="13"/>
      <c r="P943" s="33" t="str">
        <f t="shared" si="279"/>
        <v>MAIN UNIT</v>
      </c>
      <c r="Q943" s="13" t="s">
        <v>61</v>
      </c>
      <c r="R943" s="13" t="s">
        <v>62</v>
      </c>
      <c r="S943" s="13" t="s">
        <v>49</v>
      </c>
      <c r="T943" s="13" t="s">
        <v>78</v>
      </c>
      <c r="U943" s="13" t="s">
        <v>79</v>
      </c>
      <c r="V943" s="13" t="s">
        <v>106</v>
      </c>
      <c r="W943" s="13" t="s">
        <v>109</v>
      </c>
      <c r="X943" s="135">
        <v>15210000</v>
      </c>
      <c r="Y943" s="156">
        <v>1</v>
      </c>
      <c r="Z943" s="18">
        <f t="shared" si="290"/>
        <v>15210000</v>
      </c>
      <c r="AA943" s="13">
        <v>7.3999999999999996E-2</v>
      </c>
      <c r="AB943" s="21">
        <f t="shared" si="288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73"/>
        <v>34015877.71150443</v>
      </c>
      <c r="AJ943" s="19">
        <f t="shared" si="274"/>
        <v>4446292.375441948</v>
      </c>
      <c r="AK943" s="20">
        <f t="shared" si="282"/>
        <v>0.13071226364205143</v>
      </c>
      <c r="AL943" s="17"/>
      <c r="AM943" s="17"/>
      <c r="AN943" s="17"/>
      <c r="AO943" s="17"/>
      <c r="AP943" s="28" t="str">
        <f t="shared" si="283"/>
        <v>20197</v>
      </c>
      <c r="AQ943" s="28" t="str">
        <f t="shared" si="284"/>
        <v>20197JPY</v>
      </c>
      <c r="AR943" s="206" t="str">
        <f t="shared" si="285"/>
        <v>YAMAHA_Mounter</v>
      </c>
      <c r="AS943" s="22">
        <f t="shared" si="286"/>
        <v>2</v>
      </c>
      <c r="AT943" s="24" t="str">
        <f t="shared" si="287"/>
        <v>0-3 months</v>
      </c>
      <c r="AU943" s="22" t="s">
        <v>3746</v>
      </c>
    </row>
    <row r="944" spans="1:47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47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790</v>
      </c>
      <c r="K944" s="155" t="s">
        <v>791</v>
      </c>
      <c r="L944" s="17" t="s">
        <v>92</v>
      </c>
      <c r="M944" s="13" t="s">
        <v>60</v>
      </c>
      <c r="N944" s="13">
        <v>1</v>
      </c>
      <c r="O944" s="13"/>
      <c r="P944" s="33" t="str">
        <f t="shared" si="279"/>
        <v>MAIN UNIT</v>
      </c>
      <c r="Q944" s="13" t="s">
        <v>61</v>
      </c>
      <c r="R944" s="13" t="s">
        <v>62</v>
      </c>
      <c r="S944" s="13" t="s">
        <v>49</v>
      </c>
      <c r="T944" s="13" t="s">
        <v>78</v>
      </c>
      <c r="U944" s="13" t="s">
        <v>79</v>
      </c>
      <c r="V944" s="13" t="s">
        <v>106</v>
      </c>
      <c r="W944" s="13" t="s">
        <v>109</v>
      </c>
      <c r="X944" s="135">
        <v>15210000</v>
      </c>
      <c r="Y944" s="156">
        <v>1</v>
      </c>
      <c r="Z944" s="18">
        <f t="shared" si="290"/>
        <v>15210000</v>
      </c>
      <c r="AA944" s="13">
        <v>7.3999999999999996E-2</v>
      </c>
      <c r="AB944" s="21">
        <f t="shared" si="288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73"/>
        <v>34015877.71150443</v>
      </c>
      <c r="AJ944" s="19">
        <f t="shared" si="274"/>
        <v>4446292.375441948</v>
      </c>
      <c r="AK944" s="20">
        <f t="shared" si="282"/>
        <v>0.13071226364205143</v>
      </c>
      <c r="AL944" s="17"/>
      <c r="AM944" s="17"/>
      <c r="AN944" s="17"/>
      <c r="AO944" s="17"/>
      <c r="AP944" s="28" t="str">
        <f t="shared" si="283"/>
        <v>20197</v>
      </c>
      <c r="AQ944" s="28" t="str">
        <f t="shared" si="284"/>
        <v>20197JPY</v>
      </c>
      <c r="AR944" s="206" t="str">
        <f t="shared" si="285"/>
        <v>YAMAHA_Mounter</v>
      </c>
      <c r="AS944" s="22">
        <f t="shared" si="286"/>
        <v>2</v>
      </c>
      <c r="AT944" s="24" t="str">
        <f t="shared" si="287"/>
        <v>0-3 months</v>
      </c>
      <c r="AU944" s="22" t="s">
        <v>3746</v>
      </c>
    </row>
    <row r="945" spans="1:47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47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790</v>
      </c>
      <c r="K945" s="155" t="s">
        <v>791</v>
      </c>
      <c r="L945" s="17" t="s">
        <v>92</v>
      </c>
      <c r="M945" s="13" t="s">
        <v>60</v>
      </c>
      <c r="N945" s="13">
        <v>1</v>
      </c>
      <c r="O945" s="13"/>
      <c r="P945" s="33" t="str">
        <f t="shared" si="279"/>
        <v>MAIN UNIT</v>
      </c>
      <c r="Q945" s="13" t="s">
        <v>61</v>
      </c>
      <c r="R945" s="13" t="s">
        <v>62</v>
      </c>
      <c r="S945" s="13" t="s">
        <v>49</v>
      </c>
      <c r="T945" s="13" t="s">
        <v>78</v>
      </c>
      <c r="U945" s="13" t="s">
        <v>79</v>
      </c>
      <c r="V945" s="13" t="s">
        <v>106</v>
      </c>
      <c r="W945" s="13" t="s">
        <v>109</v>
      </c>
      <c r="X945" s="135">
        <v>15210000</v>
      </c>
      <c r="Y945" s="156">
        <v>1</v>
      </c>
      <c r="Z945" s="18">
        <f t="shared" si="290"/>
        <v>15210000</v>
      </c>
      <c r="AA945" s="13">
        <v>7.3999999999999996E-2</v>
      </c>
      <c r="AB945" s="21">
        <f t="shared" si="288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73"/>
        <v>34015877.71150443</v>
      </c>
      <c r="AJ945" s="19">
        <f t="shared" si="274"/>
        <v>4446292.375441948</v>
      </c>
      <c r="AK945" s="20">
        <f t="shared" si="282"/>
        <v>0.13071226364205143</v>
      </c>
      <c r="AL945" s="17"/>
      <c r="AM945" s="17"/>
      <c r="AN945" s="17"/>
      <c r="AO945" s="17"/>
      <c r="AP945" s="28" t="str">
        <f t="shared" si="283"/>
        <v>20197</v>
      </c>
      <c r="AQ945" s="28" t="str">
        <f t="shared" si="284"/>
        <v>20197JPY</v>
      </c>
      <c r="AR945" s="206" t="str">
        <f t="shared" si="285"/>
        <v>YAMAHA_Mounter</v>
      </c>
      <c r="AS945" s="22">
        <f t="shared" si="286"/>
        <v>2</v>
      </c>
      <c r="AT945" s="24" t="str">
        <f t="shared" si="287"/>
        <v>0-3 months</v>
      </c>
      <c r="AU945" s="22" t="s">
        <v>3746</v>
      </c>
    </row>
    <row r="946" spans="1:47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47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790</v>
      </c>
      <c r="K946" s="155" t="s">
        <v>791</v>
      </c>
      <c r="L946" s="17" t="s">
        <v>67</v>
      </c>
      <c r="M946" s="13" t="s">
        <v>60</v>
      </c>
      <c r="N946" s="13">
        <v>1</v>
      </c>
      <c r="O946" s="13"/>
      <c r="P946" s="33" t="str">
        <f t="shared" si="279"/>
        <v>MAIN UNIT</v>
      </c>
      <c r="Q946" s="13" t="s">
        <v>61</v>
      </c>
      <c r="R946" s="13" t="s">
        <v>62</v>
      </c>
      <c r="S946" s="13" t="s">
        <v>49</v>
      </c>
      <c r="T946" s="13" t="s">
        <v>78</v>
      </c>
      <c r="U946" s="13" t="s">
        <v>79</v>
      </c>
      <c r="V946" s="13" t="s">
        <v>106</v>
      </c>
      <c r="W946" s="13" t="s">
        <v>109</v>
      </c>
      <c r="X946" s="135">
        <v>11835000</v>
      </c>
      <c r="Y946" s="156">
        <v>1</v>
      </c>
      <c r="Z946" s="18">
        <f t="shared" si="290"/>
        <v>11835000</v>
      </c>
      <c r="AA946" s="13">
        <v>7.3999999999999996E-2</v>
      </c>
      <c r="AB946" s="21">
        <f t="shared" si="288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73"/>
        <v>34015877.71150443</v>
      </c>
      <c r="AJ946" s="19">
        <f t="shared" si="274"/>
        <v>4446292.375441948</v>
      </c>
      <c r="AK946" s="20">
        <f t="shared" si="282"/>
        <v>0.13071226364205143</v>
      </c>
      <c r="AL946" s="17"/>
      <c r="AM946" s="17"/>
      <c r="AN946" s="17"/>
      <c r="AO946" s="17"/>
      <c r="AP946" s="28" t="str">
        <f t="shared" si="283"/>
        <v>20197</v>
      </c>
      <c r="AQ946" s="28" t="str">
        <f t="shared" si="284"/>
        <v>20197JPY</v>
      </c>
      <c r="AR946" s="206" t="str">
        <f t="shared" si="285"/>
        <v>YAMAHA_Mounter</v>
      </c>
      <c r="AS946" s="22">
        <f t="shared" si="286"/>
        <v>2</v>
      </c>
      <c r="AT946" s="24" t="str">
        <f t="shared" si="287"/>
        <v>0-3 months</v>
      </c>
      <c r="AU946" s="22" t="s">
        <v>3746</v>
      </c>
    </row>
    <row r="947" spans="1:47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47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790</v>
      </c>
      <c r="K947" s="155" t="s">
        <v>791</v>
      </c>
      <c r="L947" s="17" t="s">
        <v>67</v>
      </c>
      <c r="M947" s="13" t="s">
        <v>60</v>
      </c>
      <c r="N947" s="13">
        <v>1</v>
      </c>
      <c r="O947" s="13"/>
      <c r="P947" s="33" t="str">
        <f t="shared" si="279"/>
        <v>MAIN UNIT</v>
      </c>
      <c r="Q947" s="13" t="s">
        <v>61</v>
      </c>
      <c r="R947" s="13" t="s">
        <v>62</v>
      </c>
      <c r="S947" s="13" t="s">
        <v>49</v>
      </c>
      <c r="T947" s="13" t="s">
        <v>78</v>
      </c>
      <c r="U947" s="13" t="s">
        <v>79</v>
      </c>
      <c r="V947" s="13" t="s">
        <v>106</v>
      </c>
      <c r="W947" s="13" t="s">
        <v>109</v>
      </c>
      <c r="X947" s="135">
        <v>11835000</v>
      </c>
      <c r="Y947" s="156">
        <v>1</v>
      </c>
      <c r="Z947" s="18">
        <f t="shared" si="290"/>
        <v>11835000</v>
      </c>
      <c r="AA947" s="13">
        <v>7.3999999999999996E-2</v>
      </c>
      <c r="AB947" s="21">
        <f t="shared" si="288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73"/>
        <v>34015877.71150443</v>
      </c>
      <c r="AJ947" s="19">
        <f t="shared" si="274"/>
        <v>4446292.375441948</v>
      </c>
      <c r="AK947" s="20">
        <f t="shared" si="282"/>
        <v>0.13071226364205143</v>
      </c>
      <c r="AL947" s="17"/>
      <c r="AM947" s="17"/>
      <c r="AN947" s="17"/>
      <c r="AO947" s="17"/>
      <c r="AP947" s="28" t="str">
        <f t="shared" si="283"/>
        <v>20197</v>
      </c>
      <c r="AQ947" s="28" t="str">
        <f t="shared" si="284"/>
        <v>20197JPY</v>
      </c>
      <c r="AR947" s="206" t="str">
        <f t="shared" si="285"/>
        <v>YAMAHA_Mounter</v>
      </c>
      <c r="AS947" s="22">
        <f t="shared" si="286"/>
        <v>2</v>
      </c>
      <c r="AT947" s="24" t="str">
        <f t="shared" si="287"/>
        <v>0-3 months</v>
      </c>
      <c r="AU947" s="22" t="s">
        <v>3746</v>
      </c>
    </row>
    <row r="948" spans="1:47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47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790</v>
      </c>
      <c r="K948" s="155" t="s">
        <v>791</v>
      </c>
      <c r="L948" s="17" t="s">
        <v>92</v>
      </c>
      <c r="M948" s="13" t="s">
        <v>60</v>
      </c>
      <c r="N948" s="13">
        <v>1</v>
      </c>
      <c r="O948" s="13"/>
      <c r="P948" s="33" t="str">
        <f t="shared" si="279"/>
        <v>MAIN UNIT</v>
      </c>
      <c r="Q948" s="13" t="s">
        <v>61</v>
      </c>
      <c r="R948" s="13" t="s">
        <v>62</v>
      </c>
      <c r="S948" s="13" t="s">
        <v>49</v>
      </c>
      <c r="T948" s="13" t="s">
        <v>78</v>
      </c>
      <c r="U948" s="13" t="s">
        <v>79</v>
      </c>
      <c r="V948" s="13" t="s">
        <v>106</v>
      </c>
      <c r="W948" s="13" t="s">
        <v>109</v>
      </c>
      <c r="X948" s="135">
        <v>15210000</v>
      </c>
      <c r="Y948" s="156">
        <v>1</v>
      </c>
      <c r="Z948" s="18">
        <f t="shared" si="290"/>
        <v>15210000</v>
      </c>
      <c r="AA948" s="13">
        <v>7.3999999999999996E-2</v>
      </c>
      <c r="AB948" s="21">
        <f t="shared" si="288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73"/>
        <v>34015877.71150443</v>
      </c>
      <c r="AJ948" s="19">
        <f t="shared" si="274"/>
        <v>4446292.375441948</v>
      </c>
      <c r="AK948" s="20">
        <f t="shared" si="282"/>
        <v>0.13071226364205143</v>
      </c>
      <c r="AL948" s="17"/>
      <c r="AM948" s="17"/>
      <c r="AN948" s="17"/>
      <c r="AO948" s="17"/>
      <c r="AP948" s="28" t="str">
        <f t="shared" si="283"/>
        <v>20197</v>
      </c>
      <c r="AQ948" s="28" t="str">
        <f t="shared" si="284"/>
        <v>20197JPY</v>
      </c>
      <c r="AR948" s="206" t="str">
        <f t="shared" si="285"/>
        <v>YAMAHA_Mounter</v>
      </c>
      <c r="AS948" s="22">
        <f t="shared" si="286"/>
        <v>2</v>
      </c>
      <c r="AT948" s="24" t="str">
        <f t="shared" si="287"/>
        <v>0-3 months</v>
      </c>
      <c r="AU948" s="22" t="s">
        <v>3746</v>
      </c>
    </row>
    <row r="949" spans="1:47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53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1760</v>
      </c>
      <c r="K949" s="155" t="s">
        <v>791</v>
      </c>
      <c r="L949" s="17" t="s">
        <v>92</v>
      </c>
      <c r="M949" s="13" t="s">
        <v>60</v>
      </c>
      <c r="N949" s="13">
        <v>1</v>
      </c>
      <c r="O949" s="13"/>
      <c r="P949" s="33" t="str">
        <f t="shared" si="279"/>
        <v>MAIN UNIT</v>
      </c>
      <c r="Q949" s="13" t="s">
        <v>61</v>
      </c>
      <c r="R949" s="13" t="s">
        <v>62</v>
      </c>
      <c r="S949" s="13" t="s">
        <v>49</v>
      </c>
      <c r="T949" s="13" t="s">
        <v>78</v>
      </c>
      <c r="U949" s="13" t="s">
        <v>79</v>
      </c>
      <c r="V949" s="13" t="s">
        <v>80</v>
      </c>
      <c r="W949" s="13" t="s">
        <v>64</v>
      </c>
      <c r="X949" s="135">
        <v>760000</v>
      </c>
      <c r="Y949" s="157" t="str">
        <f>IF(W949="RMB","1.13", "1")</f>
        <v>1.13</v>
      </c>
      <c r="Z949" s="18">
        <f t="shared" si="290"/>
        <v>760000</v>
      </c>
      <c r="AA949" s="13">
        <v>1.1950000000000001</v>
      </c>
      <c r="AB949" s="21">
        <f t="shared" si="288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73"/>
        <v>63006605.696460173</v>
      </c>
      <c r="AJ949" s="19">
        <f t="shared" si="274"/>
        <v>8897485.660753984</v>
      </c>
      <c r="AK949" s="20">
        <f t="shared" si="282"/>
        <v>0.141215124388995</v>
      </c>
      <c r="AL949" s="17"/>
      <c r="AM949" s="17"/>
      <c r="AN949" s="17"/>
      <c r="AO949" s="17"/>
      <c r="AP949" s="28" t="str">
        <f t="shared" si="283"/>
        <v>20215</v>
      </c>
      <c r="AQ949" s="28" t="str">
        <f t="shared" si="284"/>
        <v>20215RMB</v>
      </c>
      <c r="AR949" s="206" t="str">
        <f t="shared" si="285"/>
        <v>YAMAHA_Mounter</v>
      </c>
      <c r="AS949" s="22">
        <f t="shared" si="286"/>
        <v>1</v>
      </c>
      <c r="AT949" s="24" t="str">
        <f t="shared" si="287"/>
        <v>0-3 months</v>
      </c>
      <c r="AU949" s="22" t="s">
        <v>3751</v>
      </c>
    </row>
    <row r="950" spans="1:47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56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163</v>
      </c>
      <c r="K950" s="155" t="s">
        <v>164</v>
      </c>
      <c r="L950" s="17" t="s">
        <v>77</v>
      </c>
      <c r="M950" s="13" t="s">
        <v>60</v>
      </c>
      <c r="N950" s="13">
        <v>1</v>
      </c>
      <c r="O950" s="13"/>
      <c r="P950" s="33" t="str">
        <f t="shared" si="279"/>
        <v>MAIN UNIT</v>
      </c>
      <c r="Q950" s="13" t="s">
        <v>68</v>
      </c>
      <c r="R950" s="13" t="s">
        <v>62</v>
      </c>
      <c r="S950" s="13" t="s">
        <v>49</v>
      </c>
      <c r="T950" s="13"/>
      <c r="U950" s="13"/>
      <c r="V950" s="13" t="s">
        <v>126</v>
      </c>
      <c r="W950" s="13" t="s">
        <v>109</v>
      </c>
      <c r="X950" s="135">
        <v>11530000</v>
      </c>
      <c r="Y950" s="156">
        <v>1</v>
      </c>
      <c r="Z950" s="18">
        <f t="shared" si="290"/>
        <v>11530000</v>
      </c>
      <c r="AA950" s="13">
        <v>7.0300000000000001E-2</v>
      </c>
      <c r="AB950" s="21">
        <f t="shared" si="288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73"/>
        <v>13250187.062905986</v>
      </c>
      <c r="AJ950" s="19">
        <f t="shared" si="274"/>
        <v>1545643.7555487182</v>
      </c>
      <c r="AK950" s="20">
        <f t="shared" si="282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3"/>
        <v>20183</v>
      </c>
      <c r="AQ950" s="28" t="str">
        <f t="shared" si="284"/>
        <v>20183JPY</v>
      </c>
      <c r="AR950" s="206" t="str">
        <f t="shared" si="285"/>
        <v>YAMAHA_Mounter</v>
      </c>
      <c r="AS950" s="22">
        <f t="shared" si="286"/>
        <v>4</v>
      </c>
      <c r="AT950" s="24" t="str">
        <f t="shared" si="287"/>
        <v>4-6 months</v>
      </c>
      <c r="AU950" s="22">
        <v>0</v>
      </c>
    </row>
    <row r="951" spans="1:47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47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718</v>
      </c>
      <c r="K951" s="155" t="s">
        <v>719</v>
      </c>
      <c r="L951" s="17" t="s">
        <v>67</v>
      </c>
      <c r="M951" s="13" t="s">
        <v>60</v>
      </c>
      <c r="N951" s="13">
        <v>1</v>
      </c>
      <c r="O951" s="13"/>
      <c r="P951" s="33" t="str">
        <f t="shared" si="279"/>
        <v>MAIN UNIT</v>
      </c>
      <c r="Q951" s="13" t="s">
        <v>61</v>
      </c>
      <c r="R951" s="13" t="s">
        <v>62</v>
      </c>
      <c r="S951" s="13" t="s">
        <v>49</v>
      </c>
      <c r="T951" s="13" t="s">
        <v>720</v>
      </c>
      <c r="U951" s="13" t="s">
        <v>79</v>
      </c>
      <c r="V951" s="13" t="s">
        <v>80</v>
      </c>
      <c r="W951" s="13" t="s">
        <v>64</v>
      </c>
      <c r="X951" s="135">
        <v>560000</v>
      </c>
      <c r="Y951" s="156">
        <v>1.1299999999999999</v>
      </c>
      <c r="Z951" s="18">
        <f t="shared" si="290"/>
        <v>560000</v>
      </c>
      <c r="AA951" s="13">
        <v>1.1100000000000001</v>
      </c>
      <c r="AB951" s="21">
        <f t="shared" si="288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73"/>
        <v>27318180.088495575</v>
      </c>
      <c r="AJ951" s="19">
        <f t="shared" si="274"/>
        <v>3014099.212353982</v>
      </c>
      <c r="AK951" s="20">
        <f t="shared" si="282"/>
        <v>0.11033308963444827</v>
      </c>
      <c r="AL951" s="17"/>
      <c r="AM951" s="17"/>
      <c r="AN951" s="17"/>
      <c r="AO951" s="17"/>
      <c r="AP951" s="28" t="str">
        <f t="shared" si="283"/>
        <v>201912</v>
      </c>
      <c r="AQ951" s="28" t="str">
        <f t="shared" si="284"/>
        <v>201912RMB</v>
      </c>
      <c r="AR951" s="206" t="str">
        <f t="shared" si="285"/>
        <v>YAMAHA_Mounter</v>
      </c>
      <c r="AS951" s="22">
        <f t="shared" si="286"/>
        <v>1</v>
      </c>
      <c r="AT951" s="24" t="str">
        <f t="shared" si="287"/>
        <v>0-3 months</v>
      </c>
      <c r="AU951" s="22" t="s">
        <v>3744</v>
      </c>
    </row>
    <row r="952" spans="1:47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47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794</v>
      </c>
      <c r="K952" s="155" t="s">
        <v>795</v>
      </c>
      <c r="L952" s="17" t="s">
        <v>67</v>
      </c>
      <c r="M952" s="13" t="s">
        <v>60</v>
      </c>
      <c r="N952" s="13">
        <v>1</v>
      </c>
      <c r="O952" s="13"/>
      <c r="P952" s="33" t="str">
        <f t="shared" si="279"/>
        <v>MAIN UNIT</v>
      </c>
      <c r="Q952" s="13" t="s">
        <v>61</v>
      </c>
      <c r="R952" s="13" t="s">
        <v>62</v>
      </c>
      <c r="S952" s="13" t="s">
        <v>49</v>
      </c>
      <c r="T952" s="13" t="s">
        <v>720</v>
      </c>
      <c r="U952" s="13" t="s">
        <v>79</v>
      </c>
      <c r="V952" s="13" t="s">
        <v>80</v>
      </c>
      <c r="W952" s="13" t="s">
        <v>64</v>
      </c>
      <c r="X952" s="135">
        <v>833000</v>
      </c>
      <c r="Y952" s="156">
        <v>1.1299999999999999</v>
      </c>
      <c r="Z952" s="18">
        <f t="shared" si="290"/>
        <v>833000</v>
      </c>
      <c r="AA952" s="13">
        <v>1.135</v>
      </c>
      <c r="AB952" s="21">
        <f t="shared" si="288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73"/>
        <v>31296887.037898075</v>
      </c>
      <c r="AJ952" s="19">
        <f t="shared" si="274"/>
        <v>3588873.9502021763</v>
      </c>
      <c r="AK952" s="20">
        <f t="shared" si="282"/>
        <v>0.11467191436184473</v>
      </c>
      <c r="AL952" s="17"/>
      <c r="AM952" s="17"/>
      <c r="AN952" s="17"/>
      <c r="AO952" s="17"/>
      <c r="AP952" s="28" t="str">
        <f t="shared" si="283"/>
        <v>20196</v>
      </c>
      <c r="AQ952" s="28" t="str">
        <f t="shared" si="284"/>
        <v>20196RMB</v>
      </c>
      <c r="AR952" s="206" t="str">
        <f t="shared" si="285"/>
        <v>YAMAHA_Mounter</v>
      </c>
      <c r="AS952" s="22">
        <f t="shared" si="286"/>
        <v>4</v>
      </c>
      <c r="AT952" s="24" t="str">
        <f t="shared" si="287"/>
        <v>4-6 months</v>
      </c>
      <c r="AU952" s="22" t="s">
        <v>3744</v>
      </c>
    </row>
    <row r="953" spans="1:47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53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1681</v>
      </c>
      <c r="K953" s="155" t="s">
        <v>1682</v>
      </c>
      <c r="L953" s="17" t="s">
        <v>92</v>
      </c>
      <c r="M953" s="13" t="s">
        <v>60</v>
      </c>
      <c r="N953" s="13">
        <v>1</v>
      </c>
      <c r="O953" s="13"/>
      <c r="P953" s="33" t="str">
        <f t="shared" si="279"/>
        <v>MAIN UNIT</v>
      </c>
      <c r="Q953" s="13" t="s">
        <v>61</v>
      </c>
      <c r="R953" s="13" t="s">
        <v>62</v>
      </c>
      <c r="S953" s="13" t="s">
        <v>49</v>
      </c>
      <c r="T953" s="13" t="s">
        <v>78</v>
      </c>
      <c r="U953" s="13" t="s">
        <v>79</v>
      </c>
      <c r="V953" s="13" t="s">
        <v>131</v>
      </c>
      <c r="W953" s="13" t="s">
        <v>109</v>
      </c>
      <c r="X953" s="135">
        <v>20900000</v>
      </c>
      <c r="Y953" s="157" t="str">
        <f>IF(W953="RMB","1.13", "1")</f>
        <v>1</v>
      </c>
      <c r="Z953" s="18">
        <f t="shared" si="290"/>
        <v>20900000</v>
      </c>
      <c r="AA953" s="13">
        <v>7.17E-2</v>
      </c>
      <c r="AB953" s="21">
        <f t="shared" si="288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73"/>
        <v>43684091.636631854</v>
      </c>
      <c r="AJ953" s="19">
        <f t="shared" si="274"/>
        <v>6483951.8242071122</v>
      </c>
      <c r="AK953" s="20">
        <f t="shared" si="282"/>
        <v>0.14842821680123736</v>
      </c>
      <c r="AL953" s="17"/>
      <c r="AM953" s="17"/>
      <c r="AN953" s="17"/>
      <c r="AO953" s="17"/>
      <c r="AP953" s="28" t="str">
        <f t="shared" si="283"/>
        <v>20214</v>
      </c>
      <c r="AQ953" s="28" t="str">
        <f t="shared" si="284"/>
        <v>20214JPY</v>
      </c>
      <c r="AR953" s="206" t="str">
        <f t="shared" si="285"/>
        <v>YAMAHA_Mounter</v>
      </c>
      <c r="AS953" s="22">
        <f t="shared" si="286"/>
        <v>2</v>
      </c>
      <c r="AT953" s="24" t="str">
        <f t="shared" si="287"/>
        <v>0-3 months</v>
      </c>
      <c r="AU953" s="22" t="s">
        <v>3240</v>
      </c>
    </row>
    <row r="954" spans="1:47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53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1681</v>
      </c>
      <c r="K954" s="155" t="s">
        <v>1682</v>
      </c>
      <c r="L954" s="17" t="s">
        <v>92</v>
      </c>
      <c r="M954" s="13" t="s">
        <v>60</v>
      </c>
      <c r="N954" s="13">
        <v>1</v>
      </c>
      <c r="O954" s="13"/>
      <c r="P954" s="33" t="str">
        <f t="shared" si="279"/>
        <v>MAIN UNIT</v>
      </c>
      <c r="Q954" s="13" t="s">
        <v>61</v>
      </c>
      <c r="R954" s="13" t="s">
        <v>62</v>
      </c>
      <c r="S954" s="13" t="s">
        <v>49</v>
      </c>
      <c r="T954" s="13" t="s">
        <v>78</v>
      </c>
      <c r="U954" s="13" t="s">
        <v>79</v>
      </c>
      <c r="V954" s="13" t="s">
        <v>131</v>
      </c>
      <c r="W954" s="13" t="s">
        <v>109</v>
      </c>
      <c r="X954" s="135">
        <v>20900000</v>
      </c>
      <c r="Y954" s="157" t="str">
        <f>IF(W954="RMB","1.13", "1")</f>
        <v>1</v>
      </c>
      <c r="Z954" s="18">
        <f t="shared" si="290"/>
        <v>20900000</v>
      </c>
      <c r="AA954" s="13">
        <v>7.17E-2</v>
      </c>
      <c r="AB954" s="21">
        <f t="shared" si="288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73"/>
        <v>43684091.636631854</v>
      </c>
      <c r="AJ954" s="19">
        <f t="shared" si="274"/>
        <v>6483951.8242071122</v>
      </c>
      <c r="AK954" s="20">
        <f t="shared" si="282"/>
        <v>0.14842821680123736</v>
      </c>
      <c r="AL954" s="17"/>
      <c r="AM954" s="17"/>
      <c r="AN954" s="17"/>
      <c r="AO954" s="17"/>
      <c r="AP954" s="28" t="str">
        <f t="shared" si="283"/>
        <v>20214</v>
      </c>
      <c r="AQ954" s="28" t="str">
        <f t="shared" si="284"/>
        <v>20214JPY</v>
      </c>
      <c r="AR954" s="206" t="str">
        <f t="shared" si="285"/>
        <v>YAMAHA_Mounter</v>
      </c>
      <c r="AS954" s="22">
        <f t="shared" si="286"/>
        <v>2</v>
      </c>
      <c r="AT954" s="24" t="str">
        <f t="shared" si="287"/>
        <v>0-3 months</v>
      </c>
      <c r="AU954" s="22" t="s">
        <v>3240</v>
      </c>
    </row>
    <row r="955" spans="1:47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47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639</v>
      </c>
      <c r="K955" s="155" t="s">
        <v>640</v>
      </c>
      <c r="L955" s="17" t="s">
        <v>67</v>
      </c>
      <c r="M955" s="13" t="s">
        <v>60</v>
      </c>
      <c r="N955" s="13">
        <v>1</v>
      </c>
      <c r="O955" s="13"/>
      <c r="P955" s="33" t="str">
        <f t="shared" si="279"/>
        <v>MAIN UNIT</v>
      </c>
      <c r="Q955" s="13" t="s">
        <v>61</v>
      </c>
      <c r="R955" s="13" t="s">
        <v>62</v>
      </c>
      <c r="S955" s="13" t="s">
        <v>49</v>
      </c>
      <c r="T955" s="13" t="s">
        <v>78</v>
      </c>
      <c r="U955" s="13" t="s">
        <v>79</v>
      </c>
      <c r="V955" s="13" t="s">
        <v>311</v>
      </c>
      <c r="W955" s="13" t="s">
        <v>109</v>
      </c>
      <c r="X955" s="135">
        <v>9500000</v>
      </c>
      <c r="Y955" s="156">
        <v>1</v>
      </c>
      <c r="Z955" s="18">
        <f t="shared" si="290"/>
        <v>9500000</v>
      </c>
      <c r="AA955" s="13">
        <v>7.2300000000000003E-2</v>
      </c>
      <c r="AB955" s="21">
        <f t="shared" si="288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73"/>
        <v>32843736.557277881</v>
      </c>
      <c r="AJ955" s="19">
        <f t="shared" si="274"/>
        <v>3921470.6822663117</v>
      </c>
      <c r="AK955" s="20">
        <f t="shared" si="282"/>
        <v>0.11939782416131177</v>
      </c>
      <c r="AL955" s="17"/>
      <c r="AM955" s="17"/>
      <c r="AN955" s="17"/>
      <c r="AO955" s="17"/>
      <c r="AP955" s="28" t="str">
        <f t="shared" si="283"/>
        <v>20194</v>
      </c>
      <c r="AQ955" s="28" t="str">
        <f t="shared" si="284"/>
        <v>20194JPY</v>
      </c>
      <c r="AR955" s="206" t="str">
        <f t="shared" si="285"/>
        <v>YAMAHA_Mounter</v>
      </c>
      <c r="AS955" s="22">
        <f t="shared" si="286"/>
        <v>0</v>
      </c>
      <c r="AT955" s="24" t="str">
        <f t="shared" si="287"/>
        <v>0-3 months</v>
      </c>
      <c r="AU955" s="22" t="s">
        <v>3745</v>
      </c>
    </row>
    <row r="956" spans="1:47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48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1470</v>
      </c>
      <c r="K956" s="155" t="s">
        <v>640</v>
      </c>
      <c r="L956" s="17" t="s">
        <v>92</v>
      </c>
      <c r="M956" s="13" t="s">
        <v>60</v>
      </c>
      <c r="N956" s="13">
        <v>1</v>
      </c>
      <c r="O956" s="13"/>
      <c r="P956" s="33" t="str">
        <f t="shared" si="279"/>
        <v>MAIN UNIT</v>
      </c>
      <c r="Q956" s="13" t="s">
        <v>61</v>
      </c>
      <c r="R956" s="13" t="s">
        <v>62</v>
      </c>
      <c r="S956" s="13" t="s">
        <v>49</v>
      </c>
      <c r="T956" s="13" t="s">
        <v>78</v>
      </c>
      <c r="U956" s="13" t="s">
        <v>79</v>
      </c>
      <c r="V956" s="13" t="s">
        <v>311</v>
      </c>
      <c r="W956" s="13" t="s">
        <v>109</v>
      </c>
      <c r="X956" s="135">
        <v>11420000</v>
      </c>
      <c r="Y956" s="157" t="str">
        <f>IF(W956="RMB","1.13", "1")</f>
        <v>1</v>
      </c>
      <c r="Z956" s="18">
        <f t="shared" si="290"/>
        <v>11420000</v>
      </c>
      <c r="AA956" s="13">
        <v>7.6100000000000001E-2</v>
      </c>
      <c r="AB956" s="21">
        <f t="shared" si="288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73"/>
        <v>48763143.537654862</v>
      </c>
      <c r="AJ956" s="19">
        <f t="shared" si="274"/>
        <v>5924029.9702154724</v>
      </c>
      <c r="AK956" s="20">
        <f t="shared" si="282"/>
        <v>0.1214858095774925</v>
      </c>
      <c r="AL956" s="17"/>
      <c r="AM956" s="17"/>
      <c r="AN956" s="17"/>
      <c r="AO956" s="17"/>
      <c r="AP956" s="28" t="str">
        <f t="shared" si="283"/>
        <v>202012</v>
      </c>
      <c r="AQ956" s="28" t="str">
        <f t="shared" si="284"/>
        <v>202012JPY</v>
      </c>
      <c r="AR956" s="206" t="str">
        <f t="shared" si="285"/>
        <v>YAMAHA_Mounter</v>
      </c>
      <c r="AS956" s="22">
        <f t="shared" si="286"/>
        <v>1</v>
      </c>
      <c r="AT956" s="24" t="str">
        <f t="shared" si="287"/>
        <v>0-3 months</v>
      </c>
      <c r="AU956" s="22" t="s">
        <v>3745</v>
      </c>
    </row>
    <row r="957" spans="1:47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55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2049</v>
      </c>
      <c r="K957" s="155" t="s">
        <v>2050</v>
      </c>
      <c r="L957" s="17" t="s">
        <v>92</v>
      </c>
      <c r="M957" s="13" t="s">
        <v>60</v>
      </c>
      <c r="N957" s="13">
        <v>1</v>
      </c>
      <c r="O957" s="13"/>
      <c r="P957" s="33" t="str">
        <f t="shared" si="279"/>
        <v>MAIN UNIT</v>
      </c>
      <c r="Q957" s="13" t="s">
        <v>68</v>
      </c>
      <c r="R957" s="13" t="s">
        <v>62</v>
      </c>
      <c r="S957" s="13" t="s">
        <v>49</v>
      </c>
      <c r="T957" s="13" t="s">
        <v>78</v>
      </c>
      <c r="U957" s="13" t="s">
        <v>79</v>
      </c>
      <c r="V957" s="13" t="s">
        <v>672</v>
      </c>
      <c r="W957" s="13" t="s">
        <v>109</v>
      </c>
      <c r="X957" s="135">
        <v>13000000</v>
      </c>
      <c r="Y957" s="157" t="str">
        <f>IF(W957="RMB","1.13", "1")</f>
        <v>1</v>
      </c>
      <c r="Z957" s="18">
        <f t="shared" si="290"/>
        <v>13000000</v>
      </c>
      <c r="AA957" s="13">
        <v>5.9799999999999999E-2</v>
      </c>
      <c r="AB957" s="21">
        <f t="shared" si="288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73"/>
        <v>28177779.013274338</v>
      </c>
      <c r="AJ957" s="19">
        <f t="shared" si="274"/>
        <v>4727216.6376190251</v>
      </c>
      <c r="AK957" s="20">
        <f t="shared" si="282"/>
        <v>0.1677639900359808</v>
      </c>
      <c r="AL957" s="17"/>
      <c r="AM957" s="17"/>
      <c r="AN957" s="17"/>
      <c r="AO957" s="17"/>
      <c r="AP957" s="28" t="str">
        <f t="shared" si="283"/>
        <v>20235</v>
      </c>
      <c r="AQ957" s="28" t="str">
        <f t="shared" si="284"/>
        <v>20235JPY</v>
      </c>
      <c r="AR957" s="206" t="str">
        <f t="shared" si="285"/>
        <v>YAMAHA_Mounter</v>
      </c>
      <c r="AS957" s="22">
        <f t="shared" si="286"/>
        <v>20</v>
      </c>
      <c r="AT957" s="24" t="str">
        <f t="shared" si="287"/>
        <v>&gt; 6 months</v>
      </c>
      <c r="AU957" s="22" t="s">
        <v>3240</v>
      </c>
    </row>
    <row r="958" spans="1:47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55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2049</v>
      </c>
      <c r="K958" s="155" t="s">
        <v>2050</v>
      </c>
      <c r="L958" s="17" t="s">
        <v>67</v>
      </c>
      <c r="M958" s="13" t="s">
        <v>60</v>
      </c>
      <c r="N958" s="13">
        <v>1</v>
      </c>
      <c r="O958" s="13"/>
      <c r="P958" s="33" t="str">
        <f t="shared" si="279"/>
        <v>MAIN UNIT</v>
      </c>
      <c r="Q958" s="13" t="s">
        <v>68</v>
      </c>
      <c r="R958" s="13" t="s">
        <v>62</v>
      </c>
      <c r="S958" s="13" t="s">
        <v>49</v>
      </c>
      <c r="T958" s="13" t="s">
        <v>78</v>
      </c>
      <c r="U958" s="13" t="s">
        <v>79</v>
      </c>
      <c r="V958" s="13" t="s">
        <v>672</v>
      </c>
      <c r="W958" s="13" t="s">
        <v>109</v>
      </c>
      <c r="X958" s="135">
        <v>12460000</v>
      </c>
      <c r="Y958" s="157" t="str">
        <f>IF(W958="RMB","1.13", "1")</f>
        <v>1</v>
      </c>
      <c r="Z958" s="18">
        <f t="shared" si="290"/>
        <v>12460000</v>
      </c>
      <c r="AA958" s="13">
        <v>5.9799999999999999E-2</v>
      </c>
      <c r="AB958" s="21">
        <f t="shared" si="288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73"/>
        <v>28177779.013274338</v>
      </c>
      <c r="AJ958" s="19">
        <f t="shared" si="274"/>
        <v>4727216.6376190251</v>
      </c>
      <c r="AK958" s="20">
        <f t="shared" si="282"/>
        <v>0.1677639900359808</v>
      </c>
      <c r="AL958" s="17"/>
      <c r="AM958" s="17"/>
      <c r="AN958" s="17"/>
      <c r="AO958" s="17"/>
      <c r="AP958" s="28" t="str">
        <f t="shared" si="283"/>
        <v>20235</v>
      </c>
      <c r="AQ958" s="28" t="str">
        <f t="shared" si="284"/>
        <v>20235JPY</v>
      </c>
      <c r="AR958" s="206" t="str">
        <f t="shared" si="285"/>
        <v>YAMAHA_Mounter</v>
      </c>
      <c r="AS958" s="22">
        <f t="shared" si="286"/>
        <v>20</v>
      </c>
      <c r="AT958" s="24" t="str">
        <f t="shared" si="287"/>
        <v>&gt; 6 months</v>
      </c>
      <c r="AU958" s="22" t="s">
        <v>3240</v>
      </c>
    </row>
    <row r="959" spans="1:47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41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247</v>
      </c>
      <c r="K959" s="155" t="s">
        <v>248</v>
      </c>
      <c r="L959" s="17" t="s">
        <v>67</v>
      </c>
      <c r="M959" s="13" t="s">
        <v>60</v>
      </c>
      <c r="N959" s="13">
        <v>1</v>
      </c>
      <c r="O959" s="13"/>
      <c r="P959" s="33" t="str">
        <f t="shared" si="279"/>
        <v>MAIN UNIT</v>
      </c>
      <c r="Q959" s="13" t="s">
        <v>68</v>
      </c>
      <c r="R959" s="13" t="s">
        <v>62</v>
      </c>
      <c r="S959" s="13" t="s">
        <v>49</v>
      </c>
      <c r="T959" s="13" t="s">
        <v>249</v>
      </c>
      <c r="U959" s="13" t="s">
        <v>79</v>
      </c>
      <c r="V959" s="13" t="s">
        <v>112</v>
      </c>
      <c r="W959" s="13" t="s">
        <v>109</v>
      </c>
      <c r="X959" s="135">
        <v>9611403</v>
      </c>
      <c r="Y959" s="156">
        <v>1</v>
      </c>
      <c r="Z959" s="18">
        <f t="shared" si="290"/>
        <v>9611403</v>
      </c>
      <c r="AA959" s="13">
        <v>7.3400000000000007E-2</v>
      </c>
      <c r="AB959" s="21">
        <f t="shared" si="288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73"/>
        <v>34109166.105589926</v>
      </c>
      <c r="AJ959" s="19">
        <f t="shared" si="274"/>
        <v>4642032.7199573703</v>
      </c>
      <c r="AK959" s="20">
        <f t="shared" si="282"/>
        <v>0.13609340977692849</v>
      </c>
      <c r="AL959" s="17"/>
      <c r="AM959" s="17"/>
      <c r="AN959" s="17"/>
      <c r="AO959" s="17"/>
      <c r="AP959" s="28" t="str">
        <f t="shared" si="283"/>
        <v>20185</v>
      </c>
      <c r="AQ959" s="28" t="str">
        <f t="shared" si="284"/>
        <v>20185JPY</v>
      </c>
      <c r="AR959" s="206" t="str">
        <f t="shared" si="285"/>
        <v>YAMAHA_Mounter</v>
      </c>
      <c r="AS959" s="22">
        <f t="shared" si="286"/>
        <v>1</v>
      </c>
      <c r="AT959" s="24" t="str">
        <f t="shared" si="287"/>
        <v>0-3 months</v>
      </c>
      <c r="AU959" s="22" t="s">
        <v>3745</v>
      </c>
    </row>
    <row r="960" spans="1:47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47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726</v>
      </c>
      <c r="K960" s="155" t="s">
        <v>248</v>
      </c>
      <c r="L960" s="17" t="s">
        <v>293</v>
      </c>
      <c r="M960" s="13" t="s">
        <v>60</v>
      </c>
      <c r="N960" s="13">
        <v>1</v>
      </c>
      <c r="O960" s="13"/>
      <c r="P960" s="33" t="str">
        <f t="shared" si="279"/>
        <v>MAIN UNIT</v>
      </c>
      <c r="Q960" s="13" t="s">
        <v>61</v>
      </c>
      <c r="R960" s="13" t="s">
        <v>62</v>
      </c>
      <c r="S960" s="13" t="s">
        <v>49</v>
      </c>
      <c r="T960" s="13" t="s">
        <v>78</v>
      </c>
      <c r="U960" s="13" t="s">
        <v>79</v>
      </c>
      <c r="V960" s="13" t="s">
        <v>112</v>
      </c>
      <c r="W960" s="13" t="s">
        <v>64</v>
      </c>
      <c r="X960" s="135">
        <v>1664000</v>
      </c>
      <c r="Y960" s="156">
        <v>1.1299999999999999</v>
      </c>
      <c r="Z960" s="18">
        <f t="shared" si="290"/>
        <v>1664000</v>
      </c>
      <c r="AA960" s="13">
        <v>1.1100000000000001</v>
      </c>
      <c r="AB960" s="21">
        <f t="shared" si="288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73"/>
        <v>27318180.088495575</v>
      </c>
      <c r="AJ960" s="19">
        <f t="shared" si="274"/>
        <v>3014099.212353982</v>
      </c>
      <c r="AK960" s="20">
        <f t="shared" si="282"/>
        <v>0.11033308963444827</v>
      </c>
      <c r="AL960" s="17"/>
      <c r="AM960" s="17"/>
      <c r="AN960" s="17"/>
      <c r="AO960" s="17"/>
      <c r="AP960" s="28" t="str">
        <f t="shared" si="283"/>
        <v>201912</v>
      </c>
      <c r="AQ960" s="28" t="str">
        <f t="shared" si="284"/>
        <v>201912RMB</v>
      </c>
      <c r="AR960" s="206" t="str">
        <f t="shared" si="285"/>
        <v>YAMAHA_Mounter</v>
      </c>
      <c r="AS960" s="22">
        <f t="shared" si="286"/>
        <v>1</v>
      </c>
      <c r="AT960" s="24" t="str">
        <f t="shared" si="287"/>
        <v>0-3 months</v>
      </c>
      <c r="AU960" s="22" t="s">
        <v>3751</v>
      </c>
    </row>
    <row r="961" spans="1:47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48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1266</v>
      </c>
      <c r="K961" s="155" t="s">
        <v>248</v>
      </c>
      <c r="L961" s="17" t="s">
        <v>92</v>
      </c>
      <c r="M961" s="13" t="s">
        <v>60</v>
      </c>
      <c r="N961" s="13">
        <v>1</v>
      </c>
      <c r="O961" s="13"/>
      <c r="P961" s="33" t="str">
        <f t="shared" si="279"/>
        <v>MAIN UNIT</v>
      </c>
      <c r="Q961" s="13" t="s">
        <v>61</v>
      </c>
      <c r="R961" s="13" t="s">
        <v>62</v>
      </c>
      <c r="S961" s="13" t="s">
        <v>49</v>
      </c>
      <c r="T961" s="13" t="s">
        <v>249</v>
      </c>
      <c r="U961" s="13" t="s">
        <v>79</v>
      </c>
      <c r="V961" s="13" t="s">
        <v>112</v>
      </c>
      <c r="W961" s="13" t="s">
        <v>109</v>
      </c>
      <c r="X961" s="135">
        <v>19000000</v>
      </c>
      <c r="Y961" s="156">
        <v>1</v>
      </c>
      <c r="Z961" s="18">
        <f t="shared" si="290"/>
        <v>19000000</v>
      </c>
      <c r="AA961" s="13">
        <v>7.4300000000000005E-2</v>
      </c>
      <c r="AB961" s="21">
        <f t="shared" si="288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73"/>
        <v>28065694.408805311</v>
      </c>
      <c r="AJ961" s="19">
        <f t="shared" si="274"/>
        <v>4157433.2906989697</v>
      </c>
      <c r="AK961" s="20">
        <f t="shared" si="282"/>
        <v>0.14813220831602228</v>
      </c>
      <c r="AL961" s="17"/>
      <c r="AM961" s="17"/>
      <c r="AN961" s="17"/>
      <c r="AO961" s="17"/>
      <c r="AP961" s="28" t="str">
        <f t="shared" si="283"/>
        <v>20205</v>
      </c>
      <c r="AQ961" s="28" t="str">
        <f t="shared" si="284"/>
        <v>20205JPY</v>
      </c>
      <c r="AR961" s="206" t="str">
        <f t="shared" si="285"/>
        <v>YAMAHA_Mounter</v>
      </c>
      <c r="AS961" s="22">
        <f t="shared" si="286"/>
        <v>2</v>
      </c>
      <c r="AT961" s="24" t="str">
        <f t="shared" si="287"/>
        <v>0-3 months</v>
      </c>
      <c r="AU961" s="22" t="s">
        <v>3745</v>
      </c>
    </row>
    <row r="962" spans="1:47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54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2269</v>
      </c>
      <c r="K962" s="155" t="s">
        <v>248</v>
      </c>
      <c r="L962" s="17" t="s">
        <v>67</v>
      </c>
      <c r="M962" s="13" t="s">
        <v>60</v>
      </c>
      <c r="N962" s="13">
        <v>1</v>
      </c>
      <c r="O962" s="13"/>
      <c r="P962" s="33" t="str">
        <f t="shared" si="279"/>
        <v>MAIN UNIT</v>
      </c>
      <c r="Q962" s="13" t="s">
        <v>61</v>
      </c>
      <c r="R962" s="13" t="s">
        <v>62</v>
      </c>
      <c r="S962" s="13" t="s">
        <v>49</v>
      </c>
      <c r="T962" s="13" t="s">
        <v>78</v>
      </c>
      <c r="U962" s="13" t="s">
        <v>79</v>
      </c>
      <c r="V962" s="13" t="s">
        <v>112</v>
      </c>
      <c r="W962" s="13" t="s">
        <v>64</v>
      </c>
      <c r="X962" s="135">
        <v>480000</v>
      </c>
      <c r="Y962" s="157" t="str">
        <f>IF(W962="RMB","1.13", "1")</f>
        <v>1.13</v>
      </c>
      <c r="Z962" s="18">
        <f t="shared" si="290"/>
        <v>480000</v>
      </c>
      <c r="AA962" s="13">
        <v>1.163</v>
      </c>
      <c r="AB962" s="21">
        <f t="shared" si="288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ref="AI962:AI1025" si="291">IF(P962="C66 SERVICE","",SUMIFS(AB:AB,F:F,F962,G:G,G962,E:E,E962))</f>
        <v>35073581.838938057</v>
      </c>
      <c r="AJ962" s="19">
        <f t="shared" ref="AJ962:AJ1025" si="292">IF(P962="C66 SERVICE","",SUMIFS(AC:AC,F:F,F962,G:G,G962,E:E,E962))</f>
        <v>5034113.9728989396</v>
      </c>
      <c r="AK962" s="20">
        <f t="shared" si="282"/>
        <v>0.14353007902118958</v>
      </c>
      <c r="AL962" s="17"/>
      <c r="AM962" s="17"/>
      <c r="AN962" s="17"/>
      <c r="AO962" s="17"/>
      <c r="AP962" s="28" t="str">
        <f t="shared" si="283"/>
        <v>20228</v>
      </c>
      <c r="AQ962" s="28" t="str">
        <f t="shared" si="284"/>
        <v>20228RMB</v>
      </c>
      <c r="AR962" s="206" t="str">
        <f t="shared" si="285"/>
        <v>YAMAHA_Mounter</v>
      </c>
      <c r="AS962" s="22">
        <f t="shared" si="286"/>
        <v>0</v>
      </c>
      <c r="AT962" s="24" t="str">
        <f t="shared" si="287"/>
        <v>0-3 months</v>
      </c>
      <c r="AU962" s="22" t="s">
        <v>3751</v>
      </c>
    </row>
    <row r="963" spans="1:47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54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2455</v>
      </c>
      <c r="K963" s="155" t="s">
        <v>248</v>
      </c>
      <c r="L963" s="17" t="s">
        <v>92</v>
      </c>
      <c r="M963" s="13" t="s">
        <v>60</v>
      </c>
      <c r="N963" s="13">
        <v>1</v>
      </c>
      <c r="O963" s="13"/>
      <c r="P963" s="33" t="str">
        <f t="shared" si="279"/>
        <v>MAIN UNIT</v>
      </c>
      <c r="Q963" s="13" t="s">
        <v>61</v>
      </c>
      <c r="R963" s="13" t="s">
        <v>62</v>
      </c>
      <c r="S963" s="13" t="s">
        <v>49</v>
      </c>
      <c r="T963" s="13" t="s">
        <v>78</v>
      </c>
      <c r="U963" s="13" t="s">
        <v>79</v>
      </c>
      <c r="V963" s="13" t="s">
        <v>112</v>
      </c>
      <c r="W963" s="13" t="s">
        <v>64</v>
      </c>
      <c r="X963" s="135">
        <v>1000000</v>
      </c>
      <c r="Y963" s="157" t="str">
        <f>IF(W963="RMB","1.13", "1")</f>
        <v>1.13</v>
      </c>
      <c r="Z963" s="18">
        <f t="shared" si="290"/>
        <v>1000000</v>
      </c>
      <c r="AA963" s="13">
        <v>1.1299999999999999</v>
      </c>
      <c r="AB963" s="21">
        <f t="shared" si="288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91"/>
        <v>33543315.897345133</v>
      </c>
      <c r="AJ963" s="19">
        <f t="shared" si="292"/>
        <v>4706169.3252984071</v>
      </c>
      <c r="AK963" s="20">
        <f t="shared" si="282"/>
        <v>0.14030125523967318</v>
      </c>
      <c r="AL963" s="17"/>
      <c r="AM963" s="17"/>
      <c r="AN963" s="17"/>
      <c r="AO963" s="17"/>
      <c r="AP963" s="28" t="str">
        <f t="shared" si="283"/>
        <v>20233</v>
      </c>
      <c r="AQ963" s="28" t="str">
        <f t="shared" si="284"/>
        <v>20233RMB</v>
      </c>
      <c r="AR963" s="206" t="str">
        <f t="shared" si="285"/>
        <v>YAMAHA_Mounter</v>
      </c>
      <c r="AS963" s="22">
        <f t="shared" si="286"/>
        <v>0</v>
      </c>
      <c r="AT963" s="24" t="str">
        <f t="shared" si="287"/>
        <v>0-3 months</v>
      </c>
      <c r="AU963" s="22" t="s">
        <v>3240</v>
      </c>
    </row>
    <row r="964" spans="1:47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54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2269</v>
      </c>
      <c r="K964" s="155" t="s">
        <v>248</v>
      </c>
      <c r="L964" s="17" t="s">
        <v>2620</v>
      </c>
      <c r="M964" s="13" t="s">
        <v>60</v>
      </c>
      <c r="N964" s="13">
        <v>1</v>
      </c>
      <c r="O964" s="13"/>
      <c r="P964" s="33" t="str">
        <f t="shared" si="279"/>
        <v>MAIN UNIT</v>
      </c>
      <c r="Q964" s="13" t="s">
        <v>61</v>
      </c>
      <c r="R964" s="13" t="s">
        <v>2055</v>
      </c>
      <c r="S964" s="13" t="s">
        <v>49</v>
      </c>
      <c r="T964" s="13" t="s">
        <v>78</v>
      </c>
      <c r="U964" s="13" t="s">
        <v>79</v>
      </c>
      <c r="V964" s="13" t="s">
        <v>112</v>
      </c>
      <c r="W964" s="13" t="s">
        <v>64</v>
      </c>
      <c r="X964" s="135">
        <v>520000</v>
      </c>
      <c r="Y964" s="157" t="str">
        <f>IF(W964="","",IF(W964="RMB","1.13", "1"))</f>
        <v>1.13</v>
      </c>
      <c r="Z964" s="18">
        <f t="shared" si="290"/>
        <v>520000</v>
      </c>
      <c r="AA964" s="13">
        <v>1.1000000000000001</v>
      </c>
      <c r="AB964" s="21">
        <f t="shared" si="288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91"/>
        <v>22717528.991150443</v>
      </c>
      <c r="AJ964" s="19">
        <f t="shared" si="292"/>
        <v>3947747.192555753</v>
      </c>
      <c r="AK964" s="20">
        <f t="shared" si="282"/>
        <v>0.1737753782153679</v>
      </c>
      <c r="AL964" s="17"/>
      <c r="AM964" s="17"/>
      <c r="AN964" s="17"/>
      <c r="AO964" s="17"/>
      <c r="AP964" s="28" t="str">
        <f t="shared" si="283"/>
        <v>202210</v>
      </c>
      <c r="AQ964" s="28" t="str">
        <f t="shared" si="284"/>
        <v>202210RMB</v>
      </c>
      <c r="AR964" s="206" t="str">
        <f t="shared" si="285"/>
        <v>YAMAHA_Non_Mounter</v>
      </c>
      <c r="AS964" s="22">
        <f t="shared" si="286"/>
        <v>2</v>
      </c>
      <c r="AT964" s="24" t="str">
        <f t="shared" si="287"/>
        <v>0-3 months</v>
      </c>
      <c r="AU964" s="22" t="s">
        <v>3751</v>
      </c>
    </row>
    <row r="965" spans="1:47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41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740</v>
      </c>
      <c r="K965" s="155" t="s">
        <v>741</v>
      </c>
      <c r="L965" s="17" t="s">
        <v>77</v>
      </c>
      <c r="M965" s="13" t="s">
        <v>60</v>
      </c>
      <c r="N965" s="13">
        <v>1</v>
      </c>
      <c r="O965" s="13"/>
      <c r="P965" s="33" t="str">
        <f t="shared" si="279"/>
        <v>MAIN UNIT</v>
      </c>
      <c r="Q965" s="13" t="s">
        <v>61</v>
      </c>
      <c r="R965" s="13" t="s">
        <v>62</v>
      </c>
      <c r="S965" s="13" t="s">
        <v>49</v>
      </c>
      <c r="T965" s="13" t="s">
        <v>78</v>
      </c>
      <c r="U965" s="13" t="s">
        <v>79</v>
      </c>
      <c r="V965" s="13" t="s">
        <v>112</v>
      </c>
      <c r="W965" s="13" t="s">
        <v>737</v>
      </c>
      <c r="X965" s="135">
        <v>840000</v>
      </c>
      <c r="Y965" s="156">
        <v>1.1599999999999999</v>
      </c>
      <c r="Z965" s="18">
        <f t="shared" si="290"/>
        <v>840000</v>
      </c>
      <c r="AA965" s="13">
        <v>1.1499999999999999</v>
      </c>
      <c r="AB965" s="21">
        <f t="shared" si="288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91"/>
        <v>16455710.386637932</v>
      </c>
      <c r="AJ965" s="19">
        <f t="shared" si="292"/>
        <v>2150644.6466930606</v>
      </c>
      <c r="AK965" s="20">
        <f t="shared" si="282"/>
        <v>0.13069290818580451</v>
      </c>
      <c r="AL965" s="17"/>
      <c r="AM965" s="17"/>
      <c r="AN965" s="17"/>
      <c r="AO965" s="17"/>
      <c r="AP965" s="28" t="str">
        <f t="shared" si="283"/>
        <v>20192</v>
      </c>
      <c r="AQ965" s="28" t="str">
        <f t="shared" si="284"/>
        <v>20192RMB</v>
      </c>
      <c r="AR965" s="206" t="str">
        <f t="shared" si="285"/>
        <v>YAMAHA_Mounter</v>
      </c>
      <c r="AS965" s="22">
        <f t="shared" si="286"/>
        <v>1</v>
      </c>
      <c r="AT965" s="24" t="str">
        <f t="shared" si="287"/>
        <v>0-3 months</v>
      </c>
      <c r="AU965" s="22" t="s">
        <v>3744</v>
      </c>
    </row>
    <row r="966" spans="1:47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41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528</v>
      </c>
      <c r="K966" s="155" t="s">
        <v>529</v>
      </c>
      <c r="L966" s="17" t="s">
        <v>92</v>
      </c>
      <c r="M966" s="13" t="s">
        <v>60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61</v>
      </c>
      <c r="R966" s="13" t="s">
        <v>260</v>
      </c>
      <c r="S966" s="13" t="s">
        <v>261</v>
      </c>
      <c r="T966" s="13" t="s">
        <v>78</v>
      </c>
      <c r="U966" s="13" t="s">
        <v>79</v>
      </c>
      <c r="V966" s="13" t="s">
        <v>126</v>
      </c>
      <c r="W966" s="13" t="s">
        <v>109</v>
      </c>
      <c r="X966" s="135">
        <v>14695500</v>
      </c>
      <c r="Y966" s="156">
        <v>1</v>
      </c>
      <c r="Z966" s="18">
        <f t="shared" si="290"/>
        <v>29391000</v>
      </c>
      <c r="AA966" s="13">
        <v>7.3499999999999996E-2</v>
      </c>
      <c r="AB966" s="21">
        <f t="shared" si="288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si="291"/>
        <v>16455710.386637932</v>
      </c>
      <c r="AJ966" s="19">
        <f t="shared" si="292"/>
        <v>2150644.6466930606</v>
      </c>
      <c r="AK966" s="20">
        <f t="shared" ref="AK966:AK1029" si="299">IF(AJ966&gt;0,AJ966/AI966,"")</f>
        <v>0.13069290818580451</v>
      </c>
      <c r="AL966" s="17"/>
      <c r="AM966" s="17"/>
      <c r="AN966" s="17"/>
      <c r="AO966" s="17"/>
      <c r="AP966" s="28" t="str">
        <f t="shared" ref="AP966:AP1029" si="300">IF(F966="","",F966&amp;G966)</f>
        <v>20192</v>
      </c>
      <c r="AQ966" s="28" t="str">
        <f t="shared" ref="AQ966:AQ1029" si="301">IF(W966="","",F966&amp;G966&amp;W966)</f>
        <v>20192JPY</v>
      </c>
      <c r="AR966" s="206" t="str">
        <f t="shared" ref="AR966:AR1029" si="302">IFERROR(IF(AND(M966="YAMAHA", R966="C28"), "YAMAHA_Non_Mounter", IF(AND(M966="YAMAHA", R966="C49"), "YAMAHA_Mounter", M966)),"")</f>
        <v>YAMAHA_Mounter</v>
      </c>
      <c r="AS966" s="22">
        <f t="shared" ref="AS966:AS1029" si="303">IFERROR(IF(OR(G966="TBA", G966=""), "", DATEDIF(DATE(B966, C966, 1), DATE(F966, G966, 1), "M")),"")</f>
        <v>6</v>
      </c>
      <c r="AT966" s="24" t="str">
        <f t="shared" ref="AT966:AT1029" si="304">IF(ISNUMBER(AS966), IF(AS966&gt;=0, IF(AS966&lt;=3, "0-3 months", IF(AS966&lt;=6, "4-6 months", "&gt; 6 months"))), "")</f>
        <v>4-6 months</v>
      </c>
      <c r="AU966" s="22" t="s">
        <v>3745</v>
      </c>
    </row>
    <row r="967" spans="1:47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41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236</v>
      </c>
      <c r="K967" s="155" t="s">
        <v>237</v>
      </c>
      <c r="L967" s="17" t="s">
        <v>100</v>
      </c>
      <c r="M967" s="13" t="s">
        <v>60</v>
      </c>
      <c r="N967" s="13">
        <v>1</v>
      </c>
      <c r="O967" s="13"/>
      <c r="P967" s="33" t="str">
        <f t="shared" si="296"/>
        <v>MAIN UNIT</v>
      </c>
      <c r="Q967" s="13" t="s">
        <v>68</v>
      </c>
      <c r="R967" s="13" t="s">
        <v>62</v>
      </c>
      <c r="S967" s="13" t="s">
        <v>50</v>
      </c>
      <c r="T967" s="13" t="s">
        <v>238</v>
      </c>
      <c r="U967" s="13" t="s">
        <v>70</v>
      </c>
      <c r="V967" s="13" t="s">
        <v>102</v>
      </c>
      <c r="W967" s="13" t="s">
        <v>64</v>
      </c>
      <c r="X967" s="135">
        <v>550000</v>
      </c>
      <c r="Y967" s="156">
        <v>1.1599999999999999</v>
      </c>
      <c r="Z967" s="18">
        <f t="shared" si="290"/>
        <v>550000</v>
      </c>
      <c r="AA967" s="13">
        <v>1.23</v>
      </c>
      <c r="AB967" s="21">
        <f t="shared" si="288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1"/>
        <v>34109166.105589926</v>
      </c>
      <c r="AJ967" s="19">
        <f t="shared" si="292"/>
        <v>4642032.7199573703</v>
      </c>
      <c r="AK967" s="20">
        <f t="shared" si="299"/>
        <v>0.13609340977692849</v>
      </c>
      <c r="AL967" s="17" t="s">
        <v>239</v>
      </c>
      <c r="AM967" s="17">
        <v>550000</v>
      </c>
      <c r="AN967" s="17" t="s">
        <v>240</v>
      </c>
      <c r="AO967" s="17" t="s">
        <v>170</v>
      </c>
      <c r="AP967" s="28" t="str">
        <f t="shared" si="300"/>
        <v>20185</v>
      </c>
      <c r="AQ967" s="28" t="str">
        <f t="shared" si="301"/>
        <v>20185RMB</v>
      </c>
      <c r="AR967" s="206" t="str">
        <f t="shared" si="302"/>
        <v>YAMAHA_Mounter</v>
      </c>
      <c r="AS967" s="22">
        <f t="shared" si="303"/>
        <v>1</v>
      </c>
      <c r="AT967" s="24" t="str">
        <f t="shared" si="304"/>
        <v>0-3 months</v>
      </c>
      <c r="AU967" s="22" t="s">
        <v>3240</v>
      </c>
    </row>
    <row r="968" spans="1:47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41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481</v>
      </c>
      <c r="K968" s="155" t="s">
        <v>237</v>
      </c>
      <c r="L968" s="17" t="s">
        <v>100</v>
      </c>
      <c r="M968" s="13" t="s">
        <v>60</v>
      </c>
      <c r="N968" s="13">
        <v>1</v>
      </c>
      <c r="O968" s="13"/>
      <c r="P968" s="33" t="str">
        <f t="shared" si="296"/>
        <v>MAIN UNIT</v>
      </c>
      <c r="Q968" s="13" t="s">
        <v>61</v>
      </c>
      <c r="R968" s="13" t="s">
        <v>62</v>
      </c>
      <c r="S968" s="13" t="s">
        <v>50</v>
      </c>
      <c r="T968" s="13" t="s">
        <v>238</v>
      </c>
      <c r="U968" s="13" t="s">
        <v>70</v>
      </c>
      <c r="V968" s="13" t="s">
        <v>102</v>
      </c>
      <c r="W968" s="13" t="s">
        <v>64</v>
      </c>
      <c r="X968" s="135">
        <v>606000</v>
      </c>
      <c r="Y968" s="156">
        <v>1.1599999999999999</v>
      </c>
      <c r="Z968" s="18">
        <f t="shared" si="290"/>
        <v>606000</v>
      </c>
      <c r="AA968" s="13">
        <v>1.23</v>
      </c>
      <c r="AB968" s="21">
        <f t="shared" si="288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1"/>
        <v>24398045.86045352</v>
      </c>
      <c r="AJ968" s="19">
        <f t="shared" si="292"/>
        <v>3478417.4064663448</v>
      </c>
      <c r="AK968" s="20">
        <f t="shared" si="299"/>
        <v>0.14256950849102498</v>
      </c>
      <c r="AL968" s="17"/>
      <c r="AM968" s="17"/>
      <c r="AN968" s="17"/>
      <c r="AO968" s="17" t="s">
        <v>482</v>
      </c>
      <c r="AP968" s="28" t="str">
        <f t="shared" si="300"/>
        <v>20186</v>
      </c>
      <c r="AQ968" s="28" t="str">
        <f t="shared" si="301"/>
        <v>20186RMB</v>
      </c>
      <c r="AR968" s="206" t="str">
        <f t="shared" si="302"/>
        <v>YAMAHA_Mounter</v>
      </c>
      <c r="AS968" s="22">
        <f t="shared" si="303"/>
        <v>1</v>
      </c>
      <c r="AT968" s="24" t="str">
        <f t="shared" si="304"/>
        <v>0-3 months</v>
      </c>
      <c r="AU968" s="22" t="s">
        <v>3240</v>
      </c>
    </row>
    <row r="969" spans="1:47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54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2316</v>
      </c>
      <c r="K969" s="155" t="s">
        <v>2317</v>
      </c>
      <c r="L969" s="17" t="s">
        <v>92</v>
      </c>
      <c r="M969" s="13" t="s">
        <v>60</v>
      </c>
      <c r="N969" s="13">
        <v>1</v>
      </c>
      <c r="O969" s="13"/>
      <c r="P969" s="33" t="str">
        <f t="shared" si="296"/>
        <v>MAIN UNIT</v>
      </c>
      <c r="Q969" s="13" t="s">
        <v>68</v>
      </c>
      <c r="R969" s="13" t="s">
        <v>62</v>
      </c>
      <c r="S969" s="13" t="s">
        <v>50</v>
      </c>
      <c r="T969" s="13" t="s">
        <v>194</v>
      </c>
      <c r="U969" s="13" t="s">
        <v>70</v>
      </c>
      <c r="V969" s="13" t="s">
        <v>94</v>
      </c>
      <c r="W969" s="13" t="s">
        <v>64</v>
      </c>
      <c r="X969" s="135">
        <v>950000</v>
      </c>
      <c r="Y969" s="157" t="str">
        <f>IF(W969="RMB","1.13", "1")</f>
        <v>1.13</v>
      </c>
      <c r="Z969" s="18">
        <f t="shared" si="290"/>
        <v>950000</v>
      </c>
      <c r="AA969" s="13">
        <v>1.08</v>
      </c>
      <c r="AB969" s="21">
        <f t="shared" si="288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1"/>
        <v>31017966.201968137</v>
      </c>
      <c r="AJ969" s="19">
        <f t="shared" si="292"/>
        <v>4704250.3347305888</v>
      </c>
      <c r="AK969" s="20">
        <f t="shared" si="299"/>
        <v>0.15166211427595458</v>
      </c>
      <c r="AL969" s="17"/>
      <c r="AM969" s="17"/>
      <c r="AN969" s="17"/>
      <c r="AO969" s="17"/>
      <c r="AP969" s="28" t="str">
        <f t="shared" si="300"/>
        <v>202211</v>
      </c>
      <c r="AQ969" s="28" t="str">
        <f t="shared" si="301"/>
        <v>202211RMB</v>
      </c>
      <c r="AR969" s="206" t="str">
        <f t="shared" si="302"/>
        <v>YAMAHA_Mounter</v>
      </c>
      <c r="AS969" s="22">
        <f t="shared" si="303"/>
        <v>1</v>
      </c>
      <c r="AT969" s="24" t="str">
        <f t="shared" si="304"/>
        <v>0-3 months</v>
      </c>
      <c r="AU969" s="22" t="s">
        <v>3240</v>
      </c>
    </row>
    <row r="970" spans="1:47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47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926</v>
      </c>
      <c r="K970" s="155" t="s">
        <v>927</v>
      </c>
      <c r="L970" s="17" t="s">
        <v>67</v>
      </c>
      <c r="M970" s="13" t="s">
        <v>60</v>
      </c>
      <c r="N970" s="13">
        <v>1</v>
      </c>
      <c r="O970" s="13"/>
      <c r="P970" s="33" t="str">
        <f t="shared" si="296"/>
        <v>MAIN UNIT</v>
      </c>
      <c r="Q970" s="13" t="s">
        <v>61</v>
      </c>
      <c r="R970" s="13" t="s">
        <v>62</v>
      </c>
      <c r="S970" s="13" t="s">
        <v>49</v>
      </c>
      <c r="T970" s="13" t="s">
        <v>78</v>
      </c>
      <c r="U970" s="13" t="s">
        <v>79</v>
      </c>
      <c r="V970" s="13" t="s">
        <v>126</v>
      </c>
      <c r="W970" s="13" t="s">
        <v>109</v>
      </c>
      <c r="X970" s="135">
        <v>8646865</v>
      </c>
      <c r="Y970" s="156">
        <v>1</v>
      </c>
      <c r="Z970" s="18">
        <f t="shared" si="290"/>
        <v>8646865</v>
      </c>
      <c r="AA970" s="13">
        <v>7.4099999999999999E-2</v>
      </c>
      <c r="AB970" s="21">
        <f t="shared" si="288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1"/>
        <v>28647263.974455759</v>
      </c>
      <c r="AJ970" s="19">
        <f t="shared" si="292"/>
        <v>3219855.6912513468</v>
      </c>
      <c r="AK970" s="20">
        <f t="shared" si="299"/>
        <v>0.11239662168514358</v>
      </c>
      <c r="AL970" s="17"/>
      <c r="AM970" s="17"/>
      <c r="AN970" s="17"/>
      <c r="AO970" s="17"/>
      <c r="AP970" s="28" t="str">
        <f t="shared" si="300"/>
        <v>201910</v>
      </c>
      <c r="AQ970" s="28" t="str">
        <f t="shared" si="301"/>
        <v>201910JPY</v>
      </c>
      <c r="AR970" s="206" t="str">
        <f t="shared" si="302"/>
        <v>YAMAHA_Mounter</v>
      </c>
      <c r="AS970" s="22">
        <f t="shared" si="303"/>
        <v>0</v>
      </c>
      <c r="AT970" s="24" t="str">
        <f t="shared" si="304"/>
        <v>0-3 months</v>
      </c>
      <c r="AU970" s="22" t="s">
        <v>3746</v>
      </c>
    </row>
    <row r="971" spans="1:47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47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926</v>
      </c>
      <c r="K971" s="155" t="s">
        <v>927</v>
      </c>
      <c r="L971" s="17" t="s">
        <v>67</v>
      </c>
      <c r="M971" s="13" t="s">
        <v>60</v>
      </c>
      <c r="N971" s="13">
        <v>1</v>
      </c>
      <c r="O971" s="13"/>
      <c r="P971" s="33" t="str">
        <f t="shared" si="296"/>
        <v>MAIN UNIT</v>
      </c>
      <c r="Q971" s="13" t="s">
        <v>61</v>
      </c>
      <c r="R971" s="13" t="s">
        <v>62</v>
      </c>
      <c r="S971" s="13" t="s">
        <v>49</v>
      </c>
      <c r="T971" s="13" t="s">
        <v>78</v>
      </c>
      <c r="U971" s="13" t="s">
        <v>79</v>
      </c>
      <c r="V971" s="13" t="s">
        <v>126</v>
      </c>
      <c r="W971" s="13" t="s">
        <v>109</v>
      </c>
      <c r="X971" s="135">
        <v>8646865</v>
      </c>
      <c r="Y971" s="156">
        <v>1</v>
      </c>
      <c r="Z971" s="18">
        <f t="shared" si="290"/>
        <v>8646865</v>
      </c>
      <c r="AA971" s="13">
        <v>7.4099999999999999E-2</v>
      </c>
      <c r="AB971" s="21">
        <f t="shared" si="288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1"/>
        <v>28647263.974455759</v>
      </c>
      <c r="AJ971" s="19">
        <f t="shared" si="292"/>
        <v>3219855.6912513468</v>
      </c>
      <c r="AK971" s="20">
        <f t="shared" si="299"/>
        <v>0.11239662168514358</v>
      </c>
      <c r="AL971" s="17"/>
      <c r="AM971" s="17"/>
      <c r="AN971" s="17"/>
      <c r="AO971" s="17"/>
      <c r="AP971" s="28" t="str">
        <f t="shared" si="300"/>
        <v>201910</v>
      </c>
      <c r="AQ971" s="28" t="str">
        <f t="shared" si="301"/>
        <v>201910JPY</v>
      </c>
      <c r="AR971" s="206" t="str">
        <f t="shared" si="302"/>
        <v>YAMAHA_Mounter</v>
      </c>
      <c r="AS971" s="22">
        <f t="shared" si="303"/>
        <v>0</v>
      </c>
      <c r="AT971" s="24" t="str">
        <f t="shared" si="304"/>
        <v>0-3 months</v>
      </c>
      <c r="AU971" s="22" t="s">
        <v>3746</v>
      </c>
    </row>
    <row r="972" spans="1:47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47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926</v>
      </c>
      <c r="K972" s="155" t="s">
        <v>927</v>
      </c>
      <c r="L972" s="17" t="s">
        <v>67</v>
      </c>
      <c r="M972" s="13" t="s">
        <v>60</v>
      </c>
      <c r="N972" s="13">
        <v>1</v>
      </c>
      <c r="O972" s="13"/>
      <c r="P972" s="33" t="str">
        <f t="shared" si="296"/>
        <v>MAIN UNIT</v>
      </c>
      <c r="Q972" s="13" t="s">
        <v>61</v>
      </c>
      <c r="R972" s="13" t="s">
        <v>62</v>
      </c>
      <c r="S972" s="13" t="s">
        <v>49</v>
      </c>
      <c r="T972" s="13" t="s">
        <v>78</v>
      </c>
      <c r="U972" s="13" t="s">
        <v>79</v>
      </c>
      <c r="V972" s="13" t="s">
        <v>126</v>
      </c>
      <c r="W972" s="13" t="s">
        <v>109</v>
      </c>
      <c r="X972" s="135">
        <v>8646865</v>
      </c>
      <c r="Y972" s="156">
        <v>1</v>
      </c>
      <c r="Z972" s="18">
        <f t="shared" si="290"/>
        <v>8646865</v>
      </c>
      <c r="AA972" s="13">
        <v>7.4099999999999999E-2</v>
      </c>
      <c r="AB972" s="21">
        <f t="shared" si="288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1"/>
        <v>28647263.974455759</v>
      </c>
      <c r="AJ972" s="19">
        <f t="shared" si="292"/>
        <v>3219855.6912513468</v>
      </c>
      <c r="AK972" s="20">
        <f t="shared" si="299"/>
        <v>0.11239662168514358</v>
      </c>
      <c r="AL972" s="17"/>
      <c r="AM972" s="17"/>
      <c r="AN972" s="17"/>
      <c r="AO972" s="17"/>
      <c r="AP972" s="28" t="str">
        <f t="shared" si="300"/>
        <v>201910</v>
      </c>
      <c r="AQ972" s="28" t="str">
        <f t="shared" si="301"/>
        <v>201910JPY</v>
      </c>
      <c r="AR972" s="206" t="str">
        <f t="shared" si="302"/>
        <v>YAMAHA_Mounter</v>
      </c>
      <c r="AS972" s="22">
        <f t="shared" si="303"/>
        <v>0</v>
      </c>
      <c r="AT972" s="24" t="str">
        <f t="shared" si="304"/>
        <v>0-3 months</v>
      </c>
      <c r="AU972" s="22" t="s">
        <v>3746</v>
      </c>
    </row>
    <row r="973" spans="1:47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48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1217</v>
      </c>
      <c r="K973" s="155" t="s">
        <v>1218</v>
      </c>
      <c r="L973" s="17" t="s">
        <v>92</v>
      </c>
      <c r="M973" s="13" t="s">
        <v>60</v>
      </c>
      <c r="N973" s="13">
        <v>1</v>
      </c>
      <c r="O973" s="13"/>
      <c r="P973" s="33" t="str">
        <f t="shared" si="296"/>
        <v>MAIN UNIT</v>
      </c>
      <c r="Q973" s="13" t="s">
        <v>68</v>
      </c>
      <c r="R973" s="13" t="s">
        <v>62</v>
      </c>
      <c r="S973" s="13" t="s">
        <v>49</v>
      </c>
      <c r="T973" s="13" t="s">
        <v>78</v>
      </c>
      <c r="U973" s="13" t="s">
        <v>79</v>
      </c>
      <c r="V973" s="13" t="s">
        <v>1219</v>
      </c>
      <c r="W973" s="13" t="s">
        <v>1046</v>
      </c>
      <c r="X973" s="135">
        <v>11000000</v>
      </c>
      <c r="Y973" s="156">
        <v>1</v>
      </c>
      <c r="Z973" s="18">
        <f t="shared" si="290"/>
        <v>11000000</v>
      </c>
      <c r="AA973" s="13">
        <v>7.3400000000000007E-2</v>
      </c>
      <c r="AB973" s="21">
        <f t="shared" si="288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1"/>
        <v>29183109.05575221</v>
      </c>
      <c r="AJ973" s="19">
        <f t="shared" si="292"/>
        <v>3741266.5648721238</v>
      </c>
      <c r="AK973" s="20">
        <f t="shared" si="299"/>
        <v>0.12819972531798121</v>
      </c>
      <c r="AL973" s="17"/>
      <c r="AM973" s="17"/>
      <c r="AN973" s="17"/>
      <c r="AO973" s="17"/>
      <c r="AP973" s="28" t="str">
        <f t="shared" si="300"/>
        <v>20206</v>
      </c>
      <c r="AQ973" s="28" t="str">
        <f t="shared" si="301"/>
        <v>20206JPY</v>
      </c>
      <c r="AR973" s="206" t="str">
        <f t="shared" si="302"/>
        <v>YAMAHA_Mounter</v>
      </c>
      <c r="AS973" s="22">
        <f t="shared" si="303"/>
        <v>2</v>
      </c>
      <c r="AT973" s="24" t="str">
        <f t="shared" si="304"/>
        <v>0-3 months</v>
      </c>
      <c r="AU973" s="22" t="s">
        <v>3745</v>
      </c>
    </row>
    <row r="974" spans="1:47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48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1496</v>
      </c>
      <c r="K974" s="155" t="s">
        <v>1497</v>
      </c>
      <c r="L974" s="17" t="s">
        <v>67</v>
      </c>
      <c r="M974" s="13" t="s">
        <v>60</v>
      </c>
      <c r="N974" s="13">
        <v>1</v>
      </c>
      <c r="O974" s="13"/>
      <c r="P974" s="33" t="str">
        <f t="shared" si="296"/>
        <v>MAIN UNIT</v>
      </c>
      <c r="Q974" s="13" t="s">
        <v>61</v>
      </c>
      <c r="R974" s="13" t="s">
        <v>62</v>
      </c>
      <c r="S974" s="13" t="s">
        <v>49</v>
      </c>
      <c r="T974" s="13" t="s">
        <v>78</v>
      </c>
      <c r="U974" s="13" t="s">
        <v>79</v>
      </c>
      <c r="V974" s="13" t="s">
        <v>1125</v>
      </c>
      <c r="W974" s="13" t="s">
        <v>1105</v>
      </c>
      <c r="X974" s="135">
        <v>6400000</v>
      </c>
      <c r="Y974" s="156">
        <v>1</v>
      </c>
      <c r="Z974" s="18">
        <f t="shared" si="290"/>
        <v>6400000</v>
      </c>
      <c r="AA974" s="13">
        <v>7.4499999999999997E-2</v>
      </c>
      <c r="AB974" s="21">
        <f t="shared" si="288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1"/>
        <v>57778307.282035396</v>
      </c>
      <c r="AJ974" s="19">
        <f t="shared" si="292"/>
        <v>7259860.7225420559</v>
      </c>
      <c r="AK974" s="20">
        <f t="shared" si="299"/>
        <v>0.12565028406083667</v>
      </c>
      <c r="AL974" s="17"/>
      <c r="AM974" s="17"/>
      <c r="AN974" s="17"/>
      <c r="AO974" s="17"/>
      <c r="AP974" s="28" t="str">
        <f t="shared" si="300"/>
        <v>20213</v>
      </c>
      <c r="AQ974" s="28" t="str">
        <f t="shared" si="301"/>
        <v>20213JPY</v>
      </c>
      <c r="AR974" s="206" t="str">
        <f t="shared" si="302"/>
        <v>YAMAHA_Mounter</v>
      </c>
      <c r="AS974" s="22">
        <f t="shared" si="303"/>
        <v>8</v>
      </c>
      <c r="AT974" s="24" t="str">
        <f t="shared" si="304"/>
        <v>&gt; 6 months</v>
      </c>
      <c r="AU974" s="22" t="s">
        <v>3240</v>
      </c>
    </row>
    <row r="975" spans="1:47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53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1891</v>
      </c>
      <c r="K975" s="155" t="s">
        <v>1892</v>
      </c>
      <c r="L975" s="17" t="s">
        <v>92</v>
      </c>
      <c r="M975" s="13" t="s">
        <v>60</v>
      </c>
      <c r="N975" s="13">
        <v>1</v>
      </c>
      <c r="O975" s="13"/>
      <c r="P975" s="33" t="str">
        <f t="shared" si="296"/>
        <v>MAIN UNIT</v>
      </c>
      <c r="Q975" s="13" t="s">
        <v>61</v>
      </c>
      <c r="R975" s="13" t="s">
        <v>62</v>
      </c>
      <c r="S975" s="13" t="s">
        <v>49</v>
      </c>
      <c r="T975" s="13" t="s">
        <v>78</v>
      </c>
      <c r="U975" s="13" t="s">
        <v>79</v>
      </c>
      <c r="V975" s="13" t="s">
        <v>311</v>
      </c>
      <c r="W975" s="13" t="s">
        <v>109</v>
      </c>
      <c r="X975" s="135">
        <v>14800000</v>
      </c>
      <c r="Y975" s="157" t="str">
        <f>IF(W975="RMB","1.13", "1")</f>
        <v>1</v>
      </c>
      <c r="Z975" s="18">
        <f t="shared" si="290"/>
        <v>14800000</v>
      </c>
      <c r="AA975" s="13">
        <v>7.0000000000000007E-2</v>
      </c>
      <c r="AB975" s="21">
        <f t="shared" si="288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1"/>
        <v>29500529.005044252</v>
      </c>
      <c r="AJ975" s="19">
        <f t="shared" si="292"/>
        <v>3253064.846231177</v>
      </c>
      <c r="AK975" s="20">
        <f t="shared" si="299"/>
        <v>0.11027140718984871</v>
      </c>
      <c r="AL975" s="17"/>
      <c r="AM975" s="17"/>
      <c r="AN975" s="17"/>
      <c r="AO975" s="17"/>
      <c r="AP975" s="28" t="str">
        <f t="shared" si="300"/>
        <v>202111</v>
      </c>
      <c r="AQ975" s="28" t="str">
        <f t="shared" si="301"/>
        <v>202111JPY</v>
      </c>
      <c r="AR975" s="206" t="str">
        <f t="shared" si="302"/>
        <v>YAMAHA_Mounter</v>
      </c>
      <c r="AS975" s="22">
        <f t="shared" si="303"/>
        <v>6</v>
      </c>
      <c r="AT975" s="24" t="str">
        <f t="shared" si="304"/>
        <v>4-6 months</v>
      </c>
      <c r="AU975" s="22" t="s">
        <v>3745</v>
      </c>
    </row>
    <row r="976" spans="1:47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54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2209</v>
      </c>
      <c r="K976" s="155" t="s">
        <v>1892</v>
      </c>
      <c r="L976" s="17" t="s">
        <v>67</v>
      </c>
      <c r="M976" s="13" t="s">
        <v>60</v>
      </c>
      <c r="N976" s="13">
        <v>1</v>
      </c>
      <c r="O976" s="13"/>
      <c r="P976" s="33" t="str">
        <f t="shared" si="296"/>
        <v>MAIN UNIT</v>
      </c>
      <c r="Q976" s="13" t="s">
        <v>61</v>
      </c>
      <c r="R976" s="13" t="s">
        <v>62</v>
      </c>
      <c r="S976" s="13" t="s">
        <v>49</v>
      </c>
      <c r="T976" s="13" t="s">
        <v>78</v>
      </c>
      <c r="U976" s="13" t="s">
        <v>79</v>
      </c>
      <c r="V976" s="13" t="s">
        <v>311</v>
      </c>
      <c r="W976" s="13" t="s">
        <v>109</v>
      </c>
      <c r="X976" s="135">
        <v>9600000</v>
      </c>
      <c r="Y976" s="157" t="str">
        <f>IF(W976="RMB","1.13", "1")</f>
        <v>1</v>
      </c>
      <c r="Z976" s="18">
        <f t="shared" si="290"/>
        <v>9600000</v>
      </c>
      <c r="AA976" s="13">
        <v>5.8700000000000002E-2</v>
      </c>
      <c r="AB976" s="21">
        <f t="shared" si="288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1"/>
        <v>36480247.665929198</v>
      </c>
      <c r="AJ976" s="19">
        <f t="shared" si="292"/>
        <v>5330996.6372757526</v>
      </c>
      <c r="AK976" s="20">
        <f t="shared" si="299"/>
        <v>0.14613378412599562</v>
      </c>
      <c r="AL976" s="17"/>
      <c r="AM976" s="17"/>
      <c r="AN976" s="17"/>
      <c r="AO976" s="17"/>
      <c r="AP976" s="28" t="str">
        <f t="shared" si="300"/>
        <v>20227</v>
      </c>
      <c r="AQ976" s="28" t="str">
        <f t="shared" si="301"/>
        <v>20227JPY</v>
      </c>
      <c r="AR976" s="206" t="str">
        <f t="shared" si="302"/>
        <v>YAMAHA_Mounter</v>
      </c>
      <c r="AS976" s="22">
        <f t="shared" si="303"/>
        <v>5</v>
      </c>
      <c r="AT976" s="24" t="str">
        <f t="shared" si="304"/>
        <v>4-6 months</v>
      </c>
      <c r="AU976" s="22" t="s">
        <v>3240</v>
      </c>
    </row>
    <row r="977" spans="1:47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53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1911</v>
      </c>
      <c r="K977" s="155" t="s">
        <v>1912</v>
      </c>
      <c r="L977" s="17" t="s">
        <v>67</v>
      </c>
      <c r="M977" s="13" t="s">
        <v>60</v>
      </c>
      <c r="N977" s="13">
        <v>1</v>
      </c>
      <c r="O977" s="13"/>
      <c r="P977" s="33" t="str">
        <f t="shared" si="296"/>
        <v>MAIN UNIT</v>
      </c>
      <c r="Q977" s="13" t="s">
        <v>68</v>
      </c>
      <c r="R977" s="13" t="s">
        <v>62</v>
      </c>
      <c r="S977" s="13" t="s">
        <v>52</v>
      </c>
      <c r="T977" s="13" t="s">
        <v>1659</v>
      </c>
      <c r="U977" s="13" t="s">
        <v>177</v>
      </c>
      <c r="V977" s="13" t="s">
        <v>178</v>
      </c>
      <c r="W977" s="13" t="s">
        <v>64</v>
      </c>
      <c r="X977" s="135">
        <v>505000</v>
      </c>
      <c r="Y977" s="157" t="str">
        <f>IF(W977="RMB","1.13", "1")</f>
        <v>1.13</v>
      </c>
      <c r="Z977" s="18">
        <f t="shared" si="290"/>
        <v>505000</v>
      </c>
      <c r="AA977" s="13">
        <v>1.2150000000000001</v>
      </c>
      <c r="AB977" s="21">
        <f t="shared" si="288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1"/>
        <v>25380121.402654871</v>
      </c>
      <c r="AJ977" s="19">
        <f t="shared" si="292"/>
        <v>3850343.1237796471</v>
      </c>
      <c r="AK977" s="20">
        <f t="shared" si="299"/>
        <v>0.1517070412191521</v>
      </c>
      <c r="AL977" s="17"/>
      <c r="AM977" s="17"/>
      <c r="AN977" s="17"/>
      <c r="AO977" s="17"/>
      <c r="AP977" s="28" t="str">
        <f t="shared" si="300"/>
        <v>202112</v>
      </c>
      <c r="AQ977" s="28" t="str">
        <f t="shared" si="301"/>
        <v>202112RMB</v>
      </c>
      <c r="AR977" s="206" t="str">
        <f t="shared" si="302"/>
        <v>YAMAHA_Mounter</v>
      </c>
      <c r="AS977" s="22">
        <f t="shared" si="303"/>
        <v>5</v>
      </c>
      <c r="AT977" s="24" t="str">
        <f t="shared" si="304"/>
        <v>4-6 months</v>
      </c>
      <c r="AU977" s="22" t="s">
        <v>3240</v>
      </c>
    </row>
    <row r="978" spans="1:47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185</v>
      </c>
      <c r="F978" s="13" t="s">
        <v>185</v>
      </c>
      <c r="G978" s="152" t="s">
        <v>185</v>
      </c>
      <c r="H978" s="155"/>
      <c r="I978" s="33" t="str">
        <f t="shared" si="295"/>
        <v>Cancel</v>
      </c>
      <c r="J978" s="186" t="s">
        <v>1911</v>
      </c>
      <c r="K978" s="155" t="s">
        <v>1912</v>
      </c>
      <c r="L978" s="17" t="s">
        <v>67</v>
      </c>
      <c r="M978" s="13" t="s">
        <v>60</v>
      </c>
      <c r="N978" s="13">
        <v>1</v>
      </c>
      <c r="O978" s="13"/>
      <c r="P978" s="33" t="str">
        <f t="shared" si="296"/>
        <v>MAIN UNIT</v>
      </c>
      <c r="Q978" s="13" t="s">
        <v>68</v>
      </c>
      <c r="R978" s="13" t="s">
        <v>62</v>
      </c>
      <c r="S978" s="13" t="s">
        <v>52</v>
      </c>
      <c r="T978" s="13" t="s">
        <v>1659</v>
      </c>
      <c r="U978" s="13" t="s">
        <v>177</v>
      </c>
      <c r="V978" s="13" t="s">
        <v>178</v>
      </c>
      <c r="W978" s="13" t="s">
        <v>64</v>
      </c>
      <c r="X978" s="135">
        <v>505000</v>
      </c>
      <c r="Y978" s="157" t="str">
        <f>IF(W978="RMB","1.13", "1")</f>
        <v>1.13</v>
      </c>
      <c r="Z978" s="18">
        <f t="shared" si="290"/>
        <v>505000</v>
      </c>
      <c r="AA978" s="13">
        <v>1.175</v>
      </c>
      <c r="AB978" s="21">
        <f t="shared" si="288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1"/>
        <v>499582152.5142017</v>
      </c>
      <c r="AJ978" s="19">
        <f t="shared" si="292"/>
        <v>59520528.679470733</v>
      </c>
      <c r="AK978" s="20">
        <f t="shared" si="299"/>
        <v>0.11914062257814291</v>
      </c>
      <c r="AL978" s="17" t="s">
        <v>2104</v>
      </c>
      <c r="AM978" s="17"/>
      <c r="AN978" s="17"/>
      <c r="AO978" s="17"/>
      <c r="AP978" s="28" t="str">
        <f t="shared" si="300"/>
        <v>CancelCancel</v>
      </c>
      <c r="AQ978" s="28" t="str">
        <f t="shared" si="301"/>
        <v>CancelCancelRMB</v>
      </c>
      <c r="AR978" s="206" t="str">
        <f t="shared" si="302"/>
        <v>YAMAHA_Mounter</v>
      </c>
      <c r="AS978" s="22" t="str">
        <f t="shared" si="303"/>
        <v/>
      </c>
      <c r="AT978" s="24" t="str">
        <f t="shared" si="304"/>
        <v/>
      </c>
      <c r="AU978" s="22" t="s">
        <v>3240</v>
      </c>
    </row>
    <row r="979" spans="1:47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48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1130</v>
      </c>
      <c r="K979" s="155" t="s">
        <v>1131</v>
      </c>
      <c r="L979" s="17" t="s">
        <v>516</v>
      </c>
      <c r="M979" s="13" t="s">
        <v>60</v>
      </c>
      <c r="N979" s="13">
        <v>0</v>
      </c>
      <c r="O979" s="13">
        <v>68</v>
      </c>
      <c r="P979" s="33" t="str">
        <f t="shared" si="296"/>
        <v>SERVICE/ PARTS</v>
      </c>
      <c r="Q979" s="13" t="s">
        <v>68</v>
      </c>
      <c r="R979" s="13" t="s">
        <v>62</v>
      </c>
      <c r="S979" s="13" t="s">
        <v>52</v>
      </c>
      <c r="T979" s="13" t="s">
        <v>176</v>
      </c>
      <c r="U979" s="13" t="s">
        <v>177</v>
      </c>
      <c r="V979" s="13" t="s">
        <v>178</v>
      </c>
      <c r="W979" s="13" t="s">
        <v>64</v>
      </c>
      <c r="X979" s="135">
        <v>3050</v>
      </c>
      <c r="Y979" s="156">
        <v>1.1299999999999999</v>
      </c>
      <c r="Z979" s="18">
        <f t="shared" si="290"/>
        <v>207400</v>
      </c>
      <c r="AA979" s="13">
        <v>1.105</v>
      </c>
      <c r="AB979" s="21">
        <f t="shared" si="288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1"/>
        <v>37969334.083628319</v>
      </c>
      <c r="AJ979" s="19">
        <f t="shared" si="292"/>
        <v>5097226.4551657084</v>
      </c>
      <c r="AK979" s="20">
        <f t="shared" si="299"/>
        <v>0.13424587441904964</v>
      </c>
      <c r="AL979" s="17"/>
      <c r="AM979" s="17"/>
      <c r="AN979" s="17"/>
      <c r="AO979" s="17"/>
      <c r="AP979" s="28" t="str">
        <f t="shared" si="300"/>
        <v>20208</v>
      </c>
      <c r="AQ979" s="28" t="str">
        <f t="shared" si="301"/>
        <v>20208RMB</v>
      </c>
      <c r="AR979" s="206" t="str">
        <f t="shared" si="302"/>
        <v>YAMAHA_Mounter</v>
      </c>
      <c r="AS979" s="22">
        <f t="shared" si="303"/>
        <v>0</v>
      </c>
      <c r="AT979" s="24" t="str">
        <f t="shared" si="304"/>
        <v>0-3 months</v>
      </c>
      <c r="AU979" s="22" t="s">
        <v>3240</v>
      </c>
    </row>
    <row r="980" spans="1:47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47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707</v>
      </c>
      <c r="K980" s="155" t="s">
        <v>708</v>
      </c>
      <c r="L980" s="17" t="s">
        <v>92</v>
      </c>
      <c r="M980" s="13" t="s">
        <v>60</v>
      </c>
      <c r="N980" s="13">
        <v>1</v>
      </c>
      <c r="O980" s="13"/>
      <c r="P980" s="33" t="str">
        <f t="shared" si="296"/>
        <v>MAIN UNIT</v>
      </c>
      <c r="Q980" s="13" t="s">
        <v>61</v>
      </c>
      <c r="R980" s="13" t="s">
        <v>62</v>
      </c>
      <c r="S980" s="13" t="s">
        <v>52</v>
      </c>
      <c r="T980" s="13" t="s">
        <v>316</v>
      </c>
      <c r="U980" s="13" t="s">
        <v>275</v>
      </c>
      <c r="V980" s="13" t="s">
        <v>178</v>
      </c>
      <c r="W980" s="13" t="s">
        <v>64</v>
      </c>
      <c r="X980" s="135">
        <v>951000</v>
      </c>
      <c r="Y980" s="156">
        <v>1.1299999999999999</v>
      </c>
      <c r="Z980" s="18">
        <f t="shared" si="290"/>
        <v>951000</v>
      </c>
      <c r="AA980" s="13">
        <v>1.1100000000000001</v>
      </c>
      <c r="AB980" s="21">
        <f t="shared" si="288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1"/>
        <v>27318180.088495575</v>
      </c>
      <c r="AJ980" s="19">
        <f t="shared" si="292"/>
        <v>3014099.212353982</v>
      </c>
      <c r="AK980" s="20">
        <f t="shared" si="299"/>
        <v>0.11033308963444827</v>
      </c>
      <c r="AL980" s="17"/>
      <c r="AM980" s="17"/>
      <c r="AN980" s="17"/>
      <c r="AO980" s="17"/>
      <c r="AP980" s="28" t="str">
        <f t="shared" si="300"/>
        <v>201912</v>
      </c>
      <c r="AQ980" s="28" t="str">
        <f t="shared" si="301"/>
        <v>201912RMB</v>
      </c>
      <c r="AR980" s="206" t="str">
        <f t="shared" si="302"/>
        <v>YAMAHA_Mounter</v>
      </c>
      <c r="AS980" s="22">
        <f t="shared" si="303"/>
        <v>0</v>
      </c>
      <c r="AT980" s="24" t="str">
        <f t="shared" si="304"/>
        <v>0-3 months</v>
      </c>
      <c r="AU980" s="22" t="s">
        <v>3240</v>
      </c>
    </row>
    <row r="981" spans="1:47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48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1163</v>
      </c>
      <c r="K981" s="155" t="s">
        <v>1164</v>
      </c>
      <c r="L981" s="17" t="s">
        <v>67</v>
      </c>
      <c r="M981" s="13" t="s">
        <v>60</v>
      </c>
      <c r="N981" s="13">
        <v>1</v>
      </c>
      <c r="O981" s="13"/>
      <c r="P981" s="33" t="str">
        <f t="shared" si="296"/>
        <v>MAIN UNIT</v>
      </c>
      <c r="Q981" s="13" t="s">
        <v>68</v>
      </c>
      <c r="R981" s="13" t="s">
        <v>62</v>
      </c>
      <c r="S981" s="13" t="s">
        <v>52</v>
      </c>
      <c r="T981" s="13" t="s">
        <v>176</v>
      </c>
      <c r="U981" s="13" t="s">
        <v>177</v>
      </c>
      <c r="V981" s="13" t="s">
        <v>178</v>
      </c>
      <c r="W981" s="13" t="s">
        <v>64</v>
      </c>
      <c r="X981" s="135">
        <v>650000</v>
      </c>
      <c r="Y981" s="156" t="s">
        <v>1058</v>
      </c>
      <c r="Z981" s="18">
        <f t="shared" si="290"/>
        <v>650000</v>
      </c>
      <c r="AA981" s="13">
        <v>1.095</v>
      </c>
      <c r="AB981" s="21">
        <f t="shared" si="288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1"/>
        <v>35384300.169380538</v>
      </c>
      <c r="AJ981" s="19">
        <f t="shared" si="292"/>
        <v>5044538.8896988509</v>
      </c>
      <c r="AK981" s="20">
        <f t="shared" si="299"/>
        <v>0.14256432557804533</v>
      </c>
      <c r="AL981" s="17"/>
      <c r="AM981" s="17"/>
      <c r="AN981" s="17"/>
      <c r="AO981" s="17"/>
      <c r="AP981" s="28" t="str">
        <f t="shared" si="300"/>
        <v>20207</v>
      </c>
      <c r="AQ981" s="28" t="str">
        <f t="shared" si="301"/>
        <v>20207RMB</v>
      </c>
      <c r="AR981" s="206" t="str">
        <f t="shared" si="302"/>
        <v>YAMAHA_Mounter</v>
      </c>
      <c r="AS981" s="22">
        <f t="shared" si="303"/>
        <v>1</v>
      </c>
      <c r="AT981" s="24" t="str">
        <f t="shared" si="304"/>
        <v>0-3 months</v>
      </c>
      <c r="AU981" s="22" t="s">
        <v>3240</v>
      </c>
    </row>
    <row r="982" spans="1:47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48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1423</v>
      </c>
      <c r="K982" s="155" t="s">
        <v>1424</v>
      </c>
      <c r="L982" s="17" t="s">
        <v>67</v>
      </c>
      <c r="M982" s="13" t="s">
        <v>60</v>
      </c>
      <c r="N982" s="13">
        <v>1</v>
      </c>
      <c r="O982" s="13"/>
      <c r="P982" s="33" t="str">
        <f t="shared" si="296"/>
        <v>MAIN UNIT</v>
      </c>
      <c r="Q982" s="13" t="s">
        <v>61</v>
      </c>
      <c r="R982" s="13" t="s">
        <v>62</v>
      </c>
      <c r="S982" s="13" t="s">
        <v>49</v>
      </c>
      <c r="T982" s="13" t="s">
        <v>78</v>
      </c>
      <c r="U982" s="13" t="s">
        <v>79</v>
      </c>
      <c r="V982" s="13" t="s">
        <v>112</v>
      </c>
      <c r="W982" s="13" t="s">
        <v>64</v>
      </c>
      <c r="X982" s="135">
        <v>530000</v>
      </c>
      <c r="Y982" s="157" t="str">
        <f>IF(W982="RMB","1.13", "1")</f>
        <v>1.13</v>
      </c>
      <c r="Z982" s="18">
        <f t="shared" si="290"/>
        <v>530000</v>
      </c>
      <c r="AA982" s="13">
        <v>1.155</v>
      </c>
      <c r="AB982" s="21">
        <f t="shared" si="288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1"/>
        <v>44078731.611185849</v>
      </c>
      <c r="AJ982" s="19">
        <f t="shared" si="292"/>
        <v>5508173.2163771465</v>
      </c>
      <c r="AK982" s="20">
        <f t="shared" si="299"/>
        <v>0.12496215328889679</v>
      </c>
      <c r="AL982" s="17"/>
      <c r="AM982" s="17"/>
      <c r="AN982" s="17"/>
      <c r="AO982" s="17"/>
      <c r="AP982" s="28" t="str">
        <f t="shared" si="300"/>
        <v>202011</v>
      </c>
      <c r="AQ982" s="28" t="str">
        <f t="shared" si="301"/>
        <v>202011RMB</v>
      </c>
      <c r="AR982" s="206" t="str">
        <f t="shared" si="302"/>
        <v>YAMAHA_Mounter</v>
      </c>
      <c r="AS982" s="22">
        <f t="shared" si="303"/>
        <v>2</v>
      </c>
      <c r="AT982" s="24" t="str">
        <f t="shared" si="304"/>
        <v>0-3 months</v>
      </c>
      <c r="AU982" s="22" t="s">
        <v>3744</v>
      </c>
    </row>
    <row r="983" spans="1:47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3073</v>
      </c>
      <c r="K983" s="155" t="s">
        <v>1424</v>
      </c>
      <c r="L983" s="17" t="s">
        <v>2620</v>
      </c>
      <c r="M983" s="13" t="s">
        <v>60</v>
      </c>
      <c r="N983" s="13">
        <v>1</v>
      </c>
      <c r="O983" s="13"/>
      <c r="P983" s="33" t="str">
        <f t="shared" si="296"/>
        <v>MAIN UNIT</v>
      </c>
      <c r="Q983" s="13" t="s">
        <v>61</v>
      </c>
      <c r="R983" s="13" t="s">
        <v>2055</v>
      </c>
      <c r="S983" s="13" t="s">
        <v>49</v>
      </c>
      <c r="T983" s="13" t="s">
        <v>78</v>
      </c>
      <c r="U983" s="13" t="s">
        <v>79</v>
      </c>
      <c r="V983" s="13" t="s">
        <v>112</v>
      </c>
      <c r="W983" s="13" t="s">
        <v>64</v>
      </c>
      <c r="X983" s="135">
        <v>650000</v>
      </c>
      <c r="Y983" s="157" t="str">
        <f>IF(W983="","",IF(W983="RMB","1.13", "1"))</f>
        <v>1.13</v>
      </c>
      <c r="Z983" s="18">
        <f t="shared" si="290"/>
        <v>650000</v>
      </c>
      <c r="AA983" s="13">
        <v>1.0920000000000001</v>
      </c>
      <c r="AB983" s="21">
        <f t="shared" si="288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1"/>
        <v>22953677.784070797</v>
      </c>
      <c r="AJ983" s="19">
        <f t="shared" si="292"/>
        <v>4168706.6744155753</v>
      </c>
      <c r="AK983" s="20">
        <f t="shared" si="299"/>
        <v>0.18161388835511752</v>
      </c>
      <c r="AL983" s="17"/>
      <c r="AM983" s="17"/>
      <c r="AN983" s="17"/>
      <c r="AO983" s="17"/>
      <c r="AP983" s="28" t="str">
        <f t="shared" si="300"/>
        <v>20238</v>
      </c>
      <c r="AQ983" s="28" t="str">
        <f t="shared" si="301"/>
        <v>20238RMB</v>
      </c>
      <c r="AR983" s="206" t="str">
        <f t="shared" si="302"/>
        <v>YAMAHA_Non_Mounter</v>
      </c>
      <c r="AS983" s="22">
        <f t="shared" si="303"/>
        <v>3</v>
      </c>
      <c r="AT983" s="24" t="str">
        <f t="shared" si="304"/>
        <v>0-3 months</v>
      </c>
      <c r="AU983" s="22" t="s">
        <v>3751</v>
      </c>
    </row>
    <row r="984" spans="1:47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47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923</v>
      </c>
      <c r="K984" s="155" t="s">
        <v>924</v>
      </c>
      <c r="L984" s="17" t="s">
        <v>92</v>
      </c>
      <c r="M984" s="13" t="s">
        <v>60</v>
      </c>
      <c r="N984" s="13">
        <v>1</v>
      </c>
      <c r="O984" s="13"/>
      <c r="P984" s="33" t="str">
        <f t="shared" si="296"/>
        <v>MAIN UNIT</v>
      </c>
      <c r="Q984" s="13" t="s">
        <v>61</v>
      </c>
      <c r="R984" s="13" t="s">
        <v>701</v>
      </c>
      <c r="S984" s="13" t="s">
        <v>49</v>
      </c>
      <c r="T984" s="13" t="s">
        <v>78</v>
      </c>
      <c r="U984" s="13" t="s">
        <v>79</v>
      </c>
      <c r="V984" s="13" t="s">
        <v>126</v>
      </c>
      <c r="W984" s="13" t="s">
        <v>64</v>
      </c>
      <c r="X984" s="135">
        <v>938000</v>
      </c>
      <c r="Y984" s="156">
        <v>1.1299999999999999</v>
      </c>
      <c r="Z984" s="18">
        <f t="shared" si="290"/>
        <v>938000</v>
      </c>
      <c r="AA984" s="13">
        <v>1.095</v>
      </c>
      <c r="AB984" s="21">
        <f t="shared" si="288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1"/>
        <v>28647263.974455759</v>
      </c>
      <c r="AJ984" s="19">
        <f t="shared" si="292"/>
        <v>3219855.6912513468</v>
      </c>
      <c r="AK984" s="20">
        <f t="shared" si="299"/>
        <v>0.11239662168514358</v>
      </c>
      <c r="AL984" s="17"/>
      <c r="AM984" s="17"/>
      <c r="AN984" s="17"/>
      <c r="AO984" s="17"/>
      <c r="AP984" s="28" t="str">
        <f t="shared" si="300"/>
        <v>201910</v>
      </c>
      <c r="AQ984" s="28" t="str">
        <f t="shared" si="301"/>
        <v>201910RMB</v>
      </c>
      <c r="AR984" s="206" t="str">
        <f t="shared" si="302"/>
        <v>YAMAHA_Mounter</v>
      </c>
      <c r="AS984" s="22">
        <f t="shared" si="303"/>
        <v>4</v>
      </c>
      <c r="AT984" s="24" t="str">
        <f t="shared" si="304"/>
        <v>4-6 months</v>
      </c>
      <c r="AU984" s="22" t="s">
        <v>3744</v>
      </c>
    </row>
    <row r="985" spans="1:47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48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1237</v>
      </c>
      <c r="K985" s="155" t="s">
        <v>1238</v>
      </c>
      <c r="L985" s="17" t="s">
        <v>67</v>
      </c>
      <c r="M985" s="13" t="s">
        <v>60</v>
      </c>
      <c r="N985" s="13">
        <v>1</v>
      </c>
      <c r="O985" s="13"/>
      <c r="P985" s="33" t="str">
        <f t="shared" si="296"/>
        <v>MAIN UNIT</v>
      </c>
      <c r="Q985" s="13" t="s">
        <v>61</v>
      </c>
      <c r="R985" s="13" t="s">
        <v>62</v>
      </c>
      <c r="S985" s="13" t="s">
        <v>49</v>
      </c>
      <c r="T985" s="13" t="s">
        <v>78</v>
      </c>
      <c r="U985" s="13" t="s">
        <v>79</v>
      </c>
      <c r="V985" s="13" t="s">
        <v>126</v>
      </c>
      <c r="W985" s="13" t="s">
        <v>109</v>
      </c>
      <c r="X985" s="135">
        <v>7000000</v>
      </c>
      <c r="Y985" s="156">
        <v>1</v>
      </c>
      <c r="Z985" s="18">
        <f t="shared" si="290"/>
        <v>7000000</v>
      </c>
      <c r="AA985" s="13">
        <v>7.3400000000000007E-2</v>
      </c>
      <c r="AB985" s="21">
        <f t="shared" si="288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1"/>
        <v>29183109.05575221</v>
      </c>
      <c r="AJ985" s="19">
        <f t="shared" si="292"/>
        <v>3741266.5648721238</v>
      </c>
      <c r="AK985" s="20">
        <f t="shared" si="299"/>
        <v>0.12819972531798121</v>
      </c>
      <c r="AL985" s="17"/>
      <c r="AM985" s="17"/>
      <c r="AN985" s="17"/>
      <c r="AO985" s="17"/>
      <c r="AP985" s="28" t="str">
        <f t="shared" si="300"/>
        <v>20206</v>
      </c>
      <c r="AQ985" s="28" t="str">
        <f t="shared" si="301"/>
        <v>20206JPY</v>
      </c>
      <c r="AR985" s="206" t="str">
        <f t="shared" si="302"/>
        <v>YAMAHA_Mounter</v>
      </c>
      <c r="AS985" s="22">
        <f t="shared" si="303"/>
        <v>0</v>
      </c>
      <c r="AT985" s="24" t="str">
        <f t="shared" si="304"/>
        <v>0-3 months</v>
      </c>
      <c r="AU985" s="22" t="s">
        <v>3745</v>
      </c>
    </row>
    <row r="986" spans="1:47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53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1749</v>
      </c>
      <c r="K986" s="155" t="s">
        <v>1238</v>
      </c>
      <c r="L986" s="17" t="s">
        <v>67</v>
      </c>
      <c r="M986" s="13" t="s">
        <v>60</v>
      </c>
      <c r="N986" s="13">
        <v>1</v>
      </c>
      <c r="O986" s="13"/>
      <c r="P986" s="33" t="str">
        <f t="shared" si="296"/>
        <v>MAIN UNIT</v>
      </c>
      <c r="Q986" s="13" t="s">
        <v>61</v>
      </c>
      <c r="R986" s="13" t="s">
        <v>62</v>
      </c>
      <c r="S986" s="13" t="s">
        <v>49</v>
      </c>
      <c r="T986" s="13" t="s">
        <v>78</v>
      </c>
      <c r="U986" s="13" t="s">
        <v>79</v>
      </c>
      <c r="V986" s="13" t="s">
        <v>126</v>
      </c>
      <c r="W986" s="13" t="s">
        <v>109</v>
      </c>
      <c r="X986" s="135">
        <v>7500000</v>
      </c>
      <c r="Y986" s="157" t="str">
        <f t="shared" ref="Y986:Y991" si="305">IF(W986="RMB","1.13", "1")</f>
        <v>1</v>
      </c>
      <c r="Z986" s="18">
        <f t="shared" si="290"/>
        <v>7500000</v>
      </c>
      <c r="AA986" s="13">
        <v>7.2800000000000004E-2</v>
      </c>
      <c r="AB986" s="21">
        <f t="shared" si="288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1"/>
        <v>63006605.696460173</v>
      </c>
      <c r="AJ986" s="19">
        <f t="shared" si="292"/>
        <v>8897485.660753984</v>
      </c>
      <c r="AK986" s="20">
        <f t="shared" si="299"/>
        <v>0.141215124388995</v>
      </c>
      <c r="AL986" s="17"/>
      <c r="AM986" s="17"/>
      <c r="AN986" s="17"/>
      <c r="AO986" s="17"/>
      <c r="AP986" s="28" t="str">
        <f t="shared" si="300"/>
        <v>20215</v>
      </c>
      <c r="AQ986" s="28" t="str">
        <f t="shared" si="301"/>
        <v>20215JPY</v>
      </c>
      <c r="AR986" s="206" t="str">
        <f t="shared" si="302"/>
        <v>YAMAHA_Mounter</v>
      </c>
      <c r="AS986" s="22">
        <f t="shared" si="303"/>
        <v>1</v>
      </c>
      <c r="AT986" s="24" t="str">
        <f t="shared" si="304"/>
        <v>0-3 months</v>
      </c>
      <c r="AU986" s="22" t="s">
        <v>3240</v>
      </c>
    </row>
    <row r="987" spans="1:47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54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2009</v>
      </c>
      <c r="K987" s="155" t="s">
        <v>2010</v>
      </c>
      <c r="L987" s="17" t="s">
        <v>67</v>
      </c>
      <c r="M987" s="13" t="s">
        <v>60</v>
      </c>
      <c r="N987" s="13">
        <v>1</v>
      </c>
      <c r="O987" s="13"/>
      <c r="P987" s="33" t="str">
        <f t="shared" si="296"/>
        <v>MAIN UNIT</v>
      </c>
      <c r="Q987" s="13" t="s">
        <v>68</v>
      </c>
      <c r="R987" s="13" t="s">
        <v>62</v>
      </c>
      <c r="S987" s="13" t="s">
        <v>49</v>
      </c>
      <c r="T987" s="13" t="s">
        <v>78</v>
      </c>
      <c r="U987" s="13" t="s">
        <v>79</v>
      </c>
      <c r="V987" s="13" t="s">
        <v>2011</v>
      </c>
      <c r="W987" s="13" t="s">
        <v>109</v>
      </c>
      <c r="X987" s="135">
        <v>9346000</v>
      </c>
      <c r="Y987" s="157" t="str">
        <f t="shared" si="305"/>
        <v>1</v>
      </c>
      <c r="Z987" s="18">
        <f t="shared" si="290"/>
        <v>9346000</v>
      </c>
      <c r="AA987" s="13">
        <v>6.54E-2</v>
      </c>
      <c r="AB987" s="21">
        <f t="shared" ref="AB987:AB1050" si="306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1"/>
        <v>46600814.041769907</v>
      </c>
      <c r="AJ987" s="19">
        <f t="shared" si="292"/>
        <v>5956366.3435927071</v>
      </c>
      <c r="AK987" s="20">
        <f t="shared" si="299"/>
        <v>0.1278167874546958</v>
      </c>
      <c r="AL987" s="17"/>
      <c r="AM987" s="17"/>
      <c r="AN987" s="17"/>
      <c r="AO987" s="17"/>
      <c r="AP987" s="28" t="str">
        <f t="shared" si="300"/>
        <v>20224</v>
      </c>
      <c r="AQ987" s="28" t="str">
        <f t="shared" si="301"/>
        <v>20224JPY</v>
      </c>
      <c r="AR987" s="206" t="str">
        <f t="shared" si="302"/>
        <v>YAMAHA_Mounter</v>
      </c>
      <c r="AS987" s="22">
        <f t="shared" si="303"/>
        <v>5</v>
      </c>
      <c r="AT987" s="24" t="str">
        <f t="shared" si="304"/>
        <v>4-6 months</v>
      </c>
      <c r="AU987" s="22" t="s">
        <v>3745</v>
      </c>
    </row>
    <row r="988" spans="1:47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55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2541</v>
      </c>
      <c r="K988" s="155" t="s">
        <v>2542</v>
      </c>
      <c r="L988" s="17" t="s">
        <v>92</v>
      </c>
      <c r="M988" s="13" t="s">
        <v>60</v>
      </c>
      <c r="N988" s="13">
        <v>1</v>
      </c>
      <c r="O988" s="13"/>
      <c r="P988" s="33" t="str">
        <f t="shared" si="296"/>
        <v>MAIN UNIT</v>
      </c>
      <c r="Q988" s="13" t="s">
        <v>68</v>
      </c>
      <c r="R988" s="13" t="s">
        <v>62</v>
      </c>
      <c r="S988" s="13" t="s">
        <v>49</v>
      </c>
      <c r="T988" s="13" t="s">
        <v>78</v>
      </c>
      <c r="U988" s="13" t="s">
        <v>79</v>
      </c>
      <c r="V988" s="13" t="s">
        <v>2011</v>
      </c>
      <c r="W988" s="13" t="s">
        <v>64</v>
      </c>
      <c r="X988" s="135">
        <v>790000</v>
      </c>
      <c r="Y988" s="157" t="str">
        <f t="shared" si="305"/>
        <v>1.13</v>
      </c>
      <c r="Z988" s="18">
        <f t="shared" si="290"/>
        <v>790000</v>
      </c>
      <c r="AA988" s="13">
        <v>1.0920000000000001</v>
      </c>
      <c r="AB988" s="21">
        <f t="shared" si="306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1"/>
        <v>22953677.784070797</v>
      </c>
      <c r="AJ988" s="19">
        <f t="shared" si="292"/>
        <v>4168706.6744155753</v>
      </c>
      <c r="AK988" s="20">
        <f t="shared" si="299"/>
        <v>0.18161388835511752</v>
      </c>
      <c r="AL988" s="17"/>
      <c r="AM988" s="17"/>
      <c r="AN988" s="17"/>
      <c r="AO988" s="17"/>
      <c r="AP988" s="28" t="str">
        <f t="shared" si="300"/>
        <v>20238</v>
      </c>
      <c r="AQ988" s="28" t="str">
        <f t="shared" si="301"/>
        <v>20238RMB</v>
      </c>
      <c r="AR988" s="206" t="str">
        <f t="shared" si="302"/>
        <v>YAMAHA_Mounter</v>
      </c>
      <c r="AS988" s="22">
        <f t="shared" si="303"/>
        <v>4</v>
      </c>
      <c r="AT988" s="24" t="str">
        <f t="shared" si="304"/>
        <v>4-6 months</v>
      </c>
      <c r="AU988" s="22" t="s">
        <v>3751</v>
      </c>
    </row>
    <row r="989" spans="1:47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185</v>
      </c>
      <c r="F989" s="13" t="s">
        <v>185</v>
      </c>
      <c r="G989" s="152" t="s">
        <v>185</v>
      </c>
      <c r="H989" s="155"/>
      <c r="I989" s="33" t="str">
        <f t="shared" si="295"/>
        <v>Cancel</v>
      </c>
      <c r="J989" s="186" t="s">
        <v>2583</v>
      </c>
      <c r="K989" s="155" t="s">
        <v>2542</v>
      </c>
      <c r="L989" s="17" t="s">
        <v>92</v>
      </c>
      <c r="M989" s="13" t="s">
        <v>60</v>
      </c>
      <c r="N989" s="13">
        <v>1</v>
      </c>
      <c r="O989" s="13"/>
      <c r="P989" s="33" t="str">
        <f t="shared" si="296"/>
        <v>MAIN UNIT</v>
      </c>
      <c r="Q989" s="13" t="s">
        <v>68</v>
      </c>
      <c r="R989" s="13" t="s">
        <v>62</v>
      </c>
      <c r="S989" s="13" t="s">
        <v>49</v>
      </c>
      <c r="T989" s="13" t="s">
        <v>78</v>
      </c>
      <c r="U989" s="13" t="s">
        <v>79</v>
      </c>
      <c r="V989" s="13" t="s">
        <v>2011</v>
      </c>
      <c r="W989" s="13" t="s">
        <v>64</v>
      </c>
      <c r="X989" s="135">
        <v>790000</v>
      </c>
      <c r="Y989" s="157" t="str">
        <f t="shared" si="305"/>
        <v>1.13</v>
      </c>
      <c r="Z989" s="18">
        <f t="shared" si="290"/>
        <v>790000</v>
      </c>
      <c r="AA989" s="13">
        <v>1.1000000000000001</v>
      </c>
      <c r="AB989" s="21">
        <f t="shared" si="306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1"/>
        <v>499582152.5142017</v>
      </c>
      <c r="AJ989" s="19">
        <f t="shared" si="292"/>
        <v>59520528.679470733</v>
      </c>
      <c r="AK989" s="20">
        <f t="shared" si="299"/>
        <v>0.11914062257814291</v>
      </c>
      <c r="AL989" s="17"/>
      <c r="AM989" s="17"/>
      <c r="AN989" s="17"/>
      <c r="AO989" s="17"/>
      <c r="AP989" s="28" t="str">
        <f t="shared" si="300"/>
        <v>CancelCancel</v>
      </c>
      <c r="AQ989" s="28" t="str">
        <f t="shared" si="301"/>
        <v>CancelCancelRMB</v>
      </c>
      <c r="AR989" s="206" t="str">
        <f t="shared" si="302"/>
        <v>YAMAHA_Mounter</v>
      </c>
      <c r="AS989" s="22" t="str">
        <f t="shared" si="303"/>
        <v/>
      </c>
      <c r="AT989" s="24" t="str">
        <f t="shared" si="304"/>
        <v/>
      </c>
      <c r="AU989" s="22" t="s">
        <v>3751</v>
      </c>
    </row>
    <row r="990" spans="1:47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185</v>
      </c>
      <c r="F990" s="13" t="s">
        <v>185</v>
      </c>
      <c r="G990" s="152" t="s">
        <v>185</v>
      </c>
      <c r="H990" s="155"/>
      <c r="I990" s="33" t="str">
        <f t="shared" si="295"/>
        <v>Cancel</v>
      </c>
      <c r="J990" s="186" t="s">
        <v>2583</v>
      </c>
      <c r="K990" s="155" t="s">
        <v>2542</v>
      </c>
      <c r="L990" s="17" t="s">
        <v>92</v>
      </c>
      <c r="M990" s="13" t="s">
        <v>60</v>
      </c>
      <c r="N990" s="13">
        <v>1</v>
      </c>
      <c r="O990" s="13"/>
      <c r="P990" s="33" t="str">
        <f t="shared" si="296"/>
        <v>MAIN UNIT</v>
      </c>
      <c r="Q990" s="13" t="s">
        <v>68</v>
      </c>
      <c r="R990" s="13" t="s">
        <v>62</v>
      </c>
      <c r="S990" s="13" t="s">
        <v>49</v>
      </c>
      <c r="T990" s="13" t="s">
        <v>78</v>
      </c>
      <c r="U990" s="13" t="s">
        <v>79</v>
      </c>
      <c r="V990" s="13" t="s">
        <v>2011</v>
      </c>
      <c r="W990" s="13" t="s">
        <v>64</v>
      </c>
      <c r="X990" s="135">
        <v>790000</v>
      </c>
      <c r="Y990" s="157" t="str">
        <f t="shared" si="305"/>
        <v>1.13</v>
      </c>
      <c r="Z990" s="18">
        <f t="shared" si="290"/>
        <v>790000</v>
      </c>
      <c r="AA990" s="13">
        <v>1.1000000000000001</v>
      </c>
      <c r="AB990" s="21">
        <f t="shared" si="306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1"/>
        <v>499582152.5142017</v>
      </c>
      <c r="AJ990" s="19">
        <f t="shared" si="292"/>
        <v>59520528.679470733</v>
      </c>
      <c r="AK990" s="20">
        <f t="shared" si="299"/>
        <v>0.11914062257814291</v>
      </c>
      <c r="AL990" s="17"/>
      <c r="AM990" s="17"/>
      <c r="AN990" s="17"/>
      <c r="AO990" s="17"/>
      <c r="AP990" s="28" t="str">
        <f t="shared" si="300"/>
        <v>CancelCancel</v>
      </c>
      <c r="AQ990" s="28" t="str">
        <f t="shared" si="301"/>
        <v>CancelCancelRMB</v>
      </c>
      <c r="AR990" s="206" t="str">
        <f t="shared" si="302"/>
        <v>YAMAHA_Mounter</v>
      </c>
      <c r="AS990" s="22" t="str">
        <f t="shared" si="303"/>
        <v/>
      </c>
      <c r="AT990" s="24" t="str">
        <f t="shared" si="304"/>
        <v/>
      </c>
      <c r="AU990" s="22" t="s">
        <v>3751</v>
      </c>
    </row>
    <row r="991" spans="1:47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48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1427</v>
      </c>
      <c r="K991" s="155" t="s">
        <v>1428</v>
      </c>
      <c r="L991" s="17" t="s">
        <v>92</v>
      </c>
      <c r="M991" s="13" t="s">
        <v>60</v>
      </c>
      <c r="N991" s="13">
        <v>1</v>
      </c>
      <c r="O991" s="13"/>
      <c r="P991" s="33" t="str">
        <f t="shared" si="296"/>
        <v>MAIN UNIT</v>
      </c>
      <c r="Q991" s="13" t="s">
        <v>61</v>
      </c>
      <c r="R991" s="13" t="s">
        <v>62</v>
      </c>
      <c r="S991" s="13" t="s">
        <v>49</v>
      </c>
      <c r="T991" s="13" t="s">
        <v>78</v>
      </c>
      <c r="U991" s="13" t="s">
        <v>79</v>
      </c>
      <c r="V991" s="13" t="s">
        <v>112</v>
      </c>
      <c r="W991" s="13" t="s">
        <v>109</v>
      </c>
      <c r="X991" s="135">
        <v>15300000</v>
      </c>
      <c r="Y991" s="157" t="str">
        <f t="shared" si="305"/>
        <v>1</v>
      </c>
      <c r="Z991" s="18">
        <f t="shared" si="290"/>
        <v>15300000</v>
      </c>
      <c r="AA991" s="13">
        <v>7.6100000000000001E-2</v>
      </c>
      <c r="AB991" s="21">
        <f t="shared" si="306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1"/>
        <v>44078731.611185849</v>
      </c>
      <c r="AJ991" s="19">
        <f t="shared" si="292"/>
        <v>5508173.2163771465</v>
      </c>
      <c r="AK991" s="20">
        <f t="shared" si="299"/>
        <v>0.12496215328889679</v>
      </c>
      <c r="AL991" s="17"/>
      <c r="AM991" s="17"/>
      <c r="AN991" s="17"/>
      <c r="AO991" s="17"/>
      <c r="AP991" s="28" t="str">
        <f t="shared" si="300"/>
        <v>202011</v>
      </c>
      <c r="AQ991" s="28" t="str">
        <f t="shared" si="301"/>
        <v>202011JPY</v>
      </c>
      <c r="AR991" s="206" t="str">
        <f t="shared" si="302"/>
        <v>YAMAHA_Mounter</v>
      </c>
      <c r="AS991" s="22">
        <f t="shared" si="303"/>
        <v>2</v>
      </c>
      <c r="AT991" s="24" t="str">
        <f t="shared" si="304"/>
        <v>0-3 months</v>
      </c>
      <c r="AU991" s="22" t="s">
        <v>3745</v>
      </c>
    </row>
    <row r="992" spans="1:47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3334</v>
      </c>
      <c r="K992" s="29" t="s">
        <v>1428</v>
      </c>
      <c r="L992" s="17" t="s">
        <v>67</v>
      </c>
      <c r="M992" s="13" t="s">
        <v>60</v>
      </c>
      <c r="N992" s="22">
        <v>1</v>
      </c>
      <c r="O992" s="22"/>
      <c r="P992" s="33" t="str">
        <f t="shared" si="296"/>
        <v>MAIN UNIT</v>
      </c>
      <c r="Q992" s="13" t="s">
        <v>61</v>
      </c>
      <c r="R992" s="22" t="s">
        <v>62</v>
      </c>
      <c r="S992" s="22" t="s">
        <v>49</v>
      </c>
      <c r="T992" s="22" t="s">
        <v>78</v>
      </c>
      <c r="U992" s="22" t="s">
        <v>3107</v>
      </c>
      <c r="V992" s="22" t="s">
        <v>112</v>
      </c>
      <c r="W992" s="22" t="s">
        <v>109</v>
      </c>
      <c r="X992" s="30">
        <v>8863800</v>
      </c>
      <c r="Y992" s="31" t="str">
        <f>IF(W992="","",IF(W992="RMB","1.13", "1"))</f>
        <v>1</v>
      </c>
      <c r="Z992" s="18">
        <f t="shared" si="290"/>
        <v>8863800</v>
      </c>
      <c r="AA992" s="22">
        <v>5.3100000000000001E-2</v>
      </c>
      <c r="AB992" s="21">
        <f t="shared" si="306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1"/>
        <v>21241742.157380536</v>
      </c>
      <c r="AJ992" s="27">
        <f t="shared" si="292"/>
        <v>2987081.1613773629</v>
      </c>
      <c r="AK992" s="28">
        <f t="shared" si="299"/>
        <v>0.14062317201884914</v>
      </c>
      <c r="AL992" s="24"/>
      <c r="AM992" s="24"/>
      <c r="AN992" s="24"/>
      <c r="AO992" s="24"/>
      <c r="AP992" s="28" t="str">
        <f t="shared" si="300"/>
        <v>20243</v>
      </c>
      <c r="AQ992" s="28" t="str">
        <f t="shared" si="301"/>
        <v>20243JPY</v>
      </c>
      <c r="AR992" s="206" t="str">
        <f t="shared" si="302"/>
        <v>YAMAHA_Mounter</v>
      </c>
      <c r="AS992" s="22">
        <f t="shared" si="303"/>
        <v>0</v>
      </c>
      <c r="AT992" s="24" t="str">
        <f t="shared" si="304"/>
        <v>0-3 months</v>
      </c>
      <c r="AU992" s="22" t="s">
        <v>3745</v>
      </c>
    </row>
    <row r="993" spans="1:47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54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2175</v>
      </c>
      <c r="K993" s="155" t="s">
        <v>2176</v>
      </c>
      <c r="L993" s="17" t="s">
        <v>92</v>
      </c>
      <c r="M993" s="13" t="s">
        <v>60</v>
      </c>
      <c r="N993" s="13">
        <v>1</v>
      </c>
      <c r="O993" s="13"/>
      <c r="P993" s="33" t="str">
        <f t="shared" si="296"/>
        <v>MAIN UNIT</v>
      </c>
      <c r="Q993" s="13" t="s">
        <v>68</v>
      </c>
      <c r="R993" s="13" t="s">
        <v>62</v>
      </c>
      <c r="S993" s="13" t="s">
        <v>49</v>
      </c>
      <c r="T993" s="13" t="s">
        <v>78</v>
      </c>
      <c r="U993" s="13" t="s">
        <v>79</v>
      </c>
      <c r="V993" s="13" t="s">
        <v>2011</v>
      </c>
      <c r="W993" s="13" t="s">
        <v>64</v>
      </c>
      <c r="X993" s="135">
        <v>986383</v>
      </c>
      <c r="Y993" s="157" t="str">
        <f>IF(W993="RMB","1.13", "1")</f>
        <v>1.13</v>
      </c>
      <c r="Z993" s="18">
        <f t="shared" si="290"/>
        <v>986383</v>
      </c>
      <c r="AA993" s="13">
        <v>1.1950000000000001</v>
      </c>
      <c r="AB993" s="21">
        <f t="shared" si="306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1"/>
        <v>44014086.982070789</v>
      </c>
      <c r="AJ993" s="19">
        <f t="shared" si="292"/>
        <v>6419974.0221889298</v>
      </c>
      <c r="AK993" s="20">
        <f t="shared" si="299"/>
        <v>0.14586180158193709</v>
      </c>
      <c r="AL993" s="17"/>
      <c r="AM993" s="17"/>
      <c r="AN993" s="17"/>
      <c r="AO993" s="17"/>
      <c r="AP993" s="28" t="str">
        <f t="shared" si="300"/>
        <v>20225</v>
      </c>
      <c r="AQ993" s="28" t="str">
        <f t="shared" si="301"/>
        <v>20225RMB</v>
      </c>
      <c r="AR993" s="206" t="str">
        <f t="shared" si="302"/>
        <v>YAMAHA_Mounter</v>
      </c>
      <c r="AS993" s="22">
        <f t="shared" si="303"/>
        <v>1</v>
      </c>
      <c r="AT993" s="24" t="str">
        <f t="shared" si="304"/>
        <v>0-3 months</v>
      </c>
      <c r="AU993" s="22" t="s">
        <v>3751</v>
      </c>
    </row>
    <row r="994" spans="1:47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7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3144</v>
      </c>
      <c r="K994" s="29" t="s">
        <v>3145</v>
      </c>
      <c r="L994" s="17" t="s">
        <v>92</v>
      </c>
      <c r="M994" s="22" t="s">
        <v>60</v>
      </c>
      <c r="N994" s="22">
        <v>1</v>
      </c>
      <c r="O994" s="22"/>
      <c r="P994" s="33" t="str">
        <f t="shared" si="296"/>
        <v>MAIN UNIT</v>
      </c>
      <c r="Q994" s="13" t="s">
        <v>68</v>
      </c>
      <c r="R994" s="22" t="s">
        <v>62</v>
      </c>
      <c r="S994" s="22" t="s">
        <v>49</v>
      </c>
      <c r="T994" s="22" t="s">
        <v>444</v>
      </c>
      <c r="U994" s="22" t="s">
        <v>2548</v>
      </c>
      <c r="V994" s="22" t="s">
        <v>112</v>
      </c>
      <c r="W994" s="22" t="s">
        <v>109</v>
      </c>
      <c r="X994" s="30">
        <v>12000000</v>
      </c>
      <c r="Y994" s="31" t="str">
        <f t="shared" ref="Y994:Y999" si="308">IF(W994="","",IF(W994="RMB","1.13", "1"))</f>
        <v>1</v>
      </c>
      <c r="Z994" s="18">
        <f t="shared" si="290"/>
        <v>12000000</v>
      </c>
      <c r="AA994" s="22">
        <v>5.4100000000000002E-2</v>
      </c>
      <c r="AB994" s="21">
        <f t="shared" si="306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1"/>
        <v>10524262.405309737</v>
      </c>
      <c r="AJ994" s="27">
        <f t="shared" si="292"/>
        <v>1479050.9527127435</v>
      </c>
      <c r="AK994" s="28">
        <f t="shared" si="299"/>
        <v>0.14053725532028996</v>
      </c>
      <c r="AL994" s="24"/>
      <c r="AM994" s="24"/>
      <c r="AN994" s="24"/>
      <c r="AO994" s="24"/>
      <c r="AP994" s="28" t="str">
        <f t="shared" si="300"/>
        <v>20242</v>
      </c>
      <c r="AQ994" s="28" t="str">
        <f t="shared" si="301"/>
        <v>20242JPY</v>
      </c>
      <c r="AR994" s="206" t="str">
        <f t="shared" si="302"/>
        <v>YAMAHA_Mounter</v>
      </c>
      <c r="AS994" s="22">
        <f t="shared" si="303"/>
        <v>1</v>
      </c>
      <c r="AT994" s="24" t="str">
        <f t="shared" si="304"/>
        <v>0-3 months</v>
      </c>
      <c r="AU994" s="22" t="s">
        <v>3745</v>
      </c>
    </row>
    <row r="995" spans="1:47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7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3144</v>
      </c>
      <c r="K995" s="29" t="s">
        <v>3145</v>
      </c>
      <c r="L995" s="17" t="s">
        <v>67</v>
      </c>
      <c r="M995" s="22" t="s">
        <v>60</v>
      </c>
      <c r="N995" s="22">
        <v>1</v>
      </c>
      <c r="O995" s="22"/>
      <c r="P995" s="33" t="str">
        <f t="shared" si="296"/>
        <v>MAIN UNIT</v>
      </c>
      <c r="Q995" s="13" t="s">
        <v>68</v>
      </c>
      <c r="R995" s="22" t="s">
        <v>62</v>
      </c>
      <c r="S995" s="22" t="s">
        <v>49</v>
      </c>
      <c r="T995" s="22" t="s">
        <v>444</v>
      </c>
      <c r="U995" s="22" t="s">
        <v>2548</v>
      </c>
      <c r="V995" s="22" t="s">
        <v>112</v>
      </c>
      <c r="W995" s="22" t="s">
        <v>109</v>
      </c>
      <c r="X995" s="30">
        <v>7686000</v>
      </c>
      <c r="Y995" s="31" t="str">
        <f t="shared" si="308"/>
        <v>1</v>
      </c>
      <c r="Z995" s="18">
        <f t="shared" si="290"/>
        <v>7686000</v>
      </c>
      <c r="AA995" s="22">
        <v>5.4100000000000002E-2</v>
      </c>
      <c r="AB995" s="21">
        <f t="shared" si="306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1"/>
        <v>10524262.405309737</v>
      </c>
      <c r="AJ995" s="27">
        <f t="shared" si="292"/>
        <v>1479050.9527127435</v>
      </c>
      <c r="AK995" s="28">
        <f t="shared" si="299"/>
        <v>0.14053725532028996</v>
      </c>
      <c r="AL995" s="24"/>
      <c r="AM995" s="24"/>
      <c r="AN995" s="24"/>
      <c r="AO995" s="24"/>
      <c r="AP995" s="28" t="str">
        <f t="shared" si="300"/>
        <v>20242</v>
      </c>
      <c r="AQ995" s="28" t="str">
        <f t="shared" si="301"/>
        <v>20242JPY</v>
      </c>
      <c r="AR995" s="206" t="str">
        <f t="shared" si="302"/>
        <v>YAMAHA_Mounter</v>
      </c>
      <c r="AS995" s="22">
        <f t="shared" si="303"/>
        <v>1</v>
      </c>
      <c r="AT995" s="24" t="str">
        <f t="shared" si="304"/>
        <v>0-3 months</v>
      </c>
      <c r="AU995" s="22" t="s">
        <v>3745</v>
      </c>
    </row>
    <row r="996" spans="1:47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7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3104</v>
      </c>
      <c r="K996" s="155" t="s">
        <v>3105</v>
      </c>
      <c r="L996" s="17" t="s">
        <v>67</v>
      </c>
      <c r="M996" s="13" t="s">
        <v>60</v>
      </c>
      <c r="N996" s="13">
        <v>1</v>
      </c>
      <c r="O996" s="13"/>
      <c r="P996" s="33" t="str">
        <f t="shared" si="296"/>
        <v>MAIN UNIT</v>
      </c>
      <c r="Q996" s="13" t="s">
        <v>61</v>
      </c>
      <c r="R996" s="13" t="s">
        <v>62</v>
      </c>
      <c r="S996" s="13" t="s">
        <v>49</v>
      </c>
      <c r="T996" s="13" t="s">
        <v>78</v>
      </c>
      <c r="U996" s="13" t="s">
        <v>2548</v>
      </c>
      <c r="V996" s="13" t="s">
        <v>112</v>
      </c>
      <c r="W996" s="13" t="s">
        <v>109</v>
      </c>
      <c r="X996" s="135">
        <v>9252610</v>
      </c>
      <c r="Y996" s="157" t="str">
        <f t="shared" si="308"/>
        <v>1</v>
      </c>
      <c r="Z996" s="18">
        <f t="shared" si="290"/>
        <v>9252610</v>
      </c>
      <c r="AA996" s="13">
        <v>5.3400000000000003E-2</v>
      </c>
      <c r="AB996" s="21">
        <f t="shared" si="306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1"/>
        <v>11730565.00042478</v>
      </c>
      <c r="AJ996" s="19">
        <f t="shared" si="292"/>
        <v>1439625.5685810833</v>
      </c>
      <c r="AK996" s="20">
        <f t="shared" si="299"/>
        <v>0.12272431622253084</v>
      </c>
      <c r="AL996" s="17"/>
      <c r="AM996" s="17"/>
      <c r="AN996" s="17"/>
      <c r="AO996" s="17"/>
      <c r="AP996" s="28" t="str">
        <f t="shared" si="300"/>
        <v>202311</v>
      </c>
      <c r="AQ996" s="28" t="str">
        <f t="shared" si="301"/>
        <v>202311JPY</v>
      </c>
      <c r="AR996" s="206" t="str">
        <f t="shared" si="302"/>
        <v>YAMAHA_Mounter</v>
      </c>
      <c r="AS996" s="22">
        <f t="shared" si="303"/>
        <v>0</v>
      </c>
      <c r="AT996" s="24" t="str">
        <f t="shared" si="304"/>
        <v>0-3 months</v>
      </c>
      <c r="AU996" s="22" t="s">
        <v>3745</v>
      </c>
    </row>
    <row r="997" spans="1:47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7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3104</v>
      </c>
      <c r="K997" s="155" t="s">
        <v>3105</v>
      </c>
      <c r="L997" s="17" t="s">
        <v>67</v>
      </c>
      <c r="M997" s="13" t="s">
        <v>60</v>
      </c>
      <c r="N997" s="13">
        <v>1</v>
      </c>
      <c r="O997" s="13"/>
      <c r="P997" s="33" t="str">
        <f t="shared" si="296"/>
        <v>MAIN UNIT</v>
      </c>
      <c r="Q997" s="13" t="s">
        <v>61</v>
      </c>
      <c r="R997" s="13" t="s">
        <v>62</v>
      </c>
      <c r="S997" s="13" t="s">
        <v>49</v>
      </c>
      <c r="T997" s="13" t="s">
        <v>78</v>
      </c>
      <c r="U997" s="13" t="s">
        <v>2548</v>
      </c>
      <c r="V997" s="13" t="s">
        <v>112</v>
      </c>
      <c r="W997" s="13" t="s">
        <v>109</v>
      </c>
      <c r="X997" s="135">
        <v>9252610</v>
      </c>
      <c r="Y997" s="157" t="str">
        <f t="shared" si="308"/>
        <v>1</v>
      </c>
      <c r="Z997" s="18">
        <f t="shared" si="290"/>
        <v>9252610</v>
      </c>
      <c r="AA997" s="13">
        <v>5.3400000000000003E-2</v>
      </c>
      <c r="AB997" s="21">
        <f t="shared" si="306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1"/>
        <v>11730565.00042478</v>
      </c>
      <c r="AJ997" s="19">
        <f t="shared" si="292"/>
        <v>1439625.5685810833</v>
      </c>
      <c r="AK997" s="20">
        <f t="shared" si="299"/>
        <v>0.12272431622253084</v>
      </c>
      <c r="AL997" s="17"/>
      <c r="AM997" s="17"/>
      <c r="AN997" s="17"/>
      <c r="AO997" s="17"/>
      <c r="AP997" s="28" t="str">
        <f t="shared" si="300"/>
        <v>202311</v>
      </c>
      <c r="AQ997" s="28" t="str">
        <f t="shared" si="301"/>
        <v>202311JPY</v>
      </c>
      <c r="AR997" s="206" t="str">
        <f t="shared" si="302"/>
        <v>YAMAHA_Mounter</v>
      </c>
      <c r="AS997" s="22">
        <f t="shared" si="303"/>
        <v>0</v>
      </c>
      <c r="AT997" s="24" t="str">
        <f t="shared" si="304"/>
        <v>0-3 months</v>
      </c>
      <c r="AU997" s="22" t="s">
        <v>3745</v>
      </c>
    </row>
    <row r="998" spans="1:47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7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3104</v>
      </c>
      <c r="K998" s="155" t="s">
        <v>3105</v>
      </c>
      <c r="L998" s="17" t="s">
        <v>67</v>
      </c>
      <c r="M998" s="13" t="s">
        <v>60</v>
      </c>
      <c r="N998" s="13">
        <v>1</v>
      </c>
      <c r="O998" s="13"/>
      <c r="P998" s="33" t="str">
        <f t="shared" si="296"/>
        <v>MAIN UNIT</v>
      </c>
      <c r="Q998" s="13" t="s">
        <v>61</v>
      </c>
      <c r="R998" s="13" t="s">
        <v>62</v>
      </c>
      <c r="S998" s="13" t="s">
        <v>49</v>
      </c>
      <c r="T998" s="13" t="s">
        <v>78</v>
      </c>
      <c r="U998" s="13" t="s">
        <v>2548</v>
      </c>
      <c r="V998" s="13" t="s">
        <v>112</v>
      </c>
      <c r="W998" s="13" t="s">
        <v>109</v>
      </c>
      <c r="X998" s="135">
        <v>9252610</v>
      </c>
      <c r="Y998" s="157" t="str">
        <f t="shared" si="308"/>
        <v>1</v>
      </c>
      <c r="Z998" s="18">
        <f t="shared" si="290"/>
        <v>9252610</v>
      </c>
      <c r="AA998" s="13">
        <v>5.3400000000000003E-2</v>
      </c>
      <c r="AB998" s="21">
        <f t="shared" si="306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1"/>
        <v>11730565.00042478</v>
      </c>
      <c r="AJ998" s="19">
        <f t="shared" si="292"/>
        <v>1439625.5685810833</v>
      </c>
      <c r="AK998" s="20">
        <f t="shared" si="299"/>
        <v>0.12272431622253084</v>
      </c>
      <c r="AL998" s="17"/>
      <c r="AM998" s="17"/>
      <c r="AN998" s="17"/>
      <c r="AO998" s="17"/>
      <c r="AP998" s="28" t="str">
        <f t="shared" si="300"/>
        <v>202311</v>
      </c>
      <c r="AQ998" s="28" t="str">
        <f t="shared" si="301"/>
        <v>202311JPY</v>
      </c>
      <c r="AR998" s="206" t="str">
        <f t="shared" si="302"/>
        <v>YAMAHA_Mounter</v>
      </c>
      <c r="AS998" s="22">
        <f t="shared" si="303"/>
        <v>0</v>
      </c>
      <c r="AT998" s="24" t="str">
        <f t="shared" si="304"/>
        <v>0-3 months</v>
      </c>
      <c r="AU998" s="22" t="s">
        <v>3745</v>
      </c>
    </row>
    <row r="999" spans="1:47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7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3104</v>
      </c>
      <c r="K999" s="155" t="s">
        <v>3105</v>
      </c>
      <c r="L999" s="17" t="s">
        <v>67</v>
      </c>
      <c r="M999" s="13" t="s">
        <v>60</v>
      </c>
      <c r="N999" s="13">
        <v>1</v>
      </c>
      <c r="O999" s="13"/>
      <c r="P999" s="33" t="str">
        <f t="shared" si="296"/>
        <v>MAIN UNIT</v>
      </c>
      <c r="Q999" s="13" t="s">
        <v>61</v>
      </c>
      <c r="R999" s="13" t="s">
        <v>62</v>
      </c>
      <c r="S999" s="13" t="s">
        <v>49</v>
      </c>
      <c r="T999" s="13" t="s">
        <v>78</v>
      </c>
      <c r="U999" s="13" t="s">
        <v>2548</v>
      </c>
      <c r="V999" s="13" t="s">
        <v>112</v>
      </c>
      <c r="W999" s="13" t="s">
        <v>109</v>
      </c>
      <c r="X999" s="135">
        <v>9252610</v>
      </c>
      <c r="Y999" s="157" t="str">
        <f t="shared" si="308"/>
        <v>1</v>
      </c>
      <c r="Z999" s="18">
        <f t="shared" si="290"/>
        <v>9252610</v>
      </c>
      <c r="AA999" s="13">
        <v>5.3400000000000003E-2</v>
      </c>
      <c r="AB999" s="21">
        <f t="shared" si="306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1"/>
        <v>11730565.00042478</v>
      </c>
      <c r="AJ999" s="19">
        <f t="shared" si="292"/>
        <v>1439625.5685810833</v>
      </c>
      <c r="AK999" s="20">
        <f t="shared" si="299"/>
        <v>0.12272431622253084</v>
      </c>
      <c r="AL999" s="17"/>
      <c r="AM999" s="17"/>
      <c r="AN999" s="17"/>
      <c r="AO999" s="17"/>
      <c r="AP999" s="28" t="str">
        <f t="shared" si="300"/>
        <v>202311</v>
      </c>
      <c r="AQ999" s="28" t="str">
        <f t="shared" si="301"/>
        <v>202311JPY</v>
      </c>
      <c r="AR999" s="206" t="str">
        <f t="shared" si="302"/>
        <v>YAMAHA_Mounter</v>
      </c>
      <c r="AS999" s="22">
        <f t="shared" si="303"/>
        <v>0</v>
      </c>
      <c r="AT999" s="24" t="str">
        <f t="shared" si="304"/>
        <v>0-3 months</v>
      </c>
      <c r="AU999" s="22" t="s">
        <v>3745</v>
      </c>
    </row>
    <row r="1000" spans="1:47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53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1868</v>
      </c>
      <c r="K1000" s="155" t="s">
        <v>1869</v>
      </c>
      <c r="L1000" s="17" t="s">
        <v>92</v>
      </c>
      <c r="M1000" s="13" t="s">
        <v>60</v>
      </c>
      <c r="N1000" s="13">
        <v>1</v>
      </c>
      <c r="O1000" s="13"/>
      <c r="P1000" s="33" t="str">
        <f t="shared" si="296"/>
        <v>MAIN UNIT</v>
      </c>
      <c r="Q1000" s="13" t="s">
        <v>68</v>
      </c>
      <c r="R1000" s="13" t="s">
        <v>62</v>
      </c>
      <c r="S1000" s="13" t="s">
        <v>49</v>
      </c>
      <c r="T1000" s="13" t="s">
        <v>444</v>
      </c>
      <c r="U1000" s="13" t="s">
        <v>79</v>
      </c>
      <c r="V1000" s="13" t="s">
        <v>126</v>
      </c>
      <c r="W1000" s="13" t="s">
        <v>109</v>
      </c>
      <c r="X1000" s="135">
        <v>15000000</v>
      </c>
      <c r="Y1000" s="157" t="str">
        <f t="shared" ref="Y1000:Y1027" si="309">IF(W1000="RMB","1.13", "1")</f>
        <v>1</v>
      </c>
      <c r="Z1000" s="18">
        <f t="shared" si="290"/>
        <v>15000000</v>
      </c>
      <c r="AA1000" s="13">
        <v>7.0999999999999994E-2</v>
      </c>
      <c r="AB1000" s="21">
        <f t="shared" si="306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1"/>
        <v>15533177.71460177</v>
      </c>
      <c r="AJ1000" s="19">
        <f t="shared" si="292"/>
        <v>1819298.5437526547</v>
      </c>
      <c r="AK1000" s="20">
        <f t="shared" si="299"/>
        <v>0.11712339723265033</v>
      </c>
      <c r="AL1000" s="17"/>
      <c r="AM1000" s="17"/>
      <c r="AN1000" s="17"/>
      <c r="AO1000" s="17"/>
      <c r="AP1000" s="28" t="str">
        <f t="shared" si="300"/>
        <v>202110</v>
      </c>
      <c r="AQ1000" s="28" t="str">
        <f t="shared" si="301"/>
        <v>202110JPY</v>
      </c>
      <c r="AR1000" s="206" t="str">
        <f t="shared" si="302"/>
        <v>YAMAHA_Mounter</v>
      </c>
      <c r="AS1000" s="22">
        <f t="shared" si="303"/>
        <v>7</v>
      </c>
      <c r="AT1000" s="24" t="str">
        <f t="shared" si="304"/>
        <v>&gt; 6 months</v>
      </c>
      <c r="AU1000" s="22" t="s">
        <v>3746</v>
      </c>
    </row>
    <row r="1001" spans="1:47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53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1868</v>
      </c>
      <c r="K1001" s="155" t="s">
        <v>1869</v>
      </c>
      <c r="L1001" s="17" t="s">
        <v>92</v>
      </c>
      <c r="M1001" s="13" t="s">
        <v>60</v>
      </c>
      <c r="N1001" s="13">
        <v>1</v>
      </c>
      <c r="O1001" s="13"/>
      <c r="P1001" s="33" t="str">
        <f t="shared" si="296"/>
        <v>MAIN UNIT</v>
      </c>
      <c r="Q1001" s="13" t="s">
        <v>68</v>
      </c>
      <c r="R1001" s="13" t="s">
        <v>62</v>
      </c>
      <c r="S1001" s="13" t="s">
        <v>49</v>
      </c>
      <c r="T1001" s="13" t="s">
        <v>444</v>
      </c>
      <c r="U1001" s="13" t="s">
        <v>79</v>
      </c>
      <c r="V1001" s="13" t="s">
        <v>126</v>
      </c>
      <c r="W1001" s="13" t="s">
        <v>109</v>
      </c>
      <c r="X1001" s="135">
        <v>15000000</v>
      </c>
      <c r="Y1001" s="157" t="str">
        <f t="shared" si="309"/>
        <v>1</v>
      </c>
      <c r="Z1001" s="18">
        <f t="shared" si="290"/>
        <v>15000000</v>
      </c>
      <c r="AA1001" s="13">
        <v>7.0999999999999994E-2</v>
      </c>
      <c r="AB1001" s="21">
        <f t="shared" si="306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1"/>
        <v>15533177.71460177</v>
      </c>
      <c r="AJ1001" s="19">
        <f t="shared" si="292"/>
        <v>1819298.5437526547</v>
      </c>
      <c r="AK1001" s="20">
        <f t="shared" si="299"/>
        <v>0.11712339723265033</v>
      </c>
      <c r="AL1001" s="17"/>
      <c r="AM1001" s="17"/>
      <c r="AN1001" s="17"/>
      <c r="AO1001" s="17"/>
      <c r="AP1001" s="28" t="str">
        <f t="shared" si="300"/>
        <v>202110</v>
      </c>
      <c r="AQ1001" s="28" t="str">
        <f t="shared" si="301"/>
        <v>202110JPY</v>
      </c>
      <c r="AR1001" s="206" t="str">
        <f t="shared" si="302"/>
        <v>YAMAHA_Mounter</v>
      </c>
      <c r="AS1001" s="22">
        <f t="shared" si="303"/>
        <v>7</v>
      </c>
      <c r="AT1001" s="24" t="str">
        <f t="shared" si="304"/>
        <v>&gt; 6 months</v>
      </c>
      <c r="AU1001" s="22" t="s">
        <v>3746</v>
      </c>
    </row>
    <row r="1002" spans="1:47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53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1868</v>
      </c>
      <c r="K1002" s="155" t="s">
        <v>1869</v>
      </c>
      <c r="L1002" s="17" t="s">
        <v>67</v>
      </c>
      <c r="M1002" s="13" t="s">
        <v>60</v>
      </c>
      <c r="N1002" s="13">
        <v>1</v>
      </c>
      <c r="O1002" s="13"/>
      <c r="P1002" s="33" t="str">
        <f t="shared" si="296"/>
        <v>MAIN UNIT</v>
      </c>
      <c r="Q1002" s="13" t="s">
        <v>68</v>
      </c>
      <c r="R1002" s="13" t="s">
        <v>62</v>
      </c>
      <c r="S1002" s="13" t="s">
        <v>49</v>
      </c>
      <c r="T1002" s="13" t="s">
        <v>444</v>
      </c>
      <c r="U1002" s="13" t="s">
        <v>79</v>
      </c>
      <c r="V1002" s="13" t="s">
        <v>126</v>
      </c>
      <c r="W1002" s="13" t="s">
        <v>109</v>
      </c>
      <c r="X1002" s="135">
        <v>8860125</v>
      </c>
      <c r="Y1002" s="157" t="str">
        <f t="shared" si="309"/>
        <v>1</v>
      </c>
      <c r="Z1002" s="18">
        <f t="shared" si="290"/>
        <v>8860125</v>
      </c>
      <c r="AA1002" s="13">
        <v>7.0999999999999994E-2</v>
      </c>
      <c r="AB1002" s="21">
        <f t="shared" si="306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1"/>
        <v>15533177.71460177</v>
      </c>
      <c r="AJ1002" s="19">
        <f t="shared" si="292"/>
        <v>1819298.5437526547</v>
      </c>
      <c r="AK1002" s="20">
        <f t="shared" si="299"/>
        <v>0.11712339723265033</v>
      </c>
      <c r="AL1002" s="17"/>
      <c r="AM1002" s="17"/>
      <c r="AN1002" s="17"/>
      <c r="AO1002" s="17"/>
      <c r="AP1002" s="28" t="str">
        <f t="shared" si="300"/>
        <v>202110</v>
      </c>
      <c r="AQ1002" s="28" t="str">
        <f t="shared" si="301"/>
        <v>202110JPY</v>
      </c>
      <c r="AR1002" s="206" t="str">
        <f t="shared" si="302"/>
        <v>YAMAHA_Mounter</v>
      </c>
      <c r="AS1002" s="22">
        <f t="shared" si="303"/>
        <v>7</v>
      </c>
      <c r="AT1002" s="24" t="str">
        <f t="shared" si="304"/>
        <v>&gt; 6 months</v>
      </c>
      <c r="AU1002" s="22" t="s">
        <v>3746</v>
      </c>
    </row>
    <row r="1003" spans="1:47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53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1868</v>
      </c>
      <c r="K1003" s="155" t="s">
        <v>1869</v>
      </c>
      <c r="L1003" s="17" t="s">
        <v>67</v>
      </c>
      <c r="M1003" s="13" t="s">
        <v>60</v>
      </c>
      <c r="N1003" s="13">
        <v>1</v>
      </c>
      <c r="O1003" s="13"/>
      <c r="P1003" s="33" t="str">
        <f t="shared" si="296"/>
        <v>MAIN UNIT</v>
      </c>
      <c r="Q1003" s="13" t="s">
        <v>68</v>
      </c>
      <c r="R1003" s="13" t="s">
        <v>62</v>
      </c>
      <c r="S1003" s="13" t="s">
        <v>49</v>
      </c>
      <c r="T1003" s="13" t="s">
        <v>444</v>
      </c>
      <c r="U1003" s="13" t="s">
        <v>79</v>
      </c>
      <c r="V1003" s="13" t="s">
        <v>126</v>
      </c>
      <c r="W1003" s="13" t="s">
        <v>109</v>
      </c>
      <c r="X1003" s="135">
        <v>8860125</v>
      </c>
      <c r="Y1003" s="157" t="str">
        <f t="shared" si="309"/>
        <v>1</v>
      </c>
      <c r="Z1003" s="18">
        <f t="shared" si="290"/>
        <v>8860125</v>
      </c>
      <c r="AA1003" s="13">
        <v>7.0999999999999994E-2</v>
      </c>
      <c r="AB1003" s="21">
        <f t="shared" si="306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1"/>
        <v>15533177.71460177</v>
      </c>
      <c r="AJ1003" s="19">
        <f t="shared" si="292"/>
        <v>1819298.5437526547</v>
      </c>
      <c r="AK1003" s="20">
        <f t="shared" si="299"/>
        <v>0.11712339723265033</v>
      </c>
      <c r="AL1003" s="17"/>
      <c r="AM1003" s="17"/>
      <c r="AN1003" s="17"/>
      <c r="AO1003" s="17"/>
      <c r="AP1003" s="28" t="str">
        <f t="shared" si="300"/>
        <v>202110</v>
      </c>
      <c r="AQ1003" s="28" t="str">
        <f t="shared" si="301"/>
        <v>202110JPY</v>
      </c>
      <c r="AR1003" s="206" t="str">
        <f t="shared" si="302"/>
        <v>YAMAHA_Mounter</v>
      </c>
      <c r="AS1003" s="22">
        <f t="shared" si="303"/>
        <v>7</v>
      </c>
      <c r="AT1003" s="24" t="str">
        <f t="shared" si="304"/>
        <v>&gt; 6 months</v>
      </c>
      <c r="AU1003" s="22" t="s">
        <v>3746</v>
      </c>
    </row>
    <row r="1004" spans="1:47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53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1868</v>
      </c>
      <c r="K1004" s="155" t="s">
        <v>1869</v>
      </c>
      <c r="L1004" s="17" t="s">
        <v>92</v>
      </c>
      <c r="M1004" s="13" t="s">
        <v>60</v>
      </c>
      <c r="N1004" s="13">
        <v>1</v>
      </c>
      <c r="O1004" s="13"/>
      <c r="P1004" s="33" t="str">
        <f t="shared" si="296"/>
        <v>MAIN UNIT</v>
      </c>
      <c r="Q1004" s="13" t="s">
        <v>68</v>
      </c>
      <c r="R1004" s="13" t="s">
        <v>62</v>
      </c>
      <c r="S1004" s="13" t="s">
        <v>49</v>
      </c>
      <c r="T1004" s="13" t="s">
        <v>78</v>
      </c>
      <c r="U1004" s="13" t="s">
        <v>79</v>
      </c>
      <c r="V1004" s="13" t="s">
        <v>126</v>
      </c>
      <c r="W1004" s="13" t="s">
        <v>109</v>
      </c>
      <c r="X1004" s="135">
        <v>15000000</v>
      </c>
      <c r="Y1004" s="157" t="str">
        <f t="shared" si="309"/>
        <v>1</v>
      </c>
      <c r="Z1004" s="18">
        <f t="shared" si="290"/>
        <v>15000000</v>
      </c>
      <c r="AA1004" s="13">
        <v>7.0000000000000007E-2</v>
      </c>
      <c r="AB1004" s="21">
        <f t="shared" si="306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1"/>
        <v>29500529.005044252</v>
      </c>
      <c r="AJ1004" s="19">
        <f t="shared" si="292"/>
        <v>3253064.846231177</v>
      </c>
      <c r="AK1004" s="20">
        <f t="shared" si="299"/>
        <v>0.11027140718984871</v>
      </c>
      <c r="AL1004" s="17"/>
      <c r="AM1004" s="17"/>
      <c r="AN1004" s="17"/>
      <c r="AO1004" s="17"/>
      <c r="AP1004" s="28" t="str">
        <f t="shared" si="300"/>
        <v>202111</v>
      </c>
      <c r="AQ1004" s="28" t="str">
        <f t="shared" si="301"/>
        <v>202111JPY</v>
      </c>
      <c r="AR1004" s="206" t="str">
        <f t="shared" si="302"/>
        <v>YAMAHA_Mounter</v>
      </c>
      <c r="AS1004" s="22">
        <f t="shared" si="303"/>
        <v>8</v>
      </c>
      <c r="AT1004" s="24" t="str">
        <f t="shared" si="304"/>
        <v>&gt; 6 months</v>
      </c>
      <c r="AU1004" s="22" t="s">
        <v>3746</v>
      </c>
    </row>
    <row r="1005" spans="1:47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53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1868</v>
      </c>
      <c r="K1005" s="155" t="s">
        <v>1869</v>
      </c>
      <c r="L1005" s="17" t="s">
        <v>92</v>
      </c>
      <c r="M1005" s="13" t="s">
        <v>60</v>
      </c>
      <c r="N1005" s="13">
        <v>1</v>
      </c>
      <c r="O1005" s="13"/>
      <c r="P1005" s="33" t="str">
        <f t="shared" si="296"/>
        <v>MAIN UNIT</v>
      </c>
      <c r="Q1005" s="13" t="s">
        <v>68</v>
      </c>
      <c r="R1005" s="13" t="s">
        <v>62</v>
      </c>
      <c r="S1005" s="13" t="s">
        <v>49</v>
      </c>
      <c r="T1005" s="13" t="s">
        <v>78</v>
      </c>
      <c r="U1005" s="13" t="s">
        <v>79</v>
      </c>
      <c r="V1005" s="13" t="s">
        <v>126</v>
      </c>
      <c r="W1005" s="13" t="s">
        <v>109</v>
      </c>
      <c r="X1005" s="135">
        <v>15000000</v>
      </c>
      <c r="Y1005" s="157" t="str">
        <f t="shared" si="309"/>
        <v>1</v>
      </c>
      <c r="Z1005" s="18">
        <f t="shared" si="290"/>
        <v>15000000</v>
      </c>
      <c r="AA1005" s="13">
        <v>7.0000000000000007E-2</v>
      </c>
      <c r="AB1005" s="21">
        <f t="shared" si="306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1"/>
        <v>29500529.005044252</v>
      </c>
      <c r="AJ1005" s="19">
        <f t="shared" si="292"/>
        <v>3253064.846231177</v>
      </c>
      <c r="AK1005" s="20">
        <f t="shared" si="299"/>
        <v>0.11027140718984871</v>
      </c>
      <c r="AL1005" s="17"/>
      <c r="AM1005" s="17"/>
      <c r="AN1005" s="17"/>
      <c r="AO1005" s="17"/>
      <c r="AP1005" s="28" t="str">
        <f t="shared" si="300"/>
        <v>202111</v>
      </c>
      <c r="AQ1005" s="28" t="str">
        <f t="shared" si="301"/>
        <v>202111JPY</v>
      </c>
      <c r="AR1005" s="206" t="str">
        <f t="shared" si="302"/>
        <v>YAMAHA_Mounter</v>
      </c>
      <c r="AS1005" s="22">
        <f t="shared" si="303"/>
        <v>8</v>
      </c>
      <c r="AT1005" s="24" t="str">
        <f t="shared" si="304"/>
        <v>&gt; 6 months</v>
      </c>
      <c r="AU1005" s="22" t="s">
        <v>3746</v>
      </c>
    </row>
    <row r="1006" spans="1:47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53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1868</v>
      </c>
      <c r="K1006" s="155" t="s">
        <v>1869</v>
      </c>
      <c r="L1006" s="17" t="s">
        <v>67</v>
      </c>
      <c r="M1006" s="13" t="s">
        <v>60</v>
      </c>
      <c r="N1006" s="13">
        <v>1</v>
      </c>
      <c r="O1006" s="13"/>
      <c r="P1006" s="33" t="str">
        <f t="shared" si="296"/>
        <v>MAIN UNIT</v>
      </c>
      <c r="Q1006" s="13" t="s">
        <v>68</v>
      </c>
      <c r="R1006" s="13" t="s">
        <v>62</v>
      </c>
      <c r="S1006" s="13" t="s">
        <v>49</v>
      </c>
      <c r="T1006" s="13" t="s">
        <v>78</v>
      </c>
      <c r="U1006" s="13" t="s">
        <v>79</v>
      </c>
      <c r="V1006" s="13" t="s">
        <v>126</v>
      </c>
      <c r="W1006" s="13" t="s">
        <v>109</v>
      </c>
      <c r="X1006" s="135">
        <v>8860125</v>
      </c>
      <c r="Y1006" s="157" t="str">
        <f t="shared" si="309"/>
        <v>1</v>
      </c>
      <c r="Z1006" s="18">
        <f t="shared" ref="Z1006:Z1069" si="310">IF(X1006="","",X1006*MAX(O1006,N1006))</f>
        <v>8860125</v>
      </c>
      <c r="AA1006" s="13">
        <v>7.0000000000000007E-2</v>
      </c>
      <c r="AB1006" s="21">
        <f t="shared" si="306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1"/>
        <v>29500529.005044252</v>
      </c>
      <c r="AJ1006" s="19">
        <f t="shared" si="292"/>
        <v>3253064.846231177</v>
      </c>
      <c r="AK1006" s="20">
        <f t="shared" si="299"/>
        <v>0.11027140718984871</v>
      </c>
      <c r="AL1006" s="17"/>
      <c r="AM1006" s="17"/>
      <c r="AN1006" s="17"/>
      <c r="AO1006" s="17"/>
      <c r="AP1006" s="28" t="str">
        <f t="shared" si="300"/>
        <v>202111</v>
      </c>
      <c r="AQ1006" s="28" t="str">
        <f t="shared" si="301"/>
        <v>202111JPY</v>
      </c>
      <c r="AR1006" s="206" t="str">
        <f t="shared" si="302"/>
        <v>YAMAHA_Mounter</v>
      </c>
      <c r="AS1006" s="22">
        <f t="shared" si="303"/>
        <v>8</v>
      </c>
      <c r="AT1006" s="24" t="str">
        <f t="shared" si="304"/>
        <v>&gt; 6 months</v>
      </c>
      <c r="AU1006" s="22" t="s">
        <v>3746</v>
      </c>
    </row>
    <row r="1007" spans="1:47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53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1868</v>
      </c>
      <c r="K1007" s="155" t="s">
        <v>1869</v>
      </c>
      <c r="L1007" s="17" t="s">
        <v>67</v>
      </c>
      <c r="M1007" s="13" t="s">
        <v>60</v>
      </c>
      <c r="N1007" s="13">
        <v>1</v>
      </c>
      <c r="O1007" s="13"/>
      <c r="P1007" s="33" t="str">
        <f t="shared" si="296"/>
        <v>MAIN UNIT</v>
      </c>
      <c r="Q1007" s="13" t="s">
        <v>68</v>
      </c>
      <c r="R1007" s="13" t="s">
        <v>62</v>
      </c>
      <c r="S1007" s="13" t="s">
        <v>49</v>
      </c>
      <c r="T1007" s="13" t="s">
        <v>78</v>
      </c>
      <c r="U1007" s="13" t="s">
        <v>79</v>
      </c>
      <c r="V1007" s="13" t="s">
        <v>126</v>
      </c>
      <c r="W1007" s="13" t="s">
        <v>109</v>
      </c>
      <c r="X1007" s="135">
        <v>8860125</v>
      </c>
      <c r="Y1007" s="157" t="str">
        <f t="shared" si="309"/>
        <v>1</v>
      </c>
      <c r="Z1007" s="18">
        <f t="shared" si="310"/>
        <v>8860125</v>
      </c>
      <c r="AA1007" s="13">
        <v>7.0000000000000007E-2</v>
      </c>
      <c r="AB1007" s="21">
        <f t="shared" si="306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1"/>
        <v>29500529.005044252</v>
      </c>
      <c r="AJ1007" s="19">
        <f t="shared" si="292"/>
        <v>3253064.846231177</v>
      </c>
      <c r="AK1007" s="20">
        <f t="shared" si="299"/>
        <v>0.11027140718984871</v>
      </c>
      <c r="AL1007" s="17"/>
      <c r="AM1007" s="17"/>
      <c r="AN1007" s="17"/>
      <c r="AO1007" s="17"/>
      <c r="AP1007" s="28" t="str">
        <f t="shared" si="300"/>
        <v>202111</v>
      </c>
      <c r="AQ1007" s="28" t="str">
        <f t="shared" si="301"/>
        <v>202111JPY</v>
      </c>
      <c r="AR1007" s="206" t="str">
        <f t="shared" si="302"/>
        <v>YAMAHA_Mounter</v>
      </c>
      <c r="AS1007" s="22">
        <f t="shared" si="303"/>
        <v>8</v>
      </c>
      <c r="AT1007" s="24" t="str">
        <f t="shared" si="304"/>
        <v>&gt; 6 months</v>
      </c>
      <c r="AU1007" s="22" t="s">
        <v>3746</v>
      </c>
    </row>
    <row r="1008" spans="1:47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185</v>
      </c>
      <c r="F1008" s="13" t="s">
        <v>185</v>
      </c>
      <c r="G1008" s="152" t="s">
        <v>185</v>
      </c>
      <c r="H1008" s="155"/>
      <c r="I1008" s="33" t="str">
        <f t="shared" si="295"/>
        <v>Cancel</v>
      </c>
      <c r="J1008" s="186" t="s">
        <v>2068</v>
      </c>
      <c r="K1008" s="155" t="s">
        <v>1869</v>
      </c>
      <c r="L1008" s="17" t="s">
        <v>92</v>
      </c>
      <c r="M1008" s="13" t="s">
        <v>60</v>
      </c>
      <c r="N1008" s="13">
        <v>1</v>
      </c>
      <c r="O1008" s="13"/>
      <c r="P1008" s="33" t="str">
        <f t="shared" si="296"/>
        <v>MAIN UNIT</v>
      </c>
      <c r="Q1008" s="13" t="s">
        <v>68</v>
      </c>
      <c r="R1008" s="13" t="s">
        <v>62</v>
      </c>
      <c r="S1008" s="13" t="s">
        <v>49</v>
      </c>
      <c r="T1008" s="13" t="s">
        <v>78</v>
      </c>
      <c r="U1008" s="13" t="s">
        <v>79</v>
      </c>
      <c r="V1008" s="13" t="s">
        <v>126</v>
      </c>
      <c r="W1008" s="13" t="s">
        <v>109</v>
      </c>
      <c r="X1008" s="135">
        <v>14645000</v>
      </c>
      <c r="Y1008" s="157" t="str">
        <f t="shared" si="309"/>
        <v>1</v>
      </c>
      <c r="Z1008" s="18">
        <f t="shared" si="310"/>
        <v>14645000</v>
      </c>
      <c r="AA1008" s="13">
        <v>5.8700000000000002E-2</v>
      </c>
      <c r="AB1008" s="21">
        <f t="shared" si="306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1"/>
        <v>499582152.5142017</v>
      </c>
      <c r="AJ1008" s="19">
        <f t="shared" si="292"/>
        <v>59520528.679470733</v>
      </c>
      <c r="AK1008" s="20">
        <f t="shared" si="299"/>
        <v>0.11914062257814291</v>
      </c>
      <c r="AL1008" s="17"/>
      <c r="AM1008" s="17"/>
      <c r="AN1008" s="17"/>
      <c r="AO1008" s="17"/>
      <c r="AP1008" s="28" t="str">
        <f t="shared" si="300"/>
        <v>CancelCancel</v>
      </c>
      <c r="AQ1008" s="28" t="str">
        <f t="shared" si="301"/>
        <v>CancelCancelJPY</v>
      </c>
      <c r="AR1008" s="206" t="str">
        <f t="shared" si="302"/>
        <v>YAMAHA_Mounter</v>
      </c>
      <c r="AS1008" s="22" t="str">
        <f t="shared" si="303"/>
        <v/>
      </c>
      <c r="AT1008" s="24" t="str">
        <f t="shared" si="304"/>
        <v/>
      </c>
      <c r="AU1008" s="22" t="s">
        <v>3745</v>
      </c>
    </row>
    <row r="1009" spans="1:47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185</v>
      </c>
      <c r="F1009" s="13" t="s">
        <v>185</v>
      </c>
      <c r="G1009" s="152" t="s">
        <v>185</v>
      </c>
      <c r="H1009" s="155"/>
      <c r="I1009" s="33" t="str">
        <f t="shared" si="295"/>
        <v>Cancel</v>
      </c>
      <c r="J1009" s="186" t="s">
        <v>2068</v>
      </c>
      <c r="K1009" s="155" t="s">
        <v>1869</v>
      </c>
      <c r="L1009" s="17" t="s">
        <v>92</v>
      </c>
      <c r="M1009" s="13" t="s">
        <v>60</v>
      </c>
      <c r="N1009" s="13">
        <v>1</v>
      </c>
      <c r="O1009" s="13"/>
      <c r="P1009" s="33" t="str">
        <f t="shared" si="296"/>
        <v>MAIN UNIT</v>
      </c>
      <c r="Q1009" s="13" t="s">
        <v>68</v>
      </c>
      <c r="R1009" s="13" t="s">
        <v>62</v>
      </c>
      <c r="S1009" s="13" t="s">
        <v>49</v>
      </c>
      <c r="T1009" s="13" t="s">
        <v>78</v>
      </c>
      <c r="U1009" s="13" t="s">
        <v>79</v>
      </c>
      <c r="V1009" s="13" t="s">
        <v>126</v>
      </c>
      <c r="W1009" s="13" t="s">
        <v>109</v>
      </c>
      <c r="X1009" s="135">
        <v>14645000</v>
      </c>
      <c r="Y1009" s="157" t="str">
        <f t="shared" si="309"/>
        <v>1</v>
      </c>
      <c r="Z1009" s="18">
        <f t="shared" si="310"/>
        <v>14645000</v>
      </c>
      <c r="AA1009" s="13">
        <v>5.8700000000000002E-2</v>
      </c>
      <c r="AB1009" s="21">
        <f t="shared" si="306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1"/>
        <v>499582152.5142017</v>
      </c>
      <c r="AJ1009" s="19">
        <f t="shared" si="292"/>
        <v>59520528.679470733</v>
      </c>
      <c r="AK1009" s="20">
        <f t="shared" si="299"/>
        <v>0.11914062257814291</v>
      </c>
      <c r="AL1009" s="17"/>
      <c r="AM1009" s="17"/>
      <c r="AN1009" s="17"/>
      <c r="AO1009" s="17"/>
      <c r="AP1009" s="28" t="str">
        <f t="shared" si="300"/>
        <v>CancelCancel</v>
      </c>
      <c r="AQ1009" s="28" t="str">
        <f t="shared" si="301"/>
        <v>CancelCancelJPY</v>
      </c>
      <c r="AR1009" s="206" t="str">
        <f t="shared" si="302"/>
        <v>YAMAHA_Mounter</v>
      </c>
      <c r="AS1009" s="22" t="str">
        <f t="shared" si="303"/>
        <v/>
      </c>
      <c r="AT1009" s="24" t="str">
        <f t="shared" si="304"/>
        <v/>
      </c>
      <c r="AU1009" s="22" t="s">
        <v>3745</v>
      </c>
    </row>
    <row r="1010" spans="1:47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185</v>
      </c>
      <c r="F1010" s="13" t="s">
        <v>185</v>
      </c>
      <c r="G1010" s="152" t="s">
        <v>185</v>
      </c>
      <c r="H1010" s="155"/>
      <c r="I1010" s="33" t="str">
        <f t="shared" si="295"/>
        <v>Cancel</v>
      </c>
      <c r="J1010" s="186" t="s">
        <v>2068</v>
      </c>
      <c r="K1010" s="155" t="s">
        <v>1869</v>
      </c>
      <c r="L1010" s="17" t="s">
        <v>92</v>
      </c>
      <c r="M1010" s="13" t="s">
        <v>60</v>
      </c>
      <c r="N1010" s="13">
        <v>1</v>
      </c>
      <c r="O1010" s="13"/>
      <c r="P1010" s="33" t="str">
        <f t="shared" si="296"/>
        <v>MAIN UNIT</v>
      </c>
      <c r="Q1010" s="13" t="s">
        <v>68</v>
      </c>
      <c r="R1010" s="13" t="s">
        <v>62</v>
      </c>
      <c r="S1010" s="13" t="s">
        <v>49</v>
      </c>
      <c r="T1010" s="13" t="s">
        <v>78</v>
      </c>
      <c r="U1010" s="13" t="s">
        <v>79</v>
      </c>
      <c r="V1010" s="13" t="s">
        <v>126</v>
      </c>
      <c r="W1010" s="13" t="s">
        <v>109</v>
      </c>
      <c r="X1010" s="135">
        <v>14645000</v>
      </c>
      <c r="Y1010" s="157" t="str">
        <f t="shared" si="309"/>
        <v>1</v>
      </c>
      <c r="Z1010" s="18">
        <f t="shared" si="310"/>
        <v>14645000</v>
      </c>
      <c r="AA1010" s="13">
        <v>5.8700000000000002E-2</v>
      </c>
      <c r="AB1010" s="21">
        <f t="shared" si="306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1"/>
        <v>499582152.5142017</v>
      </c>
      <c r="AJ1010" s="19">
        <f t="shared" si="292"/>
        <v>59520528.679470733</v>
      </c>
      <c r="AK1010" s="20">
        <f t="shared" si="299"/>
        <v>0.11914062257814291</v>
      </c>
      <c r="AL1010" s="17"/>
      <c r="AM1010" s="17"/>
      <c r="AN1010" s="17"/>
      <c r="AO1010" s="17"/>
      <c r="AP1010" s="28" t="str">
        <f t="shared" si="300"/>
        <v>CancelCancel</v>
      </c>
      <c r="AQ1010" s="28" t="str">
        <f t="shared" si="301"/>
        <v>CancelCancelJPY</v>
      </c>
      <c r="AR1010" s="206" t="str">
        <f t="shared" si="302"/>
        <v>YAMAHA_Mounter</v>
      </c>
      <c r="AS1010" s="22" t="str">
        <f t="shared" si="303"/>
        <v/>
      </c>
      <c r="AT1010" s="24" t="str">
        <f t="shared" si="304"/>
        <v/>
      </c>
      <c r="AU1010" s="22" t="s">
        <v>3745</v>
      </c>
    </row>
    <row r="1011" spans="1:47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185</v>
      </c>
      <c r="F1011" s="13" t="s">
        <v>185</v>
      </c>
      <c r="G1011" s="152" t="s">
        <v>185</v>
      </c>
      <c r="H1011" s="155"/>
      <c r="I1011" s="33" t="str">
        <f t="shared" si="295"/>
        <v>Cancel</v>
      </c>
      <c r="J1011" s="186" t="s">
        <v>2068</v>
      </c>
      <c r="K1011" s="155" t="s">
        <v>1869</v>
      </c>
      <c r="L1011" s="17" t="s">
        <v>92</v>
      </c>
      <c r="M1011" s="13" t="s">
        <v>60</v>
      </c>
      <c r="N1011" s="13">
        <v>1</v>
      </c>
      <c r="O1011" s="13"/>
      <c r="P1011" s="33" t="str">
        <f t="shared" si="296"/>
        <v>MAIN UNIT</v>
      </c>
      <c r="Q1011" s="13" t="s">
        <v>68</v>
      </c>
      <c r="R1011" s="13" t="s">
        <v>62</v>
      </c>
      <c r="S1011" s="13" t="s">
        <v>49</v>
      </c>
      <c r="T1011" s="13" t="s">
        <v>78</v>
      </c>
      <c r="U1011" s="13" t="s">
        <v>79</v>
      </c>
      <c r="V1011" s="13" t="s">
        <v>126</v>
      </c>
      <c r="W1011" s="13" t="s">
        <v>109</v>
      </c>
      <c r="X1011" s="135">
        <v>14645000</v>
      </c>
      <c r="Y1011" s="157" t="str">
        <f t="shared" si="309"/>
        <v>1</v>
      </c>
      <c r="Z1011" s="18">
        <f t="shared" si="310"/>
        <v>14645000</v>
      </c>
      <c r="AA1011" s="13">
        <v>5.8700000000000002E-2</v>
      </c>
      <c r="AB1011" s="21">
        <f t="shared" si="306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1"/>
        <v>499582152.5142017</v>
      </c>
      <c r="AJ1011" s="19">
        <f t="shared" si="292"/>
        <v>59520528.679470733</v>
      </c>
      <c r="AK1011" s="20">
        <f t="shared" si="299"/>
        <v>0.11914062257814291</v>
      </c>
      <c r="AL1011" s="17"/>
      <c r="AM1011" s="17"/>
      <c r="AN1011" s="17"/>
      <c r="AO1011" s="17"/>
      <c r="AP1011" s="28" t="str">
        <f t="shared" si="300"/>
        <v>CancelCancel</v>
      </c>
      <c r="AQ1011" s="28" t="str">
        <f t="shared" si="301"/>
        <v>CancelCancelJPY</v>
      </c>
      <c r="AR1011" s="206" t="str">
        <f t="shared" si="302"/>
        <v>YAMAHA_Mounter</v>
      </c>
      <c r="AS1011" s="22" t="str">
        <f t="shared" si="303"/>
        <v/>
      </c>
      <c r="AT1011" s="24" t="str">
        <f t="shared" si="304"/>
        <v/>
      </c>
      <c r="AU1011" s="22" t="s">
        <v>3745</v>
      </c>
    </row>
    <row r="1012" spans="1:47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185</v>
      </c>
      <c r="F1012" s="13" t="s">
        <v>185</v>
      </c>
      <c r="G1012" s="152" t="s">
        <v>185</v>
      </c>
      <c r="H1012" s="155"/>
      <c r="I1012" s="33" t="str">
        <f t="shared" si="295"/>
        <v>Cancel</v>
      </c>
      <c r="J1012" s="186" t="s">
        <v>2068</v>
      </c>
      <c r="K1012" s="155" t="s">
        <v>1869</v>
      </c>
      <c r="L1012" s="17" t="s">
        <v>92</v>
      </c>
      <c r="M1012" s="13" t="s">
        <v>60</v>
      </c>
      <c r="N1012" s="13">
        <v>1</v>
      </c>
      <c r="O1012" s="13"/>
      <c r="P1012" s="33" t="str">
        <f t="shared" si="296"/>
        <v>MAIN UNIT</v>
      </c>
      <c r="Q1012" s="13" t="s">
        <v>68</v>
      </c>
      <c r="R1012" s="13" t="s">
        <v>62</v>
      </c>
      <c r="S1012" s="13" t="s">
        <v>49</v>
      </c>
      <c r="T1012" s="13" t="s">
        <v>78</v>
      </c>
      <c r="U1012" s="13" t="s">
        <v>79</v>
      </c>
      <c r="V1012" s="13" t="s">
        <v>126</v>
      </c>
      <c r="W1012" s="13" t="s">
        <v>109</v>
      </c>
      <c r="X1012" s="135">
        <v>14645000</v>
      </c>
      <c r="Y1012" s="157" t="str">
        <f t="shared" si="309"/>
        <v>1</v>
      </c>
      <c r="Z1012" s="18">
        <f t="shared" si="310"/>
        <v>14645000</v>
      </c>
      <c r="AA1012" s="13">
        <v>5.8700000000000002E-2</v>
      </c>
      <c r="AB1012" s="21">
        <f t="shared" si="306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1"/>
        <v>499582152.5142017</v>
      </c>
      <c r="AJ1012" s="19">
        <f t="shared" si="292"/>
        <v>59520528.679470733</v>
      </c>
      <c r="AK1012" s="20">
        <f t="shared" si="299"/>
        <v>0.11914062257814291</v>
      </c>
      <c r="AL1012" s="17"/>
      <c r="AM1012" s="17"/>
      <c r="AN1012" s="17"/>
      <c r="AO1012" s="17"/>
      <c r="AP1012" s="28" t="str">
        <f t="shared" si="300"/>
        <v>CancelCancel</v>
      </c>
      <c r="AQ1012" s="28" t="str">
        <f t="shared" si="301"/>
        <v>CancelCancelJPY</v>
      </c>
      <c r="AR1012" s="206" t="str">
        <f t="shared" si="302"/>
        <v>YAMAHA_Mounter</v>
      </c>
      <c r="AS1012" s="22" t="str">
        <f t="shared" si="303"/>
        <v/>
      </c>
      <c r="AT1012" s="24" t="str">
        <f t="shared" si="304"/>
        <v/>
      </c>
      <c r="AU1012" s="22" t="s">
        <v>3745</v>
      </c>
    </row>
    <row r="1013" spans="1:47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185</v>
      </c>
      <c r="F1013" s="13" t="s">
        <v>185</v>
      </c>
      <c r="G1013" s="152" t="s">
        <v>185</v>
      </c>
      <c r="H1013" s="155"/>
      <c r="I1013" s="33" t="str">
        <f t="shared" si="295"/>
        <v>Cancel</v>
      </c>
      <c r="J1013" s="186" t="s">
        <v>2068</v>
      </c>
      <c r="K1013" s="155" t="s">
        <v>1869</v>
      </c>
      <c r="L1013" s="17" t="s">
        <v>92</v>
      </c>
      <c r="M1013" s="13" t="s">
        <v>60</v>
      </c>
      <c r="N1013" s="13">
        <v>1</v>
      </c>
      <c r="O1013" s="13"/>
      <c r="P1013" s="33" t="str">
        <f t="shared" si="296"/>
        <v>MAIN UNIT</v>
      </c>
      <c r="Q1013" s="13" t="s">
        <v>68</v>
      </c>
      <c r="R1013" s="13" t="s">
        <v>62</v>
      </c>
      <c r="S1013" s="13" t="s">
        <v>49</v>
      </c>
      <c r="T1013" s="13" t="s">
        <v>78</v>
      </c>
      <c r="U1013" s="13" t="s">
        <v>79</v>
      </c>
      <c r="V1013" s="13" t="s">
        <v>126</v>
      </c>
      <c r="W1013" s="13" t="s">
        <v>109</v>
      </c>
      <c r="X1013" s="135">
        <v>14645000</v>
      </c>
      <c r="Y1013" s="157" t="str">
        <f t="shared" si="309"/>
        <v>1</v>
      </c>
      <c r="Z1013" s="18">
        <f t="shared" si="310"/>
        <v>14645000</v>
      </c>
      <c r="AA1013" s="13">
        <v>5.8700000000000002E-2</v>
      </c>
      <c r="AB1013" s="21">
        <f t="shared" si="306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1"/>
        <v>499582152.5142017</v>
      </c>
      <c r="AJ1013" s="19">
        <f t="shared" si="292"/>
        <v>59520528.679470733</v>
      </c>
      <c r="AK1013" s="20">
        <f t="shared" si="299"/>
        <v>0.11914062257814291</v>
      </c>
      <c r="AL1013" s="17"/>
      <c r="AM1013" s="17"/>
      <c r="AN1013" s="17"/>
      <c r="AO1013" s="17"/>
      <c r="AP1013" s="28" t="str">
        <f t="shared" si="300"/>
        <v>CancelCancel</v>
      </c>
      <c r="AQ1013" s="28" t="str">
        <f t="shared" si="301"/>
        <v>CancelCancelJPY</v>
      </c>
      <c r="AR1013" s="206" t="str">
        <f t="shared" si="302"/>
        <v>YAMAHA_Mounter</v>
      </c>
      <c r="AS1013" s="22" t="str">
        <f t="shared" si="303"/>
        <v/>
      </c>
      <c r="AT1013" s="24" t="str">
        <f t="shared" si="304"/>
        <v/>
      </c>
      <c r="AU1013" s="22" t="s">
        <v>3745</v>
      </c>
    </row>
    <row r="1014" spans="1:47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185</v>
      </c>
      <c r="F1014" s="13" t="s">
        <v>185</v>
      </c>
      <c r="G1014" s="152" t="s">
        <v>185</v>
      </c>
      <c r="H1014" s="155"/>
      <c r="I1014" s="33" t="str">
        <f t="shared" si="295"/>
        <v>Cancel</v>
      </c>
      <c r="J1014" s="186" t="s">
        <v>2068</v>
      </c>
      <c r="K1014" s="155" t="s">
        <v>1869</v>
      </c>
      <c r="L1014" s="17" t="s">
        <v>92</v>
      </c>
      <c r="M1014" s="13" t="s">
        <v>60</v>
      </c>
      <c r="N1014" s="13">
        <v>1</v>
      </c>
      <c r="O1014" s="13"/>
      <c r="P1014" s="33" t="str">
        <f t="shared" si="296"/>
        <v>MAIN UNIT</v>
      </c>
      <c r="Q1014" s="13" t="s">
        <v>68</v>
      </c>
      <c r="R1014" s="13" t="s">
        <v>62</v>
      </c>
      <c r="S1014" s="13" t="s">
        <v>49</v>
      </c>
      <c r="T1014" s="13" t="s">
        <v>78</v>
      </c>
      <c r="U1014" s="13" t="s">
        <v>79</v>
      </c>
      <c r="V1014" s="13" t="s">
        <v>126</v>
      </c>
      <c r="W1014" s="13" t="s">
        <v>109</v>
      </c>
      <c r="X1014" s="135">
        <v>14645000</v>
      </c>
      <c r="Y1014" s="157" t="str">
        <f t="shared" si="309"/>
        <v>1</v>
      </c>
      <c r="Z1014" s="18">
        <f t="shared" si="310"/>
        <v>14645000</v>
      </c>
      <c r="AA1014" s="13">
        <v>5.8700000000000002E-2</v>
      </c>
      <c r="AB1014" s="21">
        <f t="shared" si="306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1"/>
        <v>499582152.5142017</v>
      </c>
      <c r="AJ1014" s="19">
        <f t="shared" si="292"/>
        <v>59520528.679470733</v>
      </c>
      <c r="AK1014" s="20">
        <f t="shared" si="299"/>
        <v>0.11914062257814291</v>
      </c>
      <c r="AL1014" s="17"/>
      <c r="AM1014" s="17"/>
      <c r="AN1014" s="17"/>
      <c r="AO1014" s="17"/>
      <c r="AP1014" s="28" t="str">
        <f t="shared" si="300"/>
        <v>CancelCancel</v>
      </c>
      <c r="AQ1014" s="28" t="str">
        <f t="shared" si="301"/>
        <v>CancelCancelJPY</v>
      </c>
      <c r="AR1014" s="206" t="str">
        <f t="shared" si="302"/>
        <v>YAMAHA_Mounter</v>
      </c>
      <c r="AS1014" s="22" t="str">
        <f t="shared" si="303"/>
        <v/>
      </c>
      <c r="AT1014" s="24" t="str">
        <f t="shared" si="304"/>
        <v/>
      </c>
      <c r="AU1014" s="22" t="s">
        <v>3745</v>
      </c>
    </row>
    <row r="1015" spans="1:47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185</v>
      </c>
      <c r="F1015" s="13" t="s">
        <v>185</v>
      </c>
      <c r="G1015" s="152" t="s">
        <v>185</v>
      </c>
      <c r="H1015" s="155"/>
      <c r="I1015" s="33" t="str">
        <f t="shared" si="295"/>
        <v>Cancel</v>
      </c>
      <c r="J1015" s="186" t="s">
        <v>2068</v>
      </c>
      <c r="K1015" s="155" t="s">
        <v>1869</v>
      </c>
      <c r="L1015" s="17" t="s">
        <v>92</v>
      </c>
      <c r="M1015" s="13" t="s">
        <v>60</v>
      </c>
      <c r="N1015" s="13">
        <v>1</v>
      </c>
      <c r="O1015" s="13"/>
      <c r="P1015" s="33" t="str">
        <f t="shared" si="296"/>
        <v>MAIN UNIT</v>
      </c>
      <c r="Q1015" s="13" t="s">
        <v>68</v>
      </c>
      <c r="R1015" s="13" t="s">
        <v>62</v>
      </c>
      <c r="S1015" s="13" t="s">
        <v>49</v>
      </c>
      <c r="T1015" s="13" t="s">
        <v>78</v>
      </c>
      <c r="U1015" s="13" t="s">
        <v>79</v>
      </c>
      <c r="V1015" s="13" t="s">
        <v>126</v>
      </c>
      <c r="W1015" s="13" t="s">
        <v>109</v>
      </c>
      <c r="X1015" s="135">
        <v>14645000</v>
      </c>
      <c r="Y1015" s="157" t="str">
        <f t="shared" si="309"/>
        <v>1</v>
      </c>
      <c r="Z1015" s="18">
        <f t="shared" si="310"/>
        <v>14645000</v>
      </c>
      <c r="AA1015" s="13">
        <v>5.8700000000000002E-2</v>
      </c>
      <c r="AB1015" s="21">
        <f t="shared" si="306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1"/>
        <v>499582152.5142017</v>
      </c>
      <c r="AJ1015" s="19">
        <f t="shared" si="292"/>
        <v>59520528.679470733</v>
      </c>
      <c r="AK1015" s="20">
        <f t="shared" si="299"/>
        <v>0.11914062257814291</v>
      </c>
      <c r="AL1015" s="17"/>
      <c r="AM1015" s="17"/>
      <c r="AN1015" s="17"/>
      <c r="AO1015" s="17"/>
      <c r="AP1015" s="28" t="str">
        <f t="shared" si="300"/>
        <v>CancelCancel</v>
      </c>
      <c r="AQ1015" s="28" t="str">
        <f t="shared" si="301"/>
        <v>CancelCancelJPY</v>
      </c>
      <c r="AR1015" s="206" t="str">
        <f t="shared" si="302"/>
        <v>YAMAHA_Mounter</v>
      </c>
      <c r="AS1015" s="22" t="str">
        <f t="shared" si="303"/>
        <v/>
      </c>
      <c r="AT1015" s="24" t="str">
        <f t="shared" si="304"/>
        <v/>
      </c>
      <c r="AU1015" s="22" t="s">
        <v>3745</v>
      </c>
    </row>
    <row r="1016" spans="1:47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185</v>
      </c>
      <c r="F1016" s="13" t="s">
        <v>185</v>
      </c>
      <c r="G1016" s="152" t="s">
        <v>185</v>
      </c>
      <c r="H1016" s="155"/>
      <c r="I1016" s="33" t="str">
        <f t="shared" si="295"/>
        <v>Cancel</v>
      </c>
      <c r="J1016" s="186" t="s">
        <v>2068</v>
      </c>
      <c r="K1016" s="155" t="s">
        <v>1869</v>
      </c>
      <c r="L1016" s="17" t="s">
        <v>92</v>
      </c>
      <c r="M1016" s="13" t="s">
        <v>60</v>
      </c>
      <c r="N1016" s="13">
        <v>1</v>
      </c>
      <c r="O1016" s="13"/>
      <c r="P1016" s="33" t="str">
        <f t="shared" si="296"/>
        <v>MAIN UNIT</v>
      </c>
      <c r="Q1016" s="13" t="s">
        <v>68</v>
      </c>
      <c r="R1016" s="13" t="s">
        <v>62</v>
      </c>
      <c r="S1016" s="13" t="s">
        <v>49</v>
      </c>
      <c r="T1016" s="13" t="s">
        <v>78</v>
      </c>
      <c r="U1016" s="13" t="s">
        <v>79</v>
      </c>
      <c r="V1016" s="13" t="s">
        <v>126</v>
      </c>
      <c r="W1016" s="13" t="s">
        <v>109</v>
      </c>
      <c r="X1016" s="135">
        <v>14645000</v>
      </c>
      <c r="Y1016" s="157" t="str">
        <f t="shared" si="309"/>
        <v>1</v>
      </c>
      <c r="Z1016" s="18">
        <f t="shared" si="310"/>
        <v>14645000</v>
      </c>
      <c r="AA1016" s="13">
        <v>5.8700000000000002E-2</v>
      </c>
      <c r="AB1016" s="21">
        <f t="shared" si="306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1"/>
        <v>499582152.5142017</v>
      </c>
      <c r="AJ1016" s="19">
        <f t="shared" si="292"/>
        <v>59520528.679470733</v>
      </c>
      <c r="AK1016" s="20">
        <f t="shared" si="299"/>
        <v>0.11914062257814291</v>
      </c>
      <c r="AL1016" s="17"/>
      <c r="AM1016" s="17"/>
      <c r="AN1016" s="17"/>
      <c r="AO1016" s="17"/>
      <c r="AP1016" s="28" t="str">
        <f t="shared" si="300"/>
        <v>CancelCancel</v>
      </c>
      <c r="AQ1016" s="28" t="str">
        <f t="shared" si="301"/>
        <v>CancelCancelJPY</v>
      </c>
      <c r="AR1016" s="206" t="str">
        <f t="shared" si="302"/>
        <v>YAMAHA_Mounter</v>
      </c>
      <c r="AS1016" s="22" t="str">
        <f t="shared" si="303"/>
        <v/>
      </c>
      <c r="AT1016" s="24" t="str">
        <f t="shared" si="304"/>
        <v/>
      </c>
      <c r="AU1016" s="22" t="s">
        <v>3745</v>
      </c>
    </row>
    <row r="1017" spans="1:47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185</v>
      </c>
      <c r="F1017" s="13" t="s">
        <v>185</v>
      </c>
      <c r="G1017" s="152" t="s">
        <v>185</v>
      </c>
      <c r="H1017" s="155"/>
      <c r="I1017" s="33" t="str">
        <f t="shared" si="295"/>
        <v>Cancel</v>
      </c>
      <c r="J1017" s="186" t="s">
        <v>2068</v>
      </c>
      <c r="K1017" s="155" t="s">
        <v>1869</v>
      </c>
      <c r="L1017" s="17" t="s">
        <v>92</v>
      </c>
      <c r="M1017" s="13" t="s">
        <v>60</v>
      </c>
      <c r="N1017" s="13">
        <v>1</v>
      </c>
      <c r="O1017" s="13"/>
      <c r="P1017" s="33" t="str">
        <f t="shared" si="296"/>
        <v>MAIN UNIT</v>
      </c>
      <c r="Q1017" s="13" t="s">
        <v>68</v>
      </c>
      <c r="R1017" s="13" t="s">
        <v>62</v>
      </c>
      <c r="S1017" s="13" t="s">
        <v>49</v>
      </c>
      <c r="T1017" s="13" t="s">
        <v>78</v>
      </c>
      <c r="U1017" s="13" t="s">
        <v>79</v>
      </c>
      <c r="V1017" s="13" t="s">
        <v>126</v>
      </c>
      <c r="W1017" s="13" t="s">
        <v>109</v>
      </c>
      <c r="X1017" s="135">
        <v>14645000</v>
      </c>
      <c r="Y1017" s="157" t="str">
        <f t="shared" si="309"/>
        <v>1</v>
      </c>
      <c r="Z1017" s="18">
        <f t="shared" si="310"/>
        <v>14645000</v>
      </c>
      <c r="AA1017" s="13">
        <v>5.8700000000000002E-2</v>
      </c>
      <c r="AB1017" s="21">
        <f t="shared" si="306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1"/>
        <v>499582152.5142017</v>
      </c>
      <c r="AJ1017" s="19">
        <f t="shared" si="292"/>
        <v>59520528.679470733</v>
      </c>
      <c r="AK1017" s="20">
        <f t="shared" si="299"/>
        <v>0.11914062257814291</v>
      </c>
      <c r="AL1017" s="17"/>
      <c r="AM1017" s="17"/>
      <c r="AN1017" s="17"/>
      <c r="AO1017" s="17"/>
      <c r="AP1017" s="28" t="str">
        <f t="shared" si="300"/>
        <v>CancelCancel</v>
      </c>
      <c r="AQ1017" s="28" t="str">
        <f t="shared" si="301"/>
        <v>CancelCancelJPY</v>
      </c>
      <c r="AR1017" s="206" t="str">
        <f t="shared" si="302"/>
        <v>YAMAHA_Mounter</v>
      </c>
      <c r="AS1017" s="22" t="str">
        <f t="shared" si="303"/>
        <v/>
      </c>
      <c r="AT1017" s="24" t="str">
        <f t="shared" si="304"/>
        <v/>
      </c>
      <c r="AU1017" s="22" t="s">
        <v>3745</v>
      </c>
    </row>
    <row r="1018" spans="1:47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185</v>
      </c>
      <c r="F1018" s="13" t="s">
        <v>185</v>
      </c>
      <c r="G1018" s="152" t="s">
        <v>185</v>
      </c>
      <c r="H1018" s="155"/>
      <c r="I1018" s="33" t="str">
        <f t="shared" si="295"/>
        <v>Cancel</v>
      </c>
      <c r="J1018" s="186" t="s">
        <v>2068</v>
      </c>
      <c r="K1018" s="155" t="s">
        <v>1869</v>
      </c>
      <c r="L1018" s="17" t="s">
        <v>67</v>
      </c>
      <c r="M1018" s="13" t="s">
        <v>60</v>
      </c>
      <c r="N1018" s="13">
        <v>1</v>
      </c>
      <c r="O1018" s="13"/>
      <c r="P1018" s="33" t="str">
        <f t="shared" si="296"/>
        <v>MAIN UNIT</v>
      </c>
      <c r="Q1018" s="13" t="s">
        <v>68</v>
      </c>
      <c r="R1018" s="13" t="s">
        <v>62</v>
      </c>
      <c r="S1018" s="13" t="s">
        <v>49</v>
      </c>
      <c r="T1018" s="13" t="s">
        <v>78</v>
      </c>
      <c r="U1018" s="13" t="s">
        <v>79</v>
      </c>
      <c r="V1018" s="13" t="s">
        <v>126</v>
      </c>
      <c r="W1018" s="13" t="s">
        <v>109</v>
      </c>
      <c r="X1018" s="135">
        <v>8593800</v>
      </c>
      <c r="Y1018" s="157" t="str">
        <f t="shared" si="309"/>
        <v>1</v>
      </c>
      <c r="Z1018" s="18">
        <f t="shared" si="310"/>
        <v>8593800</v>
      </c>
      <c r="AA1018" s="13">
        <v>5.8700000000000002E-2</v>
      </c>
      <c r="AB1018" s="21">
        <f t="shared" si="306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1"/>
        <v>499582152.5142017</v>
      </c>
      <c r="AJ1018" s="19">
        <f t="shared" si="292"/>
        <v>59520528.679470733</v>
      </c>
      <c r="AK1018" s="20">
        <f t="shared" si="299"/>
        <v>0.11914062257814291</v>
      </c>
      <c r="AL1018" s="17"/>
      <c r="AM1018" s="17"/>
      <c r="AN1018" s="17"/>
      <c r="AO1018" s="17"/>
      <c r="AP1018" s="28" t="str">
        <f t="shared" si="300"/>
        <v>CancelCancel</v>
      </c>
      <c r="AQ1018" s="28" t="str">
        <f t="shared" si="301"/>
        <v>CancelCancelJPY</v>
      </c>
      <c r="AR1018" s="206" t="str">
        <f t="shared" si="302"/>
        <v>YAMAHA_Mounter</v>
      </c>
      <c r="AS1018" s="22" t="str">
        <f t="shared" si="303"/>
        <v/>
      </c>
      <c r="AT1018" s="24" t="str">
        <f t="shared" si="304"/>
        <v/>
      </c>
      <c r="AU1018" s="22" t="s">
        <v>3745</v>
      </c>
    </row>
    <row r="1019" spans="1:47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185</v>
      </c>
      <c r="F1019" s="13" t="s">
        <v>185</v>
      </c>
      <c r="G1019" s="152" t="s">
        <v>185</v>
      </c>
      <c r="H1019" s="155"/>
      <c r="I1019" s="33" t="str">
        <f t="shared" si="295"/>
        <v>Cancel</v>
      </c>
      <c r="J1019" s="186" t="s">
        <v>2068</v>
      </c>
      <c r="K1019" s="155" t="s">
        <v>1869</v>
      </c>
      <c r="L1019" s="17" t="s">
        <v>67</v>
      </c>
      <c r="M1019" s="13" t="s">
        <v>60</v>
      </c>
      <c r="N1019" s="13">
        <v>1</v>
      </c>
      <c r="O1019" s="13"/>
      <c r="P1019" s="33" t="str">
        <f t="shared" si="296"/>
        <v>MAIN UNIT</v>
      </c>
      <c r="Q1019" s="13" t="s">
        <v>68</v>
      </c>
      <c r="R1019" s="13" t="s">
        <v>62</v>
      </c>
      <c r="S1019" s="13" t="s">
        <v>49</v>
      </c>
      <c r="T1019" s="13" t="s">
        <v>78</v>
      </c>
      <c r="U1019" s="13" t="s">
        <v>79</v>
      </c>
      <c r="V1019" s="13" t="s">
        <v>126</v>
      </c>
      <c r="W1019" s="13" t="s">
        <v>109</v>
      </c>
      <c r="X1019" s="135">
        <v>8593800</v>
      </c>
      <c r="Y1019" s="157" t="str">
        <f t="shared" si="309"/>
        <v>1</v>
      </c>
      <c r="Z1019" s="18">
        <f t="shared" si="310"/>
        <v>8593800</v>
      </c>
      <c r="AA1019" s="13">
        <v>5.8700000000000002E-2</v>
      </c>
      <c r="AB1019" s="21">
        <f t="shared" si="306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1"/>
        <v>499582152.5142017</v>
      </c>
      <c r="AJ1019" s="19">
        <f t="shared" si="292"/>
        <v>59520528.679470733</v>
      </c>
      <c r="AK1019" s="20">
        <f t="shared" si="299"/>
        <v>0.11914062257814291</v>
      </c>
      <c r="AL1019" s="17"/>
      <c r="AM1019" s="17"/>
      <c r="AN1019" s="17"/>
      <c r="AO1019" s="17"/>
      <c r="AP1019" s="28" t="str">
        <f t="shared" si="300"/>
        <v>CancelCancel</v>
      </c>
      <c r="AQ1019" s="28" t="str">
        <f t="shared" si="301"/>
        <v>CancelCancelJPY</v>
      </c>
      <c r="AR1019" s="206" t="str">
        <f t="shared" si="302"/>
        <v>YAMAHA_Mounter</v>
      </c>
      <c r="AS1019" s="22" t="str">
        <f t="shared" si="303"/>
        <v/>
      </c>
      <c r="AT1019" s="24" t="str">
        <f t="shared" si="304"/>
        <v/>
      </c>
      <c r="AU1019" s="22" t="s">
        <v>3745</v>
      </c>
    </row>
    <row r="1020" spans="1:47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185</v>
      </c>
      <c r="F1020" s="13" t="s">
        <v>185</v>
      </c>
      <c r="G1020" s="152" t="s">
        <v>185</v>
      </c>
      <c r="H1020" s="155"/>
      <c r="I1020" s="33" t="str">
        <f t="shared" si="295"/>
        <v>Cancel</v>
      </c>
      <c r="J1020" s="186" t="s">
        <v>2068</v>
      </c>
      <c r="K1020" s="155" t="s">
        <v>1869</v>
      </c>
      <c r="L1020" s="17" t="s">
        <v>67</v>
      </c>
      <c r="M1020" s="13" t="s">
        <v>60</v>
      </c>
      <c r="N1020" s="13">
        <v>1</v>
      </c>
      <c r="O1020" s="13"/>
      <c r="P1020" s="33" t="str">
        <f t="shared" si="296"/>
        <v>MAIN UNIT</v>
      </c>
      <c r="Q1020" s="13" t="s">
        <v>68</v>
      </c>
      <c r="R1020" s="13" t="s">
        <v>62</v>
      </c>
      <c r="S1020" s="13" t="s">
        <v>49</v>
      </c>
      <c r="T1020" s="13" t="s">
        <v>78</v>
      </c>
      <c r="U1020" s="13" t="s">
        <v>79</v>
      </c>
      <c r="V1020" s="13" t="s">
        <v>126</v>
      </c>
      <c r="W1020" s="13" t="s">
        <v>109</v>
      </c>
      <c r="X1020" s="135">
        <v>8593800</v>
      </c>
      <c r="Y1020" s="157" t="str">
        <f t="shared" si="309"/>
        <v>1</v>
      </c>
      <c r="Z1020" s="18">
        <f t="shared" si="310"/>
        <v>8593800</v>
      </c>
      <c r="AA1020" s="13">
        <v>5.8700000000000002E-2</v>
      </c>
      <c r="AB1020" s="21">
        <f t="shared" si="306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1"/>
        <v>499582152.5142017</v>
      </c>
      <c r="AJ1020" s="19">
        <f t="shared" si="292"/>
        <v>59520528.679470733</v>
      </c>
      <c r="AK1020" s="20">
        <f t="shared" si="299"/>
        <v>0.11914062257814291</v>
      </c>
      <c r="AL1020" s="17"/>
      <c r="AM1020" s="17"/>
      <c r="AN1020" s="17"/>
      <c r="AO1020" s="17"/>
      <c r="AP1020" s="28" t="str">
        <f t="shared" si="300"/>
        <v>CancelCancel</v>
      </c>
      <c r="AQ1020" s="28" t="str">
        <f t="shared" si="301"/>
        <v>CancelCancelJPY</v>
      </c>
      <c r="AR1020" s="206" t="str">
        <f t="shared" si="302"/>
        <v>YAMAHA_Mounter</v>
      </c>
      <c r="AS1020" s="22" t="str">
        <f t="shared" si="303"/>
        <v/>
      </c>
      <c r="AT1020" s="24" t="str">
        <f t="shared" si="304"/>
        <v/>
      </c>
      <c r="AU1020" s="22" t="s">
        <v>3745</v>
      </c>
    </row>
    <row r="1021" spans="1:47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185</v>
      </c>
      <c r="F1021" s="13" t="s">
        <v>185</v>
      </c>
      <c r="G1021" s="152" t="s">
        <v>185</v>
      </c>
      <c r="H1021" s="155"/>
      <c r="I1021" s="33" t="str">
        <f t="shared" si="295"/>
        <v>Cancel</v>
      </c>
      <c r="J1021" s="186" t="s">
        <v>2068</v>
      </c>
      <c r="K1021" s="155" t="s">
        <v>1869</v>
      </c>
      <c r="L1021" s="17" t="s">
        <v>67</v>
      </c>
      <c r="M1021" s="13" t="s">
        <v>60</v>
      </c>
      <c r="N1021" s="13">
        <v>1</v>
      </c>
      <c r="O1021" s="13"/>
      <c r="P1021" s="33" t="str">
        <f t="shared" si="296"/>
        <v>MAIN UNIT</v>
      </c>
      <c r="Q1021" s="13" t="s">
        <v>68</v>
      </c>
      <c r="R1021" s="13" t="s">
        <v>62</v>
      </c>
      <c r="S1021" s="13" t="s">
        <v>49</v>
      </c>
      <c r="T1021" s="13" t="s">
        <v>78</v>
      </c>
      <c r="U1021" s="13" t="s">
        <v>79</v>
      </c>
      <c r="V1021" s="13" t="s">
        <v>126</v>
      </c>
      <c r="W1021" s="13" t="s">
        <v>109</v>
      </c>
      <c r="X1021" s="135">
        <v>8593800</v>
      </c>
      <c r="Y1021" s="157" t="str">
        <f t="shared" si="309"/>
        <v>1</v>
      </c>
      <c r="Z1021" s="18">
        <f t="shared" si="310"/>
        <v>8593800</v>
      </c>
      <c r="AA1021" s="13">
        <v>5.8700000000000002E-2</v>
      </c>
      <c r="AB1021" s="21">
        <f t="shared" si="306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1"/>
        <v>499582152.5142017</v>
      </c>
      <c r="AJ1021" s="19">
        <f t="shared" si="292"/>
        <v>59520528.679470733</v>
      </c>
      <c r="AK1021" s="20">
        <f t="shared" si="299"/>
        <v>0.11914062257814291</v>
      </c>
      <c r="AL1021" s="17"/>
      <c r="AM1021" s="17"/>
      <c r="AN1021" s="17"/>
      <c r="AO1021" s="17"/>
      <c r="AP1021" s="28" t="str">
        <f t="shared" si="300"/>
        <v>CancelCancel</v>
      </c>
      <c r="AQ1021" s="28" t="str">
        <f t="shared" si="301"/>
        <v>CancelCancelJPY</v>
      </c>
      <c r="AR1021" s="206" t="str">
        <f t="shared" si="302"/>
        <v>YAMAHA_Mounter</v>
      </c>
      <c r="AS1021" s="22" t="str">
        <f t="shared" si="303"/>
        <v/>
      </c>
      <c r="AT1021" s="24" t="str">
        <f t="shared" si="304"/>
        <v/>
      </c>
      <c r="AU1021" s="22" t="s">
        <v>3745</v>
      </c>
    </row>
    <row r="1022" spans="1:47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185</v>
      </c>
      <c r="F1022" s="13" t="s">
        <v>185</v>
      </c>
      <c r="G1022" s="152" t="s">
        <v>185</v>
      </c>
      <c r="H1022" s="155"/>
      <c r="I1022" s="33" t="str">
        <f t="shared" si="295"/>
        <v>Cancel</v>
      </c>
      <c r="J1022" s="186" t="s">
        <v>2068</v>
      </c>
      <c r="K1022" s="155" t="s">
        <v>1869</v>
      </c>
      <c r="L1022" s="17" t="s">
        <v>67</v>
      </c>
      <c r="M1022" s="13" t="s">
        <v>60</v>
      </c>
      <c r="N1022" s="13">
        <v>1</v>
      </c>
      <c r="O1022" s="13"/>
      <c r="P1022" s="33" t="str">
        <f t="shared" si="296"/>
        <v>MAIN UNIT</v>
      </c>
      <c r="Q1022" s="13" t="s">
        <v>68</v>
      </c>
      <c r="R1022" s="13" t="s">
        <v>62</v>
      </c>
      <c r="S1022" s="13" t="s">
        <v>49</v>
      </c>
      <c r="T1022" s="13" t="s">
        <v>78</v>
      </c>
      <c r="U1022" s="13" t="s">
        <v>79</v>
      </c>
      <c r="V1022" s="13" t="s">
        <v>126</v>
      </c>
      <c r="W1022" s="13" t="s">
        <v>109</v>
      </c>
      <c r="X1022" s="135">
        <v>8593800</v>
      </c>
      <c r="Y1022" s="157" t="str">
        <f t="shared" si="309"/>
        <v>1</v>
      </c>
      <c r="Z1022" s="18">
        <f t="shared" si="310"/>
        <v>8593800</v>
      </c>
      <c r="AA1022" s="13">
        <v>5.8700000000000002E-2</v>
      </c>
      <c r="AB1022" s="21">
        <f t="shared" si="306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1"/>
        <v>499582152.5142017</v>
      </c>
      <c r="AJ1022" s="19">
        <f t="shared" si="292"/>
        <v>59520528.679470733</v>
      </c>
      <c r="AK1022" s="20">
        <f t="shared" si="299"/>
        <v>0.11914062257814291</v>
      </c>
      <c r="AL1022" s="17"/>
      <c r="AM1022" s="17"/>
      <c r="AN1022" s="17"/>
      <c r="AO1022" s="17"/>
      <c r="AP1022" s="28" t="str">
        <f t="shared" si="300"/>
        <v>CancelCancel</v>
      </c>
      <c r="AQ1022" s="28" t="str">
        <f t="shared" si="301"/>
        <v>CancelCancelJPY</v>
      </c>
      <c r="AR1022" s="206" t="str">
        <f t="shared" si="302"/>
        <v>YAMAHA_Mounter</v>
      </c>
      <c r="AS1022" s="22" t="str">
        <f t="shared" si="303"/>
        <v/>
      </c>
      <c r="AT1022" s="24" t="str">
        <f t="shared" si="304"/>
        <v/>
      </c>
      <c r="AU1022" s="22" t="s">
        <v>3745</v>
      </c>
    </row>
    <row r="1023" spans="1:47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185</v>
      </c>
      <c r="F1023" s="13" t="s">
        <v>185</v>
      </c>
      <c r="G1023" s="152" t="s">
        <v>185</v>
      </c>
      <c r="H1023" s="155"/>
      <c r="I1023" s="33" t="str">
        <f t="shared" si="295"/>
        <v>Cancel</v>
      </c>
      <c r="J1023" s="186" t="s">
        <v>2068</v>
      </c>
      <c r="K1023" s="155" t="s">
        <v>1869</v>
      </c>
      <c r="L1023" s="17" t="s">
        <v>67</v>
      </c>
      <c r="M1023" s="13" t="s">
        <v>60</v>
      </c>
      <c r="N1023" s="13">
        <v>1</v>
      </c>
      <c r="O1023" s="13"/>
      <c r="P1023" s="33" t="str">
        <f t="shared" si="296"/>
        <v>MAIN UNIT</v>
      </c>
      <c r="Q1023" s="13" t="s">
        <v>68</v>
      </c>
      <c r="R1023" s="13" t="s">
        <v>62</v>
      </c>
      <c r="S1023" s="13" t="s">
        <v>49</v>
      </c>
      <c r="T1023" s="13" t="s">
        <v>78</v>
      </c>
      <c r="U1023" s="13" t="s">
        <v>79</v>
      </c>
      <c r="V1023" s="13" t="s">
        <v>126</v>
      </c>
      <c r="W1023" s="13" t="s">
        <v>109</v>
      </c>
      <c r="X1023" s="135">
        <v>8593800</v>
      </c>
      <c r="Y1023" s="157" t="str">
        <f t="shared" si="309"/>
        <v>1</v>
      </c>
      <c r="Z1023" s="18">
        <f t="shared" si="310"/>
        <v>8593800</v>
      </c>
      <c r="AA1023" s="13">
        <v>5.8700000000000002E-2</v>
      </c>
      <c r="AB1023" s="21">
        <f t="shared" si="306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1"/>
        <v>499582152.5142017</v>
      </c>
      <c r="AJ1023" s="19">
        <f t="shared" si="292"/>
        <v>59520528.679470733</v>
      </c>
      <c r="AK1023" s="20">
        <f t="shared" si="299"/>
        <v>0.11914062257814291</v>
      </c>
      <c r="AL1023" s="17"/>
      <c r="AM1023" s="17"/>
      <c r="AN1023" s="17"/>
      <c r="AO1023" s="17"/>
      <c r="AP1023" s="28" t="str">
        <f t="shared" si="300"/>
        <v>CancelCancel</v>
      </c>
      <c r="AQ1023" s="28" t="str">
        <f t="shared" si="301"/>
        <v>CancelCancelJPY</v>
      </c>
      <c r="AR1023" s="206" t="str">
        <f t="shared" si="302"/>
        <v>YAMAHA_Mounter</v>
      </c>
      <c r="AS1023" s="22" t="str">
        <f t="shared" si="303"/>
        <v/>
      </c>
      <c r="AT1023" s="24" t="str">
        <f t="shared" si="304"/>
        <v/>
      </c>
      <c r="AU1023" s="22" t="s">
        <v>3745</v>
      </c>
    </row>
    <row r="1024" spans="1:47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185</v>
      </c>
      <c r="F1024" s="13" t="s">
        <v>185</v>
      </c>
      <c r="G1024" s="152" t="s">
        <v>185</v>
      </c>
      <c r="H1024" s="155"/>
      <c r="I1024" s="33" t="str">
        <f t="shared" si="295"/>
        <v>Cancel</v>
      </c>
      <c r="J1024" s="186" t="s">
        <v>2068</v>
      </c>
      <c r="K1024" s="155" t="s">
        <v>1869</v>
      </c>
      <c r="L1024" s="17" t="s">
        <v>67</v>
      </c>
      <c r="M1024" s="13" t="s">
        <v>60</v>
      </c>
      <c r="N1024" s="13">
        <v>1</v>
      </c>
      <c r="O1024" s="13"/>
      <c r="P1024" s="33" t="str">
        <f t="shared" si="296"/>
        <v>MAIN UNIT</v>
      </c>
      <c r="Q1024" s="13" t="s">
        <v>68</v>
      </c>
      <c r="R1024" s="13" t="s">
        <v>62</v>
      </c>
      <c r="S1024" s="13" t="s">
        <v>49</v>
      </c>
      <c r="T1024" s="13" t="s">
        <v>78</v>
      </c>
      <c r="U1024" s="13" t="s">
        <v>79</v>
      </c>
      <c r="V1024" s="13" t="s">
        <v>126</v>
      </c>
      <c r="W1024" s="13" t="s">
        <v>109</v>
      </c>
      <c r="X1024" s="135">
        <v>8593800</v>
      </c>
      <c r="Y1024" s="157" t="str">
        <f t="shared" si="309"/>
        <v>1</v>
      </c>
      <c r="Z1024" s="18">
        <f t="shared" si="310"/>
        <v>8593800</v>
      </c>
      <c r="AA1024" s="13">
        <v>5.8700000000000002E-2</v>
      </c>
      <c r="AB1024" s="21">
        <f t="shared" si="306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1"/>
        <v>499582152.5142017</v>
      </c>
      <c r="AJ1024" s="19">
        <f t="shared" si="292"/>
        <v>59520528.679470733</v>
      </c>
      <c r="AK1024" s="20">
        <f t="shared" si="299"/>
        <v>0.11914062257814291</v>
      </c>
      <c r="AL1024" s="17"/>
      <c r="AM1024" s="17"/>
      <c r="AN1024" s="17"/>
      <c r="AO1024" s="17"/>
      <c r="AP1024" s="28" t="str">
        <f t="shared" si="300"/>
        <v>CancelCancel</v>
      </c>
      <c r="AQ1024" s="28" t="str">
        <f t="shared" si="301"/>
        <v>CancelCancelJPY</v>
      </c>
      <c r="AR1024" s="206" t="str">
        <f t="shared" si="302"/>
        <v>YAMAHA_Mounter</v>
      </c>
      <c r="AS1024" s="22" t="str">
        <f t="shared" si="303"/>
        <v/>
      </c>
      <c r="AT1024" s="24" t="str">
        <f t="shared" si="304"/>
        <v/>
      </c>
      <c r="AU1024" s="22" t="s">
        <v>3745</v>
      </c>
    </row>
    <row r="1025" spans="1:47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185</v>
      </c>
      <c r="F1025" s="13" t="s">
        <v>185</v>
      </c>
      <c r="G1025" s="152" t="s">
        <v>185</v>
      </c>
      <c r="H1025" s="155"/>
      <c r="I1025" s="33" t="str">
        <f t="shared" si="295"/>
        <v>Cancel</v>
      </c>
      <c r="J1025" s="186" t="s">
        <v>2068</v>
      </c>
      <c r="K1025" s="155" t="s">
        <v>1869</v>
      </c>
      <c r="L1025" s="17" t="s">
        <v>67</v>
      </c>
      <c r="M1025" s="13" t="s">
        <v>60</v>
      </c>
      <c r="N1025" s="13">
        <v>1</v>
      </c>
      <c r="O1025" s="13"/>
      <c r="P1025" s="33" t="str">
        <f t="shared" si="296"/>
        <v>MAIN UNIT</v>
      </c>
      <c r="Q1025" s="13" t="s">
        <v>68</v>
      </c>
      <c r="R1025" s="13" t="s">
        <v>62</v>
      </c>
      <c r="S1025" s="13" t="s">
        <v>49</v>
      </c>
      <c r="T1025" s="13" t="s">
        <v>78</v>
      </c>
      <c r="U1025" s="13" t="s">
        <v>79</v>
      </c>
      <c r="V1025" s="13" t="s">
        <v>126</v>
      </c>
      <c r="W1025" s="13" t="s">
        <v>109</v>
      </c>
      <c r="X1025" s="135">
        <v>8593800</v>
      </c>
      <c r="Y1025" s="157" t="str">
        <f t="shared" si="309"/>
        <v>1</v>
      </c>
      <c r="Z1025" s="18">
        <f t="shared" si="310"/>
        <v>8593800</v>
      </c>
      <c r="AA1025" s="13">
        <v>5.8700000000000002E-2</v>
      </c>
      <c r="AB1025" s="21">
        <f t="shared" si="306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1"/>
        <v>499582152.5142017</v>
      </c>
      <c r="AJ1025" s="19">
        <f t="shared" si="292"/>
        <v>59520528.679470733</v>
      </c>
      <c r="AK1025" s="20">
        <f t="shared" si="299"/>
        <v>0.11914062257814291</v>
      </c>
      <c r="AL1025" s="17"/>
      <c r="AM1025" s="17"/>
      <c r="AN1025" s="17"/>
      <c r="AO1025" s="17"/>
      <c r="AP1025" s="28" t="str">
        <f t="shared" si="300"/>
        <v>CancelCancel</v>
      </c>
      <c r="AQ1025" s="28" t="str">
        <f t="shared" si="301"/>
        <v>CancelCancelJPY</v>
      </c>
      <c r="AR1025" s="206" t="str">
        <f t="shared" si="302"/>
        <v>YAMAHA_Mounter</v>
      </c>
      <c r="AS1025" s="22" t="str">
        <f t="shared" si="303"/>
        <v/>
      </c>
      <c r="AT1025" s="24" t="str">
        <f t="shared" si="304"/>
        <v/>
      </c>
      <c r="AU1025" s="22" t="s">
        <v>3745</v>
      </c>
    </row>
    <row r="1026" spans="1:47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185</v>
      </c>
      <c r="F1026" s="13" t="s">
        <v>185</v>
      </c>
      <c r="G1026" s="152" t="s">
        <v>185</v>
      </c>
      <c r="H1026" s="155"/>
      <c r="I1026" s="33" t="str">
        <f t="shared" si="295"/>
        <v>Cancel</v>
      </c>
      <c r="J1026" s="186" t="s">
        <v>2068</v>
      </c>
      <c r="K1026" s="155" t="s">
        <v>1869</v>
      </c>
      <c r="L1026" s="17" t="s">
        <v>67</v>
      </c>
      <c r="M1026" s="13" t="s">
        <v>60</v>
      </c>
      <c r="N1026" s="13">
        <v>1</v>
      </c>
      <c r="O1026" s="13"/>
      <c r="P1026" s="33" t="str">
        <f t="shared" si="296"/>
        <v>MAIN UNIT</v>
      </c>
      <c r="Q1026" s="13" t="s">
        <v>68</v>
      </c>
      <c r="R1026" s="13" t="s">
        <v>62</v>
      </c>
      <c r="S1026" s="13" t="s">
        <v>49</v>
      </c>
      <c r="T1026" s="13" t="s">
        <v>78</v>
      </c>
      <c r="U1026" s="13" t="s">
        <v>79</v>
      </c>
      <c r="V1026" s="13" t="s">
        <v>126</v>
      </c>
      <c r="W1026" s="13" t="s">
        <v>109</v>
      </c>
      <c r="X1026" s="135">
        <v>8593800</v>
      </c>
      <c r="Y1026" s="157" t="str">
        <f t="shared" si="309"/>
        <v>1</v>
      </c>
      <c r="Z1026" s="18">
        <f t="shared" si="310"/>
        <v>8593800</v>
      </c>
      <c r="AA1026" s="13">
        <v>5.8700000000000002E-2</v>
      </c>
      <c r="AB1026" s="21">
        <f t="shared" si="306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ref="AI1026:AI1089" si="311">IF(P1026="C66 SERVICE","",SUMIFS(AB:AB,F:F,F1026,G:G,G1026,E:E,E1026))</f>
        <v>499582152.5142017</v>
      </c>
      <c r="AJ1026" s="19">
        <f t="shared" ref="AJ1026:AJ1089" si="312">IF(P1026="C66 SERVICE","",SUMIFS(AC:AC,F:F,F1026,G:G,G1026,E:E,E1026))</f>
        <v>59520528.679470733</v>
      </c>
      <c r="AK1026" s="20">
        <f t="shared" si="299"/>
        <v>0.11914062257814291</v>
      </c>
      <c r="AL1026" s="17"/>
      <c r="AM1026" s="17"/>
      <c r="AN1026" s="17"/>
      <c r="AO1026" s="17"/>
      <c r="AP1026" s="28" t="str">
        <f t="shared" si="300"/>
        <v>CancelCancel</v>
      </c>
      <c r="AQ1026" s="28" t="str">
        <f t="shared" si="301"/>
        <v>CancelCancelJPY</v>
      </c>
      <c r="AR1026" s="206" t="str">
        <f t="shared" si="302"/>
        <v>YAMAHA_Mounter</v>
      </c>
      <c r="AS1026" s="22" t="str">
        <f t="shared" si="303"/>
        <v/>
      </c>
      <c r="AT1026" s="24" t="str">
        <f t="shared" si="304"/>
        <v/>
      </c>
      <c r="AU1026" s="22" t="s">
        <v>3745</v>
      </c>
    </row>
    <row r="1027" spans="1:47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185</v>
      </c>
      <c r="F1027" s="13" t="s">
        <v>185</v>
      </c>
      <c r="G1027" s="152" t="s">
        <v>185</v>
      </c>
      <c r="H1027" s="155"/>
      <c r="I1027" s="33" t="str">
        <f t="shared" si="295"/>
        <v>Cancel</v>
      </c>
      <c r="J1027" s="186" t="s">
        <v>2068</v>
      </c>
      <c r="K1027" s="155" t="s">
        <v>1869</v>
      </c>
      <c r="L1027" s="17" t="s">
        <v>67</v>
      </c>
      <c r="M1027" s="13" t="s">
        <v>60</v>
      </c>
      <c r="N1027" s="13">
        <v>1</v>
      </c>
      <c r="O1027" s="13"/>
      <c r="P1027" s="33" t="str">
        <f t="shared" si="296"/>
        <v>MAIN UNIT</v>
      </c>
      <c r="Q1027" s="13" t="s">
        <v>68</v>
      </c>
      <c r="R1027" s="13" t="s">
        <v>62</v>
      </c>
      <c r="S1027" s="13" t="s">
        <v>49</v>
      </c>
      <c r="T1027" s="13" t="s">
        <v>78</v>
      </c>
      <c r="U1027" s="13" t="s">
        <v>79</v>
      </c>
      <c r="V1027" s="13" t="s">
        <v>126</v>
      </c>
      <c r="W1027" s="13" t="s">
        <v>109</v>
      </c>
      <c r="X1027" s="135">
        <v>8593800</v>
      </c>
      <c r="Y1027" s="157" t="str">
        <f t="shared" si="309"/>
        <v>1</v>
      </c>
      <c r="Z1027" s="18">
        <f t="shared" si="310"/>
        <v>8593800</v>
      </c>
      <c r="AA1027" s="13">
        <v>5.8700000000000002E-2</v>
      </c>
      <c r="AB1027" s="21">
        <f t="shared" si="306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311"/>
        <v>499582152.5142017</v>
      </c>
      <c r="AJ1027" s="19">
        <f t="shared" si="312"/>
        <v>59520528.679470733</v>
      </c>
      <c r="AK1027" s="20">
        <f t="shared" si="299"/>
        <v>0.11914062257814291</v>
      </c>
      <c r="AL1027" s="17"/>
      <c r="AM1027" s="17"/>
      <c r="AN1027" s="17"/>
      <c r="AO1027" s="17"/>
      <c r="AP1027" s="28" t="str">
        <f t="shared" si="300"/>
        <v>CancelCancel</v>
      </c>
      <c r="AQ1027" s="28" t="str">
        <f t="shared" si="301"/>
        <v>CancelCancelJPY</v>
      </c>
      <c r="AR1027" s="206" t="str">
        <f t="shared" si="302"/>
        <v>YAMAHA_Mounter</v>
      </c>
      <c r="AS1027" s="22" t="str">
        <f t="shared" si="303"/>
        <v/>
      </c>
      <c r="AT1027" s="24" t="str">
        <f t="shared" si="304"/>
        <v/>
      </c>
      <c r="AU1027" s="22" t="s">
        <v>3745</v>
      </c>
    </row>
    <row r="1028" spans="1:47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41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442</v>
      </c>
      <c r="K1028" s="155" t="s">
        <v>443</v>
      </c>
      <c r="L1028" s="17" t="s">
        <v>67</v>
      </c>
      <c r="M1028" s="13" t="s">
        <v>60</v>
      </c>
      <c r="N1028" s="13">
        <v>1</v>
      </c>
      <c r="O1028" s="13"/>
      <c r="P1028" s="33" t="str">
        <f t="shared" si="296"/>
        <v>MAIN UNIT</v>
      </c>
      <c r="Q1028" s="13" t="s">
        <v>61</v>
      </c>
      <c r="R1028" s="13" t="s">
        <v>62</v>
      </c>
      <c r="S1028" s="13" t="s">
        <v>49</v>
      </c>
      <c r="T1028" s="13" t="s">
        <v>444</v>
      </c>
      <c r="U1028" s="13" t="s">
        <v>79</v>
      </c>
      <c r="V1028" s="13" t="s">
        <v>131</v>
      </c>
      <c r="W1028" s="13" t="s">
        <v>64</v>
      </c>
      <c r="X1028" s="135">
        <v>670000</v>
      </c>
      <c r="Y1028" s="156">
        <v>1.17</v>
      </c>
      <c r="Z1028" s="18">
        <f t="shared" si="310"/>
        <v>670000</v>
      </c>
      <c r="AA1028" s="13">
        <v>1.23</v>
      </c>
      <c r="AB1028" s="21">
        <f t="shared" si="306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311"/>
        <v>29288201.603076916</v>
      </c>
      <c r="AJ1028" s="19">
        <f t="shared" si="312"/>
        <v>3870159.1769246152</v>
      </c>
      <c r="AK1028" s="20">
        <f t="shared" si="299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0"/>
        <v>20184</v>
      </c>
      <c r="AQ1028" s="28" t="str">
        <f t="shared" si="301"/>
        <v>20184RMB</v>
      </c>
      <c r="AR1028" s="206" t="str">
        <f t="shared" si="302"/>
        <v>YAMAHA_Mounter</v>
      </c>
      <c r="AS1028" s="22">
        <f t="shared" si="303"/>
        <v>1</v>
      </c>
      <c r="AT1028" s="24" t="str">
        <f t="shared" si="304"/>
        <v>0-3 months</v>
      </c>
      <c r="AU1028" s="22" t="s">
        <v>3744</v>
      </c>
    </row>
    <row r="1029" spans="1:47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48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1226</v>
      </c>
      <c r="K1029" s="155" t="s">
        <v>1227</v>
      </c>
      <c r="L1029" s="17" t="s">
        <v>67</v>
      </c>
      <c r="M1029" s="13" t="s">
        <v>60</v>
      </c>
      <c r="N1029" s="13">
        <v>1</v>
      </c>
      <c r="O1029" s="13"/>
      <c r="P1029" s="33" t="str">
        <f t="shared" si="296"/>
        <v>MAIN UNIT</v>
      </c>
      <c r="Q1029" s="13" t="s">
        <v>68</v>
      </c>
      <c r="R1029" s="13" t="s">
        <v>62</v>
      </c>
      <c r="S1029" s="13" t="s">
        <v>50</v>
      </c>
      <c r="T1029" s="13" t="s">
        <v>93</v>
      </c>
      <c r="U1029" s="13" t="s">
        <v>70</v>
      </c>
      <c r="V1029" s="13" t="s">
        <v>71</v>
      </c>
      <c r="W1029" s="13" t="s">
        <v>64</v>
      </c>
      <c r="X1029" s="135">
        <v>780000</v>
      </c>
      <c r="Y1029" s="156" t="s">
        <v>1058</v>
      </c>
      <c r="Z1029" s="18">
        <f t="shared" si="310"/>
        <v>780000</v>
      </c>
      <c r="AA1029" s="13">
        <v>1.089</v>
      </c>
      <c r="AB1029" s="21">
        <f t="shared" si="306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311"/>
        <v>29183109.05575221</v>
      </c>
      <c r="AJ1029" s="19">
        <f t="shared" si="312"/>
        <v>3741266.5648721238</v>
      </c>
      <c r="AK1029" s="20">
        <f t="shared" si="299"/>
        <v>0.12819972531798121</v>
      </c>
      <c r="AL1029" s="17"/>
      <c r="AM1029" s="17"/>
      <c r="AN1029" s="17"/>
      <c r="AO1029" s="17"/>
      <c r="AP1029" s="28" t="str">
        <f t="shared" si="300"/>
        <v>20206</v>
      </c>
      <c r="AQ1029" s="28" t="str">
        <f t="shared" si="301"/>
        <v>20206RMB</v>
      </c>
      <c r="AR1029" s="206" t="str">
        <f t="shared" si="302"/>
        <v>YAMAHA_Mounter</v>
      </c>
      <c r="AS1029" s="22">
        <f t="shared" si="303"/>
        <v>1</v>
      </c>
      <c r="AT1029" s="24" t="str">
        <f t="shared" si="304"/>
        <v>0-3 months</v>
      </c>
      <c r="AU1029" s="22" t="s">
        <v>3240</v>
      </c>
    </row>
    <row r="1030" spans="1:47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48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1136</v>
      </c>
      <c r="K1030" s="155" t="s">
        <v>1137</v>
      </c>
      <c r="L1030" s="17" t="s">
        <v>67</v>
      </c>
      <c r="M1030" s="13" t="s">
        <v>60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61</v>
      </c>
      <c r="R1030" s="13" t="s">
        <v>62</v>
      </c>
      <c r="S1030" s="13" t="s">
        <v>49</v>
      </c>
      <c r="T1030" s="13" t="s">
        <v>78</v>
      </c>
      <c r="U1030" s="13" t="s">
        <v>263</v>
      </c>
      <c r="V1030" s="13" t="s">
        <v>106</v>
      </c>
      <c r="W1030" s="13" t="s">
        <v>64</v>
      </c>
      <c r="X1030" s="135">
        <v>510000</v>
      </c>
      <c r="Y1030" s="156">
        <v>1.1299999999999999</v>
      </c>
      <c r="Z1030" s="18">
        <f t="shared" si="310"/>
        <v>510000</v>
      </c>
      <c r="AA1030" s="13">
        <v>1.105</v>
      </c>
      <c r="AB1030" s="21">
        <f t="shared" si="306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si="311"/>
        <v>37969334.083628319</v>
      </c>
      <c r="AJ1030" s="19">
        <f t="shared" si="312"/>
        <v>5097226.4551657084</v>
      </c>
      <c r="AK1030" s="20">
        <f t="shared" ref="AK1030:AK1093" si="319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0">IF(F1030="","",F1030&amp;G1030)</f>
        <v>20208</v>
      </c>
      <c r="AQ1030" s="28" t="str">
        <f t="shared" ref="AQ1030:AQ1093" si="321">IF(W1030="","",F1030&amp;G1030&amp;W1030)</f>
        <v>20208RMB</v>
      </c>
      <c r="AR1030" s="206" t="str">
        <f t="shared" ref="AR1030:AR1093" si="322">IFERROR(IF(AND(M1030="YAMAHA", R1030="C28"), "YAMAHA_Non_Mounter", IF(AND(M1030="YAMAHA", R1030="C49"), "YAMAHA_Mounter", M1030)),"")</f>
        <v>YAMAHA_Mounter</v>
      </c>
      <c r="AS1030" s="22">
        <f t="shared" ref="AS1030:AS1093" si="323">IFERROR(IF(OR(G1030="TBA", G1030=""), "", DATEDIF(DATE(B1030, C1030, 1), DATE(F1030, G1030, 1), "M")),"")</f>
        <v>0</v>
      </c>
      <c r="AT1030" s="24" t="str">
        <f t="shared" ref="AT1030:AT1093" si="324">IF(ISNUMBER(AS1030), IF(AS1030&gt;=0, IF(AS1030&lt;=3, "0-3 months", IF(AS1030&lt;=6, "4-6 months", "&gt; 6 months"))), "")</f>
        <v>0-3 months</v>
      </c>
      <c r="AU1030" s="22" t="s">
        <v>3744</v>
      </c>
    </row>
    <row r="1031" spans="1:47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48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1481</v>
      </c>
      <c r="K1031" s="155" t="s">
        <v>1482</v>
      </c>
      <c r="L1031" s="17" t="s">
        <v>67</v>
      </c>
      <c r="M1031" s="13" t="s">
        <v>60</v>
      </c>
      <c r="N1031" s="13">
        <v>1</v>
      </c>
      <c r="O1031" s="13"/>
      <c r="P1031" s="33" t="str">
        <f t="shared" si="316"/>
        <v>MAIN UNIT</v>
      </c>
      <c r="Q1031" s="13" t="s">
        <v>61</v>
      </c>
      <c r="R1031" s="13" t="s">
        <v>62</v>
      </c>
      <c r="S1031" s="13" t="s">
        <v>49</v>
      </c>
      <c r="T1031" s="13" t="s">
        <v>78</v>
      </c>
      <c r="U1031" s="13" t="s">
        <v>79</v>
      </c>
      <c r="V1031" s="13" t="s">
        <v>80</v>
      </c>
      <c r="W1031" s="13" t="s">
        <v>64</v>
      </c>
      <c r="X1031" s="135">
        <v>500000</v>
      </c>
      <c r="Y1031" s="157" t="str">
        <f>IF(W1031="RMB","1.13", "1")</f>
        <v>1.13</v>
      </c>
      <c r="Z1031" s="18">
        <f t="shared" si="310"/>
        <v>500000</v>
      </c>
      <c r="AA1031" s="13">
        <v>1.175</v>
      </c>
      <c r="AB1031" s="21">
        <f t="shared" si="306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1"/>
        <v>48763143.537654862</v>
      </c>
      <c r="AJ1031" s="19">
        <f t="shared" si="312"/>
        <v>5924029.9702154724</v>
      </c>
      <c r="AK1031" s="20">
        <f t="shared" si="319"/>
        <v>0.1214858095774925</v>
      </c>
      <c r="AL1031" s="17"/>
      <c r="AM1031" s="17"/>
      <c r="AN1031" s="17"/>
      <c r="AO1031" s="17"/>
      <c r="AP1031" s="28" t="str">
        <f t="shared" si="320"/>
        <v>202012</v>
      </c>
      <c r="AQ1031" s="28" t="str">
        <f t="shared" si="321"/>
        <v>202012RMB</v>
      </c>
      <c r="AR1031" s="206" t="str">
        <f t="shared" si="322"/>
        <v>YAMAHA_Mounter</v>
      </c>
      <c r="AS1031" s="22">
        <f t="shared" si="323"/>
        <v>1</v>
      </c>
      <c r="AT1031" s="24" t="str">
        <f t="shared" si="324"/>
        <v>0-3 months</v>
      </c>
      <c r="AU1031" s="22" t="s">
        <v>3744</v>
      </c>
    </row>
    <row r="1032" spans="1:47" s="12" customFormat="1">
      <c r="A1032" s="33" t="str">
        <f t="shared" si="313"/>
        <v>cancel</v>
      </c>
      <c r="B1032" s="152"/>
      <c r="C1032" s="152" t="s">
        <v>185</v>
      </c>
      <c r="D1032" s="33" t="str">
        <f t="shared" si="314"/>
        <v/>
      </c>
      <c r="E1032" s="33" t="s">
        <v>185</v>
      </c>
      <c r="F1032" s="13" t="s">
        <v>185</v>
      </c>
      <c r="G1032" s="152" t="s">
        <v>185</v>
      </c>
      <c r="H1032" s="155"/>
      <c r="I1032" s="33" t="str">
        <f t="shared" si="315"/>
        <v>Cancel</v>
      </c>
      <c r="J1032" s="186" t="s">
        <v>2644</v>
      </c>
      <c r="K1032" s="155" t="s">
        <v>2645</v>
      </c>
      <c r="L1032" s="17" t="s">
        <v>77</v>
      </c>
      <c r="M1032" s="13" t="s">
        <v>60</v>
      </c>
      <c r="N1032" s="13">
        <v>1</v>
      </c>
      <c r="O1032" s="13"/>
      <c r="P1032" s="33" t="str">
        <f t="shared" si="316"/>
        <v>MAIN UNIT</v>
      </c>
      <c r="Q1032" s="13" t="s">
        <v>68</v>
      </c>
      <c r="R1032" s="13" t="s">
        <v>62</v>
      </c>
      <c r="S1032" s="13" t="s">
        <v>49</v>
      </c>
      <c r="T1032" s="13" t="s">
        <v>78</v>
      </c>
      <c r="U1032" s="13" t="s">
        <v>79</v>
      </c>
      <c r="V1032" s="13" t="s">
        <v>106</v>
      </c>
      <c r="W1032" s="13" t="s">
        <v>109</v>
      </c>
      <c r="X1032" s="135">
        <v>10500000</v>
      </c>
      <c r="Y1032" s="156">
        <v>1</v>
      </c>
      <c r="Z1032" s="18">
        <f t="shared" si="310"/>
        <v>10500000</v>
      </c>
      <c r="AA1032" s="13">
        <v>7.0699999999999999E-2</v>
      </c>
      <c r="AB1032" s="21">
        <f t="shared" si="306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1"/>
        <v>499582152.5142017</v>
      </c>
      <c r="AJ1032" s="19">
        <f t="shared" si="312"/>
        <v>59520528.679470733</v>
      </c>
      <c r="AK1032" s="20">
        <f t="shared" si="319"/>
        <v>0.11914062257814291</v>
      </c>
      <c r="AL1032" s="17"/>
      <c r="AM1032" s="17"/>
      <c r="AN1032" s="17"/>
      <c r="AO1032" s="17" t="s">
        <v>185</v>
      </c>
      <c r="AP1032" s="28" t="str">
        <f t="shared" si="320"/>
        <v>CancelCancel</v>
      </c>
      <c r="AQ1032" s="28" t="str">
        <f t="shared" si="321"/>
        <v>CancelCancelJPY</v>
      </c>
      <c r="AR1032" s="206" t="str">
        <f t="shared" si="322"/>
        <v>YAMAHA_Mounter</v>
      </c>
      <c r="AS1032" s="22" t="str">
        <f t="shared" si="323"/>
        <v/>
      </c>
      <c r="AT1032" s="24" t="str">
        <f t="shared" si="324"/>
        <v/>
      </c>
      <c r="AU1032" s="22" t="s">
        <v>3746</v>
      </c>
    </row>
    <row r="1033" spans="1:47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54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2451</v>
      </c>
      <c r="K1033" s="155" t="s">
        <v>2452</v>
      </c>
      <c r="L1033" s="17" t="s">
        <v>92</v>
      </c>
      <c r="M1033" s="13" t="s">
        <v>60</v>
      </c>
      <c r="N1033" s="13">
        <v>1</v>
      </c>
      <c r="O1033" s="13"/>
      <c r="P1033" s="33" t="str">
        <f t="shared" si="316"/>
        <v>MAIN UNIT</v>
      </c>
      <c r="Q1033" s="13" t="s">
        <v>61</v>
      </c>
      <c r="R1033" s="13" t="s">
        <v>62</v>
      </c>
      <c r="S1033" s="13" t="s">
        <v>50</v>
      </c>
      <c r="T1033" s="13" t="s">
        <v>83</v>
      </c>
      <c r="U1033" s="13" t="s">
        <v>70</v>
      </c>
      <c r="V1033" s="13" t="s">
        <v>169</v>
      </c>
      <c r="W1033" s="13" t="s">
        <v>64</v>
      </c>
      <c r="X1033" s="135">
        <v>930000</v>
      </c>
      <c r="Y1033" s="157" t="str">
        <f>IF(W1033="RMB","1.13", "1")</f>
        <v>1.13</v>
      </c>
      <c r="Z1033" s="18">
        <f t="shared" si="310"/>
        <v>930000</v>
      </c>
      <c r="AA1033" s="13">
        <v>1.1299999999999999</v>
      </c>
      <c r="AB1033" s="21">
        <f t="shared" si="306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1"/>
        <v>33543315.897345133</v>
      </c>
      <c r="AJ1033" s="19">
        <f t="shared" si="312"/>
        <v>4706169.3252984071</v>
      </c>
      <c r="AK1033" s="20">
        <f t="shared" si="319"/>
        <v>0.14030125523967318</v>
      </c>
      <c r="AL1033" s="17"/>
      <c r="AM1033" s="17"/>
      <c r="AN1033" s="17"/>
      <c r="AO1033" s="17"/>
      <c r="AP1033" s="28" t="str">
        <f t="shared" si="320"/>
        <v>20233</v>
      </c>
      <c r="AQ1033" s="28" t="str">
        <f t="shared" si="321"/>
        <v>20233RMB</v>
      </c>
      <c r="AR1033" s="206" t="str">
        <f t="shared" si="322"/>
        <v>YAMAHA_Mounter</v>
      </c>
      <c r="AS1033" s="22">
        <f t="shared" si="323"/>
        <v>0</v>
      </c>
      <c r="AT1033" s="24" t="str">
        <f t="shared" si="324"/>
        <v>0-3 months</v>
      </c>
      <c r="AU1033" s="22" t="s">
        <v>3240</v>
      </c>
    </row>
    <row r="1034" spans="1:47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48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2946</v>
      </c>
      <c r="K1034" s="155" t="s">
        <v>2452</v>
      </c>
      <c r="L1034" s="17" t="s">
        <v>2787</v>
      </c>
      <c r="M1034" s="13" t="s">
        <v>60</v>
      </c>
      <c r="N1034" s="13">
        <v>1</v>
      </c>
      <c r="O1034" s="13"/>
      <c r="P1034" s="33" t="str">
        <f t="shared" si="316"/>
        <v>MAIN UNIT</v>
      </c>
      <c r="Q1034" s="13" t="s">
        <v>61</v>
      </c>
      <c r="R1034" s="13" t="s">
        <v>2055</v>
      </c>
      <c r="S1034" s="13" t="s">
        <v>50</v>
      </c>
      <c r="T1034" s="13" t="s">
        <v>83</v>
      </c>
      <c r="U1034" s="13" t="s">
        <v>70</v>
      </c>
      <c r="V1034" s="13" t="s">
        <v>169</v>
      </c>
      <c r="W1034" s="13" t="s">
        <v>64</v>
      </c>
      <c r="X1034" s="135">
        <v>455000</v>
      </c>
      <c r="Y1034" s="157" t="str">
        <f>IF(W1034="RMB","1.13", "1")</f>
        <v>1.13</v>
      </c>
      <c r="Z1034" s="18">
        <f t="shared" si="310"/>
        <v>455000</v>
      </c>
      <c r="AA1034" s="13">
        <v>1.2</v>
      </c>
      <c r="AB1034" s="21">
        <f t="shared" si="306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1"/>
        <v>57778307.282035396</v>
      </c>
      <c r="AJ1034" s="19">
        <f t="shared" si="312"/>
        <v>7259860.7225420559</v>
      </c>
      <c r="AK1034" s="20">
        <f t="shared" si="319"/>
        <v>0.12565028406083667</v>
      </c>
      <c r="AL1034" s="17"/>
      <c r="AM1034" s="17"/>
      <c r="AN1034" s="17"/>
      <c r="AO1034" s="17"/>
      <c r="AP1034" s="28" t="str">
        <f t="shared" si="320"/>
        <v>20213</v>
      </c>
      <c r="AQ1034" s="28" t="str">
        <f t="shared" si="321"/>
        <v>20213RMB</v>
      </c>
      <c r="AR1034" s="206" t="str">
        <f t="shared" si="322"/>
        <v>YAMAHA_Non_Mounter</v>
      </c>
      <c r="AS1034" s="22">
        <f t="shared" si="323"/>
        <v>2</v>
      </c>
      <c r="AT1034" s="24" t="str">
        <f t="shared" si="324"/>
        <v>0-3 months</v>
      </c>
      <c r="AU1034" s="22" t="s">
        <v>3240</v>
      </c>
    </row>
    <row r="1035" spans="1:47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41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166</v>
      </c>
      <c r="K1035" s="155" t="s">
        <v>167</v>
      </c>
      <c r="L1035" s="17" t="s">
        <v>77</v>
      </c>
      <c r="M1035" s="13" t="s">
        <v>60</v>
      </c>
      <c r="N1035" s="13">
        <v>2</v>
      </c>
      <c r="O1035" s="13"/>
      <c r="P1035" s="33" t="str">
        <f t="shared" si="316"/>
        <v>MAIN UNIT</v>
      </c>
      <c r="Q1035" s="13" t="s">
        <v>61</v>
      </c>
      <c r="R1035" s="13" t="s">
        <v>62</v>
      </c>
      <c r="S1035" s="13" t="s">
        <v>50</v>
      </c>
      <c r="T1035" s="13" t="s">
        <v>168</v>
      </c>
      <c r="U1035" s="13" t="s">
        <v>70</v>
      </c>
      <c r="V1035" s="13" t="s">
        <v>169</v>
      </c>
      <c r="W1035" s="13" t="s">
        <v>64</v>
      </c>
      <c r="X1035" s="135">
        <v>725000</v>
      </c>
      <c r="Y1035" s="156">
        <v>1.17</v>
      </c>
      <c r="Z1035" s="18">
        <f t="shared" si="310"/>
        <v>1450000</v>
      </c>
      <c r="AA1035" s="13">
        <v>1.23</v>
      </c>
      <c r="AB1035" s="21">
        <f t="shared" si="306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1"/>
        <v>34109166.105589926</v>
      </c>
      <c r="AJ1035" s="19">
        <f t="shared" si="312"/>
        <v>4642032.7199573703</v>
      </c>
      <c r="AK1035" s="20">
        <f t="shared" si="319"/>
        <v>0.13609340977692849</v>
      </c>
      <c r="AL1035" s="17"/>
      <c r="AM1035" s="17"/>
      <c r="AN1035" s="17"/>
      <c r="AO1035" s="17" t="s">
        <v>170</v>
      </c>
      <c r="AP1035" s="28" t="str">
        <f t="shared" si="320"/>
        <v>20185</v>
      </c>
      <c r="AQ1035" s="28" t="str">
        <f t="shared" si="321"/>
        <v>20185RMB</v>
      </c>
      <c r="AR1035" s="206" t="str">
        <f t="shared" si="322"/>
        <v>YAMAHA_Mounter</v>
      </c>
      <c r="AS1035" s="22">
        <f t="shared" si="323"/>
        <v>5</v>
      </c>
      <c r="AT1035" s="24" t="str">
        <f t="shared" si="324"/>
        <v>4-6 months</v>
      </c>
      <c r="AU1035" s="22" t="s">
        <v>3240</v>
      </c>
    </row>
    <row r="1036" spans="1:47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41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166</v>
      </c>
      <c r="K1036" s="155" t="s">
        <v>167</v>
      </c>
      <c r="L1036" s="17" t="s">
        <v>59</v>
      </c>
      <c r="M1036" s="13" t="s">
        <v>60</v>
      </c>
      <c r="N1036" s="13">
        <v>2</v>
      </c>
      <c r="O1036" s="13"/>
      <c r="P1036" s="33" t="str">
        <f t="shared" si="316"/>
        <v>MAIN UNIT</v>
      </c>
      <c r="Q1036" s="13" t="s">
        <v>68</v>
      </c>
      <c r="R1036" s="13" t="s">
        <v>62</v>
      </c>
      <c r="S1036" s="13" t="s">
        <v>50</v>
      </c>
      <c r="T1036" s="13" t="s">
        <v>168</v>
      </c>
      <c r="U1036" s="13" t="s">
        <v>70</v>
      </c>
      <c r="V1036" s="13" t="s">
        <v>169</v>
      </c>
      <c r="W1036" s="13" t="s">
        <v>64</v>
      </c>
      <c r="X1036" s="135">
        <v>450000</v>
      </c>
      <c r="Y1036" s="156">
        <v>1.17</v>
      </c>
      <c r="Z1036" s="18">
        <f t="shared" si="310"/>
        <v>900000</v>
      </c>
      <c r="AA1036" s="13">
        <v>1.23</v>
      </c>
      <c r="AB1036" s="21">
        <f t="shared" si="306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1"/>
        <v>34109166.105589926</v>
      </c>
      <c r="AJ1036" s="19">
        <f t="shared" si="312"/>
        <v>4642032.7199573703</v>
      </c>
      <c r="AK1036" s="20">
        <f t="shared" si="319"/>
        <v>0.13609340977692849</v>
      </c>
      <c r="AL1036" s="17"/>
      <c r="AM1036" s="17"/>
      <c r="AN1036" s="17"/>
      <c r="AO1036" s="17" t="s">
        <v>170</v>
      </c>
      <c r="AP1036" s="28" t="str">
        <f t="shared" si="320"/>
        <v>20185</v>
      </c>
      <c r="AQ1036" s="28" t="str">
        <f t="shared" si="321"/>
        <v>20185RMB</v>
      </c>
      <c r="AR1036" s="206" t="str">
        <f t="shared" si="322"/>
        <v>YAMAHA_Mounter</v>
      </c>
      <c r="AS1036" s="22">
        <f t="shared" si="323"/>
        <v>5</v>
      </c>
      <c r="AT1036" s="24" t="str">
        <f t="shared" si="324"/>
        <v>4-6 months</v>
      </c>
      <c r="AU1036" s="22" t="s">
        <v>3240</v>
      </c>
    </row>
    <row r="1037" spans="1:47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54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2179</v>
      </c>
      <c r="K1037" s="155" t="s">
        <v>167</v>
      </c>
      <c r="L1037" s="17" t="s">
        <v>92</v>
      </c>
      <c r="M1037" s="13" t="s">
        <v>60</v>
      </c>
      <c r="N1037" s="13">
        <v>1</v>
      </c>
      <c r="O1037" s="13"/>
      <c r="P1037" s="33" t="str">
        <f t="shared" si="316"/>
        <v>MAIN UNIT</v>
      </c>
      <c r="Q1037" s="13" t="s">
        <v>61</v>
      </c>
      <c r="R1037" s="13" t="s">
        <v>62</v>
      </c>
      <c r="S1037" s="13" t="s">
        <v>50</v>
      </c>
      <c r="T1037" s="13" t="s">
        <v>93</v>
      </c>
      <c r="U1037" s="13" t="s">
        <v>70</v>
      </c>
      <c r="V1037" s="13" t="s">
        <v>169</v>
      </c>
      <c r="W1037" s="13" t="s">
        <v>64</v>
      </c>
      <c r="X1037" s="135">
        <v>1006130</v>
      </c>
      <c r="Y1037" s="157" t="str">
        <f>IF(W1037="RMB","1.13", "1")</f>
        <v>1.13</v>
      </c>
      <c r="Z1037" s="18">
        <f t="shared" si="310"/>
        <v>1006130</v>
      </c>
      <c r="AA1037" s="13">
        <v>1.175</v>
      </c>
      <c r="AB1037" s="21">
        <f t="shared" si="306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1"/>
        <v>35682787.057522126</v>
      </c>
      <c r="AJ1037" s="19">
        <f t="shared" si="312"/>
        <v>5833368.3789623892</v>
      </c>
      <c r="AK1037" s="20">
        <f t="shared" si="319"/>
        <v>0.16347849649632912</v>
      </c>
      <c r="AL1037" s="17"/>
      <c r="AM1037" s="17"/>
      <c r="AN1037" s="17"/>
      <c r="AO1037" s="17"/>
      <c r="AP1037" s="28" t="str">
        <f t="shared" si="320"/>
        <v>20226</v>
      </c>
      <c r="AQ1037" s="28" t="str">
        <f t="shared" si="321"/>
        <v>20226RMB</v>
      </c>
      <c r="AR1037" s="206" t="str">
        <f t="shared" si="322"/>
        <v>YAMAHA_Mounter</v>
      </c>
      <c r="AS1037" s="22">
        <f t="shared" si="323"/>
        <v>5</v>
      </c>
      <c r="AT1037" s="24" t="str">
        <f t="shared" si="324"/>
        <v>4-6 months</v>
      </c>
      <c r="AU1037" s="22" t="s">
        <v>3240</v>
      </c>
    </row>
    <row r="1038" spans="1:47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54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2251</v>
      </c>
      <c r="K1038" s="155" t="s">
        <v>167</v>
      </c>
      <c r="L1038" s="17" t="s">
        <v>67</v>
      </c>
      <c r="M1038" s="13" t="s">
        <v>60</v>
      </c>
      <c r="N1038" s="13">
        <v>1</v>
      </c>
      <c r="O1038" s="13"/>
      <c r="P1038" s="33" t="str">
        <f t="shared" si="316"/>
        <v>MAIN UNIT</v>
      </c>
      <c r="Q1038" s="13" t="s">
        <v>61</v>
      </c>
      <c r="R1038" s="13" t="s">
        <v>62</v>
      </c>
      <c r="S1038" s="13" t="s">
        <v>50</v>
      </c>
      <c r="T1038" s="13" t="s">
        <v>93</v>
      </c>
      <c r="U1038" s="13" t="s">
        <v>70</v>
      </c>
      <c r="V1038" s="13" t="s">
        <v>169</v>
      </c>
      <c r="W1038" s="13" t="s">
        <v>64</v>
      </c>
      <c r="X1038" s="135">
        <v>497000</v>
      </c>
      <c r="Y1038" s="157" t="str">
        <f>IF(W1038="RMB","1.13", "1")</f>
        <v>1.13</v>
      </c>
      <c r="Z1038" s="18">
        <f t="shared" si="310"/>
        <v>497000</v>
      </c>
      <c r="AA1038" s="13">
        <v>1.163</v>
      </c>
      <c r="AB1038" s="21">
        <f t="shared" si="306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1"/>
        <v>35073581.838938057</v>
      </c>
      <c r="AJ1038" s="19">
        <f t="shared" si="312"/>
        <v>5034113.9728989396</v>
      </c>
      <c r="AK1038" s="20">
        <f t="shared" si="319"/>
        <v>0.14353007902118958</v>
      </c>
      <c r="AL1038" s="17"/>
      <c r="AM1038" s="17"/>
      <c r="AN1038" s="17"/>
      <c r="AO1038" s="17"/>
      <c r="AP1038" s="28" t="str">
        <f t="shared" si="320"/>
        <v>20228</v>
      </c>
      <c r="AQ1038" s="28" t="str">
        <f t="shared" si="321"/>
        <v>20228RMB</v>
      </c>
      <c r="AR1038" s="206" t="str">
        <f t="shared" si="322"/>
        <v>YAMAHA_Mounter</v>
      </c>
      <c r="AS1038" s="22">
        <f t="shared" si="323"/>
        <v>2</v>
      </c>
      <c r="AT1038" s="24" t="str">
        <f t="shared" si="324"/>
        <v>0-3 months</v>
      </c>
      <c r="AU1038" s="22" t="s">
        <v>3240</v>
      </c>
    </row>
    <row r="1039" spans="1:47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54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2251</v>
      </c>
      <c r="K1039" s="155" t="s">
        <v>167</v>
      </c>
      <c r="L1039" s="17" t="s">
        <v>67</v>
      </c>
      <c r="M1039" s="13" t="s">
        <v>60</v>
      </c>
      <c r="N1039" s="13">
        <v>1</v>
      </c>
      <c r="O1039" s="13"/>
      <c r="P1039" s="33" t="str">
        <f t="shared" si="316"/>
        <v>MAIN UNIT</v>
      </c>
      <c r="Q1039" s="13" t="s">
        <v>61</v>
      </c>
      <c r="R1039" s="13" t="s">
        <v>62</v>
      </c>
      <c r="S1039" s="13" t="s">
        <v>50</v>
      </c>
      <c r="T1039" s="13" t="s">
        <v>93</v>
      </c>
      <c r="U1039" s="13" t="s">
        <v>70</v>
      </c>
      <c r="V1039" s="13" t="s">
        <v>169</v>
      </c>
      <c r="W1039" s="13" t="s">
        <v>64</v>
      </c>
      <c r="X1039" s="135">
        <v>497000</v>
      </c>
      <c r="Y1039" s="157" t="str">
        <f>IF(W1039="RMB","1.13", "1")</f>
        <v>1.13</v>
      </c>
      <c r="Z1039" s="18">
        <f t="shared" si="310"/>
        <v>497000</v>
      </c>
      <c r="AA1039" s="13">
        <v>1.163</v>
      </c>
      <c r="AB1039" s="21">
        <f t="shared" si="306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1"/>
        <v>35073581.838938057</v>
      </c>
      <c r="AJ1039" s="19">
        <f t="shared" si="312"/>
        <v>5034113.9728989396</v>
      </c>
      <c r="AK1039" s="20">
        <f t="shared" si="319"/>
        <v>0.14353007902118958</v>
      </c>
      <c r="AL1039" s="17"/>
      <c r="AM1039" s="17"/>
      <c r="AN1039" s="17"/>
      <c r="AO1039" s="17"/>
      <c r="AP1039" s="28" t="str">
        <f t="shared" si="320"/>
        <v>20228</v>
      </c>
      <c r="AQ1039" s="28" t="str">
        <f t="shared" si="321"/>
        <v>20228RMB</v>
      </c>
      <c r="AR1039" s="206" t="str">
        <f t="shared" si="322"/>
        <v>YAMAHA_Mounter</v>
      </c>
      <c r="AS1039" s="22">
        <f t="shared" si="323"/>
        <v>2</v>
      </c>
      <c r="AT1039" s="24" t="str">
        <f t="shared" si="324"/>
        <v>0-3 months</v>
      </c>
      <c r="AU1039" s="22" t="s">
        <v>3240</v>
      </c>
    </row>
    <row r="1040" spans="1:47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54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2251</v>
      </c>
      <c r="K1040" s="155" t="s">
        <v>167</v>
      </c>
      <c r="L1040" s="17" t="s">
        <v>92</v>
      </c>
      <c r="M1040" s="13" t="s">
        <v>60</v>
      </c>
      <c r="N1040" s="13">
        <v>1</v>
      </c>
      <c r="O1040" s="13"/>
      <c r="P1040" s="33" t="str">
        <f t="shared" si="316"/>
        <v>MAIN UNIT</v>
      </c>
      <c r="Q1040" s="13" t="s">
        <v>61</v>
      </c>
      <c r="R1040" s="13" t="s">
        <v>62</v>
      </c>
      <c r="S1040" s="13" t="s">
        <v>50</v>
      </c>
      <c r="T1040" s="13" t="s">
        <v>93</v>
      </c>
      <c r="U1040" s="13" t="s">
        <v>70</v>
      </c>
      <c r="V1040" s="13" t="s">
        <v>169</v>
      </c>
      <c r="W1040" s="13" t="s">
        <v>64</v>
      </c>
      <c r="X1040" s="135">
        <v>956030</v>
      </c>
      <c r="Y1040" s="157" t="str">
        <f>IF(W1040="RMB","1.13", "1")</f>
        <v>1.13</v>
      </c>
      <c r="Z1040" s="18">
        <f t="shared" si="310"/>
        <v>956030</v>
      </c>
      <c r="AA1040" s="13">
        <v>1.163</v>
      </c>
      <c r="AB1040" s="21">
        <f t="shared" si="306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1"/>
        <v>35073581.838938057</v>
      </c>
      <c r="AJ1040" s="19">
        <f t="shared" si="312"/>
        <v>5034113.9728989396</v>
      </c>
      <c r="AK1040" s="20">
        <f t="shared" si="319"/>
        <v>0.14353007902118958</v>
      </c>
      <c r="AL1040" s="17"/>
      <c r="AM1040" s="17"/>
      <c r="AN1040" s="17"/>
      <c r="AO1040" s="17"/>
      <c r="AP1040" s="28" t="str">
        <f t="shared" si="320"/>
        <v>20228</v>
      </c>
      <c r="AQ1040" s="28" t="str">
        <f t="shared" si="321"/>
        <v>20228RMB</v>
      </c>
      <c r="AR1040" s="206" t="str">
        <f t="shared" si="322"/>
        <v>YAMAHA_Mounter</v>
      </c>
      <c r="AS1040" s="22">
        <f t="shared" si="323"/>
        <v>2</v>
      </c>
      <c r="AT1040" s="24" t="str">
        <f t="shared" si="324"/>
        <v>0-3 months</v>
      </c>
      <c r="AU1040" s="22" t="s">
        <v>3240</v>
      </c>
    </row>
    <row r="1041" spans="1:47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54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2251</v>
      </c>
      <c r="K1041" s="155" t="s">
        <v>167</v>
      </c>
      <c r="L1041" s="17" t="s">
        <v>92</v>
      </c>
      <c r="M1041" s="13" t="s">
        <v>60</v>
      </c>
      <c r="N1041" s="13">
        <v>1</v>
      </c>
      <c r="O1041" s="13"/>
      <c r="P1041" s="33" t="str">
        <f t="shared" si="316"/>
        <v>MAIN UNIT</v>
      </c>
      <c r="Q1041" s="13" t="s">
        <v>61</v>
      </c>
      <c r="R1041" s="13" t="s">
        <v>62</v>
      </c>
      <c r="S1041" s="13" t="s">
        <v>50</v>
      </c>
      <c r="T1041" s="13" t="s">
        <v>93</v>
      </c>
      <c r="U1041" s="13" t="s">
        <v>70</v>
      </c>
      <c r="V1041" s="13" t="s">
        <v>169</v>
      </c>
      <c r="W1041" s="13" t="s">
        <v>64</v>
      </c>
      <c r="X1041" s="135">
        <v>956030</v>
      </c>
      <c r="Y1041" s="157" t="str">
        <f>IF(W1041="RMB","1.13", "1")</f>
        <v>1.13</v>
      </c>
      <c r="Z1041" s="18">
        <f t="shared" si="310"/>
        <v>956030</v>
      </c>
      <c r="AA1041" s="13">
        <v>1.163</v>
      </c>
      <c r="AB1041" s="21">
        <f t="shared" si="306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1"/>
        <v>35073581.838938057</v>
      </c>
      <c r="AJ1041" s="19">
        <f t="shared" si="312"/>
        <v>5034113.9728989396</v>
      </c>
      <c r="AK1041" s="20">
        <f t="shared" si="319"/>
        <v>0.14353007902118958</v>
      </c>
      <c r="AL1041" s="17"/>
      <c r="AM1041" s="17"/>
      <c r="AN1041" s="17"/>
      <c r="AO1041" s="17"/>
      <c r="AP1041" s="28" t="str">
        <f t="shared" si="320"/>
        <v>20228</v>
      </c>
      <c r="AQ1041" s="28" t="str">
        <f t="shared" si="321"/>
        <v>20228RMB</v>
      </c>
      <c r="AR1041" s="206" t="str">
        <f t="shared" si="322"/>
        <v>YAMAHA_Mounter</v>
      </c>
      <c r="AS1041" s="22">
        <f t="shared" si="323"/>
        <v>2</v>
      </c>
      <c r="AT1041" s="24" t="str">
        <f t="shared" si="324"/>
        <v>0-3 months</v>
      </c>
      <c r="AU1041" s="22" t="s">
        <v>3240</v>
      </c>
    </row>
    <row r="1042" spans="1:47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41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166</v>
      </c>
      <c r="K1042" s="155" t="s">
        <v>167</v>
      </c>
      <c r="L1042" s="17" t="s">
        <v>2780</v>
      </c>
      <c r="M1042" s="13" t="s">
        <v>60</v>
      </c>
      <c r="N1042" s="13">
        <v>2</v>
      </c>
      <c r="O1042" s="13"/>
      <c r="P1042" s="33" t="str">
        <f t="shared" si="316"/>
        <v>MAIN UNIT</v>
      </c>
      <c r="Q1042" s="13" t="s">
        <v>61</v>
      </c>
      <c r="R1042" s="13" t="s">
        <v>2055</v>
      </c>
      <c r="S1042" s="13" t="s">
        <v>50</v>
      </c>
      <c r="T1042" s="13" t="s">
        <v>168</v>
      </c>
      <c r="U1042" s="13" t="s">
        <v>70</v>
      </c>
      <c r="V1042" s="13" t="s">
        <v>169</v>
      </c>
      <c r="W1042" s="13" t="s">
        <v>64</v>
      </c>
      <c r="X1042" s="135">
        <v>410000</v>
      </c>
      <c r="Y1042" s="156">
        <v>1.17</v>
      </c>
      <c r="Z1042" s="18">
        <f t="shared" si="310"/>
        <v>820000</v>
      </c>
      <c r="AA1042" s="13">
        <v>1.23</v>
      </c>
      <c r="AB1042" s="21">
        <f t="shared" si="306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1"/>
        <v>34109166.105589926</v>
      </c>
      <c r="AJ1042" s="19">
        <f t="shared" si="312"/>
        <v>4642032.7199573703</v>
      </c>
      <c r="AK1042" s="20">
        <f t="shared" si="319"/>
        <v>0.13609340977692849</v>
      </c>
      <c r="AL1042" s="17"/>
      <c r="AM1042" s="17"/>
      <c r="AN1042" s="17"/>
      <c r="AO1042" s="17" t="s">
        <v>170</v>
      </c>
      <c r="AP1042" s="28" t="str">
        <f t="shared" si="320"/>
        <v>20185</v>
      </c>
      <c r="AQ1042" s="28" t="str">
        <f t="shared" si="321"/>
        <v>20185RMB</v>
      </c>
      <c r="AR1042" s="206" t="str">
        <f t="shared" si="322"/>
        <v>YAMAHA_Non_Mounter</v>
      </c>
      <c r="AS1042" s="22">
        <f t="shared" si="323"/>
        <v>5</v>
      </c>
      <c r="AT1042" s="24" t="str">
        <f t="shared" si="324"/>
        <v>4-6 months</v>
      </c>
      <c r="AU1042" s="22" t="s">
        <v>3240</v>
      </c>
    </row>
    <row r="1043" spans="1:47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41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166</v>
      </c>
      <c r="K1043" s="155" t="s">
        <v>167</v>
      </c>
      <c r="L1043" s="17" t="s">
        <v>2787</v>
      </c>
      <c r="M1043" s="13" t="s">
        <v>60</v>
      </c>
      <c r="N1043" s="13">
        <v>2</v>
      </c>
      <c r="O1043" s="13"/>
      <c r="P1043" s="33" t="str">
        <f t="shared" si="316"/>
        <v>MAIN UNIT</v>
      </c>
      <c r="Q1043" s="13" t="s">
        <v>61</v>
      </c>
      <c r="R1043" s="13" t="s">
        <v>2055</v>
      </c>
      <c r="S1043" s="13" t="s">
        <v>50</v>
      </c>
      <c r="T1043" s="13" t="s">
        <v>168</v>
      </c>
      <c r="U1043" s="13" t="s">
        <v>70</v>
      </c>
      <c r="V1043" s="13" t="s">
        <v>169</v>
      </c>
      <c r="W1043" s="13" t="s">
        <v>64</v>
      </c>
      <c r="X1043" s="135">
        <v>545000</v>
      </c>
      <c r="Y1043" s="156">
        <v>1.17</v>
      </c>
      <c r="Z1043" s="18">
        <f t="shared" si="310"/>
        <v>1090000</v>
      </c>
      <c r="AA1043" s="13">
        <v>1.23</v>
      </c>
      <c r="AB1043" s="21">
        <f t="shared" si="306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1"/>
        <v>34109166.105589926</v>
      </c>
      <c r="AJ1043" s="19">
        <f t="shared" si="312"/>
        <v>4642032.7199573703</v>
      </c>
      <c r="AK1043" s="20">
        <f t="shared" si="319"/>
        <v>0.13609340977692849</v>
      </c>
      <c r="AL1043" s="17"/>
      <c r="AM1043" s="17"/>
      <c r="AN1043" s="17"/>
      <c r="AO1043" s="17" t="s">
        <v>170</v>
      </c>
      <c r="AP1043" s="28" t="str">
        <f t="shared" si="320"/>
        <v>20185</v>
      </c>
      <c r="AQ1043" s="28" t="str">
        <f t="shared" si="321"/>
        <v>20185RMB</v>
      </c>
      <c r="AR1043" s="206" t="str">
        <f t="shared" si="322"/>
        <v>YAMAHA_Non_Mounter</v>
      </c>
      <c r="AS1043" s="22">
        <f t="shared" si="323"/>
        <v>5</v>
      </c>
      <c r="AT1043" s="24" t="str">
        <f t="shared" si="324"/>
        <v>4-6 months</v>
      </c>
      <c r="AU1043" s="22" t="s">
        <v>3240</v>
      </c>
    </row>
    <row r="1044" spans="1:47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41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166</v>
      </c>
      <c r="K1044" s="155" t="s">
        <v>167</v>
      </c>
      <c r="L1044" s="17" t="s">
        <v>516</v>
      </c>
      <c r="M1044" s="13" t="s">
        <v>60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68</v>
      </c>
      <c r="R1044" s="13" t="s">
        <v>62</v>
      </c>
      <c r="S1044" s="13" t="s">
        <v>50</v>
      </c>
      <c r="T1044" s="13" t="s">
        <v>168</v>
      </c>
      <c r="U1044" s="13" t="s">
        <v>70</v>
      </c>
      <c r="V1044" s="13" t="s">
        <v>169</v>
      </c>
      <c r="W1044" s="13" t="s">
        <v>64</v>
      </c>
      <c r="X1044" s="135">
        <v>289200</v>
      </c>
      <c r="Y1044" s="156">
        <v>1.17</v>
      </c>
      <c r="Z1044" s="18">
        <f t="shared" si="310"/>
        <v>289200</v>
      </c>
      <c r="AA1044" s="13">
        <v>1.23</v>
      </c>
      <c r="AB1044" s="21">
        <f t="shared" si="306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1"/>
        <v>34109166.105589926</v>
      </c>
      <c r="AJ1044" s="19">
        <f t="shared" si="312"/>
        <v>4642032.7199573703</v>
      </c>
      <c r="AK1044" s="20">
        <f t="shared" si="319"/>
        <v>0.13609340977692849</v>
      </c>
      <c r="AL1044" s="17"/>
      <c r="AM1044" s="17"/>
      <c r="AN1044" s="17"/>
      <c r="AO1044" s="17"/>
      <c r="AP1044" s="28" t="str">
        <f t="shared" si="320"/>
        <v>20185</v>
      </c>
      <c r="AQ1044" s="28" t="str">
        <f t="shared" si="321"/>
        <v>20185RMB</v>
      </c>
      <c r="AR1044" s="206" t="str">
        <f t="shared" si="322"/>
        <v>YAMAHA_Mounter</v>
      </c>
      <c r="AS1044" s="22">
        <f t="shared" si="323"/>
        <v>5</v>
      </c>
      <c r="AT1044" s="24" t="str">
        <f t="shared" si="324"/>
        <v>4-6 months</v>
      </c>
      <c r="AU1044" s="22" t="s">
        <v>3240</v>
      </c>
    </row>
    <row r="1045" spans="1:47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41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166</v>
      </c>
      <c r="K1045" s="155" t="s">
        <v>167</v>
      </c>
      <c r="L1045" s="17" t="s">
        <v>2788</v>
      </c>
      <c r="M1045" s="13" t="s">
        <v>2607</v>
      </c>
      <c r="N1045" s="13">
        <v>2</v>
      </c>
      <c r="O1045" s="13"/>
      <c r="P1045" s="33" t="str">
        <f t="shared" si="316"/>
        <v>MAIN UNIT</v>
      </c>
      <c r="Q1045" s="13" t="s">
        <v>61</v>
      </c>
      <c r="R1045" s="13" t="s">
        <v>2055</v>
      </c>
      <c r="S1045" s="13" t="s">
        <v>50</v>
      </c>
      <c r="T1045" s="13" t="s">
        <v>168</v>
      </c>
      <c r="U1045" s="13" t="s">
        <v>70</v>
      </c>
      <c r="V1045" s="13" t="s">
        <v>169</v>
      </c>
      <c r="W1045" s="13" t="s">
        <v>64</v>
      </c>
      <c r="X1045" s="135">
        <v>270000</v>
      </c>
      <c r="Y1045" s="156">
        <v>1.17</v>
      </c>
      <c r="Z1045" s="18">
        <f t="shared" si="310"/>
        <v>540000</v>
      </c>
      <c r="AA1045" s="13">
        <v>1.23</v>
      </c>
      <c r="AB1045" s="21">
        <f t="shared" si="306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1"/>
        <v>34109166.105589926</v>
      </c>
      <c r="AJ1045" s="19">
        <f t="shared" si="312"/>
        <v>4642032.7199573703</v>
      </c>
      <c r="AK1045" s="20">
        <f t="shared" si="319"/>
        <v>0.13609340977692849</v>
      </c>
      <c r="AL1045" s="17"/>
      <c r="AM1045" s="17"/>
      <c r="AN1045" s="17"/>
      <c r="AO1045" s="17" t="s">
        <v>170</v>
      </c>
      <c r="AP1045" s="28" t="str">
        <f t="shared" si="320"/>
        <v>20185</v>
      </c>
      <c r="AQ1045" s="28" t="str">
        <f t="shared" si="321"/>
        <v>20185RMB</v>
      </c>
      <c r="AR1045" s="206" t="str">
        <f t="shared" si="322"/>
        <v>HELLER</v>
      </c>
      <c r="AS1045" s="22">
        <f t="shared" si="323"/>
        <v>5</v>
      </c>
      <c r="AT1045" s="24" t="str">
        <f t="shared" si="324"/>
        <v>4-6 months</v>
      </c>
      <c r="AU1045" s="22" t="s">
        <v>3240</v>
      </c>
    </row>
    <row r="1046" spans="1:47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47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2880</v>
      </c>
      <c r="K1046" s="155" t="s">
        <v>167</v>
      </c>
      <c r="L1046" s="17" t="s">
        <v>2881</v>
      </c>
      <c r="M1046" s="13" t="s">
        <v>60</v>
      </c>
      <c r="N1046" s="13">
        <v>1</v>
      </c>
      <c r="O1046" s="13"/>
      <c r="P1046" s="33" t="str">
        <f t="shared" si="316"/>
        <v>MAIN UNIT</v>
      </c>
      <c r="Q1046" s="13" t="s">
        <v>61</v>
      </c>
      <c r="R1046" s="13" t="s">
        <v>2055</v>
      </c>
      <c r="S1046" s="13" t="s">
        <v>50</v>
      </c>
      <c r="T1046" s="13" t="s">
        <v>93</v>
      </c>
      <c r="U1046" s="13" t="s">
        <v>70</v>
      </c>
      <c r="V1046" s="13" t="s">
        <v>169</v>
      </c>
      <c r="W1046" s="13" t="s">
        <v>64</v>
      </c>
      <c r="X1046" s="135">
        <v>2435344</v>
      </c>
      <c r="Y1046" s="156">
        <v>1.1299999999999999</v>
      </c>
      <c r="Z1046" s="18">
        <f t="shared" si="310"/>
        <v>2435344</v>
      </c>
      <c r="AA1046" s="13">
        <v>1.095</v>
      </c>
      <c r="AB1046" s="21">
        <f t="shared" si="306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1"/>
        <v>37599388.802345134</v>
      </c>
      <c r="AJ1046" s="19">
        <f t="shared" si="312"/>
        <v>4866784.3630338367</v>
      </c>
      <c r="AK1046" s="20">
        <f t="shared" si="319"/>
        <v>0.12943785838163113</v>
      </c>
      <c r="AL1046" s="17"/>
      <c r="AM1046" s="17"/>
      <c r="AN1046" s="17"/>
      <c r="AO1046" s="17"/>
      <c r="AP1046" s="28" t="str">
        <f t="shared" si="320"/>
        <v>20199</v>
      </c>
      <c r="AQ1046" s="28" t="str">
        <f t="shared" si="321"/>
        <v>20199RMB</v>
      </c>
      <c r="AR1046" s="206" t="str">
        <f t="shared" si="322"/>
        <v>YAMAHA_Non_Mounter</v>
      </c>
      <c r="AS1046" s="22">
        <f t="shared" si="323"/>
        <v>7</v>
      </c>
      <c r="AT1046" s="24" t="str">
        <f t="shared" si="324"/>
        <v>&gt; 6 months</v>
      </c>
      <c r="AU1046" s="22" t="s">
        <v>3240</v>
      </c>
    </row>
    <row r="1047" spans="1:47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54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2251</v>
      </c>
      <c r="K1047" s="155" t="s">
        <v>167</v>
      </c>
      <c r="L1047" s="17" t="s">
        <v>2611</v>
      </c>
      <c r="M1047" s="13" t="s">
        <v>2607</v>
      </c>
      <c r="N1047" s="13">
        <v>1</v>
      </c>
      <c r="O1047" s="13"/>
      <c r="P1047" s="33" t="str">
        <f t="shared" si="316"/>
        <v>MAIN UNIT</v>
      </c>
      <c r="Q1047" s="13" t="s">
        <v>61</v>
      </c>
      <c r="R1047" s="13" t="s">
        <v>2055</v>
      </c>
      <c r="S1047" s="13" t="s">
        <v>50</v>
      </c>
      <c r="T1047" s="13" t="s">
        <v>93</v>
      </c>
      <c r="U1047" s="13" t="s">
        <v>70</v>
      </c>
      <c r="V1047" s="13" t="s">
        <v>169</v>
      </c>
      <c r="W1047" s="13" t="s">
        <v>64</v>
      </c>
      <c r="X1047" s="135">
        <v>283000</v>
      </c>
      <c r="Y1047" s="157" t="str">
        <f>IF(W1047="RMB","1.13", "1")</f>
        <v>1.13</v>
      </c>
      <c r="Z1047" s="18">
        <f t="shared" si="310"/>
        <v>283000</v>
      </c>
      <c r="AA1047" s="13">
        <v>1.163</v>
      </c>
      <c r="AB1047" s="21">
        <f t="shared" si="306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1"/>
        <v>35073581.838938057</v>
      </c>
      <c r="AJ1047" s="19">
        <f t="shared" si="312"/>
        <v>5034113.9728989396</v>
      </c>
      <c r="AK1047" s="20">
        <f t="shared" si="319"/>
        <v>0.14353007902118958</v>
      </c>
      <c r="AL1047" s="17"/>
      <c r="AM1047" s="17"/>
      <c r="AN1047" s="17"/>
      <c r="AO1047" s="17"/>
      <c r="AP1047" s="28" t="str">
        <f t="shared" si="320"/>
        <v>20228</v>
      </c>
      <c r="AQ1047" s="28" t="str">
        <f t="shared" si="321"/>
        <v>20228RMB</v>
      </c>
      <c r="AR1047" s="206" t="str">
        <f t="shared" si="322"/>
        <v>HELLER</v>
      </c>
      <c r="AS1047" s="22">
        <f t="shared" si="323"/>
        <v>2</v>
      </c>
      <c r="AT1047" s="24" t="str">
        <f t="shared" si="324"/>
        <v>0-3 months</v>
      </c>
      <c r="AU1047" s="22" t="s">
        <v>3240</v>
      </c>
    </row>
    <row r="1048" spans="1:47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54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2251</v>
      </c>
      <c r="K1048" s="155" t="s">
        <v>167</v>
      </c>
      <c r="L1048" s="17" t="s">
        <v>2611</v>
      </c>
      <c r="M1048" s="13" t="s">
        <v>2607</v>
      </c>
      <c r="N1048" s="13">
        <v>1</v>
      </c>
      <c r="O1048" s="13"/>
      <c r="P1048" s="33" t="str">
        <f t="shared" si="316"/>
        <v>MAIN UNIT</v>
      </c>
      <c r="Q1048" s="13" t="s">
        <v>61</v>
      </c>
      <c r="R1048" s="13" t="s">
        <v>2055</v>
      </c>
      <c r="S1048" s="13" t="s">
        <v>50</v>
      </c>
      <c r="T1048" s="13" t="s">
        <v>93</v>
      </c>
      <c r="U1048" s="13" t="s">
        <v>70</v>
      </c>
      <c r="V1048" s="13" t="s">
        <v>169</v>
      </c>
      <c r="W1048" s="13" t="s">
        <v>64</v>
      </c>
      <c r="X1048" s="135">
        <v>283000</v>
      </c>
      <c r="Y1048" s="157" t="str">
        <f>IF(W1048="RMB","1.13", "1")</f>
        <v>1.13</v>
      </c>
      <c r="Z1048" s="18">
        <f t="shared" si="310"/>
        <v>283000</v>
      </c>
      <c r="AA1048" s="13">
        <v>1.163</v>
      </c>
      <c r="AB1048" s="21">
        <f t="shared" si="306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1"/>
        <v>35073581.838938057</v>
      </c>
      <c r="AJ1048" s="19">
        <f t="shared" si="312"/>
        <v>5034113.9728989396</v>
      </c>
      <c r="AK1048" s="20">
        <f t="shared" si="319"/>
        <v>0.14353007902118958</v>
      </c>
      <c r="AL1048" s="17"/>
      <c r="AM1048" s="17"/>
      <c r="AN1048" s="17"/>
      <c r="AO1048" s="17"/>
      <c r="AP1048" s="28" t="str">
        <f t="shared" si="320"/>
        <v>20228</v>
      </c>
      <c r="AQ1048" s="28" t="str">
        <f t="shared" si="321"/>
        <v>20228RMB</v>
      </c>
      <c r="AR1048" s="206" t="str">
        <f t="shared" si="322"/>
        <v>HELLER</v>
      </c>
      <c r="AS1048" s="22">
        <f t="shared" si="323"/>
        <v>2</v>
      </c>
      <c r="AT1048" s="24" t="str">
        <f t="shared" si="324"/>
        <v>0-3 months</v>
      </c>
      <c r="AU1048" s="22" t="s">
        <v>3240</v>
      </c>
    </row>
    <row r="1049" spans="1:47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47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1022</v>
      </c>
      <c r="K1049" s="155" t="s">
        <v>1023</v>
      </c>
      <c r="L1049" s="17" t="s">
        <v>67</v>
      </c>
      <c r="M1049" s="13" t="s">
        <v>60</v>
      </c>
      <c r="N1049" s="13">
        <v>1</v>
      </c>
      <c r="O1049" s="13"/>
      <c r="P1049" s="33" t="str">
        <f t="shared" si="316"/>
        <v>MAIN UNIT</v>
      </c>
      <c r="Q1049" s="13" t="s">
        <v>61</v>
      </c>
      <c r="R1049" s="13" t="s">
        <v>62</v>
      </c>
      <c r="S1049" s="13" t="s">
        <v>50</v>
      </c>
      <c r="T1049" s="13" t="s">
        <v>93</v>
      </c>
      <c r="U1049" s="13" t="s">
        <v>70</v>
      </c>
      <c r="V1049" s="13" t="s">
        <v>169</v>
      </c>
      <c r="W1049" s="13" t="s">
        <v>64</v>
      </c>
      <c r="X1049" s="135">
        <v>560000</v>
      </c>
      <c r="Y1049" s="156">
        <v>1.1299999999999999</v>
      </c>
      <c r="Z1049" s="18">
        <f t="shared" si="310"/>
        <v>560000</v>
      </c>
      <c r="AA1049" s="13">
        <v>1.095</v>
      </c>
      <c r="AB1049" s="21">
        <f t="shared" si="306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1"/>
        <v>23168285.927433632</v>
      </c>
      <c r="AJ1049" s="19">
        <f t="shared" si="312"/>
        <v>2764878.916878053</v>
      </c>
      <c r="AK1049" s="20">
        <f t="shared" si="319"/>
        <v>0.11933895004309111</v>
      </c>
      <c r="AL1049" s="17"/>
      <c r="AM1049" s="17"/>
      <c r="AN1049" s="17"/>
      <c r="AO1049" s="17"/>
      <c r="AP1049" s="28" t="str">
        <f t="shared" si="320"/>
        <v>20203</v>
      </c>
      <c r="AQ1049" s="28" t="str">
        <f t="shared" si="321"/>
        <v>20203RMB</v>
      </c>
      <c r="AR1049" s="206" t="str">
        <f t="shared" si="322"/>
        <v>YAMAHA_Mounter</v>
      </c>
      <c r="AS1049" s="22">
        <f t="shared" si="323"/>
        <v>3</v>
      </c>
      <c r="AT1049" s="24" t="str">
        <f t="shared" si="324"/>
        <v>0-3 months</v>
      </c>
      <c r="AU1049" s="22" t="s">
        <v>3240</v>
      </c>
    </row>
    <row r="1050" spans="1:47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47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1022</v>
      </c>
      <c r="K1050" s="155" t="s">
        <v>1023</v>
      </c>
      <c r="L1050" s="17" t="s">
        <v>92</v>
      </c>
      <c r="M1050" s="13" t="s">
        <v>60</v>
      </c>
      <c r="N1050" s="13">
        <v>1</v>
      </c>
      <c r="O1050" s="13"/>
      <c r="P1050" s="33" t="str">
        <f t="shared" si="316"/>
        <v>MAIN UNIT</v>
      </c>
      <c r="Q1050" s="13" t="s">
        <v>61</v>
      </c>
      <c r="R1050" s="13" t="s">
        <v>62</v>
      </c>
      <c r="S1050" s="13" t="s">
        <v>50</v>
      </c>
      <c r="T1050" s="13" t="s">
        <v>93</v>
      </c>
      <c r="U1050" s="13" t="s">
        <v>70</v>
      </c>
      <c r="V1050" s="13" t="s">
        <v>169</v>
      </c>
      <c r="W1050" s="13" t="s">
        <v>64</v>
      </c>
      <c r="X1050" s="135">
        <v>979199</v>
      </c>
      <c r="Y1050" s="156">
        <v>1.1299999999999999</v>
      </c>
      <c r="Z1050" s="18">
        <f t="shared" si="310"/>
        <v>979199</v>
      </c>
      <c r="AA1050" s="13">
        <v>1.095</v>
      </c>
      <c r="AB1050" s="21">
        <f t="shared" si="306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1"/>
        <v>23168285.927433632</v>
      </c>
      <c r="AJ1050" s="19">
        <f t="shared" si="312"/>
        <v>2764878.916878053</v>
      </c>
      <c r="AK1050" s="20">
        <f t="shared" si="319"/>
        <v>0.11933895004309111</v>
      </c>
      <c r="AL1050" s="17"/>
      <c r="AM1050" s="17"/>
      <c r="AN1050" s="17"/>
      <c r="AO1050" s="17"/>
      <c r="AP1050" s="28" t="str">
        <f t="shared" si="320"/>
        <v>20203</v>
      </c>
      <c r="AQ1050" s="28" t="str">
        <f t="shared" si="321"/>
        <v>20203RMB</v>
      </c>
      <c r="AR1050" s="206" t="str">
        <f t="shared" si="322"/>
        <v>YAMAHA_Mounter</v>
      </c>
      <c r="AS1050" s="22">
        <f t="shared" si="323"/>
        <v>3</v>
      </c>
      <c r="AT1050" s="24" t="str">
        <f t="shared" si="324"/>
        <v>0-3 months</v>
      </c>
      <c r="AU1050" s="22" t="s">
        <v>3240</v>
      </c>
    </row>
    <row r="1051" spans="1:47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47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2863</v>
      </c>
      <c r="K1051" s="155" t="s">
        <v>1023</v>
      </c>
      <c r="L1051" s="17" t="s">
        <v>2780</v>
      </c>
      <c r="M1051" s="13" t="s">
        <v>60</v>
      </c>
      <c r="N1051" s="13">
        <v>1</v>
      </c>
      <c r="O1051" s="13"/>
      <c r="P1051" s="33" t="str">
        <f t="shared" si="316"/>
        <v>MAIN UNIT</v>
      </c>
      <c r="Q1051" s="13" t="s">
        <v>61</v>
      </c>
      <c r="R1051" s="13" t="s">
        <v>2055</v>
      </c>
      <c r="S1051" s="13" t="s">
        <v>50</v>
      </c>
      <c r="T1051" s="13" t="s">
        <v>93</v>
      </c>
      <c r="U1051" s="13" t="s">
        <v>70</v>
      </c>
      <c r="V1051" s="13" t="s">
        <v>169</v>
      </c>
      <c r="W1051" s="13" t="s">
        <v>64</v>
      </c>
      <c r="X1051" s="135">
        <v>418879</v>
      </c>
      <c r="Y1051" s="156">
        <v>1.1299999999999999</v>
      </c>
      <c r="Z1051" s="18">
        <f t="shared" si="310"/>
        <v>418879</v>
      </c>
      <c r="AA1051" s="13">
        <v>1.135</v>
      </c>
      <c r="AB1051" s="21">
        <f t="shared" ref="AB1051:AB1114" si="325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1"/>
        <v>31296887.037898075</v>
      </c>
      <c r="AJ1051" s="19">
        <f t="shared" si="312"/>
        <v>3588873.9502021763</v>
      </c>
      <c r="AK1051" s="20">
        <f t="shared" si="319"/>
        <v>0.11467191436184473</v>
      </c>
      <c r="AL1051" s="17"/>
      <c r="AM1051" s="17"/>
      <c r="AN1051" s="17"/>
      <c r="AO1051" s="17"/>
      <c r="AP1051" s="28" t="str">
        <f t="shared" si="320"/>
        <v>20196</v>
      </c>
      <c r="AQ1051" s="28" t="str">
        <f t="shared" si="321"/>
        <v>20196RMB</v>
      </c>
      <c r="AR1051" s="206" t="str">
        <f t="shared" si="322"/>
        <v>YAMAHA_Non_Mounter</v>
      </c>
      <c r="AS1051" s="22">
        <f t="shared" si="323"/>
        <v>5</v>
      </c>
      <c r="AT1051" s="24" t="str">
        <f t="shared" si="324"/>
        <v>4-6 months</v>
      </c>
      <c r="AU1051" s="22" t="s">
        <v>3240</v>
      </c>
    </row>
    <row r="1052" spans="1:47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47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2863</v>
      </c>
      <c r="K1052" s="155" t="s">
        <v>1023</v>
      </c>
      <c r="L1052" s="17" t="s">
        <v>2864</v>
      </c>
      <c r="M1052" s="13" t="s">
        <v>2607</v>
      </c>
      <c r="N1052" s="13">
        <v>1</v>
      </c>
      <c r="O1052" s="13"/>
      <c r="P1052" s="33" t="str">
        <f t="shared" si="316"/>
        <v>MAIN UNIT</v>
      </c>
      <c r="Q1052" s="13" t="s">
        <v>61</v>
      </c>
      <c r="R1052" s="13" t="s">
        <v>2055</v>
      </c>
      <c r="S1052" s="13" t="s">
        <v>50</v>
      </c>
      <c r="T1052" s="13" t="s">
        <v>93</v>
      </c>
      <c r="U1052" s="13" t="s">
        <v>70</v>
      </c>
      <c r="V1052" s="13" t="s">
        <v>169</v>
      </c>
      <c r="W1052" s="13" t="s">
        <v>64</v>
      </c>
      <c r="X1052" s="135">
        <v>1656034</v>
      </c>
      <c r="Y1052" s="156">
        <v>1.1299999999999999</v>
      </c>
      <c r="Z1052" s="18">
        <f t="shared" si="310"/>
        <v>1656034</v>
      </c>
      <c r="AA1052" s="13">
        <v>1.135</v>
      </c>
      <c r="AB1052" s="21">
        <f t="shared" si="325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1"/>
        <v>31296887.037898075</v>
      </c>
      <c r="AJ1052" s="19">
        <f t="shared" si="312"/>
        <v>3588873.9502021763</v>
      </c>
      <c r="AK1052" s="20">
        <f t="shared" si="319"/>
        <v>0.11467191436184473</v>
      </c>
      <c r="AL1052" s="17"/>
      <c r="AM1052" s="17"/>
      <c r="AN1052" s="17"/>
      <c r="AO1052" s="17"/>
      <c r="AP1052" s="28" t="str">
        <f t="shared" si="320"/>
        <v>20196</v>
      </c>
      <c r="AQ1052" s="28" t="str">
        <f t="shared" si="321"/>
        <v>20196RMB</v>
      </c>
      <c r="AR1052" s="206" t="str">
        <f t="shared" si="322"/>
        <v>HELLER</v>
      </c>
      <c r="AS1052" s="22">
        <f t="shared" si="323"/>
        <v>5</v>
      </c>
      <c r="AT1052" s="24" t="str">
        <f t="shared" si="324"/>
        <v>4-6 months</v>
      </c>
      <c r="AU1052" s="22" t="s">
        <v>3240</v>
      </c>
    </row>
    <row r="1053" spans="1:47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48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1022</v>
      </c>
      <c r="K1053" s="155" t="s">
        <v>1023</v>
      </c>
      <c r="L1053" s="17" t="s">
        <v>2778</v>
      </c>
      <c r="M1053" s="13" t="s">
        <v>2607</v>
      </c>
      <c r="N1053" s="13">
        <v>1</v>
      </c>
      <c r="O1053" s="13"/>
      <c r="P1053" s="33" t="str">
        <f t="shared" si="316"/>
        <v>MAIN UNIT</v>
      </c>
      <c r="Q1053" s="13" t="s">
        <v>61</v>
      </c>
      <c r="R1053" s="13" t="s">
        <v>2055</v>
      </c>
      <c r="S1053" s="13" t="s">
        <v>50</v>
      </c>
      <c r="T1053" s="13" t="s">
        <v>93</v>
      </c>
      <c r="U1053" s="13" t="s">
        <v>70</v>
      </c>
      <c r="V1053" s="13" t="s">
        <v>169</v>
      </c>
      <c r="W1053" s="13" t="s">
        <v>64</v>
      </c>
      <c r="X1053" s="135">
        <v>350000</v>
      </c>
      <c r="Y1053" s="157" t="str">
        <f>IF(W1053="RMB","1.13", "1")</f>
        <v>1.13</v>
      </c>
      <c r="Z1053" s="18">
        <f t="shared" si="310"/>
        <v>350000</v>
      </c>
      <c r="AA1053" s="13">
        <v>1.095</v>
      </c>
      <c r="AB1053" s="21">
        <f t="shared" si="325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1"/>
        <v>33477255.428389374</v>
      </c>
      <c r="AJ1053" s="19">
        <f t="shared" si="312"/>
        <v>4578663.362915583</v>
      </c>
      <c r="AK1053" s="20">
        <f t="shared" si="319"/>
        <v>0.13676937682988152</v>
      </c>
      <c r="AL1053" s="17"/>
      <c r="AM1053" s="17"/>
      <c r="AN1053" s="17"/>
      <c r="AO1053" s="17"/>
      <c r="AP1053" s="28" t="str">
        <f t="shared" si="320"/>
        <v>20204</v>
      </c>
      <c r="AQ1053" s="28" t="str">
        <f t="shared" si="321"/>
        <v>20204RMB</v>
      </c>
      <c r="AR1053" s="206" t="str">
        <f t="shared" si="322"/>
        <v>HELLER</v>
      </c>
      <c r="AS1053" s="22">
        <f t="shared" si="323"/>
        <v>4</v>
      </c>
      <c r="AT1053" s="24" t="str">
        <f t="shared" si="324"/>
        <v>4-6 months</v>
      </c>
      <c r="AU1053" s="22" t="s">
        <v>3240</v>
      </c>
    </row>
    <row r="1054" spans="1:47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47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1022</v>
      </c>
      <c r="K1054" s="155" t="s">
        <v>1023</v>
      </c>
      <c r="L1054" s="17" t="s">
        <v>2780</v>
      </c>
      <c r="M1054" s="13" t="s">
        <v>60</v>
      </c>
      <c r="N1054" s="13">
        <v>1</v>
      </c>
      <c r="O1054" s="13"/>
      <c r="P1054" s="33" t="str">
        <f t="shared" si="316"/>
        <v>MAIN UNIT</v>
      </c>
      <c r="Q1054" s="13" t="s">
        <v>61</v>
      </c>
      <c r="R1054" s="13" t="s">
        <v>2055</v>
      </c>
      <c r="S1054" s="13" t="s">
        <v>50</v>
      </c>
      <c r="T1054" s="13" t="s">
        <v>93</v>
      </c>
      <c r="U1054" s="13" t="s">
        <v>70</v>
      </c>
      <c r="V1054" s="13" t="s">
        <v>169</v>
      </c>
      <c r="W1054" s="13" t="s">
        <v>64</v>
      </c>
      <c r="X1054" s="135">
        <v>410000</v>
      </c>
      <c r="Y1054" s="157" t="str">
        <f>IF(W1054="RMB","1.13", "1")</f>
        <v>1.13</v>
      </c>
      <c r="Z1054" s="18">
        <f t="shared" si="310"/>
        <v>410000</v>
      </c>
      <c r="AA1054" s="13">
        <v>1.095</v>
      </c>
      <c r="AB1054" s="21">
        <f t="shared" si="325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1"/>
        <v>23168285.927433632</v>
      </c>
      <c r="AJ1054" s="19">
        <f t="shared" si="312"/>
        <v>2764878.916878053</v>
      </c>
      <c r="AK1054" s="20">
        <f t="shared" si="319"/>
        <v>0.11933895004309111</v>
      </c>
      <c r="AL1054" s="17"/>
      <c r="AM1054" s="17"/>
      <c r="AN1054" s="17"/>
      <c r="AO1054" s="17"/>
      <c r="AP1054" s="28" t="str">
        <f t="shared" si="320"/>
        <v>20203</v>
      </c>
      <c r="AQ1054" s="28" t="str">
        <f t="shared" si="321"/>
        <v>20203RMB</v>
      </c>
      <c r="AR1054" s="206" t="str">
        <f t="shared" si="322"/>
        <v>YAMAHA_Non_Mounter</v>
      </c>
      <c r="AS1054" s="22">
        <f t="shared" si="323"/>
        <v>3</v>
      </c>
      <c r="AT1054" s="24" t="str">
        <f t="shared" si="324"/>
        <v>0-3 months</v>
      </c>
      <c r="AU1054" s="22" t="s">
        <v>3240</v>
      </c>
    </row>
    <row r="1055" spans="1:47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47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1022</v>
      </c>
      <c r="K1055" s="155" t="s">
        <v>1023</v>
      </c>
      <c r="L1055" s="17" t="s">
        <v>2620</v>
      </c>
      <c r="M1055" s="13" t="s">
        <v>60</v>
      </c>
      <c r="N1055" s="13">
        <v>1</v>
      </c>
      <c r="O1055" s="13"/>
      <c r="P1055" s="33" t="str">
        <f t="shared" si="316"/>
        <v>MAIN UNIT</v>
      </c>
      <c r="Q1055" s="13" t="s">
        <v>61</v>
      </c>
      <c r="R1055" s="13" t="s">
        <v>2055</v>
      </c>
      <c r="S1055" s="13" t="s">
        <v>50</v>
      </c>
      <c r="T1055" s="13" t="s">
        <v>93</v>
      </c>
      <c r="U1055" s="13" t="s">
        <v>70</v>
      </c>
      <c r="V1055" s="13" t="s">
        <v>169</v>
      </c>
      <c r="W1055" s="13" t="s">
        <v>64</v>
      </c>
      <c r="X1055" s="135">
        <v>500000</v>
      </c>
      <c r="Y1055" s="157" t="str">
        <f>IF(W1055="RMB","1.13", "1")</f>
        <v>1.13</v>
      </c>
      <c r="Z1055" s="18">
        <f t="shared" si="310"/>
        <v>500000</v>
      </c>
      <c r="AA1055" s="13">
        <v>1.095</v>
      </c>
      <c r="AB1055" s="21">
        <f t="shared" si="325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1"/>
        <v>23168285.927433632</v>
      </c>
      <c r="AJ1055" s="19">
        <f t="shared" si="312"/>
        <v>2764878.916878053</v>
      </c>
      <c r="AK1055" s="20">
        <f t="shared" si="319"/>
        <v>0.11933895004309111</v>
      </c>
      <c r="AL1055" s="17"/>
      <c r="AM1055" s="17"/>
      <c r="AN1055" s="17"/>
      <c r="AO1055" s="17"/>
      <c r="AP1055" s="28" t="str">
        <f t="shared" si="320"/>
        <v>20203</v>
      </c>
      <c r="AQ1055" s="28" t="str">
        <f t="shared" si="321"/>
        <v>20203RMB</v>
      </c>
      <c r="AR1055" s="206" t="str">
        <f t="shared" si="322"/>
        <v>YAMAHA_Non_Mounter</v>
      </c>
      <c r="AS1055" s="22">
        <f t="shared" si="323"/>
        <v>3</v>
      </c>
      <c r="AT1055" s="24" t="str">
        <f t="shared" si="324"/>
        <v>0-3 months</v>
      </c>
      <c r="AU1055" s="22" t="s">
        <v>3240</v>
      </c>
    </row>
    <row r="1056" spans="1:47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48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1451</v>
      </c>
      <c r="K1056" s="155" t="s">
        <v>1452</v>
      </c>
      <c r="L1056" s="17" t="s">
        <v>92</v>
      </c>
      <c r="M1056" s="13" t="s">
        <v>60</v>
      </c>
      <c r="N1056" s="13">
        <v>1</v>
      </c>
      <c r="O1056" s="13"/>
      <c r="P1056" s="33" t="str">
        <f t="shared" si="316"/>
        <v>MAIN UNIT</v>
      </c>
      <c r="Q1056" s="13" t="s">
        <v>68</v>
      </c>
      <c r="R1056" s="13" t="s">
        <v>62</v>
      </c>
      <c r="S1056" s="13" t="s">
        <v>50</v>
      </c>
      <c r="T1056" s="13" t="s">
        <v>93</v>
      </c>
      <c r="U1056" s="13" t="s">
        <v>70</v>
      </c>
      <c r="V1056" s="13" t="s">
        <v>169</v>
      </c>
      <c r="W1056" s="13" t="s">
        <v>703</v>
      </c>
      <c r="X1056" s="136">
        <f>806000+233000</f>
        <v>1039000</v>
      </c>
      <c r="Y1056" s="157" t="str">
        <f>IF(W1056="RMB","1.13", "1")</f>
        <v>1.13</v>
      </c>
      <c r="Z1056" s="18">
        <f t="shared" si="310"/>
        <v>1039000</v>
      </c>
      <c r="AA1056" s="13">
        <v>1.175</v>
      </c>
      <c r="AB1056" s="21">
        <f t="shared" si="325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1"/>
        <v>48763143.537654862</v>
      </c>
      <c r="AJ1056" s="19">
        <f t="shared" si="312"/>
        <v>5924029.9702154724</v>
      </c>
      <c r="AK1056" s="20">
        <f t="shared" si="319"/>
        <v>0.1214858095774925</v>
      </c>
      <c r="AL1056" s="17"/>
      <c r="AM1056" s="17"/>
      <c r="AN1056" s="17"/>
      <c r="AO1056" s="17"/>
      <c r="AP1056" s="28" t="str">
        <f t="shared" si="320"/>
        <v>202012</v>
      </c>
      <c r="AQ1056" s="28" t="str">
        <f t="shared" si="321"/>
        <v>202012RMB</v>
      </c>
      <c r="AR1056" s="206" t="str">
        <f t="shared" si="322"/>
        <v>YAMAHA_Mounter</v>
      </c>
      <c r="AS1056" s="22">
        <f t="shared" si="323"/>
        <v>2</v>
      </c>
      <c r="AT1056" s="24" t="str">
        <f t="shared" si="324"/>
        <v>0-3 months</v>
      </c>
      <c r="AU1056" s="22" t="s">
        <v>3240</v>
      </c>
    </row>
    <row r="1057" spans="1:47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48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1451</v>
      </c>
      <c r="K1057" s="155" t="s">
        <v>1452</v>
      </c>
      <c r="L1057" s="17" t="s">
        <v>67</v>
      </c>
      <c r="M1057" s="13" t="s">
        <v>60</v>
      </c>
      <c r="N1057" s="13">
        <v>1</v>
      </c>
      <c r="O1057" s="13"/>
      <c r="P1057" s="33" t="str">
        <f t="shared" si="316"/>
        <v>MAIN UNIT</v>
      </c>
      <c r="Q1057" s="13" t="s">
        <v>68</v>
      </c>
      <c r="R1057" s="13" t="s">
        <v>62</v>
      </c>
      <c r="S1057" s="13" t="s">
        <v>50</v>
      </c>
      <c r="T1057" s="13" t="s">
        <v>93</v>
      </c>
      <c r="U1057" s="13" t="s">
        <v>70</v>
      </c>
      <c r="V1057" s="13" t="s">
        <v>169</v>
      </c>
      <c r="W1057" s="13" t="s">
        <v>703</v>
      </c>
      <c r="X1057" s="136">
        <f>528000+233000</f>
        <v>761000</v>
      </c>
      <c r="Y1057" s="157" t="str">
        <f>IF(W1057="RMB","1.13", "1")</f>
        <v>1.13</v>
      </c>
      <c r="Z1057" s="18">
        <f t="shared" si="310"/>
        <v>761000</v>
      </c>
      <c r="AA1057" s="13">
        <v>1.175</v>
      </c>
      <c r="AB1057" s="21">
        <f t="shared" si="325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1"/>
        <v>48763143.537654862</v>
      </c>
      <c r="AJ1057" s="19">
        <f t="shared" si="312"/>
        <v>5924029.9702154724</v>
      </c>
      <c r="AK1057" s="20">
        <f t="shared" si="319"/>
        <v>0.1214858095774925</v>
      </c>
      <c r="AL1057" s="17"/>
      <c r="AM1057" s="17"/>
      <c r="AN1057" s="17"/>
      <c r="AO1057" s="17"/>
      <c r="AP1057" s="28" t="str">
        <f t="shared" si="320"/>
        <v>202012</v>
      </c>
      <c r="AQ1057" s="28" t="str">
        <f t="shared" si="321"/>
        <v>202012RMB</v>
      </c>
      <c r="AR1057" s="206" t="str">
        <f t="shared" si="322"/>
        <v>YAMAHA_Mounter</v>
      </c>
      <c r="AS1057" s="22">
        <f t="shared" si="323"/>
        <v>2</v>
      </c>
      <c r="AT1057" s="24" t="str">
        <f t="shared" si="324"/>
        <v>0-3 months</v>
      </c>
      <c r="AU1057" s="22" t="s">
        <v>3240</v>
      </c>
    </row>
    <row r="1058" spans="1:47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41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225</v>
      </c>
      <c r="K1058" s="155" t="s">
        <v>226</v>
      </c>
      <c r="L1058" s="17" t="s">
        <v>100</v>
      </c>
      <c r="M1058" s="13" t="s">
        <v>60</v>
      </c>
      <c r="N1058" s="13">
        <v>1</v>
      </c>
      <c r="O1058" s="13"/>
      <c r="P1058" s="33" t="str">
        <f t="shared" si="316"/>
        <v>MAIN UNIT</v>
      </c>
      <c r="Q1058" s="13" t="s">
        <v>68</v>
      </c>
      <c r="R1058" s="13" t="s">
        <v>62</v>
      </c>
      <c r="S1058" s="13" t="s">
        <v>50</v>
      </c>
      <c r="T1058" s="13" t="s">
        <v>194</v>
      </c>
      <c r="U1058" s="13" t="s">
        <v>70</v>
      </c>
      <c r="V1058" s="13" t="s">
        <v>94</v>
      </c>
      <c r="W1058" s="13" t="s">
        <v>64</v>
      </c>
      <c r="X1058" s="135">
        <v>599000</v>
      </c>
      <c r="Y1058" s="156">
        <v>1.1599999999999999</v>
      </c>
      <c r="Z1058" s="18">
        <f t="shared" si="310"/>
        <v>599000</v>
      </c>
      <c r="AA1058" s="13">
        <v>1.23</v>
      </c>
      <c r="AB1058" s="21">
        <f t="shared" si="325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1"/>
        <v>24398045.86045352</v>
      </c>
      <c r="AJ1058" s="19">
        <f t="shared" si="312"/>
        <v>3478417.4064663448</v>
      </c>
      <c r="AK1058" s="20">
        <f t="shared" si="319"/>
        <v>0.14256950849102498</v>
      </c>
      <c r="AL1058" s="17" t="s">
        <v>227</v>
      </c>
      <c r="AM1058" s="17">
        <v>599000</v>
      </c>
      <c r="AN1058" s="17" t="s">
        <v>228</v>
      </c>
      <c r="AO1058" s="17"/>
      <c r="AP1058" s="28" t="str">
        <f t="shared" si="320"/>
        <v>20186</v>
      </c>
      <c r="AQ1058" s="28" t="str">
        <f t="shared" si="321"/>
        <v>20186RMB</v>
      </c>
      <c r="AR1058" s="206" t="str">
        <f t="shared" si="322"/>
        <v>YAMAHA_Mounter</v>
      </c>
      <c r="AS1058" s="22">
        <f t="shared" si="323"/>
        <v>2</v>
      </c>
      <c r="AT1058" s="24" t="str">
        <f t="shared" si="324"/>
        <v>0-3 months</v>
      </c>
      <c r="AU1058" s="22" t="s">
        <v>3240</v>
      </c>
    </row>
    <row r="1059" spans="1:47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54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2244</v>
      </c>
      <c r="K1059" s="155" t="s">
        <v>226</v>
      </c>
      <c r="L1059" s="17" t="s">
        <v>67</v>
      </c>
      <c r="M1059" s="13" t="s">
        <v>60</v>
      </c>
      <c r="N1059" s="13">
        <v>1</v>
      </c>
      <c r="O1059" s="13"/>
      <c r="P1059" s="33" t="str">
        <f t="shared" si="316"/>
        <v>MAIN UNIT</v>
      </c>
      <c r="Q1059" s="13" t="s">
        <v>61</v>
      </c>
      <c r="R1059" s="13" t="s">
        <v>62</v>
      </c>
      <c r="S1059" s="13" t="s">
        <v>50</v>
      </c>
      <c r="T1059" s="13" t="s">
        <v>93</v>
      </c>
      <c r="U1059" s="13" t="s">
        <v>70</v>
      </c>
      <c r="V1059" s="13" t="s">
        <v>94</v>
      </c>
      <c r="W1059" s="13" t="s">
        <v>64</v>
      </c>
      <c r="X1059" s="135">
        <v>560000</v>
      </c>
      <c r="Y1059" s="157" t="str">
        <f>IF(W1059="RMB","1.13", "1")</f>
        <v>1.13</v>
      </c>
      <c r="Z1059" s="18">
        <f t="shared" si="310"/>
        <v>560000</v>
      </c>
      <c r="AA1059" s="13">
        <v>1.163</v>
      </c>
      <c r="AB1059" s="21">
        <f t="shared" si="325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1"/>
        <v>35073581.838938057</v>
      </c>
      <c r="AJ1059" s="19">
        <f t="shared" si="312"/>
        <v>5034113.9728989396</v>
      </c>
      <c r="AK1059" s="20">
        <f t="shared" si="319"/>
        <v>0.14353007902118958</v>
      </c>
      <c r="AL1059" s="17"/>
      <c r="AM1059" s="17"/>
      <c r="AN1059" s="17"/>
      <c r="AO1059" s="17"/>
      <c r="AP1059" s="28" t="str">
        <f t="shared" si="320"/>
        <v>20228</v>
      </c>
      <c r="AQ1059" s="28" t="str">
        <f t="shared" si="321"/>
        <v>20228RMB</v>
      </c>
      <c r="AR1059" s="206" t="str">
        <f t="shared" si="322"/>
        <v>YAMAHA_Mounter</v>
      </c>
      <c r="AS1059" s="22">
        <f t="shared" si="323"/>
        <v>3</v>
      </c>
      <c r="AT1059" s="24" t="str">
        <f t="shared" si="324"/>
        <v>0-3 months</v>
      </c>
      <c r="AU1059" s="22" t="s">
        <v>3240</v>
      </c>
    </row>
    <row r="1060" spans="1:47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41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204</v>
      </c>
      <c r="K1060" s="155" t="s">
        <v>205</v>
      </c>
      <c r="L1060" s="17" t="s">
        <v>100</v>
      </c>
      <c r="M1060" s="13" t="s">
        <v>60</v>
      </c>
      <c r="N1060" s="13">
        <v>1</v>
      </c>
      <c r="O1060" s="13"/>
      <c r="P1060" s="33" t="str">
        <f t="shared" si="316"/>
        <v>MAIN UNIT</v>
      </c>
      <c r="Q1060" s="13" t="s">
        <v>68</v>
      </c>
      <c r="R1060" s="13" t="s">
        <v>62</v>
      </c>
      <c r="S1060" s="13" t="s">
        <v>50</v>
      </c>
      <c r="T1060" s="13" t="s">
        <v>168</v>
      </c>
      <c r="U1060" s="13" t="s">
        <v>70</v>
      </c>
      <c r="V1060" s="13" t="s">
        <v>102</v>
      </c>
      <c r="W1060" s="13" t="s">
        <v>64</v>
      </c>
      <c r="X1060" s="135">
        <v>540000</v>
      </c>
      <c r="Y1060" s="156">
        <v>1.1599999999999999</v>
      </c>
      <c r="Z1060" s="18">
        <f t="shared" si="310"/>
        <v>540000</v>
      </c>
      <c r="AA1060" s="13">
        <v>1.18</v>
      </c>
      <c r="AB1060" s="21">
        <f t="shared" si="325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1"/>
        <v>29946107.503386207</v>
      </c>
      <c r="AJ1060" s="19">
        <f t="shared" si="312"/>
        <v>3987206.4954923098</v>
      </c>
      <c r="AK1060" s="20">
        <f t="shared" si="319"/>
        <v>0.13314606898547499</v>
      </c>
      <c r="AL1060" s="17"/>
      <c r="AM1060" s="17"/>
      <c r="AN1060" s="17"/>
      <c r="AO1060" s="17"/>
      <c r="AP1060" s="28" t="str">
        <f t="shared" si="320"/>
        <v>20187</v>
      </c>
      <c r="AQ1060" s="28" t="str">
        <f t="shared" si="321"/>
        <v>20187RMB</v>
      </c>
      <c r="AR1060" s="206" t="str">
        <f t="shared" si="322"/>
        <v>YAMAHA_Mounter</v>
      </c>
      <c r="AS1060" s="22">
        <f t="shared" si="323"/>
        <v>3</v>
      </c>
      <c r="AT1060" s="24" t="str">
        <f t="shared" si="324"/>
        <v>0-3 months</v>
      </c>
      <c r="AU1060" s="22" t="s">
        <v>3240</v>
      </c>
    </row>
    <row r="1061" spans="1:47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55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2377</v>
      </c>
      <c r="K1061" s="155" t="s">
        <v>2378</v>
      </c>
      <c r="L1061" s="17" t="s">
        <v>67</v>
      </c>
      <c r="M1061" s="13" t="s">
        <v>60</v>
      </c>
      <c r="N1061" s="13">
        <v>1</v>
      </c>
      <c r="O1061" s="13"/>
      <c r="P1061" s="33" t="str">
        <f t="shared" si="316"/>
        <v>MAIN UNIT</v>
      </c>
      <c r="Q1061" s="13" t="s">
        <v>68</v>
      </c>
      <c r="R1061" s="13" t="s">
        <v>62</v>
      </c>
      <c r="S1061" s="13" t="s">
        <v>50</v>
      </c>
      <c r="T1061" s="13" t="s">
        <v>168</v>
      </c>
      <c r="U1061" s="13" t="s">
        <v>89</v>
      </c>
      <c r="V1061" s="13" t="s">
        <v>84</v>
      </c>
      <c r="W1061" s="13" t="s">
        <v>64</v>
      </c>
      <c r="X1061" s="135">
        <v>435000</v>
      </c>
      <c r="Y1061" s="157" t="str">
        <f>IF(W1061="","",IF(W1061="RMB","1.13", "1"))</f>
        <v>1.13</v>
      </c>
      <c r="Z1061" s="18">
        <f t="shared" si="310"/>
        <v>435000</v>
      </c>
      <c r="AA1061" s="13">
        <v>1.095</v>
      </c>
      <c r="AB1061" s="21">
        <f t="shared" si="325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1"/>
        <v>10271727.486725664</v>
      </c>
      <c r="AJ1061" s="19">
        <f t="shared" si="312"/>
        <v>1227228.7260761063</v>
      </c>
      <c r="AK1061" s="20">
        <f t="shared" si="319"/>
        <v>0.11947637120066472</v>
      </c>
      <c r="AL1061" s="17"/>
      <c r="AM1061" s="17"/>
      <c r="AN1061" s="17"/>
      <c r="AO1061" s="17"/>
      <c r="AP1061" s="28" t="str">
        <f t="shared" si="320"/>
        <v>202312</v>
      </c>
      <c r="AQ1061" s="28" t="str">
        <f t="shared" si="321"/>
        <v>202312RMB</v>
      </c>
      <c r="AR1061" s="206" t="str">
        <f t="shared" si="322"/>
        <v>YAMAHA_Mounter</v>
      </c>
      <c r="AS1061" s="22">
        <f t="shared" si="323"/>
        <v>3</v>
      </c>
      <c r="AT1061" s="24" t="str">
        <f t="shared" si="324"/>
        <v>0-3 months</v>
      </c>
      <c r="AU1061" s="22" t="s">
        <v>3240</v>
      </c>
    </row>
    <row r="1062" spans="1:47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55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2569</v>
      </c>
      <c r="K1062" s="155" t="s">
        <v>2378</v>
      </c>
      <c r="L1062" s="17" t="s">
        <v>67</v>
      </c>
      <c r="M1062" s="13" t="s">
        <v>60</v>
      </c>
      <c r="N1062" s="13">
        <v>1</v>
      </c>
      <c r="O1062" s="13"/>
      <c r="P1062" s="33" t="str">
        <f t="shared" si="316"/>
        <v>MAIN UNIT</v>
      </c>
      <c r="Q1062" s="13" t="s">
        <v>68</v>
      </c>
      <c r="R1062" s="13" t="s">
        <v>62</v>
      </c>
      <c r="S1062" s="13" t="s">
        <v>50</v>
      </c>
      <c r="T1062" s="13" t="s">
        <v>168</v>
      </c>
      <c r="U1062" s="13" t="s">
        <v>89</v>
      </c>
      <c r="V1062" s="13" t="s">
        <v>84</v>
      </c>
      <c r="W1062" s="13" t="s">
        <v>64</v>
      </c>
      <c r="X1062" s="135">
        <v>440000</v>
      </c>
      <c r="Y1062" s="157" t="str">
        <f>IF(W1062="RMB","1.13", "1")</f>
        <v>1.13</v>
      </c>
      <c r="Z1062" s="18">
        <f t="shared" si="310"/>
        <v>440000</v>
      </c>
      <c r="AA1062" s="13">
        <v>1.077</v>
      </c>
      <c r="AB1062" s="21">
        <f t="shared" si="325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1"/>
        <v>26078226.463097349</v>
      </c>
      <c r="AJ1062" s="19">
        <f t="shared" si="312"/>
        <v>3137870.4427774516</v>
      </c>
      <c r="AK1062" s="20">
        <f t="shared" si="319"/>
        <v>0.12032530077218917</v>
      </c>
      <c r="AL1062" s="17"/>
      <c r="AM1062" s="17"/>
      <c r="AN1062" s="17"/>
      <c r="AO1062" s="17"/>
      <c r="AP1062" s="28" t="str">
        <f t="shared" si="320"/>
        <v>20239</v>
      </c>
      <c r="AQ1062" s="28" t="str">
        <f t="shared" si="321"/>
        <v>20239RMB</v>
      </c>
      <c r="AR1062" s="206" t="str">
        <f t="shared" si="322"/>
        <v>YAMAHA_Mounter</v>
      </c>
      <c r="AS1062" s="22">
        <f t="shared" si="323"/>
        <v>1</v>
      </c>
      <c r="AT1062" s="24" t="str">
        <f t="shared" si="324"/>
        <v>0-3 months</v>
      </c>
      <c r="AU1062" s="22" t="s">
        <v>3240</v>
      </c>
    </row>
    <row r="1063" spans="1:47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3147</v>
      </c>
      <c r="K1063" s="29" t="s">
        <v>2378</v>
      </c>
      <c r="L1063" s="17" t="s">
        <v>2620</v>
      </c>
      <c r="M1063" s="13" t="s">
        <v>60</v>
      </c>
      <c r="N1063" s="22">
        <v>1</v>
      </c>
      <c r="O1063" s="22"/>
      <c r="P1063" s="33" t="str">
        <f t="shared" si="316"/>
        <v>MAIN UNIT</v>
      </c>
      <c r="Q1063" s="13" t="s">
        <v>61</v>
      </c>
      <c r="R1063" s="22" t="s">
        <v>2055</v>
      </c>
      <c r="S1063" s="22" t="s">
        <v>50</v>
      </c>
      <c r="T1063" s="22" t="s">
        <v>168</v>
      </c>
      <c r="U1063" s="22" t="s">
        <v>89</v>
      </c>
      <c r="V1063" s="22" t="s">
        <v>84</v>
      </c>
      <c r="W1063" s="22" t="s">
        <v>64</v>
      </c>
      <c r="X1063" s="30">
        <v>400000</v>
      </c>
      <c r="Y1063" s="31" t="str">
        <f>IF(W1063="","",IF(W1063="RMB","1.13", "1"))</f>
        <v>1.13</v>
      </c>
      <c r="Z1063" s="18">
        <f t="shared" si="310"/>
        <v>400000</v>
      </c>
      <c r="AA1063" s="22">
        <v>1.0900000000000001</v>
      </c>
      <c r="AB1063" s="21">
        <f t="shared" si="325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1"/>
        <v>10524262.405309737</v>
      </c>
      <c r="AJ1063" s="27">
        <f t="shared" si="312"/>
        <v>1479050.9527127435</v>
      </c>
      <c r="AK1063" s="28">
        <f t="shared" si="319"/>
        <v>0.14053725532028996</v>
      </c>
      <c r="AL1063" s="24"/>
      <c r="AM1063" s="24"/>
      <c r="AN1063" s="24"/>
      <c r="AO1063" s="24"/>
      <c r="AP1063" s="28" t="str">
        <f t="shared" si="320"/>
        <v>20242</v>
      </c>
      <c r="AQ1063" s="28" t="str">
        <f t="shared" si="321"/>
        <v>20242RMB</v>
      </c>
      <c r="AR1063" s="206" t="str">
        <f t="shared" si="322"/>
        <v>YAMAHA_Non_Mounter</v>
      </c>
      <c r="AS1063" s="22">
        <f t="shared" si="323"/>
        <v>1</v>
      </c>
      <c r="AT1063" s="24" t="str">
        <f t="shared" si="324"/>
        <v>0-3 months</v>
      </c>
      <c r="AU1063" s="22" t="s">
        <v>3240</v>
      </c>
    </row>
    <row r="1064" spans="1:47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41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90</v>
      </c>
      <c r="K1064" s="155" t="s">
        <v>91</v>
      </c>
      <c r="L1064" s="17" t="s">
        <v>92</v>
      </c>
      <c r="M1064" s="13" t="s">
        <v>60</v>
      </c>
      <c r="N1064" s="13">
        <v>1</v>
      </c>
      <c r="O1064" s="13"/>
      <c r="P1064" s="33" t="str">
        <f t="shared" si="316"/>
        <v>MAIN UNIT</v>
      </c>
      <c r="Q1064" s="13" t="s">
        <v>61</v>
      </c>
      <c r="R1064" s="13" t="s">
        <v>62</v>
      </c>
      <c r="S1064" s="13" t="s">
        <v>50</v>
      </c>
      <c r="T1064" s="13" t="s">
        <v>93</v>
      </c>
      <c r="U1064" s="13" t="s">
        <v>70</v>
      </c>
      <c r="V1064" s="13" t="s">
        <v>94</v>
      </c>
      <c r="W1064" s="13" t="s">
        <v>64</v>
      </c>
      <c r="X1064" s="135">
        <v>1040000</v>
      </c>
      <c r="Y1064" s="156">
        <v>1.17</v>
      </c>
      <c r="Z1064" s="18">
        <f t="shared" si="310"/>
        <v>1040000</v>
      </c>
      <c r="AA1064" s="13">
        <v>1.23</v>
      </c>
      <c r="AB1064" s="21">
        <f t="shared" si="325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1"/>
        <v>29288201.603076916</v>
      </c>
      <c r="AJ1064" s="19">
        <f t="shared" si="312"/>
        <v>3870159.1769246152</v>
      </c>
      <c r="AK1064" s="20">
        <f t="shared" si="319"/>
        <v>0.13214055370740244</v>
      </c>
      <c r="AL1064" s="17" t="s">
        <v>95</v>
      </c>
      <c r="AM1064" s="17">
        <v>1040000</v>
      </c>
      <c r="AN1064" s="17" t="s">
        <v>96</v>
      </c>
      <c r="AO1064" s="17" t="s">
        <v>97</v>
      </c>
      <c r="AP1064" s="28" t="str">
        <f t="shared" si="320"/>
        <v>20184</v>
      </c>
      <c r="AQ1064" s="28" t="str">
        <f t="shared" si="321"/>
        <v>20184RMB</v>
      </c>
      <c r="AR1064" s="206" t="str">
        <f t="shared" si="322"/>
        <v>YAMAHA_Mounter</v>
      </c>
      <c r="AS1064" s="22">
        <f t="shared" si="323"/>
        <v>5</v>
      </c>
      <c r="AT1064" s="24" t="str">
        <f t="shared" si="324"/>
        <v>4-6 months</v>
      </c>
      <c r="AU1064" s="22" t="s">
        <v>3240</v>
      </c>
    </row>
    <row r="1065" spans="1:47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56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115</v>
      </c>
      <c r="K1065" s="155" t="s">
        <v>91</v>
      </c>
      <c r="L1065" s="17" t="s">
        <v>67</v>
      </c>
      <c r="M1065" s="13" t="s">
        <v>60</v>
      </c>
      <c r="N1065" s="13">
        <v>1</v>
      </c>
      <c r="O1065" s="13"/>
      <c r="P1065" s="33" t="str">
        <f t="shared" si="316"/>
        <v>MAIN UNIT</v>
      </c>
      <c r="Q1065" s="13" t="s">
        <v>61</v>
      </c>
      <c r="R1065" s="13" t="s">
        <v>62</v>
      </c>
      <c r="S1065" s="13" t="s">
        <v>50</v>
      </c>
      <c r="T1065" s="13" t="s">
        <v>93</v>
      </c>
      <c r="U1065" s="13" t="s">
        <v>70</v>
      </c>
      <c r="V1065" s="13" t="s">
        <v>94</v>
      </c>
      <c r="W1065" s="13" t="s">
        <v>64</v>
      </c>
      <c r="X1065" s="135">
        <v>699900</v>
      </c>
      <c r="Y1065" s="156">
        <v>1.1599999999999999</v>
      </c>
      <c r="Z1065" s="18">
        <f t="shared" si="310"/>
        <v>699900</v>
      </c>
      <c r="AA1065" s="13">
        <v>1.18</v>
      </c>
      <c r="AB1065" s="21">
        <f t="shared" si="325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1"/>
        <v>1596627.2413793104</v>
      </c>
      <c r="AJ1065" s="19">
        <f t="shared" si="312"/>
        <v>191595.26896551723</v>
      </c>
      <c r="AK1065" s="20">
        <f t="shared" si="319"/>
        <v>0.12</v>
      </c>
      <c r="AL1065" s="17" t="s">
        <v>116</v>
      </c>
      <c r="AM1065" s="17"/>
      <c r="AN1065" s="17" t="s">
        <v>117</v>
      </c>
      <c r="AO1065" s="17"/>
      <c r="AP1065" s="28" t="str">
        <f t="shared" si="320"/>
        <v>20181</v>
      </c>
      <c r="AQ1065" s="28" t="str">
        <f t="shared" si="321"/>
        <v>20181RMB</v>
      </c>
      <c r="AR1065" s="206" t="str">
        <f t="shared" si="322"/>
        <v>YAMAHA_Mounter</v>
      </c>
      <c r="AS1065" s="22">
        <f t="shared" si="323"/>
        <v>12</v>
      </c>
      <c r="AT1065" s="24" t="str">
        <f t="shared" si="324"/>
        <v>&gt; 6 months</v>
      </c>
      <c r="AU1065" s="22" t="s">
        <v>3240</v>
      </c>
    </row>
    <row r="1066" spans="1:47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41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90</v>
      </c>
      <c r="K1066" s="155" t="s">
        <v>91</v>
      </c>
      <c r="L1066" s="17" t="s">
        <v>2780</v>
      </c>
      <c r="M1066" s="13" t="s">
        <v>60</v>
      </c>
      <c r="N1066" s="13">
        <v>1</v>
      </c>
      <c r="O1066" s="13"/>
      <c r="P1066" s="33" t="str">
        <f t="shared" si="316"/>
        <v>MAIN UNIT</v>
      </c>
      <c r="Q1066" s="13" t="s">
        <v>61</v>
      </c>
      <c r="R1066" s="13" t="s">
        <v>2055</v>
      </c>
      <c r="S1066" s="13" t="s">
        <v>50</v>
      </c>
      <c r="T1066" s="13" t="s">
        <v>93</v>
      </c>
      <c r="U1066" s="13" t="s">
        <v>70</v>
      </c>
      <c r="V1066" s="13" t="s">
        <v>94</v>
      </c>
      <c r="W1066" s="13" t="s">
        <v>64</v>
      </c>
      <c r="X1066" s="135">
        <v>440000</v>
      </c>
      <c r="Y1066" s="156">
        <v>1.17</v>
      </c>
      <c r="Z1066" s="18">
        <f t="shared" si="310"/>
        <v>440000</v>
      </c>
      <c r="AA1066" s="13">
        <v>1.23</v>
      </c>
      <c r="AB1066" s="21">
        <f t="shared" si="325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1"/>
        <v>29288201.603076916</v>
      </c>
      <c r="AJ1066" s="19">
        <f t="shared" si="312"/>
        <v>3870159.1769246152</v>
      </c>
      <c r="AK1066" s="20">
        <f t="shared" si="319"/>
        <v>0.13214055370740244</v>
      </c>
      <c r="AL1066" s="17" t="s">
        <v>2781</v>
      </c>
      <c r="AM1066" s="17">
        <v>440000</v>
      </c>
      <c r="AN1066" s="17" t="s">
        <v>2782</v>
      </c>
      <c r="AO1066" s="17" t="s">
        <v>2783</v>
      </c>
      <c r="AP1066" s="28" t="str">
        <f t="shared" si="320"/>
        <v>20184</v>
      </c>
      <c r="AQ1066" s="28" t="str">
        <f t="shared" si="321"/>
        <v>20184RMB</v>
      </c>
      <c r="AR1066" s="206" t="str">
        <f t="shared" si="322"/>
        <v>YAMAHA_Non_Mounter</v>
      </c>
      <c r="AS1066" s="22">
        <f t="shared" si="323"/>
        <v>5</v>
      </c>
      <c r="AT1066" s="24" t="str">
        <f t="shared" si="324"/>
        <v>4-6 months</v>
      </c>
      <c r="AU1066" s="22" t="s">
        <v>3240</v>
      </c>
    </row>
    <row r="1067" spans="1:47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41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2803</v>
      </c>
      <c r="K1067" s="155" t="s">
        <v>2804</v>
      </c>
      <c r="L1067" s="17" t="s">
        <v>2787</v>
      </c>
      <c r="M1067" s="13" t="s">
        <v>60</v>
      </c>
      <c r="N1067" s="13">
        <v>1</v>
      </c>
      <c r="O1067" s="13"/>
      <c r="P1067" s="33" t="str">
        <f t="shared" si="316"/>
        <v>MAIN UNIT</v>
      </c>
      <c r="Q1067" s="13" t="s">
        <v>61</v>
      </c>
      <c r="R1067" s="13" t="s">
        <v>2055</v>
      </c>
      <c r="S1067" s="13" t="s">
        <v>50</v>
      </c>
      <c r="T1067" s="13" t="s">
        <v>93</v>
      </c>
      <c r="U1067" s="13" t="s">
        <v>70</v>
      </c>
      <c r="V1067" s="13" t="s">
        <v>94</v>
      </c>
      <c r="W1067" s="13" t="s">
        <v>64</v>
      </c>
      <c r="X1067" s="135">
        <v>538000</v>
      </c>
      <c r="Y1067" s="156">
        <v>1.1599999999999999</v>
      </c>
      <c r="Z1067" s="18">
        <f t="shared" si="310"/>
        <v>538000</v>
      </c>
      <c r="AA1067" s="13">
        <v>1.1499999999999999</v>
      </c>
      <c r="AB1067" s="21">
        <f t="shared" si="325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1"/>
        <v>26754147.763010349</v>
      </c>
      <c r="AJ1067" s="19">
        <f t="shared" si="312"/>
        <v>3429137.9965357962</v>
      </c>
      <c r="AK1067" s="20">
        <f t="shared" si="319"/>
        <v>0.12817220069617921</v>
      </c>
      <c r="AL1067" s="17"/>
      <c r="AM1067" s="17"/>
      <c r="AN1067" s="17"/>
      <c r="AO1067" s="17"/>
      <c r="AP1067" s="28" t="str">
        <f t="shared" si="320"/>
        <v>20188</v>
      </c>
      <c r="AQ1067" s="28" t="str">
        <f t="shared" si="321"/>
        <v>20188RMB</v>
      </c>
      <c r="AR1067" s="206" t="str">
        <f t="shared" si="322"/>
        <v>YAMAHA_Non_Mounter</v>
      </c>
      <c r="AS1067" s="22">
        <f t="shared" si="323"/>
        <v>1</v>
      </c>
      <c r="AT1067" s="24" t="str">
        <f t="shared" si="324"/>
        <v>0-3 months</v>
      </c>
      <c r="AU1067" s="22" t="s">
        <v>3240</v>
      </c>
    </row>
    <row r="1068" spans="1:47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47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727</v>
      </c>
      <c r="K1068" s="155" t="s">
        <v>728</v>
      </c>
      <c r="L1068" s="17" t="s">
        <v>92</v>
      </c>
      <c r="M1068" s="13" t="s">
        <v>60</v>
      </c>
      <c r="N1068" s="13">
        <v>1</v>
      </c>
      <c r="O1068" s="13"/>
      <c r="P1068" s="33" t="str">
        <f t="shared" si="316"/>
        <v>MAIN UNIT</v>
      </c>
      <c r="Q1068" s="13" t="s">
        <v>68</v>
      </c>
      <c r="R1068" s="13" t="s">
        <v>62</v>
      </c>
      <c r="S1068" s="13" t="s">
        <v>50</v>
      </c>
      <c r="T1068" s="13" t="s">
        <v>83</v>
      </c>
      <c r="U1068" s="13" t="s">
        <v>70</v>
      </c>
      <c r="V1068" s="13" t="s">
        <v>94</v>
      </c>
      <c r="W1068" s="13" t="s">
        <v>64</v>
      </c>
      <c r="X1068" s="135">
        <v>1050000</v>
      </c>
      <c r="Y1068" s="156">
        <v>1.1299999999999999</v>
      </c>
      <c r="Z1068" s="18">
        <f t="shared" si="310"/>
        <v>1050000</v>
      </c>
      <c r="AA1068" s="13">
        <v>1.1100000000000001</v>
      </c>
      <c r="AB1068" s="21">
        <f t="shared" si="325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1"/>
        <v>27318180.088495575</v>
      </c>
      <c r="AJ1068" s="19">
        <f t="shared" si="312"/>
        <v>3014099.212353982</v>
      </c>
      <c r="AK1068" s="20">
        <f t="shared" si="319"/>
        <v>0.11033308963444827</v>
      </c>
      <c r="AL1068" s="17"/>
      <c r="AM1068" s="17"/>
      <c r="AN1068" s="17"/>
      <c r="AO1068" s="17"/>
      <c r="AP1068" s="28" t="str">
        <f t="shared" si="320"/>
        <v>201912</v>
      </c>
      <c r="AQ1068" s="28" t="str">
        <f t="shared" si="321"/>
        <v>201912RMB</v>
      </c>
      <c r="AR1068" s="206" t="str">
        <f t="shared" si="322"/>
        <v>YAMAHA_Mounter</v>
      </c>
      <c r="AS1068" s="22">
        <f t="shared" si="323"/>
        <v>1</v>
      </c>
      <c r="AT1068" s="24" t="str">
        <f t="shared" si="324"/>
        <v>0-3 months</v>
      </c>
      <c r="AU1068" s="22" t="s">
        <v>3240</v>
      </c>
    </row>
    <row r="1069" spans="1:47" s="12" customFormat="1">
      <c r="A1069" s="33" t="str">
        <f t="shared" si="313"/>
        <v>cancel</v>
      </c>
      <c r="B1069" s="152"/>
      <c r="C1069" s="152" t="s">
        <v>185</v>
      </c>
      <c r="D1069" s="33" t="str">
        <f t="shared" si="314"/>
        <v/>
      </c>
      <c r="E1069" s="33" t="s">
        <v>185</v>
      </c>
      <c r="F1069" s="13" t="s">
        <v>185</v>
      </c>
      <c r="G1069" s="152" t="s">
        <v>185</v>
      </c>
      <c r="H1069" s="155"/>
      <c r="I1069" s="33" t="str">
        <f t="shared" si="315"/>
        <v>Cancel</v>
      </c>
      <c r="J1069" s="186" t="s">
        <v>2706</v>
      </c>
      <c r="K1069" s="155" t="s">
        <v>728</v>
      </c>
      <c r="L1069" s="17" t="s">
        <v>92</v>
      </c>
      <c r="M1069" s="13" t="s">
        <v>60</v>
      </c>
      <c r="N1069" s="13">
        <v>1</v>
      </c>
      <c r="O1069" s="13"/>
      <c r="P1069" s="33" t="str">
        <f t="shared" si="316"/>
        <v>MAIN UNIT</v>
      </c>
      <c r="Q1069" s="13" t="s">
        <v>68</v>
      </c>
      <c r="R1069" s="13" t="s">
        <v>62</v>
      </c>
      <c r="S1069" s="13" t="s">
        <v>50</v>
      </c>
      <c r="T1069" s="13" t="s">
        <v>83</v>
      </c>
      <c r="U1069" s="13" t="s">
        <v>70</v>
      </c>
      <c r="V1069" s="13" t="s">
        <v>94</v>
      </c>
      <c r="W1069" s="13" t="s">
        <v>64</v>
      </c>
      <c r="X1069" s="135">
        <v>810000</v>
      </c>
      <c r="Y1069" s="156">
        <v>1.1299999999999999</v>
      </c>
      <c r="Z1069" s="18">
        <f t="shared" si="310"/>
        <v>810000</v>
      </c>
      <c r="AA1069" s="13">
        <v>1.1100000000000001</v>
      </c>
      <c r="AB1069" s="21">
        <f t="shared" si="325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1"/>
        <v>499582152.5142017</v>
      </c>
      <c r="AJ1069" s="19">
        <f t="shared" si="312"/>
        <v>59520528.679470733</v>
      </c>
      <c r="AK1069" s="20">
        <f t="shared" si="319"/>
        <v>0.11914062257814291</v>
      </c>
      <c r="AL1069" s="17"/>
      <c r="AM1069" s="17"/>
      <c r="AN1069" s="17"/>
      <c r="AO1069" s="17"/>
      <c r="AP1069" s="28" t="str">
        <f t="shared" si="320"/>
        <v>CancelCancel</v>
      </c>
      <c r="AQ1069" s="28" t="str">
        <f t="shared" si="321"/>
        <v>CancelCancelRMB</v>
      </c>
      <c r="AR1069" s="206" t="str">
        <f t="shared" si="322"/>
        <v>YAMAHA_Mounter</v>
      </c>
      <c r="AS1069" s="22" t="str">
        <f t="shared" si="323"/>
        <v/>
      </c>
      <c r="AT1069" s="24" t="str">
        <f t="shared" si="324"/>
        <v/>
      </c>
      <c r="AU1069" s="22" t="s">
        <v>3240</v>
      </c>
    </row>
    <row r="1070" spans="1:47" s="12" customFormat="1">
      <c r="A1070" s="33" t="str">
        <f t="shared" si="313"/>
        <v>cancel</v>
      </c>
      <c r="B1070" s="152"/>
      <c r="C1070" s="152" t="s">
        <v>185</v>
      </c>
      <c r="D1070" s="33" t="str">
        <f t="shared" si="314"/>
        <v/>
      </c>
      <c r="E1070" s="33" t="s">
        <v>185</v>
      </c>
      <c r="F1070" s="13" t="s">
        <v>185</v>
      </c>
      <c r="G1070" s="152" t="s">
        <v>185</v>
      </c>
      <c r="H1070" s="155"/>
      <c r="I1070" s="33" t="str">
        <f t="shared" si="315"/>
        <v>Cancel</v>
      </c>
      <c r="J1070" s="186" t="s">
        <v>2706</v>
      </c>
      <c r="K1070" s="155" t="s">
        <v>728</v>
      </c>
      <c r="L1070" s="17" t="s">
        <v>67</v>
      </c>
      <c r="M1070" s="13" t="s">
        <v>60</v>
      </c>
      <c r="N1070" s="13">
        <v>1</v>
      </c>
      <c r="O1070" s="13"/>
      <c r="P1070" s="33" t="str">
        <f t="shared" si="316"/>
        <v>MAIN UNIT</v>
      </c>
      <c r="Q1070" s="13" t="s">
        <v>68</v>
      </c>
      <c r="R1070" s="13" t="s">
        <v>62</v>
      </c>
      <c r="S1070" s="13" t="s">
        <v>50</v>
      </c>
      <c r="T1070" s="13" t="s">
        <v>83</v>
      </c>
      <c r="U1070" s="13" t="s">
        <v>70</v>
      </c>
      <c r="V1070" s="13" t="s">
        <v>94</v>
      </c>
      <c r="W1070" s="13" t="s">
        <v>64</v>
      </c>
      <c r="X1070" s="135">
        <v>690000</v>
      </c>
      <c r="Y1070" s="156">
        <v>1.1299999999999999</v>
      </c>
      <c r="Z1070" s="18">
        <f t="shared" ref="Z1070:Z1133" si="326">IF(X1070="","",X1070*MAX(O1070,N1070))</f>
        <v>690000</v>
      </c>
      <c r="AA1070" s="13">
        <v>1.1100000000000001</v>
      </c>
      <c r="AB1070" s="21">
        <f t="shared" si="325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1"/>
        <v>499582152.5142017</v>
      </c>
      <c r="AJ1070" s="19">
        <f t="shared" si="312"/>
        <v>59520528.679470733</v>
      </c>
      <c r="AK1070" s="20">
        <f t="shared" si="319"/>
        <v>0.11914062257814291</v>
      </c>
      <c r="AL1070" s="17"/>
      <c r="AM1070" s="17"/>
      <c r="AN1070" s="17"/>
      <c r="AO1070" s="17"/>
      <c r="AP1070" s="28" t="str">
        <f t="shared" si="320"/>
        <v>CancelCancel</v>
      </c>
      <c r="AQ1070" s="28" t="str">
        <f t="shared" si="321"/>
        <v>CancelCancelRMB</v>
      </c>
      <c r="AR1070" s="206" t="str">
        <f t="shared" si="322"/>
        <v>YAMAHA_Mounter</v>
      </c>
      <c r="AS1070" s="22" t="str">
        <f t="shared" si="323"/>
        <v/>
      </c>
      <c r="AT1070" s="24" t="str">
        <f t="shared" si="324"/>
        <v/>
      </c>
      <c r="AU1070" s="22" t="s">
        <v>3240</v>
      </c>
    </row>
    <row r="1071" spans="1:47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54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2284</v>
      </c>
      <c r="K1071" s="155" t="s">
        <v>2285</v>
      </c>
      <c r="L1071" s="17" t="s">
        <v>67</v>
      </c>
      <c r="M1071" s="13" t="s">
        <v>60</v>
      </c>
      <c r="N1071" s="13">
        <v>1</v>
      </c>
      <c r="O1071" s="13"/>
      <c r="P1071" s="33" t="str">
        <f t="shared" si="316"/>
        <v>MAIN UNIT</v>
      </c>
      <c r="Q1071" s="13" t="s">
        <v>68</v>
      </c>
      <c r="R1071" s="13" t="s">
        <v>62</v>
      </c>
      <c r="S1071" s="13" t="s">
        <v>50</v>
      </c>
      <c r="T1071" s="13" t="s">
        <v>168</v>
      </c>
      <c r="U1071" s="13" t="s">
        <v>89</v>
      </c>
      <c r="V1071" s="13" t="s">
        <v>84</v>
      </c>
      <c r="W1071" s="13" t="s">
        <v>64</v>
      </c>
      <c r="X1071" s="135">
        <v>440000</v>
      </c>
      <c r="Y1071" s="157" t="str">
        <f>IF(W1071="RMB","1.13", "1")</f>
        <v>1.13</v>
      </c>
      <c r="Z1071" s="18">
        <f t="shared" si="326"/>
        <v>440000</v>
      </c>
      <c r="AA1071" s="13">
        <v>1.135</v>
      </c>
      <c r="AB1071" s="21">
        <f t="shared" si="325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1"/>
        <v>15948576.102654871</v>
      </c>
      <c r="AJ1071" s="19">
        <f t="shared" si="312"/>
        <v>2739848.7004853105</v>
      </c>
      <c r="AK1071" s="20">
        <f t="shared" si="319"/>
        <v>0.17179268436567344</v>
      </c>
      <c r="AL1071" s="17"/>
      <c r="AM1071" s="17"/>
      <c r="AN1071" s="17"/>
      <c r="AO1071" s="17"/>
      <c r="AP1071" s="28" t="str">
        <f t="shared" si="320"/>
        <v>20229</v>
      </c>
      <c r="AQ1071" s="28" t="str">
        <f t="shared" si="321"/>
        <v>20229RMB</v>
      </c>
      <c r="AR1071" s="206" t="str">
        <f t="shared" si="322"/>
        <v>YAMAHA_Mounter</v>
      </c>
      <c r="AS1071" s="22">
        <f t="shared" si="323"/>
        <v>1</v>
      </c>
      <c r="AT1071" s="24" t="str">
        <f t="shared" si="324"/>
        <v>0-3 months</v>
      </c>
      <c r="AU1071" s="22" t="s">
        <v>3240</v>
      </c>
    </row>
    <row r="1072" spans="1:47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47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964</v>
      </c>
      <c r="K1072" s="155" t="s">
        <v>965</v>
      </c>
      <c r="L1072" s="17" t="s">
        <v>67</v>
      </c>
      <c r="M1072" s="13" t="s">
        <v>60</v>
      </c>
      <c r="N1072" s="13">
        <v>1</v>
      </c>
      <c r="O1072" s="13"/>
      <c r="P1072" s="33" t="str">
        <f t="shared" si="316"/>
        <v>MAIN UNIT</v>
      </c>
      <c r="Q1072" s="13" t="s">
        <v>68</v>
      </c>
      <c r="R1072" s="13" t="s">
        <v>62</v>
      </c>
      <c r="S1072" s="13" t="s">
        <v>50</v>
      </c>
      <c r="T1072" s="13" t="s">
        <v>93</v>
      </c>
      <c r="U1072" s="13" t="s">
        <v>70</v>
      </c>
      <c r="V1072" s="13" t="s">
        <v>169</v>
      </c>
      <c r="W1072" s="13" t="s">
        <v>64</v>
      </c>
      <c r="X1072" s="135">
        <v>816000</v>
      </c>
      <c r="Y1072" s="156">
        <v>1.1299999999999999</v>
      </c>
      <c r="Z1072" s="18">
        <f t="shared" si="326"/>
        <v>816000</v>
      </c>
      <c r="AA1072" s="13">
        <v>1.095</v>
      </c>
      <c r="AB1072" s="21">
        <f t="shared" si="325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1"/>
        <v>37599388.802345134</v>
      </c>
      <c r="AJ1072" s="19">
        <f t="shared" si="312"/>
        <v>4866784.3630338367</v>
      </c>
      <c r="AK1072" s="20">
        <f t="shared" si="319"/>
        <v>0.12943785838163113</v>
      </c>
      <c r="AL1072" s="17"/>
      <c r="AM1072" s="17"/>
      <c r="AN1072" s="17"/>
      <c r="AO1072" s="17"/>
      <c r="AP1072" s="28" t="str">
        <f t="shared" si="320"/>
        <v>20199</v>
      </c>
      <c r="AQ1072" s="28" t="str">
        <f t="shared" si="321"/>
        <v>20199RMB</v>
      </c>
      <c r="AR1072" s="206" t="str">
        <f t="shared" si="322"/>
        <v>YAMAHA_Mounter</v>
      </c>
      <c r="AS1072" s="22">
        <f t="shared" si="323"/>
        <v>1</v>
      </c>
      <c r="AT1072" s="24" t="str">
        <f t="shared" si="324"/>
        <v>0-3 months</v>
      </c>
      <c r="AU1072" s="22" t="s">
        <v>3240</v>
      </c>
    </row>
    <row r="1073" spans="1:47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48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1090</v>
      </c>
      <c r="K1073" s="155" t="s">
        <v>1091</v>
      </c>
      <c r="L1073" s="17" t="s">
        <v>92</v>
      </c>
      <c r="M1073" s="13" t="s">
        <v>60</v>
      </c>
      <c r="N1073" s="13">
        <v>1</v>
      </c>
      <c r="O1073" s="13"/>
      <c r="P1073" s="33" t="str">
        <f t="shared" si="316"/>
        <v>MAIN UNIT</v>
      </c>
      <c r="Q1073" s="13" t="s">
        <v>61</v>
      </c>
      <c r="R1073" s="13" t="s">
        <v>62</v>
      </c>
      <c r="S1073" s="13" t="s">
        <v>50</v>
      </c>
      <c r="T1073" s="13" t="s">
        <v>93</v>
      </c>
      <c r="U1073" s="13" t="s">
        <v>70</v>
      </c>
      <c r="V1073" s="13" t="s">
        <v>102</v>
      </c>
      <c r="W1073" s="13" t="s">
        <v>703</v>
      </c>
      <c r="X1073" s="135">
        <v>800000</v>
      </c>
      <c r="Y1073" s="156" t="s">
        <v>1083</v>
      </c>
      <c r="Z1073" s="18">
        <f t="shared" si="326"/>
        <v>800000</v>
      </c>
      <c r="AA1073" s="13">
        <v>1.105</v>
      </c>
      <c r="AB1073" s="21">
        <f t="shared" si="325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1"/>
        <v>37969334.083628319</v>
      </c>
      <c r="AJ1073" s="19">
        <f t="shared" si="312"/>
        <v>5097226.4551657084</v>
      </c>
      <c r="AK1073" s="20">
        <f t="shared" si="319"/>
        <v>0.13424587441904964</v>
      </c>
      <c r="AL1073" s="17"/>
      <c r="AM1073" s="17"/>
      <c r="AN1073" s="17"/>
      <c r="AO1073" s="17"/>
      <c r="AP1073" s="28" t="str">
        <f t="shared" si="320"/>
        <v>20208</v>
      </c>
      <c r="AQ1073" s="28" t="str">
        <f t="shared" si="321"/>
        <v>20208RMB</v>
      </c>
      <c r="AR1073" s="206" t="str">
        <f t="shared" si="322"/>
        <v>YAMAHA_Mounter</v>
      </c>
      <c r="AS1073" s="22">
        <f t="shared" si="323"/>
        <v>3</v>
      </c>
      <c r="AT1073" s="24" t="str">
        <f t="shared" si="324"/>
        <v>0-3 months</v>
      </c>
      <c r="AU1073" s="22" t="s">
        <v>3240</v>
      </c>
    </row>
    <row r="1074" spans="1:47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48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1090</v>
      </c>
      <c r="K1074" s="155" t="s">
        <v>1091</v>
      </c>
      <c r="L1074" s="17" t="s">
        <v>67</v>
      </c>
      <c r="M1074" s="13" t="s">
        <v>60</v>
      </c>
      <c r="N1074" s="13">
        <v>1</v>
      </c>
      <c r="O1074" s="13"/>
      <c r="P1074" s="33" t="str">
        <f t="shared" si="316"/>
        <v>MAIN UNIT</v>
      </c>
      <c r="Q1074" s="13" t="s">
        <v>61</v>
      </c>
      <c r="R1074" s="13" t="s">
        <v>62</v>
      </c>
      <c r="S1074" s="13" t="s">
        <v>50</v>
      </c>
      <c r="T1074" s="13" t="s">
        <v>93</v>
      </c>
      <c r="U1074" s="13" t="s">
        <v>70</v>
      </c>
      <c r="V1074" s="13" t="s">
        <v>102</v>
      </c>
      <c r="W1074" s="13" t="s">
        <v>703</v>
      </c>
      <c r="X1074" s="135">
        <v>850000</v>
      </c>
      <c r="Y1074" s="156" t="s">
        <v>1083</v>
      </c>
      <c r="Z1074" s="18">
        <f t="shared" si="326"/>
        <v>850000</v>
      </c>
      <c r="AA1074" s="13">
        <v>1.105</v>
      </c>
      <c r="AB1074" s="21">
        <f t="shared" si="325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1"/>
        <v>37969334.083628319</v>
      </c>
      <c r="AJ1074" s="19">
        <f t="shared" si="312"/>
        <v>5097226.4551657084</v>
      </c>
      <c r="AK1074" s="20">
        <f t="shared" si="319"/>
        <v>0.13424587441904964</v>
      </c>
      <c r="AL1074" s="17"/>
      <c r="AM1074" s="17"/>
      <c r="AN1074" s="17"/>
      <c r="AO1074" s="17"/>
      <c r="AP1074" s="28" t="str">
        <f t="shared" si="320"/>
        <v>20208</v>
      </c>
      <c r="AQ1074" s="28" t="str">
        <f t="shared" si="321"/>
        <v>20208RMB</v>
      </c>
      <c r="AR1074" s="206" t="str">
        <f t="shared" si="322"/>
        <v>YAMAHA_Mounter</v>
      </c>
      <c r="AS1074" s="22">
        <f t="shared" si="323"/>
        <v>3</v>
      </c>
      <c r="AT1074" s="24" t="str">
        <f t="shared" si="324"/>
        <v>0-3 months</v>
      </c>
      <c r="AU1074" s="22" t="s">
        <v>3240</v>
      </c>
    </row>
    <row r="1075" spans="1:47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53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1725</v>
      </c>
      <c r="K1075" s="155" t="s">
        <v>1726</v>
      </c>
      <c r="L1075" s="17" t="s">
        <v>67</v>
      </c>
      <c r="M1075" s="13" t="s">
        <v>60</v>
      </c>
      <c r="N1075" s="13">
        <v>1</v>
      </c>
      <c r="O1075" s="13"/>
      <c r="P1075" s="33" t="str">
        <f t="shared" si="316"/>
        <v>MAIN UNIT</v>
      </c>
      <c r="Q1075" s="13" t="s">
        <v>68</v>
      </c>
      <c r="R1075" s="13" t="s">
        <v>62</v>
      </c>
      <c r="S1075" s="13" t="s">
        <v>50</v>
      </c>
      <c r="T1075" s="13" t="s">
        <v>93</v>
      </c>
      <c r="U1075" s="13" t="s">
        <v>70</v>
      </c>
      <c r="V1075" s="13" t="s">
        <v>169</v>
      </c>
      <c r="W1075" s="13" t="s">
        <v>64</v>
      </c>
      <c r="X1075" s="135">
        <v>830000</v>
      </c>
      <c r="Y1075" s="157" t="str">
        <f>IF(W1075="RMB","1.13", "1")</f>
        <v>1.13</v>
      </c>
      <c r="Z1075" s="18">
        <f t="shared" si="326"/>
        <v>830000</v>
      </c>
      <c r="AA1075" s="13">
        <v>1.1950000000000001</v>
      </c>
      <c r="AB1075" s="21">
        <f t="shared" si="325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1"/>
        <v>63006605.696460173</v>
      </c>
      <c r="AJ1075" s="19">
        <f t="shared" si="312"/>
        <v>8897485.660753984</v>
      </c>
      <c r="AK1075" s="20">
        <f t="shared" si="319"/>
        <v>0.141215124388995</v>
      </c>
      <c r="AL1075" s="17"/>
      <c r="AM1075" s="17"/>
      <c r="AN1075" s="17"/>
      <c r="AO1075" s="17"/>
      <c r="AP1075" s="28" t="str">
        <f t="shared" si="320"/>
        <v>20215</v>
      </c>
      <c r="AQ1075" s="28" t="str">
        <f t="shared" si="321"/>
        <v>20215RMB</v>
      </c>
      <c r="AR1075" s="206" t="str">
        <f t="shared" si="322"/>
        <v>YAMAHA_Mounter</v>
      </c>
      <c r="AS1075" s="22">
        <f t="shared" si="323"/>
        <v>4</v>
      </c>
      <c r="AT1075" s="24" t="str">
        <f t="shared" si="324"/>
        <v>4-6 months</v>
      </c>
      <c r="AU1075" s="22" t="s">
        <v>3240</v>
      </c>
    </row>
    <row r="1076" spans="1:47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48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1169</v>
      </c>
      <c r="K1076" s="155" t="s">
        <v>1170</v>
      </c>
      <c r="L1076" s="17" t="s">
        <v>92</v>
      </c>
      <c r="M1076" s="13" t="s">
        <v>60</v>
      </c>
      <c r="N1076" s="13">
        <v>1</v>
      </c>
      <c r="O1076" s="13"/>
      <c r="P1076" s="33" t="str">
        <f t="shared" si="316"/>
        <v>MAIN UNIT</v>
      </c>
      <c r="Q1076" s="13" t="s">
        <v>68</v>
      </c>
      <c r="R1076" s="13" t="s">
        <v>62</v>
      </c>
      <c r="S1076" s="13" t="s">
        <v>49</v>
      </c>
      <c r="T1076" s="13" t="s">
        <v>78</v>
      </c>
      <c r="U1076" s="13" t="s">
        <v>79</v>
      </c>
      <c r="V1076" s="13" t="s">
        <v>126</v>
      </c>
      <c r="W1076" s="13" t="s">
        <v>109</v>
      </c>
      <c r="X1076" s="135">
        <v>11430000</v>
      </c>
      <c r="Y1076" s="156">
        <v>1</v>
      </c>
      <c r="Z1076" s="18">
        <f t="shared" si="326"/>
        <v>11430000</v>
      </c>
      <c r="AA1076" s="13">
        <v>7.3400000000000007E-2</v>
      </c>
      <c r="AB1076" s="21">
        <f t="shared" si="325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1"/>
        <v>35384300.169380538</v>
      </c>
      <c r="AJ1076" s="19">
        <f t="shared" si="312"/>
        <v>5044538.8896988509</v>
      </c>
      <c r="AK1076" s="20">
        <f t="shared" si="319"/>
        <v>0.14256432557804533</v>
      </c>
      <c r="AL1076" s="17"/>
      <c r="AM1076" s="17"/>
      <c r="AN1076" s="17"/>
      <c r="AO1076" s="17"/>
      <c r="AP1076" s="28" t="str">
        <f t="shared" si="320"/>
        <v>20207</v>
      </c>
      <c r="AQ1076" s="28" t="str">
        <f t="shared" si="321"/>
        <v>20207JPY</v>
      </c>
      <c r="AR1076" s="206" t="str">
        <f t="shared" si="322"/>
        <v>YAMAHA_Mounter</v>
      </c>
      <c r="AS1076" s="22">
        <f t="shared" si="323"/>
        <v>1</v>
      </c>
      <c r="AT1076" s="24" t="str">
        <f t="shared" si="324"/>
        <v>0-3 months</v>
      </c>
      <c r="AU1076" s="22" t="s">
        <v>3745</v>
      </c>
    </row>
    <row r="1077" spans="1:47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48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1442</v>
      </c>
      <c r="K1077" s="155" t="s">
        <v>1170</v>
      </c>
      <c r="L1077" s="17" t="s">
        <v>92</v>
      </c>
      <c r="M1077" s="13" t="s">
        <v>60</v>
      </c>
      <c r="N1077" s="13">
        <v>1</v>
      </c>
      <c r="O1077" s="13"/>
      <c r="P1077" s="33" t="str">
        <f t="shared" si="316"/>
        <v>MAIN UNIT</v>
      </c>
      <c r="Q1077" s="13" t="s">
        <v>61</v>
      </c>
      <c r="R1077" s="13" t="s">
        <v>62</v>
      </c>
      <c r="S1077" s="13" t="s">
        <v>49</v>
      </c>
      <c r="T1077" s="13" t="s">
        <v>78</v>
      </c>
      <c r="U1077" s="13" t="s">
        <v>79</v>
      </c>
      <c r="V1077" s="13" t="s">
        <v>126</v>
      </c>
      <c r="W1077" s="13" t="s">
        <v>109</v>
      </c>
      <c r="X1077" s="135">
        <v>12910000</v>
      </c>
      <c r="Y1077" s="156">
        <v>1</v>
      </c>
      <c r="Z1077" s="18">
        <f t="shared" si="326"/>
        <v>12910000</v>
      </c>
      <c r="AA1077" s="13">
        <v>7.6100000000000001E-2</v>
      </c>
      <c r="AB1077" s="21">
        <f t="shared" si="325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1"/>
        <v>44078731.611185849</v>
      </c>
      <c r="AJ1077" s="19">
        <f t="shared" si="312"/>
        <v>5508173.2163771465</v>
      </c>
      <c r="AK1077" s="20">
        <f t="shared" si="319"/>
        <v>0.12496215328889679</v>
      </c>
      <c r="AL1077" s="17"/>
      <c r="AM1077" s="17"/>
      <c r="AN1077" s="17"/>
      <c r="AO1077" s="17"/>
      <c r="AP1077" s="28" t="str">
        <f t="shared" si="320"/>
        <v>202011</v>
      </c>
      <c r="AQ1077" s="28" t="str">
        <f t="shared" si="321"/>
        <v>202011JPY</v>
      </c>
      <c r="AR1077" s="206" t="str">
        <f t="shared" si="322"/>
        <v>YAMAHA_Mounter</v>
      </c>
      <c r="AS1077" s="22">
        <f t="shared" si="323"/>
        <v>2</v>
      </c>
      <c r="AT1077" s="24" t="str">
        <f t="shared" si="324"/>
        <v>0-3 months</v>
      </c>
      <c r="AU1077" s="22" t="s">
        <v>3745</v>
      </c>
    </row>
    <row r="1078" spans="1:47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48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1507</v>
      </c>
      <c r="K1078" s="155" t="s">
        <v>1170</v>
      </c>
      <c r="L1078" s="17" t="s">
        <v>92</v>
      </c>
      <c r="M1078" s="13" t="s">
        <v>60</v>
      </c>
      <c r="N1078" s="13">
        <v>1</v>
      </c>
      <c r="O1078" s="13"/>
      <c r="P1078" s="33" t="str">
        <f t="shared" si="316"/>
        <v>MAIN UNIT</v>
      </c>
      <c r="Q1078" s="13" t="s">
        <v>61</v>
      </c>
      <c r="R1078" s="13" t="s">
        <v>62</v>
      </c>
      <c r="S1078" s="13" t="s">
        <v>49</v>
      </c>
      <c r="T1078" s="13" t="s">
        <v>78</v>
      </c>
      <c r="U1078" s="13" t="s">
        <v>79</v>
      </c>
      <c r="V1078" s="13" t="s">
        <v>126</v>
      </c>
      <c r="W1078" s="13" t="s">
        <v>109</v>
      </c>
      <c r="X1078" s="135">
        <v>12600000</v>
      </c>
      <c r="Y1078" s="157" t="str">
        <f>IF(W1078="RMB","1.13", "1")</f>
        <v>1</v>
      </c>
      <c r="Z1078" s="18">
        <f t="shared" si="326"/>
        <v>12600000</v>
      </c>
      <c r="AA1078" s="13">
        <v>7.6799999999999993E-2</v>
      </c>
      <c r="AB1078" s="21">
        <f t="shared" si="325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1"/>
        <v>45803245.025628321</v>
      </c>
      <c r="AJ1078" s="19">
        <f t="shared" si="312"/>
        <v>5664636.2584379362</v>
      </c>
      <c r="AK1078" s="20">
        <f t="shared" si="319"/>
        <v>0.12367325186825515</v>
      </c>
      <c r="AL1078" s="17"/>
      <c r="AM1078" s="17"/>
      <c r="AN1078" s="17"/>
      <c r="AO1078" s="17"/>
      <c r="AP1078" s="28" t="str">
        <f t="shared" si="320"/>
        <v>20211</v>
      </c>
      <c r="AQ1078" s="28" t="str">
        <f t="shared" si="321"/>
        <v>20211JPY</v>
      </c>
      <c r="AR1078" s="206" t="str">
        <f t="shared" si="322"/>
        <v>YAMAHA_Mounter</v>
      </c>
      <c r="AS1078" s="22">
        <f t="shared" si="323"/>
        <v>3</v>
      </c>
      <c r="AT1078" s="24" t="str">
        <f t="shared" si="324"/>
        <v>0-3 months</v>
      </c>
      <c r="AU1078" s="22" t="s">
        <v>3745</v>
      </c>
    </row>
    <row r="1079" spans="1:47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53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1874</v>
      </c>
      <c r="K1079" s="155" t="s">
        <v>1170</v>
      </c>
      <c r="L1079" s="17" t="s">
        <v>92</v>
      </c>
      <c r="M1079" s="13" t="s">
        <v>60</v>
      </c>
      <c r="N1079" s="13">
        <v>1</v>
      </c>
      <c r="O1079" s="13"/>
      <c r="P1079" s="33" t="str">
        <f t="shared" si="316"/>
        <v>MAIN UNIT</v>
      </c>
      <c r="Q1079" s="13" t="s">
        <v>61</v>
      </c>
      <c r="R1079" s="13" t="s">
        <v>62</v>
      </c>
      <c r="S1079" s="13" t="s">
        <v>49</v>
      </c>
      <c r="T1079" s="13" t="s">
        <v>78</v>
      </c>
      <c r="U1079" s="13" t="s">
        <v>79</v>
      </c>
      <c r="V1079" s="13" t="s">
        <v>126</v>
      </c>
      <c r="W1079" s="13" t="s">
        <v>109</v>
      </c>
      <c r="X1079" s="135">
        <v>11100000</v>
      </c>
      <c r="Y1079" s="157" t="str">
        <f>IF(W1079="RMB","1.13", "1")</f>
        <v>1</v>
      </c>
      <c r="Z1079" s="18">
        <f t="shared" si="326"/>
        <v>11100000</v>
      </c>
      <c r="AA1079" s="13">
        <v>7.0999999999999994E-2</v>
      </c>
      <c r="AB1079" s="21">
        <f t="shared" si="325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1"/>
        <v>15533177.71460177</v>
      </c>
      <c r="AJ1079" s="19">
        <f t="shared" si="312"/>
        <v>1819298.5437526547</v>
      </c>
      <c r="AK1079" s="20">
        <f t="shared" si="319"/>
        <v>0.11712339723265033</v>
      </c>
      <c r="AL1079" s="17"/>
      <c r="AM1079" s="17"/>
      <c r="AN1079" s="17"/>
      <c r="AO1079" s="17"/>
      <c r="AP1079" s="28" t="str">
        <f t="shared" si="320"/>
        <v>202110</v>
      </c>
      <c r="AQ1079" s="28" t="str">
        <f t="shared" si="321"/>
        <v>202110JPY</v>
      </c>
      <c r="AR1079" s="206" t="str">
        <f t="shared" si="322"/>
        <v>YAMAHA_Mounter</v>
      </c>
      <c r="AS1079" s="22">
        <f t="shared" si="323"/>
        <v>6</v>
      </c>
      <c r="AT1079" s="24" t="str">
        <f t="shared" si="324"/>
        <v>4-6 months</v>
      </c>
      <c r="AU1079" s="22" t="s">
        <v>3745</v>
      </c>
    </row>
    <row r="1080" spans="1:47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53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1874</v>
      </c>
      <c r="K1080" s="155" t="s">
        <v>1170</v>
      </c>
      <c r="L1080" s="17" t="s">
        <v>92</v>
      </c>
      <c r="M1080" s="13" t="s">
        <v>60</v>
      </c>
      <c r="N1080" s="13">
        <v>1</v>
      </c>
      <c r="O1080" s="13"/>
      <c r="P1080" s="33" t="str">
        <f t="shared" si="316"/>
        <v>MAIN UNIT</v>
      </c>
      <c r="Q1080" s="13" t="s">
        <v>61</v>
      </c>
      <c r="R1080" s="13" t="s">
        <v>62</v>
      </c>
      <c r="S1080" s="13" t="s">
        <v>49</v>
      </c>
      <c r="T1080" s="13" t="s">
        <v>78</v>
      </c>
      <c r="U1080" s="13" t="s">
        <v>79</v>
      </c>
      <c r="V1080" s="13" t="s">
        <v>126</v>
      </c>
      <c r="W1080" s="13" t="s">
        <v>109</v>
      </c>
      <c r="X1080" s="135">
        <v>11100000</v>
      </c>
      <c r="Y1080" s="157" t="str">
        <f>IF(W1080="RMB","1.13", "1")</f>
        <v>1</v>
      </c>
      <c r="Z1080" s="18">
        <f t="shared" si="326"/>
        <v>11100000</v>
      </c>
      <c r="AA1080" s="13">
        <v>6.9199999999999998E-2</v>
      </c>
      <c r="AB1080" s="21">
        <f t="shared" si="325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1"/>
        <v>26407088.359292038</v>
      </c>
      <c r="AJ1080" s="19">
        <f t="shared" si="312"/>
        <v>3424510.6998470789</v>
      </c>
      <c r="AK1080" s="20">
        <f t="shared" si="319"/>
        <v>0.12968149510667554</v>
      </c>
      <c r="AL1080" s="17"/>
      <c r="AM1080" s="17"/>
      <c r="AN1080" s="17"/>
      <c r="AO1080" s="17"/>
      <c r="AP1080" s="28" t="str">
        <f t="shared" si="320"/>
        <v>20221</v>
      </c>
      <c r="AQ1080" s="28" t="str">
        <f t="shared" si="321"/>
        <v>20221JPY</v>
      </c>
      <c r="AR1080" s="206" t="str">
        <f t="shared" si="322"/>
        <v>YAMAHA_Mounter</v>
      </c>
      <c r="AS1080" s="22">
        <f t="shared" si="323"/>
        <v>9</v>
      </c>
      <c r="AT1080" s="24" t="str">
        <f t="shared" si="324"/>
        <v>&gt; 6 months</v>
      </c>
      <c r="AU1080" s="22" t="s">
        <v>3745</v>
      </c>
    </row>
    <row r="1081" spans="1:47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54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2447</v>
      </c>
      <c r="K1081" s="155" t="s">
        <v>1170</v>
      </c>
      <c r="L1081" s="17" t="s">
        <v>92</v>
      </c>
      <c r="M1081" s="13" t="s">
        <v>60</v>
      </c>
      <c r="N1081" s="13">
        <v>1</v>
      </c>
      <c r="O1081" s="13"/>
      <c r="P1081" s="33" t="str">
        <f t="shared" si="316"/>
        <v>MAIN UNIT</v>
      </c>
      <c r="Q1081" s="13" t="s">
        <v>61</v>
      </c>
      <c r="R1081" s="13" t="s">
        <v>62</v>
      </c>
      <c r="S1081" s="13" t="s">
        <v>49</v>
      </c>
      <c r="T1081" s="13" t="s">
        <v>78</v>
      </c>
      <c r="U1081" s="13" t="s">
        <v>79</v>
      </c>
      <c r="V1081" s="13" t="s">
        <v>126</v>
      </c>
      <c r="W1081" s="13" t="s">
        <v>64</v>
      </c>
      <c r="X1081" s="135">
        <v>846000</v>
      </c>
      <c r="Y1081" s="157" t="str">
        <f>IF(W1081="RMB","1.13", "1")</f>
        <v>1.13</v>
      </c>
      <c r="Z1081" s="18">
        <f t="shared" si="326"/>
        <v>846000</v>
      </c>
      <c r="AA1081" s="13">
        <v>1.1299999999999999</v>
      </c>
      <c r="AB1081" s="21">
        <f t="shared" si="325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1"/>
        <v>33543315.897345133</v>
      </c>
      <c r="AJ1081" s="19">
        <f t="shared" si="312"/>
        <v>4706169.3252984071</v>
      </c>
      <c r="AK1081" s="20">
        <f t="shared" si="319"/>
        <v>0.14030125523967318</v>
      </c>
      <c r="AL1081" s="17"/>
      <c r="AM1081" s="17"/>
      <c r="AN1081" s="17"/>
      <c r="AO1081" s="17"/>
      <c r="AP1081" s="28" t="str">
        <f t="shared" si="320"/>
        <v>20233</v>
      </c>
      <c r="AQ1081" s="28" t="str">
        <f t="shared" si="321"/>
        <v>20233RMB</v>
      </c>
      <c r="AR1081" s="206" t="str">
        <f t="shared" si="322"/>
        <v>YAMAHA_Mounter</v>
      </c>
      <c r="AS1081" s="22">
        <f t="shared" si="323"/>
        <v>0</v>
      </c>
      <c r="AT1081" s="24" t="str">
        <f t="shared" si="324"/>
        <v>0-3 months</v>
      </c>
      <c r="AU1081" s="22" t="s">
        <v>3751</v>
      </c>
    </row>
    <row r="1082" spans="1:47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54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2447</v>
      </c>
      <c r="K1082" s="155" t="s">
        <v>1170</v>
      </c>
      <c r="L1082" s="17" t="s">
        <v>92</v>
      </c>
      <c r="M1082" s="13" t="s">
        <v>60</v>
      </c>
      <c r="N1082" s="13">
        <v>1</v>
      </c>
      <c r="O1082" s="13"/>
      <c r="P1082" s="33" t="str">
        <f t="shared" si="316"/>
        <v>MAIN UNIT</v>
      </c>
      <c r="Q1082" s="13" t="s">
        <v>61</v>
      </c>
      <c r="R1082" s="13" t="s">
        <v>62</v>
      </c>
      <c r="S1082" s="13" t="s">
        <v>49</v>
      </c>
      <c r="T1082" s="13" t="s">
        <v>78</v>
      </c>
      <c r="U1082" s="13" t="s">
        <v>79</v>
      </c>
      <c r="V1082" s="13" t="s">
        <v>126</v>
      </c>
      <c r="W1082" s="13" t="s">
        <v>64</v>
      </c>
      <c r="X1082" s="135">
        <v>846000</v>
      </c>
      <c r="Y1082" s="157" t="str">
        <f>IF(W1082="RMB","1.13", "1")</f>
        <v>1.13</v>
      </c>
      <c r="Z1082" s="18">
        <f t="shared" si="326"/>
        <v>846000</v>
      </c>
      <c r="AA1082" s="13">
        <v>1.1299999999999999</v>
      </c>
      <c r="AB1082" s="21">
        <f t="shared" si="325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1"/>
        <v>33543315.897345133</v>
      </c>
      <c r="AJ1082" s="19">
        <f t="shared" si="312"/>
        <v>4706169.3252984071</v>
      </c>
      <c r="AK1082" s="20">
        <f t="shared" si="319"/>
        <v>0.14030125523967318</v>
      </c>
      <c r="AL1082" s="17"/>
      <c r="AM1082" s="17"/>
      <c r="AN1082" s="17"/>
      <c r="AO1082" s="17"/>
      <c r="AP1082" s="28" t="str">
        <f t="shared" si="320"/>
        <v>20233</v>
      </c>
      <c r="AQ1082" s="28" t="str">
        <f t="shared" si="321"/>
        <v>20233RMB</v>
      </c>
      <c r="AR1082" s="206" t="str">
        <f t="shared" si="322"/>
        <v>YAMAHA_Mounter</v>
      </c>
      <c r="AS1082" s="22">
        <f t="shared" si="323"/>
        <v>0</v>
      </c>
      <c r="AT1082" s="24" t="str">
        <f t="shared" si="324"/>
        <v>0-3 months</v>
      </c>
      <c r="AU1082" s="22" t="s">
        <v>3751</v>
      </c>
    </row>
    <row r="1083" spans="1:47" s="12" customFormat="1">
      <c r="A1083" s="33" t="str">
        <f t="shared" si="313"/>
        <v>cancel</v>
      </c>
      <c r="B1083" s="152"/>
      <c r="C1083" s="152" t="s">
        <v>185</v>
      </c>
      <c r="D1083" s="33" t="str">
        <f t="shared" si="314"/>
        <v/>
      </c>
      <c r="E1083" s="33" t="s">
        <v>185</v>
      </c>
      <c r="F1083" s="13" t="s">
        <v>185</v>
      </c>
      <c r="G1083" s="152" t="s">
        <v>185</v>
      </c>
      <c r="H1083" s="155"/>
      <c r="I1083" s="33" t="str">
        <f t="shared" si="315"/>
        <v>Cancel</v>
      </c>
      <c r="J1083" s="186" t="s">
        <v>2710</v>
      </c>
      <c r="K1083" s="155" t="s">
        <v>2711</v>
      </c>
      <c r="L1083" s="17" t="s">
        <v>92</v>
      </c>
      <c r="M1083" s="13" t="s">
        <v>60</v>
      </c>
      <c r="N1083" s="13">
        <v>1</v>
      </c>
      <c r="O1083" s="13"/>
      <c r="P1083" s="33" t="str">
        <f t="shared" si="316"/>
        <v>MAIN UNIT</v>
      </c>
      <c r="Q1083" s="13" t="s">
        <v>68</v>
      </c>
      <c r="R1083" s="13" t="s">
        <v>62</v>
      </c>
      <c r="S1083" s="13" t="s">
        <v>49</v>
      </c>
      <c r="T1083" s="13" t="s">
        <v>78</v>
      </c>
      <c r="U1083" s="13" t="s">
        <v>79</v>
      </c>
      <c r="V1083" s="13" t="s">
        <v>112</v>
      </c>
      <c r="W1083" s="13" t="s">
        <v>64</v>
      </c>
      <c r="X1083" s="135">
        <v>1067000</v>
      </c>
      <c r="Y1083" s="156">
        <v>1.1299999999999999</v>
      </c>
      <c r="Z1083" s="18">
        <f t="shared" si="326"/>
        <v>1067000</v>
      </c>
      <c r="AA1083" s="13">
        <v>1.095</v>
      </c>
      <c r="AB1083" s="21">
        <f t="shared" si="325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1"/>
        <v>499582152.5142017</v>
      </c>
      <c r="AJ1083" s="19">
        <f t="shared" si="312"/>
        <v>59520528.679470733</v>
      </c>
      <c r="AK1083" s="20">
        <f t="shared" si="319"/>
        <v>0.11914062257814291</v>
      </c>
      <c r="AL1083" s="17"/>
      <c r="AM1083" s="17"/>
      <c r="AN1083" s="17"/>
      <c r="AO1083" s="17"/>
      <c r="AP1083" s="28" t="str">
        <f t="shared" si="320"/>
        <v>CancelCancel</v>
      </c>
      <c r="AQ1083" s="28" t="str">
        <f t="shared" si="321"/>
        <v>CancelCancelRMB</v>
      </c>
      <c r="AR1083" s="206" t="str">
        <f t="shared" si="322"/>
        <v>YAMAHA_Mounter</v>
      </c>
      <c r="AS1083" s="22" t="str">
        <f t="shared" si="323"/>
        <v/>
      </c>
      <c r="AT1083" s="24" t="str">
        <f t="shared" si="324"/>
        <v/>
      </c>
      <c r="AU1083" s="22" t="s">
        <v>3744</v>
      </c>
    </row>
    <row r="1084" spans="1:47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48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1195</v>
      </c>
      <c r="K1084" s="155" t="s">
        <v>1196</v>
      </c>
      <c r="L1084" s="17" t="s">
        <v>67</v>
      </c>
      <c r="M1084" s="13" t="s">
        <v>60</v>
      </c>
      <c r="N1084" s="13">
        <v>1</v>
      </c>
      <c r="O1084" s="13"/>
      <c r="P1084" s="33" t="str">
        <f t="shared" si="316"/>
        <v>MAIN UNIT</v>
      </c>
      <c r="Q1084" s="13" t="s">
        <v>61</v>
      </c>
      <c r="R1084" s="13" t="s">
        <v>62</v>
      </c>
      <c r="S1084" s="13" t="s">
        <v>49</v>
      </c>
      <c r="T1084" s="13" t="s">
        <v>78</v>
      </c>
      <c r="U1084" s="13" t="s">
        <v>79</v>
      </c>
      <c r="V1084" s="13" t="s">
        <v>1186</v>
      </c>
      <c r="W1084" s="13" t="s">
        <v>109</v>
      </c>
      <c r="X1084" s="135">
        <v>7900000</v>
      </c>
      <c r="Y1084" s="156">
        <v>1</v>
      </c>
      <c r="Z1084" s="18">
        <f t="shared" si="326"/>
        <v>7900000</v>
      </c>
      <c r="AA1084" s="13">
        <v>7.3400000000000007E-2</v>
      </c>
      <c r="AB1084" s="21">
        <f t="shared" si="325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1"/>
        <v>35384300.169380538</v>
      </c>
      <c r="AJ1084" s="19">
        <f t="shared" si="312"/>
        <v>5044538.8896988509</v>
      </c>
      <c r="AK1084" s="20">
        <f t="shared" si="319"/>
        <v>0.14256432557804533</v>
      </c>
      <c r="AL1084" s="17"/>
      <c r="AM1084" s="17"/>
      <c r="AN1084" s="17"/>
      <c r="AO1084" s="17"/>
      <c r="AP1084" s="28" t="str">
        <f t="shared" si="320"/>
        <v>20207</v>
      </c>
      <c r="AQ1084" s="28" t="str">
        <f t="shared" si="321"/>
        <v>20207JPY</v>
      </c>
      <c r="AR1084" s="206" t="str">
        <f t="shared" si="322"/>
        <v>YAMAHA_Mounter</v>
      </c>
      <c r="AS1084" s="22">
        <f t="shared" si="323"/>
        <v>0</v>
      </c>
      <c r="AT1084" s="24" t="str">
        <f t="shared" si="324"/>
        <v>0-3 months</v>
      </c>
      <c r="AU1084" s="22" t="s">
        <v>3745</v>
      </c>
    </row>
    <row r="1085" spans="1:47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3098</v>
      </c>
      <c r="K1085" s="155" t="s">
        <v>3099</v>
      </c>
      <c r="L1085" s="17" t="s">
        <v>67</v>
      </c>
      <c r="M1085" s="13" t="s">
        <v>60</v>
      </c>
      <c r="N1085" s="13">
        <v>1</v>
      </c>
      <c r="O1085" s="13"/>
      <c r="P1085" s="33" t="str">
        <f t="shared" si="316"/>
        <v>MAIN UNIT</v>
      </c>
      <c r="Q1085" s="13" t="s">
        <v>61</v>
      </c>
      <c r="R1085" s="13" t="s">
        <v>62</v>
      </c>
      <c r="S1085" s="13" t="s">
        <v>49</v>
      </c>
      <c r="T1085" s="13" t="s">
        <v>78</v>
      </c>
      <c r="U1085" s="13" t="s">
        <v>79</v>
      </c>
      <c r="V1085" s="13" t="s">
        <v>126</v>
      </c>
      <c r="W1085" s="13" t="s">
        <v>109</v>
      </c>
      <c r="X1085" s="135">
        <v>7100000</v>
      </c>
      <c r="Y1085" s="157" t="str">
        <f>IF(W1085="","",IF(W1085="RMB","1.13", "1"))</f>
        <v>1</v>
      </c>
      <c r="Z1085" s="18">
        <f t="shared" si="326"/>
        <v>7100000</v>
      </c>
      <c r="AA1085" s="13">
        <v>5.3400000000000003E-2</v>
      </c>
      <c r="AB1085" s="21">
        <f t="shared" si="325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1"/>
        <v>11730565.00042478</v>
      </c>
      <c r="AJ1085" s="19">
        <f t="shared" si="312"/>
        <v>1439625.5685810833</v>
      </c>
      <c r="AK1085" s="20">
        <f t="shared" si="319"/>
        <v>0.12272431622253084</v>
      </c>
      <c r="AL1085" s="17"/>
      <c r="AM1085" s="17"/>
      <c r="AN1085" s="17"/>
      <c r="AO1085" s="17"/>
      <c r="AP1085" s="28" t="str">
        <f t="shared" si="320"/>
        <v>202311</v>
      </c>
      <c r="AQ1085" s="28" t="str">
        <f t="shared" si="321"/>
        <v>202311JPY</v>
      </c>
      <c r="AR1085" s="206" t="str">
        <f t="shared" si="322"/>
        <v>YAMAHA_Mounter</v>
      </c>
      <c r="AS1085" s="22">
        <f t="shared" si="323"/>
        <v>0</v>
      </c>
      <c r="AT1085" s="24" t="str">
        <f t="shared" si="324"/>
        <v>0-3 months</v>
      </c>
      <c r="AU1085" s="22" t="s">
        <v>3745</v>
      </c>
    </row>
    <row r="1086" spans="1:47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3098</v>
      </c>
      <c r="K1086" s="155" t="s">
        <v>3099</v>
      </c>
      <c r="L1086" s="17" t="s">
        <v>67</v>
      </c>
      <c r="M1086" s="13" t="s">
        <v>60</v>
      </c>
      <c r="N1086" s="13">
        <v>1</v>
      </c>
      <c r="O1086" s="13"/>
      <c r="P1086" s="33" t="str">
        <f t="shared" si="316"/>
        <v>MAIN UNIT</v>
      </c>
      <c r="Q1086" s="13" t="s">
        <v>61</v>
      </c>
      <c r="R1086" s="13" t="s">
        <v>62</v>
      </c>
      <c r="S1086" s="13" t="s">
        <v>49</v>
      </c>
      <c r="T1086" s="13" t="s">
        <v>78</v>
      </c>
      <c r="U1086" s="13" t="s">
        <v>79</v>
      </c>
      <c r="V1086" s="13" t="s">
        <v>126</v>
      </c>
      <c r="W1086" s="13" t="s">
        <v>109</v>
      </c>
      <c r="X1086" s="135">
        <v>7100000</v>
      </c>
      <c r="Y1086" s="157" t="str">
        <f>IF(W1086="","",IF(W1086="RMB","1.13", "1"))</f>
        <v>1</v>
      </c>
      <c r="Z1086" s="18">
        <f t="shared" si="326"/>
        <v>7100000</v>
      </c>
      <c r="AA1086" s="13">
        <v>5.3400000000000003E-2</v>
      </c>
      <c r="AB1086" s="21">
        <f t="shared" si="325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1"/>
        <v>11730565.00042478</v>
      </c>
      <c r="AJ1086" s="19">
        <f t="shared" si="312"/>
        <v>1439625.5685810833</v>
      </c>
      <c r="AK1086" s="20">
        <f t="shared" si="319"/>
        <v>0.12272431622253084</v>
      </c>
      <c r="AL1086" s="17"/>
      <c r="AM1086" s="17"/>
      <c r="AN1086" s="17"/>
      <c r="AO1086" s="17"/>
      <c r="AP1086" s="28" t="str">
        <f t="shared" si="320"/>
        <v>202311</v>
      </c>
      <c r="AQ1086" s="28" t="str">
        <f t="shared" si="321"/>
        <v>202311JPY</v>
      </c>
      <c r="AR1086" s="206" t="str">
        <f t="shared" si="322"/>
        <v>YAMAHA_Mounter</v>
      </c>
      <c r="AS1086" s="22">
        <f t="shared" si="323"/>
        <v>0</v>
      </c>
      <c r="AT1086" s="24" t="str">
        <f t="shared" si="324"/>
        <v>0-3 months</v>
      </c>
      <c r="AU1086" s="22" t="s">
        <v>3745</v>
      </c>
    </row>
    <row r="1087" spans="1:47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41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300</v>
      </c>
      <c r="K1087" s="155" t="s">
        <v>301</v>
      </c>
      <c r="L1087" s="17" t="s">
        <v>59</v>
      </c>
      <c r="M1087" s="13" t="s">
        <v>60</v>
      </c>
      <c r="N1087" s="13">
        <v>1</v>
      </c>
      <c r="O1087" s="13"/>
      <c r="P1087" s="33" t="str">
        <f t="shared" si="316"/>
        <v>MAIN UNIT</v>
      </c>
      <c r="Q1087" s="13" t="s">
        <v>61</v>
      </c>
      <c r="R1087" s="13" t="s">
        <v>62</v>
      </c>
      <c r="S1087" s="13" t="s">
        <v>49</v>
      </c>
      <c r="T1087" s="13" t="s">
        <v>78</v>
      </c>
      <c r="U1087" s="13" t="s">
        <v>79</v>
      </c>
      <c r="V1087" s="13" t="s">
        <v>112</v>
      </c>
      <c r="W1087" s="13" t="s">
        <v>109</v>
      </c>
      <c r="X1087" s="135">
        <v>6936000</v>
      </c>
      <c r="Y1087" s="156">
        <v>1</v>
      </c>
      <c r="Z1087" s="18">
        <f t="shared" si="326"/>
        <v>6936000</v>
      </c>
      <c r="AA1087" s="13">
        <v>7.51E-2</v>
      </c>
      <c r="AB1087" s="21">
        <f t="shared" si="325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1"/>
        <v>29288201.603076916</v>
      </c>
      <c r="AJ1087" s="19">
        <f t="shared" si="312"/>
        <v>3870159.1769246152</v>
      </c>
      <c r="AK1087" s="20">
        <f t="shared" si="319"/>
        <v>0.13214055370740244</v>
      </c>
      <c r="AL1087" s="17">
        <v>11116088</v>
      </c>
      <c r="AM1087" s="17">
        <v>6936000</v>
      </c>
      <c r="AN1087" s="17" t="s">
        <v>302</v>
      </c>
      <c r="AO1087" s="17"/>
      <c r="AP1087" s="28" t="str">
        <f t="shared" si="320"/>
        <v>20184</v>
      </c>
      <c r="AQ1087" s="28" t="str">
        <f t="shared" si="321"/>
        <v>20184JPY</v>
      </c>
      <c r="AR1087" s="206" t="str">
        <f t="shared" si="322"/>
        <v>YAMAHA_Mounter</v>
      </c>
      <c r="AS1087" s="22" t="str">
        <f t="shared" si="323"/>
        <v/>
      </c>
      <c r="AT1087" s="24" t="str">
        <f t="shared" si="324"/>
        <v/>
      </c>
      <c r="AU1087" s="22" t="s">
        <v>3745</v>
      </c>
    </row>
    <row r="1088" spans="1:47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53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1722</v>
      </c>
      <c r="K1088" s="155" t="s">
        <v>301</v>
      </c>
      <c r="L1088" s="17" t="s">
        <v>67</v>
      </c>
      <c r="M1088" s="13" t="s">
        <v>60</v>
      </c>
      <c r="N1088" s="13">
        <v>1</v>
      </c>
      <c r="O1088" s="13"/>
      <c r="P1088" s="33" t="str">
        <f t="shared" si="316"/>
        <v>MAIN UNIT</v>
      </c>
      <c r="Q1088" s="13" t="s">
        <v>61</v>
      </c>
      <c r="R1088" s="13" t="s">
        <v>62</v>
      </c>
      <c r="S1088" s="13" t="s">
        <v>49</v>
      </c>
      <c r="T1088" s="13" t="s">
        <v>78</v>
      </c>
      <c r="U1088" s="13" t="s">
        <v>79</v>
      </c>
      <c r="V1088" s="13" t="s">
        <v>112</v>
      </c>
      <c r="W1088" s="13" t="s">
        <v>109</v>
      </c>
      <c r="X1088" s="135">
        <v>10500000</v>
      </c>
      <c r="Y1088" s="157" t="str">
        <f>IF(W1088="RMB","1.13", "1")</f>
        <v>1</v>
      </c>
      <c r="Z1088" s="18">
        <f t="shared" si="326"/>
        <v>10500000</v>
      </c>
      <c r="AA1088" s="13">
        <v>7.2800000000000004E-2</v>
      </c>
      <c r="AB1088" s="21">
        <f t="shared" si="325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1"/>
        <v>63006605.696460173</v>
      </c>
      <c r="AJ1088" s="19">
        <f t="shared" si="312"/>
        <v>8897485.660753984</v>
      </c>
      <c r="AK1088" s="20">
        <f t="shared" si="319"/>
        <v>0.141215124388995</v>
      </c>
      <c r="AL1088" s="17"/>
      <c r="AM1088" s="17"/>
      <c r="AN1088" s="17"/>
      <c r="AO1088" s="17"/>
      <c r="AP1088" s="28" t="str">
        <f t="shared" si="320"/>
        <v>20215</v>
      </c>
      <c r="AQ1088" s="28" t="str">
        <f t="shared" si="321"/>
        <v>20215JPY</v>
      </c>
      <c r="AR1088" s="206" t="str">
        <f t="shared" si="322"/>
        <v>YAMAHA_Mounter</v>
      </c>
      <c r="AS1088" s="22">
        <f t="shared" si="323"/>
        <v>3</v>
      </c>
      <c r="AT1088" s="24" t="str">
        <f t="shared" si="324"/>
        <v>0-3 months</v>
      </c>
      <c r="AU1088" s="22" t="s">
        <v>3745</v>
      </c>
    </row>
    <row r="1089" spans="1:47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53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1722</v>
      </c>
      <c r="K1089" s="155" t="s">
        <v>301</v>
      </c>
      <c r="L1089" s="17" t="s">
        <v>67</v>
      </c>
      <c r="M1089" s="13" t="s">
        <v>60</v>
      </c>
      <c r="N1089" s="13">
        <v>1</v>
      </c>
      <c r="O1089" s="13"/>
      <c r="P1089" s="33" t="str">
        <f t="shared" si="316"/>
        <v>MAIN UNIT</v>
      </c>
      <c r="Q1089" s="13" t="s">
        <v>61</v>
      </c>
      <c r="R1089" s="13" t="s">
        <v>62</v>
      </c>
      <c r="S1089" s="13" t="s">
        <v>49</v>
      </c>
      <c r="T1089" s="13" t="s">
        <v>78</v>
      </c>
      <c r="U1089" s="13" t="s">
        <v>79</v>
      </c>
      <c r="V1089" s="13" t="s">
        <v>112</v>
      </c>
      <c r="W1089" s="13" t="s">
        <v>109</v>
      </c>
      <c r="X1089" s="135">
        <v>10500000</v>
      </c>
      <c r="Y1089" s="157" t="str">
        <f>IF(W1089="RMB","1.13", "1")</f>
        <v>1</v>
      </c>
      <c r="Z1089" s="18">
        <f t="shared" si="326"/>
        <v>10500000</v>
      </c>
      <c r="AA1089" s="13">
        <v>7.2800000000000004E-2</v>
      </c>
      <c r="AB1089" s="21">
        <f t="shared" si="325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1"/>
        <v>63006605.696460173</v>
      </c>
      <c r="AJ1089" s="19">
        <f t="shared" si="312"/>
        <v>8897485.660753984</v>
      </c>
      <c r="AK1089" s="20">
        <f t="shared" si="319"/>
        <v>0.141215124388995</v>
      </c>
      <c r="AL1089" s="17"/>
      <c r="AM1089" s="17"/>
      <c r="AN1089" s="17"/>
      <c r="AO1089" s="17"/>
      <c r="AP1089" s="28" t="str">
        <f t="shared" si="320"/>
        <v>20215</v>
      </c>
      <c r="AQ1089" s="28" t="str">
        <f t="shared" si="321"/>
        <v>20215JPY</v>
      </c>
      <c r="AR1089" s="206" t="str">
        <f t="shared" si="322"/>
        <v>YAMAHA_Mounter</v>
      </c>
      <c r="AS1089" s="22">
        <f t="shared" si="323"/>
        <v>3</v>
      </c>
      <c r="AT1089" s="24" t="str">
        <f t="shared" si="324"/>
        <v>0-3 months</v>
      </c>
      <c r="AU1089" s="22" t="s">
        <v>3745</v>
      </c>
    </row>
    <row r="1090" spans="1:47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41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497</v>
      </c>
      <c r="K1090" s="155" t="s">
        <v>498</v>
      </c>
      <c r="L1090" s="17" t="s">
        <v>67</v>
      </c>
      <c r="M1090" s="13" t="s">
        <v>60</v>
      </c>
      <c r="N1090" s="13">
        <v>1</v>
      </c>
      <c r="O1090" s="13"/>
      <c r="P1090" s="33" t="str">
        <f t="shared" si="316"/>
        <v>MAIN UNIT</v>
      </c>
      <c r="Q1090" s="13" t="s">
        <v>61</v>
      </c>
      <c r="R1090" s="13" t="s">
        <v>62</v>
      </c>
      <c r="S1090" s="13" t="s">
        <v>49</v>
      </c>
      <c r="T1090" s="13" t="s">
        <v>78</v>
      </c>
      <c r="U1090" s="13" t="s">
        <v>79</v>
      </c>
      <c r="V1090" s="13" t="s">
        <v>134</v>
      </c>
      <c r="W1090" s="13" t="s">
        <v>109</v>
      </c>
      <c r="X1090" s="135">
        <v>11000000</v>
      </c>
      <c r="Y1090" s="156">
        <v>1</v>
      </c>
      <c r="Z1090" s="18">
        <f t="shared" si="326"/>
        <v>11000000</v>
      </c>
      <c r="AA1090" s="13">
        <v>7.0400000000000004E-2</v>
      </c>
      <c r="AB1090" s="21">
        <f t="shared" si="325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ref="AI1090:AI1153" si="327">IF(P1090="C66 SERVICE","",SUMIFS(AB:AB,F:F,F1090,G:G,G1090,E:E,E1090))</f>
        <v>29840797.698275864</v>
      </c>
      <c r="AJ1090" s="19">
        <f t="shared" ref="AJ1090:AJ1153" si="328">IF(P1090="C66 SERVICE","",SUMIFS(AC:AC,F:F,F1090,G:G,G1090,E:E,E1090))</f>
        <v>3940167.6555448272</v>
      </c>
      <c r="AK1090" s="20">
        <f t="shared" si="319"/>
        <v>0.13203962224416277</v>
      </c>
      <c r="AL1090" s="17"/>
      <c r="AM1090" s="17"/>
      <c r="AN1090" s="17"/>
      <c r="AO1090" s="17"/>
      <c r="AP1090" s="28" t="str">
        <f t="shared" si="320"/>
        <v>201812</v>
      </c>
      <c r="AQ1090" s="28" t="str">
        <f t="shared" si="321"/>
        <v>201812JPY</v>
      </c>
      <c r="AR1090" s="206" t="str">
        <f t="shared" si="322"/>
        <v>YAMAHA_Mounter</v>
      </c>
      <c r="AS1090" s="22">
        <f t="shared" si="323"/>
        <v>1</v>
      </c>
      <c r="AT1090" s="24" t="str">
        <f t="shared" si="324"/>
        <v>0-3 months</v>
      </c>
      <c r="AU1090" s="22" t="s">
        <v>3745</v>
      </c>
    </row>
    <row r="1091" spans="1:47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41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499</v>
      </c>
      <c r="K1091" s="155" t="s">
        <v>498</v>
      </c>
      <c r="L1091" s="17" t="s">
        <v>92</v>
      </c>
      <c r="M1091" s="13" t="s">
        <v>60</v>
      </c>
      <c r="N1091" s="13">
        <v>1</v>
      </c>
      <c r="O1091" s="13"/>
      <c r="P1091" s="33" t="str">
        <f t="shared" si="316"/>
        <v>MAIN UNIT</v>
      </c>
      <c r="Q1091" s="13" t="s">
        <v>61</v>
      </c>
      <c r="R1091" s="13" t="s">
        <v>62</v>
      </c>
      <c r="S1091" s="13" t="s">
        <v>49</v>
      </c>
      <c r="T1091" s="13" t="s">
        <v>78</v>
      </c>
      <c r="U1091" s="13" t="s">
        <v>79</v>
      </c>
      <c r="V1091" s="13" t="s">
        <v>134</v>
      </c>
      <c r="W1091" s="13" t="s">
        <v>109</v>
      </c>
      <c r="X1091" s="135">
        <v>12500000</v>
      </c>
      <c r="Y1091" s="156">
        <v>1</v>
      </c>
      <c r="Z1091" s="18">
        <f t="shared" si="326"/>
        <v>12500000</v>
      </c>
      <c r="AA1091" s="13">
        <v>7.0400000000000004E-2</v>
      </c>
      <c r="AB1091" s="21">
        <f t="shared" si="325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27"/>
        <v>29840797.698275864</v>
      </c>
      <c r="AJ1091" s="19">
        <f t="shared" si="328"/>
        <v>3940167.6555448272</v>
      </c>
      <c r="AK1091" s="20">
        <f t="shared" si="319"/>
        <v>0.13203962224416277</v>
      </c>
      <c r="AL1091" s="17"/>
      <c r="AM1091" s="17"/>
      <c r="AN1091" s="17"/>
      <c r="AO1091" s="17"/>
      <c r="AP1091" s="28" t="str">
        <f t="shared" si="320"/>
        <v>201812</v>
      </c>
      <c r="AQ1091" s="28" t="str">
        <f t="shared" si="321"/>
        <v>201812JPY</v>
      </c>
      <c r="AR1091" s="206" t="str">
        <f t="shared" si="322"/>
        <v>YAMAHA_Mounter</v>
      </c>
      <c r="AS1091" s="22">
        <f t="shared" si="323"/>
        <v>1</v>
      </c>
      <c r="AT1091" s="24" t="str">
        <f t="shared" si="324"/>
        <v>0-3 months</v>
      </c>
      <c r="AU1091" s="22" t="s">
        <v>3745</v>
      </c>
    </row>
    <row r="1092" spans="1:47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55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2502</v>
      </c>
      <c r="K1092" s="155" t="s">
        <v>2503</v>
      </c>
      <c r="L1092" s="17" t="s">
        <v>92</v>
      </c>
      <c r="M1092" s="13" t="s">
        <v>60</v>
      </c>
      <c r="N1092" s="13">
        <v>1</v>
      </c>
      <c r="O1092" s="13"/>
      <c r="P1092" s="33" t="str">
        <f t="shared" si="316"/>
        <v>MAIN UNIT</v>
      </c>
      <c r="Q1092" s="13" t="s">
        <v>68</v>
      </c>
      <c r="R1092" s="13" t="s">
        <v>62</v>
      </c>
      <c r="S1092" s="13" t="s">
        <v>49</v>
      </c>
      <c r="T1092" s="13" t="s">
        <v>78</v>
      </c>
      <c r="U1092" s="13" t="s">
        <v>79</v>
      </c>
      <c r="V1092" s="13" t="s">
        <v>2396</v>
      </c>
      <c r="W1092" s="13" t="s">
        <v>64</v>
      </c>
      <c r="X1092" s="135">
        <v>812550</v>
      </c>
      <c r="Y1092" s="157" t="str">
        <f>IF(W1092="RMB","1.13", "1")</f>
        <v>1.13</v>
      </c>
      <c r="Z1092" s="18">
        <f t="shared" si="326"/>
        <v>812550</v>
      </c>
      <c r="AA1092" s="13">
        <v>1.135</v>
      </c>
      <c r="AB1092" s="21">
        <f t="shared" si="325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27"/>
        <v>28177779.013274338</v>
      </c>
      <c r="AJ1092" s="19">
        <f t="shared" si="328"/>
        <v>4727216.6376190251</v>
      </c>
      <c r="AK1092" s="20">
        <f t="shared" si="319"/>
        <v>0.1677639900359808</v>
      </c>
      <c r="AL1092" s="17"/>
      <c r="AM1092" s="17"/>
      <c r="AN1092" s="17"/>
      <c r="AO1092" s="17"/>
      <c r="AP1092" s="28" t="str">
        <f t="shared" si="320"/>
        <v>20235</v>
      </c>
      <c r="AQ1092" s="28" t="str">
        <f t="shared" si="321"/>
        <v>20235RMB</v>
      </c>
      <c r="AR1092" s="206" t="str">
        <f t="shared" si="322"/>
        <v>YAMAHA_Mounter</v>
      </c>
      <c r="AS1092" s="22">
        <f t="shared" si="323"/>
        <v>1</v>
      </c>
      <c r="AT1092" s="24" t="str">
        <f t="shared" si="324"/>
        <v>0-3 months</v>
      </c>
      <c r="AU1092" s="22" t="s">
        <v>3751</v>
      </c>
    </row>
    <row r="1093" spans="1:47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55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2502</v>
      </c>
      <c r="K1093" s="155" t="s">
        <v>2503</v>
      </c>
      <c r="L1093" s="17" t="s">
        <v>92</v>
      </c>
      <c r="M1093" s="13" t="s">
        <v>60</v>
      </c>
      <c r="N1093" s="13">
        <v>1</v>
      </c>
      <c r="O1093" s="13"/>
      <c r="P1093" s="33" t="str">
        <f t="shared" si="316"/>
        <v>MAIN UNIT</v>
      </c>
      <c r="Q1093" s="13" t="s">
        <v>68</v>
      </c>
      <c r="R1093" s="13" t="s">
        <v>62</v>
      </c>
      <c r="S1093" s="13" t="s">
        <v>49</v>
      </c>
      <c r="T1093" s="13" t="s">
        <v>78</v>
      </c>
      <c r="U1093" s="13" t="s">
        <v>79</v>
      </c>
      <c r="V1093" s="13" t="s">
        <v>2396</v>
      </c>
      <c r="W1093" s="13" t="s">
        <v>64</v>
      </c>
      <c r="X1093" s="135">
        <v>812550</v>
      </c>
      <c r="Y1093" s="157" t="str">
        <f>IF(W1093="RMB","1.13", "1")</f>
        <v>1.13</v>
      </c>
      <c r="Z1093" s="18">
        <f t="shared" si="326"/>
        <v>812550</v>
      </c>
      <c r="AA1093" s="13">
        <v>1.135</v>
      </c>
      <c r="AB1093" s="21">
        <f t="shared" si="325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27"/>
        <v>28177779.013274338</v>
      </c>
      <c r="AJ1093" s="19">
        <f t="shared" si="328"/>
        <v>4727216.6376190251</v>
      </c>
      <c r="AK1093" s="20">
        <f t="shared" si="319"/>
        <v>0.1677639900359808</v>
      </c>
      <c r="AL1093" s="17"/>
      <c r="AM1093" s="17"/>
      <c r="AN1093" s="17"/>
      <c r="AO1093" s="17"/>
      <c r="AP1093" s="28" t="str">
        <f t="shared" si="320"/>
        <v>20235</v>
      </c>
      <c r="AQ1093" s="28" t="str">
        <f t="shared" si="321"/>
        <v>20235RMB</v>
      </c>
      <c r="AR1093" s="206" t="str">
        <f t="shared" si="322"/>
        <v>YAMAHA_Mounter</v>
      </c>
      <c r="AS1093" s="22">
        <f t="shared" si="323"/>
        <v>1</v>
      </c>
      <c r="AT1093" s="24" t="str">
        <f t="shared" si="324"/>
        <v>0-3 months</v>
      </c>
      <c r="AU1093" s="22" t="s">
        <v>3751</v>
      </c>
    </row>
    <row r="1094" spans="1:47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48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1078</v>
      </c>
      <c r="K1094" s="155" t="s">
        <v>1079</v>
      </c>
      <c r="L1094" s="17" t="s">
        <v>92</v>
      </c>
      <c r="M1094" s="13" t="s">
        <v>60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61</v>
      </c>
      <c r="R1094" s="13" t="s">
        <v>62</v>
      </c>
      <c r="S1094" s="13" t="s">
        <v>52</v>
      </c>
      <c r="T1094" s="13" t="s">
        <v>141</v>
      </c>
      <c r="U1094" s="13" t="s">
        <v>1077</v>
      </c>
      <c r="V1094" s="13" t="s">
        <v>143</v>
      </c>
      <c r="W1094" s="13" t="s">
        <v>64</v>
      </c>
      <c r="X1094" s="135">
        <v>1080000</v>
      </c>
      <c r="Y1094" s="156" t="s">
        <v>1058</v>
      </c>
      <c r="Z1094" s="18">
        <f t="shared" si="326"/>
        <v>1080000</v>
      </c>
      <c r="AA1094" s="13">
        <v>1.095</v>
      </c>
      <c r="AB1094" s="21">
        <f t="shared" si="325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si="327"/>
        <v>33477255.428389374</v>
      </c>
      <c r="AJ1094" s="19">
        <f t="shared" si="328"/>
        <v>4578663.362915583</v>
      </c>
      <c r="AK1094" s="20">
        <f t="shared" ref="AK1094:AK1157" si="335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6">IF(F1094="","",F1094&amp;G1094)</f>
        <v>20204</v>
      </c>
      <c r="AQ1094" s="28" t="str">
        <f t="shared" ref="AQ1094:AQ1157" si="337">IF(W1094="","",F1094&amp;G1094&amp;W1094)</f>
        <v>20204RMB</v>
      </c>
      <c r="AR1094" s="206" t="str">
        <f t="shared" ref="AR1094:AR1157" si="338">IFERROR(IF(AND(M1094="YAMAHA", R1094="C28"), "YAMAHA_Non_Mounter", IF(AND(M1094="YAMAHA", R1094="C49"), "YAMAHA_Mounter", M1094)),"")</f>
        <v>YAMAHA_Mounter</v>
      </c>
      <c r="AS1094" s="22">
        <f t="shared" ref="AS1094:AS1157" si="339">IFERROR(IF(OR(G1094="TBA", G1094=""), "", DATEDIF(DATE(B1094, C1094, 1), DATE(F1094, G1094, 1), "M")),"")</f>
        <v>0</v>
      </c>
      <c r="AT1094" s="24" t="str">
        <f t="shared" ref="AT1094:AT1157" si="340">IF(ISNUMBER(AS1094), IF(AS1094&gt;=0, IF(AS1094&lt;=3, "0-3 months", IF(AS1094&lt;=6, "4-6 months", "&gt; 6 months"))), "")</f>
        <v>0-3 months</v>
      </c>
      <c r="AU1094" s="22" t="s">
        <v>3240</v>
      </c>
    </row>
    <row r="1095" spans="1:47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48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1088</v>
      </c>
      <c r="K1095" s="155" t="s">
        <v>1089</v>
      </c>
      <c r="L1095" s="17" t="s">
        <v>92</v>
      </c>
      <c r="M1095" s="13" t="s">
        <v>60</v>
      </c>
      <c r="N1095" s="13">
        <v>1</v>
      </c>
      <c r="O1095" s="13"/>
      <c r="P1095" s="33" t="str">
        <f t="shared" si="332"/>
        <v>MAIN UNIT</v>
      </c>
      <c r="Q1095" s="13" t="s">
        <v>61</v>
      </c>
      <c r="R1095" s="13" t="s">
        <v>62</v>
      </c>
      <c r="S1095" s="13" t="s">
        <v>52</v>
      </c>
      <c r="T1095" s="13" t="s">
        <v>141</v>
      </c>
      <c r="U1095" s="13" t="s">
        <v>1077</v>
      </c>
      <c r="V1095" s="13" t="s">
        <v>143</v>
      </c>
      <c r="W1095" s="13" t="s">
        <v>64</v>
      </c>
      <c r="X1095" s="135">
        <v>1130000</v>
      </c>
      <c r="Y1095" s="156" t="s">
        <v>1058</v>
      </c>
      <c r="Z1095" s="18">
        <f t="shared" si="326"/>
        <v>1130000</v>
      </c>
      <c r="AA1095" s="13">
        <v>1.105</v>
      </c>
      <c r="AB1095" s="21">
        <f t="shared" si="325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27"/>
        <v>37969334.083628319</v>
      </c>
      <c r="AJ1095" s="19">
        <f t="shared" si="328"/>
        <v>5097226.4551657084</v>
      </c>
      <c r="AK1095" s="20">
        <f t="shared" si="335"/>
        <v>0.13424587441904964</v>
      </c>
      <c r="AL1095" s="17"/>
      <c r="AM1095" s="17"/>
      <c r="AN1095" s="17"/>
      <c r="AO1095" s="17"/>
      <c r="AP1095" s="28" t="str">
        <f t="shared" si="336"/>
        <v>20208</v>
      </c>
      <c r="AQ1095" s="28" t="str">
        <f t="shared" si="337"/>
        <v>20208RMB</v>
      </c>
      <c r="AR1095" s="206" t="str">
        <f t="shared" si="338"/>
        <v>YAMAHA_Mounter</v>
      </c>
      <c r="AS1095" s="22">
        <f t="shared" si="339"/>
        <v>3</v>
      </c>
      <c r="AT1095" s="24" t="str">
        <f t="shared" si="340"/>
        <v>0-3 months</v>
      </c>
      <c r="AU1095" s="22" t="s">
        <v>3240</v>
      </c>
    </row>
    <row r="1096" spans="1:47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53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2952</v>
      </c>
      <c r="K1096" s="155" t="s">
        <v>2953</v>
      </c>
      <c r="L1096" s="17" t="s">
        <v>2609</v>
      </c>
      <c r="M1096" s="13" t="s">
        <v>2607</v>
      </c>
      <c r="N1096" s="13">
        <v>1</v>
      </c>
      <c r="O1096" s="13"/>
      <c r="P1096" s="33" t="str">
        <f t="shared" si="332"/>
        <v>MAIN UNIT</v>
      </c>
      <c r="Q1096" s="13" t="s">
        <v>68</v>
      </c>
      <c r="R1096" s="13" t="s">
        <v>2055</v>
      </c>
      <c r="S1096" s="13" t="s">
        <v>52</v>
      </c>
      <c r="T1096" s="13" t="s">
        <v>141</v>
      </c>
      <c r="U1096" s="13" t="s">
        <v>1077</v>
      </c>
      <c r="V1096" s="13" t="s">
        <v>143</v>
      </c>
      <c r="W1096" s="13" t="s">
        <v>64</v>
      </c>
      <c r="X1096" s="135">
        <v>645000</v>
      </c>
      <c r="Y1096" s="157" t="str">
        <f>IF(W1096="RMB","1.13", "1")</f>
        <v>1.13</v>
      </c>
      <c r="Z1096" s="18">
        <f t="shared" si="326"/>
        <v>645000</v>
      </c>
      <c r="AA1096" s="13">
        <v>1.2150000000000001</v>
      </c>
      <c r="AB1096" s="21">
        <f t="shared" si="325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27"/>
        <v>54700260.692079648</v>
      </c>
      <c r="AJ1096" s="19">
        <f t="shared" si="328"/>
        <v>7482899.5749188727</v>
      </c>
      <c r="AK1096" s="20">
        <f t="shared" si="335"/>
        <v>0.13679824337660537</v>
      </c>
      <c r="AL1096" s="17"/>
      <c r="AM1096" s="17"/>
      <c r="AN1096" s="17"/>
      <c r="AO1096" s="17"/>
      <c r="AP1096" s="28" t="str">
        <f t="shared" si="336"/>
        <v>20216</v>
      </c>
      <c r="AQ1096" s="28" t="str">
        <f t="shared" si="337"/>
        <v>20216RMB</v>
      </c>
      <c r="AR1096" s="206" t="str">
        <f t="shared" si="338"/>
        <v>HELLER</v>
      </c>
      <c r="AS1096" s="22">
        <f t="shared" si="339"/>
        <v>4</v>
      </c>
      <c r="AT1096" s="24" t="str">
        <f t="shared" si="340"/>
        <v>4-6 months</v>
      </c>
      <c r="AU1096" s="22" t="s">
        <v>3240</v>
      </c>
    </row>
    <row r="1097" spans="1:47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48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1493</v>
      </c>
      <c r="K1097" s="155" t="s">
        <v>2924</v>
      </c>
      <c r="L1097" s="17" t="s">
        <v>2778</v>
      </c>
      <c r="M1097" s="13" t="s">
        <v>2607</v>
      </c>
      <c r="N1097" s="13">
        <v>1</v>
      </c>
      <c r="O1097" s="13"/>
      <c r="P1097" s="33" t="str">
        <f t="shared" si="332"/>
        <v>MAIN UNIT</v>
      </c>
      <c r="Q1097" s="13" t="s">
        <v>68</v>
      </c>
      <c r="R1097" s="13" t="s">
        <v>2055</v>
      </c>
      <c r="S1097" s="13" t="s">
        <v>52</v>
      </c>
      <c r="T1097" s="13" t="s">
        <v>141</v>
      </c>
      <c r="U1097" s="13" t="s">
        <v>1077</v>
      </c>
      <c r="V1097" s="13" t="s">
        <v>143</v>
      </c>
      <c r="W1097" s="13" t="s">
        <v>64</v>
      </c>
      <c r="X1097" s="135">
        <v>320000</v>
      </c>
      <c r="Y1097" s="157" t="str">
        <f>IF(W1097="RMB","1.13", "1")</f>
        <v>1.13</v>
      </c>
      <c r="Z1097" s="18">
        <f t="shared" si="326"/>
        <v>320000</v>
      </c>
      <c r="AA1097" s="13">
        <v>1.175</v>
      </c>
      <c r="AB1097" s="21">
        <f t="shared" si="325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27"/>
        <v>48763143.537654862</v>
      </c>
      <c r="AJ1097" s="19">
        <f t="shared" si="328"/>
        <v>5924029.9702154724</v>
      </c>
      <c r="AK1097" s="20">
        <f t="shared" si="335"/>
        <v>0.1214858095774925</v>
      </c>
      <c r="AL1097" s="17"/>
      <c r="AM1097" s="17"/>
      <c r="AN1097" s="17"/>
      <c r="AO1097" s="17"/>
      <c r="AP1097" s="28" t="str">
        <f t="shared" si="336"/>
        <v>202012</v>
      </c>
      <c r="AQ1097" s="28" t="str">
        <f t="shared" si="337"/>
        <v>202012RMB</v>
      </c>
      <c r="AR1097" s="206" t="str">
        <f t="shared" si="338"/>
        <v>HELLER</v>
      </c>
      <c r="AS1097" s="22">
        <f t="shared" si="339"/>
        <v>3</v>
      </c>
      <c r="AT1097" s="24" t="str">
        <f t="shared" si="340"/>
        <v>0-3 months</v>
      </c>
      <c r="AU1097" s="22" t="s">
        <v>3240</v>
      </c>
    </row>
    <row r="1098" spans="1:47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54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3044</v>
      </c>
      <c r="K1098" s="155" t="s">
        <v>2924</v>
      </c>
      <c r="L1098" s="17" t="s">
        <v>2778</v>
      </c>
      <c r="M1098" s="13" t="s">
        <v>2607</v>
      </c>
      <c r="N1098" s="13">
        <v>1</v>
      </c>
      <c r="O1098" s="13"/>
      <c r="P1098" s="33" t="str">
        <f t="shared" si="332"/>
        <v>MAIN UNIT</v>
      </c>
      <c r="Q1098" s="13" t="s">
        <v>61</v>
      </c>
      <c r="R1098" s="13" t="s">
        <v>2055</v>
      </c>
      <c r="S1098" s="13" t="s">
        <v>52</v>
      </c>
      <c r="T1098" s="13" t="s">
        <v>141</v>
      </c>
      <c r="U1098" s="13" t="s">
        <v>1077</v>
      </c>
      <c r="V1098" s="13" t="s">
        <v>143</v>
      </c>
      <c r="W1098" s="13" t="s">
        <v>64</v>
      </c>
      <c r="X1098" s="135">
        <v>285000</v>
      </c>
      <c r="Y1098" s="157" t="str">
        <f>IF(W1098="","",IF(W1098="RMB","1.13", "1"))</f>
        <v>1.13</v>
      </c>
      <c r="Z1098" s="18">
        <f t="shared" si="326"/>
        <v>285000</v>
      </c>
      <c r="AA1098" s="13">
        <v>1.1299999999999999</v>
      </c>
      <c r="AB1098" s="21">
        <f t="shared" si="325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27"/>
        <v>33543315.897345133</v>
      </c>
      <c r="AJ1098" s="19">
        <f t="shared" si="328"/>
        <v>4706169.3252984071</v>
      </c>
      <c r="AK1098" s="20">
        <f t="shared" si="335"/>
        <v>0.14030125523967318</v>
      </c>
      <c r="AL1098" s="17"/>
      <c r="AM1098" s="17"/>
      <c r="AN1098" s="17"/>
      <c r="AO1098" s="17"/>
      <c r="AP1098" s="28" t="str">
        <f t="shared" si="336"/>
        <v>20233</v>
      </c>
      <c r="AQ1098" s="28" t="str">
        <f t="shared" si="337"/>
        <v>20233RMB</v>
      </c>
      <c r="AR1098" s="206" t="str">
        <f t="shared" si="338"/>
        <v>HELLER</v>
      </c>
      <c r="AS1098" s="22">
        <f t="shared" si="339"/>
        <v>1</v>
      </c>
      <c r="AT1098" s="24" t="str">
        <f t="shared" si="340"/>
        <v>0-3 months</v>
      </c>
      <c r="AU1098" s="22" t="s">
        <v>3240</v>
      </c>
    </row>
    <row r="1099" spans="1:47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53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2964</v>
      </c>
      <c r="K1099" s="155" t="s">
        <v>2965</v>
      </c>
      <c r="L1099" s="17" t="s">
        <v>2611</v>
      </c>
      <c r="M1099" s="13" t="s">
        <v>2607</v>
      </c>
      <c r="N1099" s="13">
        <v>1</v>
      </c>
      <c r="O1099" s="13"/>
      <c r="P1099" s="33" t="str">
        <f t="shared" si="332"/>
        <v>MAIN UNIT</v>
      </c>
      <c r="Q1099" s="13" t="s">
        <v>68</v>
      </c>
      <c r="R1099" s="13" t="s">
        <v>2055</v>
      </c>
      <c r="S1099" s="13" t="s">
        <v>52</v>
      </c>
      <c r="T1099" s="13" t="s">
        <v>141</v>
      </c>
      <c r="U1099" s="13" t="s">
        <v>142</v>
      </c>
      <c r="V1099" s="13" t="s">
        <v>2856</v>
      </c>
      <c r="W1099" s="13" t="s">
        <v>64</v>
      </c>
      <c r="X1099" s="135">
        <v>262000</v>
      </c>
      <c r="Y1099" s="157" t="str">
        <f>IF(W1099="RMB","1.13", "1")</f>
        <v>1.13</v>
      </c>
      <c r="Z1099" s="18">
        <f t="shared" si="326"/>
        <v>262000</v>
      </c>
      <c r="AA1099" s="13">
        <v>1.2</v>
      </c>
      <c r="AB1099" s="21">
        <f t="shared" si="325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27"/>
        <v>15533177.71460177</v>
      </c>
      <c r="AJ1099" s="19">
        <f t="shared" si="328"/>
        <v>1819298.5437526547</v>
      </c>
      <c r="AK1099" s="20">
        <f t="shared" si="335"/>
        <v>0.11712339723265033</v>
      </c>
      <c r="AL1099" s="17"/>
      <c r="AM1099" s="17"/>
      <c r="AN1099" s="17"/>
      <c r="AO1099" s="17"/>
      <c r="AP1099" s="28" t="str">
        <f t="shared" si="336"/>
        <v>202110</v>
      </c>
      <c r="AQ1099" s="28" t="str">
        <f t="shared" si="337"/>
        <v>202110RMB</v>
      </c>
      <c r="AR1099" s="206" t="str">
        <f t="shared" si="338"/>
        <v>HELLER</v>
      </c>
      <c r="AS1099" s="22">
        <f t="shared" si="339"/>
        <v>6</v>
      </c>
      <c r="AT1099" s="24" t="str">
        <f t="shared" si="340"/>
        <v>4-6 months</v>
      </c>
      <c r="AU1099" s="22" t="s">
        <v>3744</v>
      </c>
    </row>
    <row r="1100" spans="1:47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48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1094</v>
      </c>
      <c r="K1100" s="155" t="s">
        <v>1095</v>
      </c>
      <c r="L1100" s="17" t="s">
        <v>67</v>
      </c>
      <c r="M1100" s="13" t="s">
        <v>60</v>
      </c>
      <c r="N1100" s="13">
        <v>5</v>
      </c>
      <c r="O1100" s="13"/>
      <c r="P1100" s="33" t="str">
        <f t="shared" si="332"/>
        <v>MAIN UNIT</v>
      </c>
      <c r="Q1100" s="13" t="s">
        <v>61</v>
      </c>
      <c r="R1100" s="13" t="s">
        <v>62</v>
      </c>
      <c r="S1100" s="13" t="s">
        <v>52</v>
      </c>
      <c r="T1100" s="13" t="s">
        <v>141</v>
      </c>
      <c r="U1100" s="13" t="s">
        <v>1077</v>
      </c>
      <c r="V1100" s="13" t="s">
        <v>143</v>
      </c>
      <c r="W1100" s="13" t="s">
        <v>64</v>
      </c>
      <c r="X1100" s="135">
        <v>631290</v>
      </c>
      <c r="Y1100" s="156" t="s">
        <v>1058</v>
      </c>
      <c r="Z1100" s="18">
        <f t="shared" si="326"/>
        <v>3156450</v>
      </c>
      <c r="AA1100" s="13">
        <v>1.105</v>
      </c>
      <c r="AB1100" s="21">
        <f t="shared" si="325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27"/>
        <v>37969334.083628319</v>
      </c>
      <c r="AJ1100" s="19">
        <f t="shared" si="328"/>
        <v>5097226.4551657084</v>
      </c>
      <c r="AK1100" s="20">
        <f t="shared" si="335"/>
        <v>0.13424587441904964</v>
      </c>
      <c r="AL1100" s="17"/>
      <c r="AM1100" s="17"/>
      <c r="AN1100" s="17"/>
      <c r="AO1100" s="17"/>
      <c r="AP1100" s="28" t="str">
        <f t="shared" si="336"/>
        <v>20208</v>
      </c>
      <c r="AQ1100" s="28" t="str">
        <f t="shared" si="337"/>
        <v>20208RMB</v>
      </c>
      <c r="AR1100" s="206" t="str">
        <f t="shared" si="338"/>
        <v>YAMAHA_Mounter</v>
      </c>
      <c r="AS1100" s="22">
        <f t="shared" si="339"/>
        <v>2</v>
      </c>
      <c r="AT1100" s="24" t="str">
        <f t="shared" si="340"/>
        <v>0-3 months</v>
      </c>
      <c r="AU1100" s="22" t="s">
        <v>3240</v>
      </c>
    </row>
    <row r="1101" spans="1:47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48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1094</v>
      </c>
      <c r="K1101" s="155" t="s">
        <v>1095</v>
      </c>
      <c r="L1101" s="17" t="s">
        <v>293</v>
      </c>
      <c r="M1101" s="13" t="s">
        <v>60</v>
      </c>
      <c r="N1101" s="13">
        <v>3</v>
      </c>
      <c r="O1101" s="13"/>
      <c r="P1101" s="33" t="str">
        <f t="shared" si="332"/>
        <v>MAIN UNIT</v>
      </c>
      <c r="Q1101" s="13" t="s">
        <v>61</v>
      </c>
      <c r="R1101" s="13" t="s">
        <v>62</v>
      </c>
      <c r="S1101" s="13" t="s">
        <v>52</v>
      </c>
      <c r="T1101" s="13" t="s">
        <v>141</v>
      </c>
      <c r="U1101" s="13" t="s">
        <v>1077</v>
      </c>
      <c r="V1101" s="13" t="s">
        <v>143</v>
      </c>
      <c r="W1101" s="13" t="s">
        <v>64</v>
      </c>
      <c r="X1101" s="135">
        <v>1500000</v>
      </c>
      <c r="Y1101" s="156" t="s">
        <v>1058</v>
      </c>
      <c r="Z1101" s="18">
        <f t="shared" si="326"/>
        <v>4500000</v>
      </c>
      <c r="AA1101" s="13">
        <v>1.095</v>
      </c>
      <c r="AB1101" s="21">
        <f t="shared" si="325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27"/>
        <v>35384300.169380538</v>
      </c>
      <c r="AJ1101" s="19">
        <f t="shared" si="328"/>
        <v>5044538.8896988509</v>
      </c>
      <c r="AK1101" s="20">
        <f t="shared" si="335"/>
        <v>0.14256432557804533</v>
      </c>
      <c r="AL1101" s="17"/>
      <c r="AM1101" s="17"/>
      <c r="AN1101" s="17"/>
      <c r="AO1101" s="17"/>
      <c r="AP1101" s="28" t="str">
        <f t="shared" si="336"/>
        <v>20207</v>
      </c>
      <c r="AQ1101" s="28" t="str">
        <f t="shared" si="337"/>
        <v>20207RMB</v>
      </c>
      <c r="AR1101" s="206" t="str">
        <f t="shared" si="338"/>
        <v>YAMAHA_Mounter</v>
      </c>
      <c r="AS1101" s="22">
        <f t="shared" si="339"/>
        <v>1</v>
      </c>
      <c r="AT1101" s="24" t="str">
        <f t="shared" si="340"/>
        <v>0-3 months</v>
      </c>
      <c r="AU1101" s="22" t="s">
        <v>3240</v>
      </c>
    </row>
    <row r="1102" spans="1:47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47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2852</v>
      </c>
      <c r="K1102" s="155" t="s">
        <v>2853</v>
      </c>
      <c r="L1102" s="17" t="s">
        <v>2837</v>
      </c>
      <c r="M1102" s="13" t="s">
        <v>2832</v>
      </c>
      <c r="N1102" s="13">
        <v>1</v>
      </c>
      <c r="O1102" s="13"/>
      <c r="P1102" s="33" t="str">
        <f t="shared" si="332"/>
        <v>MAIN UNIT</v>
      </c>
      <c r="Q1102" s="13" t="s">
        <v>68</v>
      </c>
      <c r="R1102" s="13" t="s">
        <v>2055</v>
      </c>
      <c r="S1102" s="13" t="s">
        <v>52</v>
      </c>
      <c r="T1102" s="13" t="s">
        <v>141</v>
      </c>
      <c r="U1102" s="13" t="s">
        <v>142</v>
      </c>
      <c r="V1102" s="13" t="s">
        <v>2828</v>
      </c>
      <c r="W1102" s="13" t="s">
        <v>64</v>
      </c>
      <c r="X1102" s="135">
        <v>370172</v>
      </c>
      <c r="Y1102" s="156">
        <v>1.1299999999999999</v>
      </c>
      <c r="Z1102" s="18">
        <f t="shared" si="326"/>
        <v>370172</v>
      </c>
      <c r="AA1102" s="13">
        <v>1.1599999999999999</v>
      </c>
      <c r="AB1102" s="21">
        <f t="shared" si="325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27"/>
        <v>32843736.557277881</v>
      </c>
      <c r="AJ1102" s="19">
        <f t="shared" si="328"/>
        <v>3921470.6822663117</v>
      </c>
      <c r="AK1102" s="20">
        <f t="shared" si="335"/>
        <v>0.11939782416131177</v>
      </c>
      <c r="AL1102" s="17"/>
      <c r="AM1102" s="17"/>
      <c r="AN1102" s="17"/>
      <c r="AO1102" s="17"/>
      <c r="AP1102" s="28" t="str">
        <f t="shared" si="336"/>
        <v>20194</v>
      </c>
      <c r="AQ1102" s="28" t="str">
        <f t="shared" si="337"/>
        <v>20194RMB</v>
      </c>
      <c r="AR1102" s="206" t="str">
        <f t="shared" si="338"/>
        <v>PEMTRON</v>
      </c>
      <c r="AS1102" s="22">
        <f t="shared" si="339"/>
        <v>1</v>
      </c>
      <c r="AT1102" s="24" t="str">
        <f t="shared" si="340"/>
        <v>0-3 months</v>
      </c>
      <c r="AU1102" s="22" t="s">
        <v>3240</v>
      </c>
    </row>
    <row r="1103" spans="1:47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48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1094</v>
      </c>
      <c r="K1103" s="155" t="s">
        <v>1095</v>
      </c>
      <c r="L1103" s="17" t="s">
        <v>2780</v>
      </c>
      <c r="M1103" s="13" t="s">
        <v>60</v>
      </c>
      <c r="N1103" s="13">
        <v>1</v>
      </c>
      <c r="O1103" s="13"/>
      <c r="P1103" s="33" t="str">
        <f t="shared" si="332"/>
        <v>MAIN UNIT</v>
      </c>
      <c r="Q1103" s="13" t="s">
        <v>61</v>
      </c>
      <c r="R1103" s="13" t="s">
        <v>2055</v>
      </c>
      <c r="S1103" s="13" t="s">
        <v>52</v>
      </c>
      <c r="T1103" s="13" t="s">
        <v>141</v>
      </c>
      <c r="U1103" s="13" t="s">
        <v>1077</v>
      </c>
      <c r="V1103" s="13" t="s">
        <v>143</v>
      </c>
      <c r="W1103" s="13" t="s">
        <v>64</v>
      </c>
      <c r="X1103" s="135">
        <v>400000</v>
      </c>
      <c r="Y1103" s="157" t="str">
        <f>IF(W1103="RMB","1.13", "1")</f>
        <v>1.13</v>
      </c>
      <c r="Z1103" s="18">
        <f t="shared" si="326"/>
        <v>400000</v>
      </c>
      <c r="AA1103" s="13">
        <v>1.105</v>
      </c>
      <c r="AB1103" s="21">
        <f t="shared" si="325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27"/>
        <v>37969334.083628319</v>
      </c>
      <c r="AJ1103" s="19">
        <f t="shared" si="328"/>
        <v>5097226.4551657084</v>
      </c>
      <c r="AK1103" s="20">
        <f t="shared" si="335"/>
        <v>0.13424587441904964</v>
      </c>
      <c r="AL1103" s="17"/>
      <c r="AM1103" s="17"/>
      <c r="AN1103" s="17"/>
      <c r="AO1103" s="17"/>
      <c r="AP1103" s="28" t="str">
        <f t="shared" si="336"/>
        <v>20208</v>
      </c>
      <c r="AQ1103" s="28" t="str">
        <f t="shared" si="337"/>
        <v>20208RMB</v>
      </c>
      <c r="AR1103" s="206" t="str">
        <f t="shared" si="338"/>
        <v>YAMAHA_Non_Mounter</v>
      </c>
      <c r="AS1103" s="22">
        <f t="shared" si="339"/>
        <v>2</v>
      </c>
      <c r="AT1103" s="24" t="str">
        <f t="shared" si="340"/>
        <v>0-3 months</v>
      </c>
      <c r="AU1103" s="22" t="s">
        <v>3240</v>
      </c>
    </row>
    <row r="1104" spans="1:47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48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1094</v>
      </c>
      <c r="K1104" s="155" t="s">
        <v>1095</v>
      </c>
      <c r="L1104" s="17" t="s">
        <v>2904</v>
      </c>
      <c r="M1104" s="13" t="s">
        <v>2832</v>
      </c>
      <c r="N1104" s="13">
        <v>1</v>
      </c>
      <c r="O1104" s="13"/>
      <c r="P1104" s="33" t="str">
        <f t="shared" si="332"/>
        <v>MAIN UNIT</v>
      </c>
      <c r="Q1104" s="13" t="s">
        <v>61</v>
      </c>
      <c r="R1104" s="13" t="s">
        <v>2055</v>
      </c>
      <c r="S1104" s="13" t="s">
        <v>52</v>
      </c>
      <c r="T1104" s="13" t="s">
        <v>141</v>
      </c>
      <c r="U1104" s="13" t="s">
        <v>1077</v>
      </c>
      <c r="V1104" s="13" t="s">
        <v>143</v>
      </c>
      <c r="W1104" s="13" t="s">
        <v>64</v>
      </c>
      <c r="X1104" s="135">
        <v>340000</v>
      </c>
      <c r="Y1104" s="157" t="str">
        <f>IF(W1104="RMB","1.13", "1")</f>
        <v>1.13</v>
      </c>
      <c r="Z1104" s="18">
        <f t="shared" si="326"/>
        <v>340000</v>
      </c>
      <c r="AA1104" s="13">
        <v>1.095</v>
      </c>
      <c r="AB1104" s="21">
        <f t="shared" si="325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27"/>
        <v>35384300.169380538</v>
      </c>
      <c r="AJ1104" s="19">
        <f t="shared" si="328"/>
        <v>5044538.8896988509</v>
      </c>
      <c r="AK1104" s="20">
        <f t="shared" si="335"/>
        <v>0.14256432557804533</v>
      </c>
      <c r="AL1104" s="17"/>
      <c r="AM1104" s="17"/>
      <c r="AN1104" s="17"/>
      <c r="AO1104" s="17"/>
      <c r="AP1104" s="28" t="str">
        <f t="shared" si="336"/>
        <v>20207</v>
      </c>
      <c r="AQ1104" s="28" t="str">
        <f t="shared" si="337"/>
        <v>20207RMB</v>
      </c>
      <c r="AR1104" s="206" t="str">
        <f t="shared" si="338"/>
        <v>PEMTRON</v>
      </c>
      <c r="AS1104" s="22">
        <f t="shared" si="339"/>
        <v>1</v>
      </c>
      <c r="AT1104" s="24" t="str">
        <f t="shared" si="340"/>
        <v>0-3 months</v>
      </c>
      <c r="AU1104" s="22" t="s">
        <v>3240</v>
      </c>
    </row>
    <row r="1105" spans="1:47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48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1094</v>
      </c>
      <c r="K1105" s="155" t="s">
        <v>1095</v>
      </c>
      <c r="L1105" s="17" t="s">
        <v>2778</v>
      </c>
      <c r="M1105" s="13" t="s">
        <v>2607</v>
      </c>
      <c r="N1105" s="13">
        <v>1</v>
      </c>
      <c r="O1105" s="13"/>
      <c r="P1105" s="33" t="str">
        <f t="shared" si="332"/>
        <v>MAIN UNIT</v>
      </c>
      <c r="Q1105" s="13" t="s">
        <v>61</v>
      </c>
      <c r="R1105" s="13" t="s">
        <v>2055</v>
      </c>
      <c r="S1105" s="13" t="s">
        <v>52</v>
      </c>
      <c r="T1105" s="13" t="s">
        <v>141</v>
      </c>
      <c r="U1105" s="13" t="s">
        <v>1077</v>
      </c>
      <c r="V1105" s="13" t="s">
        <v>143</v>
      </c>
      <c r="W1105" s="13" t="s">
        <v>64</v>
      </c>
      <c r="X1105" s="135">
        <v>325000</v>
      </c>
      <c r="Y1105" s="157" t="str">
        <f>IF(W1105="RMB","1.13", "1")</f>
        <v>1.13</v>
      </c>
      <c r="Z1105" s="18">
        <f t="shared" si="326"/>
        <v>325000</v>
      </c>
      <c r="AA1105" s="13">
        <v>1.095</v>
      </c>
      <c r="AB1105" s="21">
        <f t="shared" si="325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27"/>
        <v>35384300.169380538</v>
      </c>
      <c r="AJ1105" s="19">
        <f t="shared" si="328"/>
        <v>5044538.8896988509</v>
      </c>
      <c r="AK1105" s="20">
        <f t="shared" si="335"/>
        <v>0.14256432557804533</v>
      </c>
      <c r="AL1105" s="17"/>
      <c r="AM1105" s="17"/>
      <c r="AN1105" s="17"/>
      <c r="AO1105" s="17"/>
      <c r="AP1105" s="28" t="str">
        <f t="shared" si="336"/>
        <v>20207</v>
      </c>
      <c r="AQ1105" s="28" t="str">
        <f t="shared" si="337"/>
        <v>20207RMB</v>
      </c>
      <c r="AR1105" s="206" t="str">
        <f t="shared" si="338"/>
        <v>HELLER</v>
      </c>
      <c r="AS1105" s="22">
        <f t="shared" si="339"/>
        <v>1</v>
      </c>
      <c r="AT1105" s="24" t="str">
        <f t="shared" si="340"/>
        <v>0-3 months</v>
      </c>
      <c r="AU1105" s="22" t="s">
        <v>3240</v>
      </c>
    </row>
    <row r="1106" spans="1:47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41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289</v>
      </c>
      <c r="K1106" s="155" t="s">
        <v>290</v>
      </c>
      <c r="L1106" s="17" t="s">
        <v>67</v>
      </c>
      <c r="M1106" s="13" t="s">
        <v>60</v>
      </c>
      <c r="N1106" s="13">
        <v>1</v>
      </c>
      <c r="O1106" s="13"/>
      <c r="P1106" s="33" t="str">
        <f t="shared" si="332"/>
        <v>MAIN UNIT</v>
      </c>
      <c r="Q1106" s="13" t="s">
        <v>61</v>
      </c>
      <c r="R1106" s="13" t="s">
        <v>62</v>
      </c>
      <c r="S1106" s="13" t="s">
        <v>52</v>
      </c>
      <c r="T1106" s="13" t="s">
        <v>141</v>
      </c>
      <c r="U1106" s="13" t="s">
        <v>142</v>
      </c>
      <c r="V1106" s="13" t="s">
        <v>143</v>
      </c>
      <c r="W1106" s="13" t="s">
        <v>64</v>
      </c>
      <c r="X1106" s="135">
        <v>715600</v>
      </c>
      <c r="Y1106" s="156">
        <v>1.1599999999999999</v>
      </c>
      <c r="Z1106" s="18">
        <f t="shared" si="326"/>
        <v>715600</v>
      </c>
      <c r="AA1106" s="13">
        <v>1.125</v>
      </c>
      <c r="AB1106" s="21">
        <f t="shared" si="325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27"/>
        <v>29840797.698275864</v>
      </c>
      <c r="AJ1106" s="19">
        <f t="shared" si="328"/>
        <v>3940167.6555448272</v>
      </c>
      <c r="AK1106" s="20">
        <f t="shared" si="335"/>
        <v>0.13203962224416277</v>
      </c>
      <c r="AL1106" s="17"/>
      <c r="AM1106" s="17"/>
      <c r="AN1106" s="17"/>
      <c r="AO1106" s="17"/>
      <c r="AP1106" s="28" t="str">
        <f t="shared" si="336"/>
        <v>201812</v>
      </c>
      <c r="AQ1106" s="28" t="str">
        <f t="shared" si="337"/>
        <v>201812RMB</v>
      </c>
      <c r="AR1106" s="206" t="str">
        <f t="shared" si="338"/>
        <v>YAMAHA_Mounter</v>
      </c>
      <c r="AS1106" s="22">
        <f t="shared" si="339"/>
        <v>0</v>
      </c>
      <c r="AT1106" s="24" t="str">
        <f t="shared" si="340"/>
        <v>0-3 months</v>
      </c>
      <c r="AU1106" s="22" t="s">
        <v>3240</v>
      </c>
    </row>
    <row r="1107" spans="1:47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41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546</v>
      </c>
      <c r="K1107" s="155" t="s">
        <v>290</v>
      </c>
      <c r="L1107" s="17" t="s">
        <v>92</v>
      </c>
      <c r="M1107" s="13" t="s">
        <v>60</v>
      </c>
      <c r="N1107" s="13">
        <v>1</v>
      </c>
      <c r="O1107" s="13"/>
      <c r="P1107" s="33" t="str">
        <f t="shared" si="332"/>
        <v>MAIN UNIT</v>
      </c>
      <c r="Q1107" s="13" t="s">
        <v>68</v>
      </c>
      <c r="R1107" s="13" t="s">
        <v>62</v>
      </c>
      <c r="S1107" s="13" t="s">
        <v>52</v>
      </c>
      <c r="T1107" s="13" t="s">
        <v>141</v>
      </c>
      <c r="U1107" s="13" t="s">
        <v>142</v>
      </c>
      <c r="V1107" s="13" t="s">
        <v>143</v>
      </c>
      <c r="W1107" s="13" t="s">
        <v>64</v>
      </c>
      <c r="X1107" s="135">
        <v>1390000</v>
      </c>
      <c r="Y1107" s="156">
        <v>1.1599999999999999</v>
      </c>
      <c r="Z1107" s="18">
        <f t="shared" si="326"/>
        <v>1390000</v>
      </c>
      <c r="AA1107" s="13">
        <v>1.1599999999999999</v>
      </c>
      <c r="AB1107" s="21">
        <f t="shared" si="325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27"/>
        <v>47416008.333399981</v>
      </c>
      <c r="AJ1107" s="19">
        <f t="shared" si="328"/>
        <v>6981738.4465290187</v>
      </c>
      <c r="AK1107" s="20">
        <f t="shared" si="335"/>
        <v>0.14724433143839863</v>
      </c>
      <c r="AL1107" s="17"/>
      <c r="AM1107" s="17"/>
      <c r="AN1107" s="17"/>
      <c r="AO1107" s="17" t="s">
        <v>61</v>
      </c>
      <c r="AP1107" s="28" t="str">
        <f t="shared" si="336"/>
        <v>20193</v>
      </c>
      <c r="AQ1107" s="28" t="str">
        <f t="shared" si="337"/>
        <v>20193RMB</v>
      </c>
      <c r="AR1107" s="206" t="str">
        <f t="shared" si="338"/>
        <v>YAMAHA_Mounter</v>
      </c>
      <c r="AS1107" s="22">
        <f t="shared" si="339"/>
        <v>8</v>
      </c>
      <c r="AT1107" s="24" t="str">
        <f t="shared" si="340"/>
        <v>&gt; 6 months</v>
      </c>
      <c r="AU1107" s="22" t="s">
        <v>3240</v>
      </c>
    </row>
    <row r="1108" spans="1:47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47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679</v>
      </c>
      <c r="K1108" s="155" t="s">
        <v>290</v>
      </c>
      <c r="L1108" s="17" t="s">
        <v>67</v>
      </c>
      <c r="M1108" s="13" t="s">
        <v>60</v>
      </c>
      <c r="N1108" s="13">
        <v>1</v>
      </c>
      <c r="O1108" s="13"/>
      <c r="P1108" s="33" t="str">
        <f t="shared" si="332"/>
        <v>MAIN UNIT</v>
      </c>
      <c r="Q1108" s="13" t="s">
        <v>68</v>
      </c>
      <c r="R1108" s="13" t="s">
        <v>62</v>
      </c>
      <c r="S1108" s="13" t="s">
        <v>52</v>
      </c>
      <c r="T1108" s="13" t="s">
        <v>141</v>
      </c>
      <c r="U1108" s="13" t="s">
        <v>142</v>
      </c>
      <c r="V1108" s="13" t="s">
        <v>143</v>
      </c>
      <c r="W1108" s="13" t="s">
        <v>64</v>
      </c>
      <c r="X1108" s="135">
        <v>490000</v>
      </c>
      <c r="Y1108" s="156">
        <v>1.1299999999999999</v>
      </c>
      <c r="Z1108" s="18">
        <f t="shared" si="326"/>
        <v>490000</v>
      </c>
      <c r="AA1108" s="13">
        <v>1.135</v>
      </c>
      <c r="AB1108" s="21">
        <f t="shared" si="325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27"/>
        <v>21386017.707964607</v>
      </c>
      <c r="AJ1108" s="19">
        <f t="shared" si="328"/>
        <v>2238764.3265707968</v>
      </c>
      <c r="AK1108" s="20">
        <f t="shared" si="335"/>
        <v>0.10468355339185161</v>
      </c>
      <c r="AL1108" s="17"/>
      <c r="AM1108" s="17"/>
      <c r="AN1108" s="17"/>
      <c r="AO1108" s="17"/>
      <c r="AP1108" s="28" t="str">
        <f t="shared" si="336"/>
        <v>20198</v>
      </c>
      <c r="AQ1108" s="28" t="str">
        <f t="shared" si="337"/>
        <v>20198RMB</v>
      </c>
      <c r="AR1108" s="206" t="str">
        <f t="shared" si="338"/>
        <v>YAMAHA_Mounter</v>
      </c>
      <c r="AS1108" s="22">
        <f t="shared" si="339"/>
        <v>0</v>
      </c>
      <c r="AT1108" s="24" t="str">
        <f t="shared" si="340"/>
        <v>0-3 months</v>
      </c>
      <c r="AU1108" s="22" t="s">
        <v>3240</v>
      </c>
    </row>
    <row r="1109" spans="1:47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41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519</v>
      </c>
      <c r="K1109" s="155" t="s">
        <v>527</v>
      </c>
      <c r="L1109" s="17" t="s">
        <v>67</v>
      </c>
      <c r="M1109" s="13" t="s">
        <v>60</v>
      </c>
      <c r="N1109" s="13">
        <v>1</v>
      </c>
      <c r="O1109" s="13"/>
      <c r="P1109" s="33" t="str">
        <f t="shared" si="332"/>
        <v>MAIN UNIT</v>
      </c>
      <c r="Q1109" s="13" t="s">
        <v>68</v>
      </c>
      <c r="R1109" s="13" t="s">
        <v>62</v>
      </c>
      <c r="S1109" s="13" t="s">
        <v>52</v>
      </c>
      <c r="T1109" s="13" t="s">
        <v>141</v>
      </c>
      <c r="U1109" s="13" t="s">
        <v>142</v>
      </c>
      <c r="V1109" s="13" t="s">
        <v>143</v>
      </c>
      <c r="W1109" s="13" t="s">
        <v>64</v>
      </c>
      <c r="X1109" s="135">
        <v>673000</v>
      </c>
      <c r="Y1109" s="156">
        <v>1.1599999999999999</v>
      </c>
      <c r="Z1109" s="18">
        <f t="shared" si="326"/>
        <v>673000</v>
      </c>
      <c r="AA1109" s="13">
        <v>1.1499999999999999</v>
      </c>
      <c r="AB1109" s="21">
        <f t="shared" si="325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27"/>
        <v>26492741.106427077</v>
      </c>
      <c r="AJ1109" s="19">
        <f t="shared" si="328"/>
        <v>3348032.1325698122</v>
      </c>
      <c r="AK1109" s="20">
        <f t="shared" si="335"/>
        <v>0.12637545201985867</v>
      </c>
      <c r="AL1109" s="17"/>
      <c r="AM1109" s="17"/>
      <c r="AN1109" s="17"/>
      <c r="AO1109" s="17" t="s">
        <v>61</v>
      </c>
      <c r="AP1109" s="28" t="str">
        <f t="shared" si="336"/>
        <v>20189</v>
      </c>
      <c r="AQ1109" s="28" t="str">
        <f t="shared" si="337"/>
        <v>20189RMB</v>
      </c>
      <c r="AR1109" s="206" t="str">
        <f t="shared" si="338"/>
        <v>YAMAHA_Mounter</v>
      </c>
      <c r="AS1109" s="22">
        <f t="shared" si="339"/>
        <v>0</v>
      </c>
      <c r="AT1109" s="24" t="str">
        <f t="shared" si="340"/>
        <v>0-3 months</v>
      </c>
      <c r="AU1109" s="22" t="s">
        <v>3240</v>
      </c>
    </row>
    <row r="1110" spans="1:47" s="12" customFormat="1">
      <c r="A1110" s="33" t="str">
        <f t="shared" si="329"/>
        <v>cancel</v>
      </c>
      <c r="B1110" s="152"/>
      <c r="C1110" s="152" t="s">
        <v>185</v>
      </c>
      <c r="D1110" s="33" t="str">
        <f t="shared" si="330"/>
        <v/>
      </c>
      <c r="E1110" s="33" t="s">
        <v>185</v>
      </c>
      <c r="F1110" s="13" t="s">
        <v>185</v>
      </c>
      <c r="G1110" s="152" t="s">
        <v>185</v>
      </c>
      <c r="H1110" s="155"/>
      <c r="I1110" s="33" t="str">
        <f t="shared" si="331"/>
        <v>Cancel</v>
      </c>
      <c r="J1110" s="186" t="s">
        <v>1493</v>
      </c>
      <c r="K1110" s="155" t="s">
        <v>2742</v>
      </c>
      <c r="L1110" s="17" t="s">
        <v>67</v>
      </c>
      <c r="M1110" s="13" t="s">
        <v>60</v>
      </c>
      <c r="N1110" s="13">
        <v>1</v>
      </c>
      <c r="O1110" s="13"/>
      <c r="P1110" s="33" t="str">
        <f t="shared" si="332"/>
        <v>MAIN UNIT</v>
      </c>
      <c r="Q1110" s="13" t="s">
        <v>68</v>
      </c>
      <c r="R1110" s="13" t="s">
        <v>62</v>
      </c>
      <c r="S1110" s="13" t="s">
        <v>52</v>
      </c>
      <c r="T1110" s="13" t="s">
        <v>141</v>
      </c>
      <c r="U1110" s="13" t="s">
        <v>1077</v>
      </c>
      <c r="V1110" s="13" t="s">
        <v>143</v>
      </c>
      <c r="W1110" s="13" t="s">
        <v>64</v>
      </c>
      <c r="X1110" s="135">
        <v>726152.5</v>
      </c>
      <c r="Y1110" s="157" t="str">
        <f>IF(W1110="RMB","1.13", "1")</f>
        <v>1.13</v>
      </c>
      <c r="Z1110" s="18">
        <f t="shared" si="326"/>
        <v>726152.5</v>
      </c>
      <c r="AA1110" s="13">
        <v>1.155</v>
      </c>
      <c r="AB1110" s="21">
        <f t="shared" si="325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27"/>
        <v>499582152.5142017</v>
      </c>
      <c r="AJ1110" s="19">
        <f t="shared" si="328"/>
        <v>59520528.679470733</v>
      </c>
      <c r="AK1110" s="20">
        <f t="shared" si="335"/>
        <v>0.11914062257814291</v>
      </c>
      <c r="AL1110" s="17"/>
      <c r="AM1110" s="17"/>
      <c r="AN1110" s="17"/>
      <c r="AO1110" s="17"/>
      <c r="AP1110" s="28" t="str">
        <f t="shared" si="336"/>
        <v>CancelCancel</v>
      </c>
      <c r="AQ1110" s="28" t="str">
        <f t="shared" si="337"/>
        <v>CancelCancelRMB</v>
      </c>
      <c r="AR1110" s="206" t="str">
        <f t="shared" si="338"/>
        <v>YAMAHA_Mounter</v>
      </c>
      <c r="AS1110" s="22" t="str">
        <f t="shared" si="339"/>
        <v/>
      </c>
      <c r="AT1110" s="24" t="str">
        <f t="shared" si="340"/>
        <v/>
      </c>
      <c r="AU1110" s="22" t="s">
        <v>3240</v>
      </c>
    </row>
    <row r="1111" spans="1:47" s="12" customFormat="1">
      <c r="A1111" s="33" t="str">
        <f t="shared" si="329"/>
        <v>cancel</v>
      </c>
      <c r="B1111" s="152"/>
      <c r="C1111" s="152" t="s">
        <v>185</v>
      </c>
      <c r="D1111" s="33" t="str">
        <f t="shared" si="330"/>
        <v/>
      </c>
      <c r="E1111" s="33" t="s">
        <v>185</v>
      </c>
      <c r="F1111" s="13" t="s">
        <v>185</v>
      </c>
      <c r="G1111" s="152" t="s">
        <v>185</v>
      </c>
      <c r="H1111" s="155"/>
      <c r="I1111" s="33" t="str">
        <f t="shared" si="331"/>
        <v>Cancel</v>
      </c>
      <c r="J1111" s="186" t="s">
        <v>1493</v>
      </c>
      <c r="K1111" s="155" t="s">
        <v>2742</v>
      </c>
      <c r="L1111" s="17" t="s">
        <v>67</v>
      </c>
      <c r="M1111" s="13" t="s">
        <v>60</v>
      </c>
      <c r="N1111" s="13">
        <v>1</v>
      </c>
      <c r="O1111" s="13"/>
      <c r="P1111" s="33" t="str">
        <f t="shared" si="332"/>
        <v>MAIN UNIT</v>
      </c>
      <c r="Q1111" s="13" t="s">
        <v>68</v>
      </c>
      <c r="R1111" s="13" t="s">
        <v>62</v>
      </c>
      <c r="S1111" s="13" t="s">
        <v>52</v>
      </c>
      <c r="T1111" s="13" t="s">
        <v>141</v>
      </c>
      <c r="U1111" s="13" t="s">
        <v>1077</v>
      </c>
      <c r="V1111" s="13" t="s">
        <v>143</v>
      </c>
      <c r="W1111" s="13" t="s">
        <v>64</v>
      </c>
      <c r="X1111" s="135">
        <v>726152.5</v>
      </c>
      <c r="Y1111" s="157" t="str">
        <f>IF(W1111="RMB","1.13", "1")</f>
        <v>1.13</v>
      </c>
      <c r="Z1111" s="18">
        <f t="shared" si="326"/>
        <v>726152.5</v>
      </c>
      <c r="AA1111" s="13">
        <v>1.155</v>
      </c>
      <c r="AB1111" s="21">
        <f t="shared" si="325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27"/>
        <v>499582152.5142017</v>
      </c>
      <c r="AJ1111" s="19">
        <f t="shared" si="328"/>
        <v>59520528.679470733</v>
      </c>
      <c r="AK1111" s="20">
        <f t="shared" si="335"/>
        <v>0.11914062257814291</v>
      </c>
      <c r="AL1111" s="17"/>
      <c r="AM1111" s="17"/>
      <c r="AN1111" s="17"/>
      <c r="AO1111" s="17"/>
      <c r="AP1111" s="28" t="str">
        <f t="shared" si="336"/>
        <v>CancelCancel</v>
      </c>
      <c r="AQ1111" s="28" t="str">
        <f t="shared" si="337"/>
        <v>CancelCancelRMB</v>
      </c>
      <c r="AR1111" s="206" t="str">
        <f t="shared" si="338"/>
        <v>YAMAHA_Mounter</v>
      </c>
      <c r="AS1111" s="22" t="str">
        <f t="shared" si="339"/>
        <v/>
      </c>
      <c r="AT1111" s="24" t="str">
        <f t="shared" si="340"/>
        <v/>
      </c>
      <c r="AU1111" s="22" t="s">
        <v>3240</v>
      </c>
    </row>
    <row r="1112" spans="1:47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41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419</v>
      </c>
      <c r="K1112" s="155" t="s">
        <v>420</v>
      </c>
      <c r="L1112" s="17" t="s">
        <v>421</v>
      </c>
      <c r="M1112" s="13" t="s">
        <v>422</v>
      </c>
      <c r="N1112" s="13">
        <v>1</v>
      </c>
      <c r="O1112" s="13"/>
      <c r="P1112" s="33" t="str">
        <f t="shared" si="332"/>
        <v>MAIN UNIT</v>
      </c>
      <c r="Q1112" s="13" t="s">
        <v>68</v>
      </c>
      <c r="R1112" s="13" t="s">
        <v>62</v>
      </c>
      <c r="S1112" s="13" t="s">
        <v>52</v>
      </c>
      <c r="T1112" s="13" t="s">
        <v>141</v>
      </c>
      <c r="U1112" s="13" t="s">
        <v>142</v>
      </c>
      <c r="V1112" s="13" t="s">
        <v>143</v>
      </c>
      <c r="W1112" s="13" t="s">
        <v>64</v>
      </c>
      <c r="X1112" s="135">
        <v>470000</v>
      </c>
      <c r="Y1112" s="156">
        <v>1.1599999999999999</v>
      </c>
      <c r="Z1112" s="18">
        <f t="shared" si="326"/>
        <v>470000</v>
      </c>
      <c r="AA1112" s="13">
        <v>1.1499999999999999</v>
      </c>
      <c r="AB1112" s="21">
        <f t="shared" si="325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27"/>
        <v>26492741.106427077</v>
      </c>
      <c r="AJ1112" s="19">
        <f t="shared" si="328"/>
        <v>3348032.1325698122</v>
      </c>
      <c r="AK1112" s="20">
        <f t="shared" si="335"/>
        <v>0.12637545201985867</v>
      </c>
      <c r="AL1112" s="17"/>
      <c r="AM1112" s="17"/>
      <c r="AN1112" s="17" t="s">
        <v>423</v>
      </c>
      <c r="AO1112" s="17"/>
      <c r="AP1112" s="28" t="str">
        <f t="shared" si="336"/>
        <v>20189</v>
      </c>
      <c r="AQ1112" s="28" t="str">
        <f t="shared" si="337"/>
        <v>20189RMB</v>
      </c>
      <c r="AR1112" s="206" t="str">
        <f t="shared" si="338"/>
        <v>DEK</v>
      </c>
      <c r="AS1112" s="22">
        <f t="shared" si="339"/>
        <v>3</v>
      </c>
      <c r="AT1112" s="24" t="str">
        <f t="shared" si="340"/>
        <v>0-3 months</v>
      </c>
      <c r="AU1112" s="22" t="s">
        <v>3240</v>
      </c>
    </row>
    <row r="1113" spans="1:47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48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1493</v>
      </c>
      <c r="K1113" s="155" t="s">
        <v>1494</v>
      </c>
      <c r="L1113" s="17" t="s">
        <v>516</v>
      </c>
      <c r="M1113" s="13" t="s">
        <v>60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61</v>
      </c>
      <c r="R1113" s="13" t="s">
        <v>62</v>
      </c>
      <c r="S1113" s="13" t="s">
        <v>52</v>
      </c>
      <c r="T1113" s="13" t="s">
        <v>141</v>
      </c>
      <c r="U1113" s="13" t="s">
        <v>1077</v>
      </c>
      <c r="V1113" s="13" t="s">
        <v>143</v>
      </c>
      <c r="W1113" s="13" t="s">
        <v>64</v>
      </c>
      <c r="X1113" s="135">
        <v>3199.268</v>
      </c>
      <c r="Y1113" s="157" t="str">
        <f>IF(W1113="RMB","1.13", "1")</f>
        <v>1.13</v>
      </c>
      <c r="Z1113" s="18">
        <f t="shared" si="326"/>
        <v>227148.02799999999</v>
      </c>
      <c r="AA1113" s="13">
        <v>1.175</v>
      </c>
      <c r="AB1113" s="21">
        <f t="shared" si="325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27"/>
        <v>48763143.537654862</v>
      </c>
      <c r="AJ1113" s="19">
        <f t="shared" si="328"/>
        <v>5924029.9702154724</v>
      </c>
      <c r="AK1113" s="20">
        <f t="shared" si="335"/>
        <v>0.1214858095774925</v>
      </c>
      <c r="AL1113" s="17"/>
      <c r="AM1113" s="17"/>
      <c r="AN1113" s="17"/>
      <c r="AO1113" s="17"/>
      <c r="AP1113" s="28" t="str">
        <f t="shared" si="336"/>
        <v>202012</v>
      </c>
      <c r="AQ1113" s="28" t="str">
        <f t="shared" si="337"/>
        <v>202012RMB</v>
      </c>
      <c r="AR1113" s="206" t="str">
        <f t="shared" si="338"/>
        <v>YAMAHA_Mounter</v>
      </c>
      <c r="AS1113" s="22">
        <f t="shared" si="339"/>
        <v>3</v>
      </c>
      <c r="AT1113" s="24" t="str">
        <f t="shared" si="340"/>
        <v>0-3 months</v>
      </c>
      <c r="AU1113" s="22" t="s">
        <v>3240</v>
      </c>
    </row>
    <row r="1114" spans="1:47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48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1233</v>
      </c>
      <c r="K1114" s="155" t="s">
        <v>1234</v>
      </c>
      <c r="L1114" s="17" t="s">
        <v>67</v>
      </c>
      <c r="M1114" s="13" t="s">
        <v>60</v>
      </c>
      <c r="N1114" s="13">
        <v>1</v>
      </c>
      <c r="O1114" s="13"/>
      <c r="P1114" s="33" t="str">
        <f t="shared" si="332"/>
        <v>MAIN UNIT</v>
      </c>
      <c r="Q1114" s="13" t="s">
        <v>68</v>
      </c>
      <c r="R1114" s="13" t="s">
        <v>62</v>
      </c>
      <c r="S1114" s="13" t="s">
        <v>52</v>
      </c>
      <c r="T1114" s="13" t="s">
        <v>141</v>
      </c>
      <c r="U1114" s="13" t="s">
        <v>1077</v>
      </c>
      <c r="V1114" s="13" t="s">
        <v>143</v>
      </c>
      <c r="W1114" s="13" t="s">
        <v>64</v>
      </c>
      <c r="X1114" s="135">
        <v>550000</v>
      </c>
      <c r="Y1114" s="156" t="s">
        <v>1058</v>
      </c>
      <c r="Z1114" s="18">
        <f t="shared" si="326"/>
        <v>550000</v>
      </c>
      <c r="AA1114" s="13">
        <v>1.089</v>
      </c>
      <c r="AB1114" s="21">
        <f t="shared" si="325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27"/>
        <v>29183109.05575221</v>
      </c>
      <c r="AJ1114" s="19">
        <f t="shared" si="328"/>
        <v>3741266.5648721238</v>
      </c>
      <c r="AK1114" s="20">
        <f t="shared" si="335"/>
        <v>0.12819972531798121</v>
      </c>
      <c r="AL1114" s="17"/>
      <c r="AM1114" s="17"/>
      <c r="AN1114" s="17"/>
      <c r="AO1114" s="17"/>
      <c r="AP1114" s="28" t="str">
        <f t="shared" si="336"/>
        <v>20206</v>
      </c>
      <c r="AQ1114" s="28" t="str">
        <f t="shared" si="337"/>
        <v>20206RMB</v>
      </c>
      <c r="AR1114" s="206" t="str">
        <f t="shared" si="338"/>
        <v>YAMAHA_Mounter</v>
      </c>
      <c r="AS1114" s="22">
        <f t="shared" si="339"/>
        <v>0</v>
      </c>
      <c r="AT1114" s="24" t="str">
        <f t="shared" si="340"/>
        <v>0-3 months</v>
      </c>
      <c r="AU1114" s="22" t="s">
        <v>3240</v>
      </c>
    </row>
    <row r="1115" spans="1:47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48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1233</v>
      </c>
      <c r="K1115" s="155" t="s">
        <v>1234</v>
      </c>
      <c r="L1115" s="17" t="s">
        <v>67</v>
      </c>
      <c r="M1115" s="13" t="s">
        <v>60</v>
      </c>
      <c r="N1115" s="13">
        <v>1</v>
      </c>
      <c r="O1115" s="13"/>
      <c r="P1115" s="33" t="str">
        <f t="shared" si="332"/>
        <v>MAIN UNIT</v>
      </c>
      <c r="Q1115" s="13" t="s">
        <v>68</v>
      </c>
      <c r="R1115" s="13" t="s">
        <v>62</v>
      </c>
      <c r="S1115" s="13" t="s">
        <v>52</v>
      </c>
      <c r="T1115" s="13" t="s">
        <v>141</v>
      </c>
      <c r="U1115" s="13" t="s">
        <v>1077</v>
      </c>
      <c r="V1115" s="13" t="s">
        <v>143</v>
      </c>
      <c r="W1115" s="13" t="s">
        <v>64</v>
      </c>
      <c r="X1115" s="135">
        <v>550000</v>
      </c>
      <c r="Y1115" s="156" t="s">
        <v>1058</v>
      </c>
      <c r="Z1115" s="18">
        <f t="shared" si="326"/>
        <v>550000</v>
      </c>
      <c r="AA1115" s="13">
        <v>1.089</v>
      </c>
      <c r="AB1115" s="21">
        <f t="shared" ref="AB1115:AB1178" si="341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27"/>
        <v>29183109.05575221</v>
      </c>
      <c r="AJ1115" s="19">
        <f t="shared" si="328"/>
        <v>3741266.5648721238</v>
      </c>
      <c r="AK1115" s="20">
        <f t="shared" si="335"/>
        <v>0.12819972531798121</v>
      </c>
      <c r="AL1115" s="17"/>
      <c r="AM1115" s="17"/>
      <c r="AN1115" s="17"/>
      <c r="AO1115" s="17"/>
      <c r="AP1115" s="28" t="str">
        <f t="shared" si="336"/>
        <v>20206</v>
      </c>
      <c r="AQ1115" s="28" t="str">
        <f t="shared" si="337"/>
        <v>20206RMB</v>
      </c>
      <c r="AR1115" s="206" t="str">
        <f t="shared" si="338"/>
        <v>YAMAHA_Mounter</v>
      </c>
      <c r="AS1115" s="22">
        <f t="shared" si="339"/>
        <v>0</v>
      </c>
      <c r="AT1115" s="24" t="str">
        <f t="shared" si="340"/>
        <v>0-3 months</v>
      </c>
      <c r="AU1115" s="22" t="s">
        <v>3240</v>
      </c>
    </row>
    <row r="1116" spans="1:47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48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1215</v>
      </c>
      <c r="K1116" s="155" t="s">
        <v>1216</v>
      </c>
      <c r="L1116" s="17" t="s">
        <v>67</v>
      </c>
      <c r="M1116" s="13" t="s">
        <v>60</v>
      </c>
      <c r="N1116" s="13">
        <v>1</v>
      </c>
      <c r="O1116" s="13"/>
      <c r="P1116" s="33" t="str">
        <f t="shared" si="332"/>
        <v>MAIN UNIT</v>
      </c>
      <c r="Q1116" s="13" t="s">
        <v>68</v>
      </c>
      <c r="R1116" s="13" t="s">
        <v>62</v>
      </c>
      <c r="S1116" s="13" t="s">
        <v>52</v>
      </c>
      <c r="T1116" s="13" t="s">
        <v>141</v>
      </c>
      <c r="U1116" s="13" t="s">
        <v>1077</v>
      </c>
      <c r="V1116" s="13" t="s">
        <v>143</v>
      </c>
      <c r="W1116" s="13" t="s">
        <v>64</v>
      </c>
      <c r="X1116" s="135">
        <v>824500</v>
      </c>
      <c r="Y1116" s="156" t="s">
        <v>1058</v>
      </c>
      <c r="Z1116" s="18">
        <f t="shared" si="326"/>
        <v>824500</v>
      </c>
      <c r="AA1116" s="13">
        <v>1.089</v>
      </c>
      <c r="AB1116" s="21">
        <f t="shared" si="341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27"/>
        <v>29183109.05575221</v>
      </c>
      <c r="AJ1116" s="19">
        <f t="shared" si="328"/>
        <v>3741266.5648721238</v>
      </c>
      <c r="AK1116" s="20">
        <f t="shared" si="335"/>
        <v>0.12819972531798121</v>
      </c>
      <c r="AL1116" s="17"/>
      <c r="AM1116" s="17"/>
      <c r="AN1116" s="17"/>
      <c r="AO1116" s="17"/>
      <c r="AP1116" s="28" t="str">
        <f t="shared" si="336"/>
        <v>20206</v>
      </c>
      <c r="AQ1116" s="28" t="str">
        <f t="shared" si="337"/>
        <v>20206RMB</v>
      </c>
      <c r="AR1116" s="206" t="str">
        <f t="shared" si="338"/>
        <v>YAMAHA_Mounter</v>
      </c>
      <c r="AS1116" s="22">
        <f t="shared" si="339"/>
        <v>2</v>
      </c>
      <c r="AT1116" s="24" t="str">
        <f t="shared" si="340"/>
        <v>0-3 months</v>
      </c>
      <c r="AU1116" s="22" t="s">
        <v>3240</v>
      </c>
    </row>
    <row r="1117" spans="1:47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48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1215</v>
      </c>
      <c r="K1117" s="155" t="s">
        <v>1216</v>
      </c>
      <c r="L1117" s="17" t="s">
        <v>2788</v>
      </c>
      <c r="M1117" s="13" t="s">
        <v>2607</v>
      </c>
      <c r="N1117" s="13">
        <v>1</v>
      </c>
      <c r="O1117" s="13"/>
      <c r="P1117" s="33" t="str">
        <f t="shared" si="332"/>
        <v>MAIN UNIT</v>
      </c>
      <c r="Q1117" s="13" t="s">
        <v>68</v>
      </c>
      <c r="R1117" s="13" t="s">
        <v>2055</v>
      </c>
      <c r="S1117" s="13" t="s">
        <v>52</v>
      </c>
      <c r="T1117" s="13" t="s">
        <v>141</v>
      </c>
      <c r="U1117" s="13" t="s">
        <v>1077</v>
      </c>
      <c r="V1117" s="13" t="s">
        <v>143</v>
      </c>
      <c r="W1117" s="13" t="s">
        <v>64</v>
      </c>
      <c r="X1117" s="135">
        <v>305000</v>
      </c>
      <c r="Y1117" s="157" t="str">
        <f>IF(W1117="RMB","1.13", "1")</f>
        <v>1.13</v>
      </c>
      <c r="Z1117" s="18">
        <f t="shared" si="326"/>
        <v>305000</v>
      </c>
      <c r="AA1117" s="13">
        <v>1.089</v>
      </c>
      <c r="AB1117" s="21">
        <f t="shared" si="341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27"/>
        <v>29183109.05575221</v>
      </c>
      <c r="AJ1117" s="19">
        <f t="shared" si="328"/>
        <v>3741266.5648721238</v>
      </c>
      <c r="AK1117" s="20">
        <f t="shared" si="335"/>
        <v>0.12819972531798121</v>
      </c>
      <c r="AL1117" s="17"/>
      <c r="AM1117" s="17"/>
      <c r="AN1117" s="17"/>
      <c r="AO1117" s="17"/>
      <c r="AP1117" s="28" t="str">
        <f t="shared" si="336"/>
        <v>20206</v>
      </c>
      <c r="AQ1117" s="28" t="str">
        <f t="shared" si="337"/>
        <v>20206RMB</v>
      </c>
      <c r="AR1117" s="206" t="str">
        <f t="shared" si="338"/>
        <v>HELLER</v>
      </c>
      <c r="AS1117" s="22">
        <f t="shared" si="339"/>
        <v>2</v>
      </c>
      <c r="AT1117" s="24" t="str">
        <f t="shared" si="340"/>
        <v>0-3 months</v>
      </c>
      <c r="AU1117" s="22" t="s">
        <v>3240</v>
      </c>
    </row>
    <row r="1118" spans="1:47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48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1215</v>
      </c>
      <c r="K1118" s="155" t="s">
        <v>1216</v>
      </c>
      <c r="L1118" s="17" t="s">
        <v>2906</v>
      </c>
      <c r="M1118" s="13" t="s">
        <v>2054</v>
      </c>
      <c r="N1118" s="13">
        <v>1</v>
      </c>
      <c r="O1118" s="13"/>
      <c r="P1118" s="33" t="str">
        <f t="shared" si="332"/>
        <v>MAIN UNIT</v>
      </c>
      <c r="Q1118" s="13" t="s">
        <v>68</v>
      </c>
      <c r="R1118" s="13" t="s">
        <v>2055</v>
      </c>
      <c r="S1118" s="13" t="s">
        <v>52</v>
      </c>
      <c r="T1118" s="13" t="s">
        <v>141</v>
      </c>
      <c r="U1118" s="13" t="s">
        <v>1077</v>
      </c>
      <c r="V1118" s="13" t="s">
        <v>143</v>
      </c>
      <c r="W1118" s="13" t="s">
        <v>64</v>
      </c>
      <c r="X1118" s="135">
        <v>35000</v>
      </c>
      <c r="Y1118" s="157" t="str">
        <f>IF(W1118="RMB","1.13", "1")</f>
        <v>1.13</v>
      </c>
      <c r="Z1118" s="18">
        <f t="shared" si="326"/>
        <v>35000</v>
      </c>
      <c r="AA1118" s="13">
        <v>1.089</v>
      </c>
      <c r="AB1118" s="21">
        <f t="shared" si="341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27"/>
        <v>29183109.05575221</v>
      </c>
      <c r="AJ1118" s="19">
        <f t="shared" si="328"/>
        <v>3741266.5648721238</v>
      </c>
      <c r="AK1118" s="20">
        <f t="shared" si="335"/>
        <v>0.12819972531798121</v>
      </c>
      <c r="AL1118" s="17"/>
      <c r="AM1118" s="17"/>
      <c r="AN1118" s="17"/>
      <c r="AO1118" s="17"/>
      <c r="AP1118" s="28" t="str">
        <f t="shared" si="336"/>
        <v>20206</v>
      </c>
      <c r="AQ1118" s="28" t="str">
        <f t="shared" si="337"/>
        <v>20206RMB</v>
      </c>
      <c r="AR1118" s="206" t="str">
        <f t="shared" si="338"/>
        <v>SOLDERSTAR</v>
      </c>
      <c r="AS1118" s="22">
        <f t="shared" si="339"/>
        <v>2</v>
      </c>
      <c r="AT1118" s="24" t="str">
        <f t="shared" si="340"/>
        <v>0-3 months</v>
      </c>
      <c r="AU1118" s="22" t="s">
        <v>3240</v>
      </c>
    </row>
    <row r="1119" spans="1:47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48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1215</v>
      </c>
      <c r="K1119" s="155" t="s">
        <v>1216</v>
      </c>
      <c r="L1119" s="17" t="s">
        <v>2889</v>
      </c>
      <c r="M1119" s="13" t="s">
        <v>377</v>
      </c>
      <c r="N1119" s="13">
        <v>1</v>
      </c>
      <c r="O1119" s="13"/>
      <c r="P1119" s="33" t="str">
        <f t="shared" si="332"/>
        <v>MAIN UNIT</v>
      </c>
      <c r="Q1119" s="13" t="s">
        <v>68</v>
      </c>
      <c r="R1119" s="13" t="s">
        <v>2055</v>
      </c>
      <c r="S1119" s="13" t="s">
        <v>52</v>
      </c>
      <c r="T1119" s="13" t="s">
        <v>141</v>
      </c>
      <c r="U1119" s="13" t="s">
        <v>1077</v>
      </c>
      <c r="V1119" s="13" t="s">
        <v>143</v>
      </c>
      <c r="W1119" s="13" t="s">
        <v>64</v>
      </c>
      <c r="X1119" s="135">
        <v>396500</v>
      </c>
      <c r="Y1119" s="157" t="str">
        <f>IF(W1119="RMB","1.13", "1")</f>
        <v>1.13</v>
      </c>
      <c r="Z1119" s="18">
        <f t="shared" si="326"/>
        <v>396500</v>
      </c>
      <c r="AA1119" s="13">
        <v>1.089</v>
      </c>
      <c r="AB1119" s="21">
        <f t="shared" si="341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27"/>
        <v>29183109.05575221</v>
      </c>
      <c r="AJ1119" s="19">
        <f t="shared" si="328"/>
        <v>3741266.5648721238</v>
      </c>
      <c r="AK1119" s="20">
        <f t="shared" si="335"/>
        <v>0.12819972531798121</v>
      </c>
      <c r="AL1119" s="17"/>
      <c r="AM1119" s="17"/>
      <c r="AN1119" s="17"/>
      <c r="AO1119" s="17"/>
      <c r="AP1119" s="28" t="str">
        <f t="shared" si="336"/>
        <v>20206</v>
      </c>
      <c r="AQ1119" s="28" t="str">
        <f t="shared" si="337"/>
        <v>20206RMB</v>
      </c>
      <c r="AR1119" s="206" t="str">
        <f t="shared" si="338"/>
        <v>LOCAL SUPPLIER</v>
      </c>
      <c r="AS1119" s="22">
        <f t="shared" si="339"/>
        <v>2</v>
      </c>
      <c r="AT1119" s="24" t="str">
        <f t="shared" si="340"/>
        <v>0-3 months</v>
      </c>
      <c r="AU1119" s="22" t="s">
        <v>3240</v>
      </c>
    </row>
    <row r="1120" spans="1:47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3437</v>
      </c>
      <c r="K1120" s="29" t="s">
        <v>2343</v>
      </c>
      <c r="L1120" s="17" t="s">
        <v>3068</v>
      </c>
      <c r="M1120" s="22" t="s">
        <v>2054</v>
      </c>
      <c r="N1120" s="22">
        <v>1</v>
      </c>
      <c r="O1120" s="22"/>
      <c r="P1120" s="33" t="str">
        <f t="shared" si="332"/>
        <v>MAIN UNIT</v>
      </c>
      <c r="Q1120" s="22" t="s">
        <v>68</v>
      </c>
      <c r="R1120" s="22" t="s">
        <v>2055</v>
      </c>
      <c r="S1120" s="22" t="s">
        <v>50</v>
      </c>
      <c r="T1120" s="22" t="s">
        <v>101</v>
      </c>
      <c r="U1120" s="22" t="s">
        <v>70</v>
      </c>
      <c r="V1120" s="22" t="s">
        <v>102</v>
      </c>
      <c r="W1120" s="22" t="s">
        <v>64</v>
      </c>
      <c r="X1120" s="104">
        <v>66000</v>
      </c>
      <c r="Y1120" s="195" t="str">
        <f>IF(W1120="","",IF(W1120="RMB","1.13", "1"))</f>
        <v>1.13</v>
      </c>
      <c r="Z1120" s="196">
        <f t="shared" si="326"/>
        <v>66000</v>
      </c>
      <c r="AA1120" s="22">
        <v>1.083</v>
      </c>
      <c r="AB1120" s="197">
        <f t="shared" si="341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27"/>
        <v>11472879.764601771</v>
      </c>
      <c r="AJ1120" s="200">
        <f t="shared" si="328"/>
        <v>2038344.1716106194</v>
      </c>
      <c r="AK1120" s="201">
        <f t="shared" si="335"/>
        <v>0.17766630640544948</v>
      </c>
      <c r="AL1120" s="24"/>
      <c r="AM1120" s="24"/>
      <c r="AN1120" s="24"/>
      <c r="AO1120" s="24"/>
      <c r="AP1120" s="105" t="str">
        <f t="shared" si="336"/>
        <v>20245</v>
      </c>
      <c r="AQ1120" s="28" t="str">
        <f t="shared" si="337"/>
        <v>20245RMB</v>
      </c>
      <c r="AR1120" s="206" t="str">
        <f t="shared" si="338"/>
        <v>SOLDERSTAR</v>
      </c>
      <c r="AS1120" s="22">
        <f t="shared" si="339"/>
        <v>1</v>
      </c>
      <c r="AT1120" s="24" t="str">
        <f t="shared" si="340"/>
        <v>0-3 months</v>
      </c>
      <c r="AU1120" s="22" t="s">
        <v>3240</v>
      </c>
    </row>
    <row r="1121" spans="1:47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47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705</v>
      </c>
      <c r="K1121" s="155" t="s">
        <v>706</v>
      </c>
      <c r="L1121" s="17" t="s">
        <v>92</v>
      </c>
      <c r="M1121" s="13" t="s">
        <v>60</v>
      </c>
      <c r="N1121" s="13">
        <v>1</v>
      </c>
      <c r="O1121" s="13"/>
      <c r="P1121" s="33" t="str">
        <f t="shared" si="332"/>
        <v>MAIN UNIT</v>
      </c>
      <c r="Q1121" s="13" t="s">
        <v>61</v>
      </c>
      <c r="R1121" s="13" t="s">
        <v>62</v>
      </c>
      <c r="S1121" s="13" t="s">
        <v>52</v>
      </c>
      <c r="T1121" s="13" t="s">
        <v>141</v>
      </c>
      <c r="U1121" s="13" t="s">
        <v>142</v>
      </c>
      <c r="V1121" s="13" t="s">
        <v>143</v>
      </c>
      <c r="W1121" s="13" t="s">
        <v>64</v>
      </c>
      <c r="X1121" s="135">
        <v>800000</v>
      </c>
      <c r="Y1121" s="156">
        <v>1.1299999999999999</v>
      </c>
      <c r="Z1121" s="18">
        <f t="shared" si="326"/>
        <v>800000</v>
      </c>
      <c r="AA1121" s="13">
        <v>1.1100000000000001</v>
      </c>
      <c r="AB1121" s="21">
        <f t="shared" si="341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27"/>
        <v>27318180.088495575</v>
      </c>
      <c r="AJ1121" s="19">
        <f t="shared" si="328"/>
        <v>3014099.212353982</v>
      </c>
      <c r="AK1121" s="20">
        <f t="shared" si="335"/>
        <v>0.11033308963444827</v>
      </c>
      <c r="AL1121" s="17"/>
      <c r="AM1121" s="17"/>
      <c r="AN1121" s="17"/>
      <c r="AO1121" s="17"/>
      <c r="AP1121" s="28" t="str">
        <f t="shared" si="336"/>
        <v>201912</v>
      </c>
      <c r="AQ1121" s="28" t="str">
        <f t="shared" si="337"/>
        <v>201912RMB</v>
      </c>
      <c r="AR1121" s="206" t="str">
        <f t="shared" si="338"/>
        <v>YAMAHA_Mounter</v>
      </c>
      <c r="AS1121" s="22">
        <f t="shared" si="339"/>
        <v>0</v>
      </c>
      <c r="AT1121" s="24" t="str">
        <f t="shared" si="340"/>
        <v>0-3 months</v>
      </c>
      <c r="AU1121" s="22" t="s">
        <v>3240</v>
      </c>
    </row>
    <row r="1122" spans="1:47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47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705</v>
      </c>
      <c r="K1122" s="155" t="s">
        <v>706</v>
      </c>
      <c r="L1122" s="17" t="s">
        <v>67</v>
      </c>
      <c r="M1122" s="13" t="s">
        <v>60</v>
      </c>
      <c r="N1122" s="13">
        <v>1</v>
      </c>
      <c r="O1122" s="13"/>
      <c r="P1122" s="33" t="str">
        <f t="shared" si="332"/>
        <v>MAIN UNIT</v>
      </c>
      <c r="Q1122" s="13" t="s">
        <v>61</v>
      </c>
      <c r="R1122" s="13" t="s">
        <v>62</v>
      </c>
      <c r="S1122" s="13" t="s">
        <v>52</v>
      </c>
      <c r="T1122" s="13" t="s">
        <v>141</v>
      </c>
      <c r="U1122" s="13" t="s">
        <v>142</v>
      </c>
      <c r="V1122" s="13" t="s">
        <v>143</v>
      </c>
      <c r="W1122" s="13" t="s">
        <v>64</v>
      </c>
      <c r="X1122" s="135">
        <v>620000</v>
      </c>
      <c r="Y1122" s="156">
        <v>1.1299999999999999</v>
      </c>
      <c r="Z1122" s="18">
        <f t="shared" si="326"/>
        <v>620000</v>
      </c>
      <c r="AA1122" s="13">
        <v>1.1100000000000001</v>
      </c>
      <c r="AB1122" s="21">
        <f t="shared" si="341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27"/>
        <v>27318180.088495575</v>
      </c>
      <c r="AJ1122" s="19">
        <f t="shared" si="328"/>
        <v>3014099.212353982</v>
      </c>
      <c r="AK1122" s="20">
        <f t="shared" si="335"/>
        <v>0.11033308963444827</v>
      </c>
      <c r="AL1122" s="17"/>
      <c r="AM1122" s="17"/>
      <c r="AN1122" s="17"/>
      <c r="AO1122" s="17"/>
      <c r="AP1122" s="28" t="str">
        <f t="shared" si="336"/>
        <v>201912</v>
      </c>
      <c r="AQ1122" s="28" t="str">
        <f t="shared" si="337"/>
        <v>201912RMB</v>
      </c>
      <c r="AR1122" s="206" t="str">
        <f t="shared" si="338"/>
        <v>YAMAHA_Mounter</v>
      </c>
      <c r="AS1122" s="22">
        <f t="shared" si="339"/>
        <v>0</v>
      </c>
      <c r="AT1122" s="24" t="str">
        <f t="shared" si="340"/>
        <v>0-3 months</v>
      </c>
      <c r="AU1122" s="22" t="s">
        <v>3240</v>
      </c>
    </row>
    <row r="1123" spans="1:47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53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1764</v>
      </c>
      <c r="K1123" s="155" t="s">
        <v>1765</v>
      </c>
      <c r="L1123" s="17" t="s">
        <v>67</v>
      </c>
      <c r="M1123" s="13" t="s">
        <v>60</v>
      </c>
      <c r="N1123" s="13">
        <v>1</v>
      </c>
      <c r="O1123" s="13"/>
      <c r="P1123" s="33" t="str">
        <f t="shared" si="332"/>
        <v>MAIN UNIT</v>
      </c>
      <c r="Q1123" s="13" t="s">
        <v>61</v>
      </c>
      <c r="R1123" s="13" t="s">
        <v>62</v>
      </c>
      <c r="S1123" s="13" t="s">
        <v>52</v>
      </c>
      <c r="T1123" s="13" t="s">
        <v>141</v>
      </c>
      <c r="U1123" s="13" t="s">
        <v>1077</v>
      </c>
      <c r="V1123" s="13" t="s">
        <v>143</v>
      </c>
      <c r="W1123" s="13" t="s">
        <v>64</v>
      </c>
      <c r="X1123" s="135">
        <v>520000</v>
      </c>
      <c r="Y1123" s="157" t="str">
        <f>IF(W1123="RMB","1.13", "1")</f>
        <v>1.13</v>
      </c>
      <c r="Z1123" s="18">
        <f t="shared" si="326"/>
        <v>520000</v>
      </c>
      <c r="AA1123" s="13">
        <v>1.1950000000000001</v>
      </c>
      <c r="AB1123" s="21">
        <f t="shared" si="341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27"/>
        <v>63006605.696460173</v>
      </c>
      <c r="AJ1123" s="19">
        <f t="shared" si="328"/>
        <v>8897485.660753984</v>
      </c>
      <c r="AK1123" s="20">
        <f t="shared" si="335"/>
        <v>0.141215124388995</v>
      </c>
      <c r="AL1123" s="17"/>
      <c r="AM1123" s="17"/>
      <c r="AN1123" s="17"/>
      <c r="AO1123" s="17"/>
      <c r="AP1123" s="28" t="str">
        <f t="shared" si="336"/>
        <v>20215</v>
      </c>
      <c r="AQ1123" s="28" t="str">
        <f t="shared" si="337"/>
        <v>20215RMB</v>
      </c>
      <c r="AR1123" s="206" t="str">
        <f t="shared" si="338"/>
        <v>YAMAHA_Mounter</v>
      </c>
      <c r="AS1123" s="22">
        <f t="shared" si="339"/>
        <v>1</v>
      </c>
      <c r="AT1123" s="24" t="str">
        <f t="shared" si="340"/>
        <v>0-3 months</v>
      </c>
      <c r="AU1123" s="22" t="s">
        <v>3240</v>
      </c>
    </row>
    <row r="1124" spans="1:47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54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2412</v>
      </c>
      <c r="K1124" s="155" t="s">
        <v>1765</v>
      </c>
      <c r="L1124" s="17" t="s">
        <v>67</v>
      </c>
      <c r="M1124" s="13" t="s">
        <v>60</v>
      </c>
      <c r="N1124" s="13">
        <v>1</v>
      </c>
      <c r="O1124" s="13"/>
      <c r="P1124" s="33" t="str">
        <f t="shared" si="332"/>
        <v>MAIN UNIT</v>
      </c>
      <c r="Q1124" s="13" t="s">
        <v>61</v>
      </c>
      <c r="R1124" s="13" t="s">
        <v>62</v>
      </c>
      <c r="S1124" s="13" t="s">
        <v>52</v>
      </c>
      <c r="T1124" s="13" t="s">
        <v>141</v>
      </c>
      <c r="U1124" s="13" t="s">
        <v>1077</v>
      </c>
      <c r="V1124" s="13" t="s">
        <v>143</v>
      </c>
      <c r="W1124" s="13" t="s">
        <v>64</v>
      </c>
      <c r="X1124" s="135">
        <v>470000</v>
      </c>
      <c r="Y1124" s="157" t="str">
        <f>IF(W1124="RMB","1.13", "1")</f>
        <v>1.13</v>
      </c>
      <c r="Z1124" s="18">
        <f t="shared" si="326"/>
        <v>470000</v>
      </c>
      <c r="AA1124" s="13">
        <v>1.1599999999999999</v>
      </c>
      <c r="AB1124" s="21">
        <f t="shared" si="341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27"/>
        <v>21045012.884955753</v>
      </c>
      <c r="AJ1124" s="19">
        <f t="shared" si="328"/>
        <v>2650260.9603327443</v>
      </c>
      <c r="AK1124" s="20">
        <f t="shared" si="335"/>
        <v>0.12593296924172048</v>
      </c>
      <c r="AL1124" s="17"/>
      <c r="AM1124" s="17"/>
      <c r="AN1124" s="17"/>
      <c r="AO1124" s="17"/>
      <c r="AP1124" s="28" t="str">
        <f t="shared" si="336"/>
        <v>20232</v>
      </c>
      <c r="AQ1124" s="28" t="str">
        <f t="shared" si="337"/>
        <v>20232RMB</v>
      </c>
      <c r="AR1124" s="206" t="str">
        <f t="shared" si="338"/>
        <v>YAMAHA_Mounter</v>
      </c>
      <c r="AS1124" s="22">
        <f t="shared" si="339"/>
        <v>0</v>
      </c>
      <c r="AT1124" s="24" t="str">
        <f t="shared" si="340"/>
        <v>0-3 months</v>
      </c>
      <c r="AU1124" s="22" t="s">
        <v>3240</v>
      </c>
    </row>
    <row r="1125" spans="1:47" s="12" customFormat="1">
      <c r="A1125" s="33" t="str">
        <f t="shared" si="329"/>
        <v>cancel</v>
      </c>
      <c r="B1125" s="152"/>
      <c r="C1125" s="152" t="s">
        <v>185</v>
      </c>
      <c r="D1125" s="33" t="str">
        <f t="shared" si="330"/>
        <v/>
      </c>
      <c r="E1125" s="33" t="s">
        <v>185</v>
      </c>
      <c r="F1125" s="13" t="s">
        <v>185</v>
      </c>
      <c r="G1125" s="152" t="s">
        <v>1616</v>
      </c>
      <c r="H1125" s="155"/>
      <c r="I1125" s="33" t="str">
        <f t="shared" si="331"/>
        <v>Cancel</v>
      </c>
      <c r="J1125" s="186" t="s">
        <v>2760</v>
      </c>
      <c r="K1125" s="155" t="s">
        <v>1765</v>
      </c>
      <c r="L1125" s="17" t="s">
        <v>67</v>
      </c>
      <c r="M1125" s="13" t="s">
        <v>60</v>
      </c>
      <c r="N1125" s="13">
        <v>1</v>
      </c>
      <c r="O1125" s="13"/>
      <c r="P1125" s="33" t="str">
        <f t="shared" si="332"/>
        <v>MAIN UNIT</v>
      </c>
      <c r="Q1125" s="13" t="s">
        <v>68</v>
      </c>
      <c r="R1125" s="13" t="s">
        <v>62</v>
      </c>
      <c r="S1125" s="13" t="s">
        <v>52</v>
      </c>
      <c r="T1125" s="13" t="s">
        <v>141</v>
      </c>
      <c r="U1125" s="13" t="s">
        <v>1077</v>
      </c>
      <c r="V1125" s="13" t="s">
        <v>143</v>
      </c>
      <c r="W1125" s="13" t="s">
        <v>64</v>
      </c>
      <c r="X1125" s="135">
        <v>540000</v>
      </c>
      <c r="Y1125" s="157" t="str">
        <f>IF(W1125="RMB","1.13", "1")</f>
        <v>1.13</v>
      </c>
      <c r="Z1125" s="18">
        <f t="shared" si="326"/>
        <v>540000</v>
      </c>
      <c r="AA1125" s="13">
        <v>1.18</v>
      </c>
      <c r="AB1125" s="21">
        <f t="shared" si="341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27"/>
        <v>499582152.5142017</v>
      </c>
      <c r="AJ1125" s="19">
        <f t="shared" si="328"/>
        <v>59520528.679470733</v>
      </c>
      <c r="AK1125" s="20">
        <f t="shared" si="335"/>
        <v>0.11914062257814291</v>
      </c>
      <c r="AL1125" s="17"/>
      <c r="AM1125" s="17"/>
      <c r="AN1125" s="17"/>
      <c r="AO1125" s="17"/>
      <c r="AP1125" s="28" t="str">
        <f t="shared" si="336"/>
        <v>CancelCANCEL</v>
      </c>
      <c r="AQ1125" s="28" t="str">
        <f t="shared" si="337"/>
        <v>CancelCANCELRMB</v>
      </c>
      <c r="AR1125" s="206" t="str">
        <f t="shared" si="338"/>
        <v>YAMAHA_Mounter</v>
      </c>
      <c r="AS1125" s="22" t="str">
        <f t="shared" si="339"/>
        <v/>
      </c>
      <c r="AT1125" s="24" t="str">
        <f t="shared" si="340"/>
        <v/>
      </c>
      <c r="AU1125" s="22" t="s">
        <v>3240</v>
      </c>
    </row>
    <row r="1126" spans="1:47" s="12" customFormat="1">
      <c r="A1126" s="33" t="str">
        <f t="shared" si="329"/>
        <v>cancel</v>
      </c>
      <c r="B1126" s="152"/>
      <c r="C1126" s="152" t="s">
        <v>185</v>
      </c>
      <c r="D1126" s="33" t="str">
        <f t="shared" si="330"/>
        <v/>
      </c>
      <c r="E1126" s="33" t="s">
        <v>185</v>
      </c>
      <c r="F1126" s="13" t="s">
        <v>185</v>
      </c>
      <c r="G1126" s="152" t="s">
        <v>1616</v>
      </c>
      <c r="H1126" s="155"/>
      <c r="I1126" s="33" t="str">
        <f t="shared" si="331"/>
        <v>Cancel</v>
      </c>
      <c r="J1126" s="186" t="s">
        <v>2760</v>
      </c>
      <c r="K1126" s="155" t="s">
        <v>1765</v>
      </c>
      <c r="L1126" s="17" t="s">
        <v>67</v>
      </c>
      <c r="M1126" s="13" t="s">
        <v>60</v>
      </c>
      <c r="N1126" s="13">
        <v>1</v>
      </c>
      <c r="O1126" s="13"/>
      <c r="P1126" s="33" t="str">
        <f t="shared" si="332"/>
        <v>MAIN UNIT</v>
      </c>
      <c r="Q1126" s="13" t="s">
        <v>68</v>
      </c>
      <c r="R1126" s="13" t="s">
        <v>62</v>
      </c>
      <c r="S1126" s="13" t="s">
        <v>52</v>
      </c>
      <c r="T1126" s="13" t="s">
        <v>141</v>
      </c>
      <c r="U1126" s="13" t="s">
        <v>1077</v>
      </c>
      <c r="V1126" s="13" t="s">
        <v>143</v>
      </c>
      <c r="W1126" s="13" t="s">
        <v>64</v>
      </c>
      <c r="X1126" s="135">
        <v>540000</v>
      </c>
      <c r="Y1126" s="157" t="str">
        <f>IF(W1126="RMB","1.13", "1")</f>
        <v>1.13</v>
      </c>
      <c r="Z1126" s="18">
        <f t="shared" si="326"/>
        <v>540000</v>
      </c>
      <c r="AA1126" s="13">
        <v>1.18</v>
      </c>
      <c r="AB1126" s="21">
        <f t="shared" si="341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27"/>
        <v>499582152.5142017</v>
      </c>
      <c r="AJ1126" s="19">
        <f t="shared" si="328"/>
        <v>59520528.679470733</v>
      </c>
      <c r="AK1126" s="20">
        <f t="shared" si="335"/>
        <v>0.11914062257814291</v>
      </c>
      <c r="AL1126" s="17"/>
      <c r="AM1126" s="17"/>
      <c r="AN1126" s="17"/>
      <c r="AO1126" s="17"/>
      <c r="AP1126" s="28" t="str">
        <f t="shared" si="336"/>
        <v>CancelCANCEL</v>
      </c>
      <c r="AQ1126" s="28" t="str">
        <f t="shared" si="337"/>
        <v>CancelCANCELRMB</v>
      </c>
      <c r="AR1126" s="206" t="str">
        <f t="shared" si="338"/>
        <v>YAMAHA_Mounter</v>
      </c>
      <c r="AS1126" s="22" t="str">
        <f t="shared" si="339"/>
        <v/>
      </c>
      <c r="AT1126" s="24" t="str">
        <f t="shared" si="340"/>
        <v/>
      </c>
      <c r="AU1126" s="22" t="s">
        <v>3240</v>
      </c>
    </row>
    <row r="1127" spans="1:47" s="12" customFormat="1" ht="26.4">
      <c r="A1127" s="33" t="str">
        <f t="shared" si="329"/>
        <v>cancel</v>
      </c>
      <c r="B1127" s="152"/>
      <c r="C1127" s="152" t="s">
        <v>185</v>
      </c>
      <c r="D1127" s="33" t="str">
        <f t="shared" si="330"/>
        <v/>
      </c>
      <c r="E1127" s="33" t="s">
        <v>185</v>
      </c>
      <c r="F1127" s="13" t="s">
        <v>185</v>
      </c>
      <c r="G1127" s="152" t="s">
        <v>1616</v>
      </c>
      <c r="H1127" s="155"/>
      <c r="I1127" s="33" t="str">
        <f t="shared" si="331"/>
        <v>Cancel</v>
      </c>
      <c r="J1127" s="186" t="s">
        <v>2760</v>
      </c>
      <c r="K1127" s="155" t="s">
        <v>1765</v>
      </c>
      <c r="L1127" s="17" t="s">
        <v>516</v>
      </c>
      <c r="M1127" s="13" t="s">
        <v>60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68</v>
      </c>
      <c r="R1127" s="13" t="s">
        <v>62</v>
      </c>
      <c r="S1127" s="13" t="s">
        <v>52</v>
      </c>
      <c r="T1127" s="13" t="s">
        <v>141</v>
      </c>
      <c r="U1127" s="13" t="s">
        <v>1077</v>
      </c>
      <c r="V1127" s="13" t="s">
        <v>143</v>
      </c>
      <c r="W1127" s="13" t="s">
        <v>64</v>
      </c>
      <c r="X1127" s="135">
        <v>194650</v>
      </c>
      <c r="Y1127" s="157" t="str">
        <f>IF(W1127="RMB","1.13", "1")</f>
        <v>1.13</v>
      </c>
      <c r="Z1127" s="18">
        <f t="shared" si="326"/>
        <v>11679000</v>
      </c>
      <c r="AA1127" s="13">
        <v>1.18</v>
      </c>
      <c r="AB1127" s="21">
        <f t="shared" si="341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27"/>
        <v>499582152.5142017</v>
      </c>
      <c r="AJ1127" s="19">
        <f t="shared" si="328"/>
        <v>59520528.679470733</v>
      </c>
      <c r="AK1127" s="20">
        <f t="shared" si="335"/>
        <v>0.11914062257814291</v>
      </c>
      <c r="AL1127" s="17"/>
      <c r="AM1127" s="17"/>
      <c r="AN1127" s="17"/>
      <c r="AO1127" s="17"/>
      <c r="AP1127" s="28" t="str">
        <f t="shared" si="336"/>
        <v>CancelCANCEL</v>
      </c>
      <c r="AQ1127" s="28" t="str">
        <f t="shared" si="337"/>
        <v>CancelCANCELRMB</v>
      </c>
      <c r="AR1127" s="206" t="str">
        <f t="shared" si="338"/>
        <v>YAMAHA_Mounter</v>
      </c>
      <c r="AS1127" s="22" t="str">
        <f t="shared" si="339"/>
        <v/>
      </c>
      <c r="AT1127" s="24" t="str">
        <f t="shared" si="340"/>
        <v/>
      </c>
      <c r="AU1127" s="22" t="s">
        <v>3240</v>
      </c>
    </row>
    <row r="1128" spans="1:47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47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680</v>
      </c>
      <c r="K1128" s="155" t="s">
        <v>681</v>
      </c>
      <c r="L1128" s="17" t="s">
        <v>67</v>
      </c>
      <c r="M1128" s="13" t="s">
        <v>60</v>
      </c>
      <c r="N1128" s="13">
        <v>1</v>
      </c>
      <c r="O1128" s="13"/>
      <c r="P1128" s="33" t="str">
        <f t="shared" si="332"/>
        <v>MAIN UNIT</v>
      </c>
      <c r="Q1128" s="13" t="s">
        <v>61</v>
      </c>
      <c r="R1128" s="13" t="s">
        <v>62</v>
      </c>
      <c r="S1128" s="13" t="s">
        <v>52</v>
      </c>
      <c r="T1128" s="13" t="s">
        <v>141</v>
      </c>
      <c r="U1128" s="13" t="s">
        <v>142</v>
      </c>
      <c r="V1128" s="13" t="s">
        <v>143</v>
      </c>
      <c r="W1128" s="13" t="s">
        <v>64</v>
      </c>
      <c r="X1128" s="135">
        <v>642931</v>
      </c>
      <c r="Y1128" s="156">
        <v>1.1299999999999999</v>
      </c>
      <c r="Z1128" s="18">
        <f t="shared" si="326"/>
        <v>642931</v>
      </c>
      <c r="AA1128" s="13">
        <v>1.135</v>
      </c>
      <c r="AB1128" s="21">
        <f t="shared" si="341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27"/>
        <v>21386017.707964607</v>
      </c>
      <c r="AJ1128" s="19">
        <f t="shared" si="328"/>
        <v>2238764.3265707968</v>
      </c>
      <c r="AK1128" s="20">
        <f t="shared" si="335"/>
        <v>0.10468355339185161</v>
      </c>
      <c r="AL1128" s="17"/>
      <c r="AM1128" s="17"/>
      <c r="AN1128" s="17"/>
      <c r="AO1128" s="17"/>
      <c r="AP1128" s="28" t="str">
        <f t="shared" si="336"/>
        <v>20198</v>
      </c>
      <c r="AQ1128" s="28" t="str">
        <f t="shared" si="337"/>
        <v>20198RMB</v>
      </c>
      <c r="AR1128" s="206" t="str">
        <f t="shared" si="338"/>
        <v>YAMAHA_Mounter</v>
      </c>
      <c r="AS1128" s="22">
        <f t="shared" si="339"/>
        <v>5</v>
      </c>
      <c r="AT1128" s="24" t="str">
        <f t="shared" si="340"/>
        <v>4-6 months</v>
      </c>
      <c r="AU1128" s="22" t="s">
        <v>3240</v>
      </c>
    </row>
    <row r="1129" spans="1:47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47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680</v>
      </c>
      <c r="K1129" s="155" t="s">
        <v>681</v>
      </c>
      <c r="L1129" s="17" t="s">
        <v>67</v>
      </c>
      <c r="M1129" s="13" t="s">
        <v>60</v>
      </c>
      <c r="N1129" s="13">
        <v>1</v>
      </c>
      <c r="O1129" s="13"/>
      <c r="P1129" s="33" t="str">
        <f t="shared" si="332"/>
        <v>MAIN UNIT</v>
      </c>
      <c r="Q1129" s="13" t="s">
        <v>61</v>
      </c>
      <c r="R1129" s="13" t="s">
        <v>62</v>
      </c>
      <c r="S1129" s="13" t="s">
        <v>52</v>
      </c>
      <c r="T1129" s="13" t="s">
        <v>141</v>
      </c>
      <c r="U1129" s="13" t="s">
        <v>142</v>
      </c>
      <c r="V1129" s="13" t="s">
        <v>143</v>
      </c>
      <c r="W1129" s="13" t="s">
        <v>64</v>
      </c>
      <c r="X1129" s="135">
        <v>642931</v>
      </c>
      <c r="Y1129" s="156">
        <v>1.1299999999999999</v>
      </c>
      <c r="Z1129" s="18">
        <f t="shared" si="326"/>
        <v>642931</v>
      </c>
      <c r="AA1129" s="13">
        <v>1.135</v>
      </c>
      <c r="AB1129" s="21">
        <f t="shared" si="341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27"/>
        <v>21386017.707964607</v>
      </c>
      <c r="AJ1129" s="19">
        <f t="shared" si="328"/>
        <v>2238764.3265707968</v>
      </c>
      <c r="AK1129" s="20">
        <f t="shared" si="335"/>
        <v>0.10468355339185161</v>
      </c>
      <c r="AL1129" s="17"/>
      <c r="AM1129" s="17"/>
      <c r="AN1129" s="17"/>
      <c r="AO1129" s="17"/>
      <c r="AP1129" s="28" t="str">
        <f t="shared" si="336"/>
        <v>20198</v>
      </c>
      <c r="AQ1129" s="28" t="str">
        <f t="shared" si="337"/>
        <v>20198RMB</v>
      </c>
      <c r="AR1129" s="206" t="str">
        <f t="shared" si="338"/>
        <v>YAMAHA_Mounter</v>
      </c>
      <c r="AS1129" s="22">
        <f t="shared" si="339"/>
        <v>5</v>
      </c>
      <c r="AT1129" s="24" t="str">
        <f t="shared" si="340"/>
        <v>4-6 months</v>
      </c>
      <c r="AU1129" s="22" t="s">
        <v>3240</v>
      </c>
    </row>
    <row r="1130" spans="1:47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54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2200</v>
      </c>
      <c r="K1130" s="155" t="s">
        <v>2201</v>
      </c>
      <c r="L1130" s="17" t="s">
        <v>67</v>
      </c>
      <c r="M1130" s="13" t="s">
        <v>60</v>
      </c>
      <c r="N1130" s="13">
        <v>1</v>
      </c>
      <c r="O1130" s="13"/>
      <c r="P1130" s="33" t="str">
        <f t="shared" si="332"/>
        <v>MAIN UNIT</v>
      </c>
      <c r="Q1130" s="13" t="s">
        <v>61</v>
      </c>
      <c r="R1130" s="13" t="s">
        <v>62</v>
      </c>
      <c r="S1130" s="13" t="s">
        <v>52</v>
      </c>
      <c r="T1130" s="13" t="s">
        <v>141</v>
      </c>
      <c r="U1130" s="13" t="s">
        <v>1077</v>
      </c>
      <c r="V1130" s="13" t="s">
        <v>143</v>
      </c>
      <c r="W1130" s="13" t="s">
        <v>64</v>
      </c>
      <c r="X1130" s="135">
        <v>560000</v>
      </c>
      <c r="Y1130" s="157" t="str">
        <f>IF(W1130="RMB","1.13", "1")</f>
        <v>1.13</v>
      </c>
      <c r="Z1130" s="18">
        <f t="shared" si="326"/>
        <v>560000</v>
      </c>
      <c r="AA1130" s="13">
        <v>1.175</v>
      </c>
      <c r="AB1130" s="21">
        <f t="shared" si="341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27"/>
        <v>35682787.057522126</v>
      </c>
      <c r="AJ1130" s="19">
        <f t="shared" si="328"/>
        <v>5833368.3789623892</v>
      </c>
      <c r="AK1130" s="20">
        <f t="shared" si="335"/>
        <v>0.16347849649632912</v>
      </c>
      <c r="AL1130" s="17"/>
      <c r="AM1130" s="17"/>
      <c r="AN1130" s="17"/>
      <c r="AO1130" s="17"/>
      <c r="AP1130" s="28" t="str">
        <f t="shared" si="336"/>
        <v>20226</v>
      </c>
      <c r="AQ1130" s="28" t="str">
        <f t="shared" si="337"/>
        <v>20226RMB</v>
      </c>
      <c r="AR1130" s="206" t="str">
        <f t="shared" si="338"/>
        <v>YAMAHA_Mounter</v>
      </c>
      <c r="AS1130" s="22">
        <f t="shared" si="339"/>
        <v>2</v>
      </c>
      <c r="AT1130" s="24" t="str">
        <f t="shared" si="340"/>
        <v>0-3 months</v>
      </c>
      <c r="AU1130" s="22" t="s">
        <v>3240</v>
      </c>
    </row>
    <row r="1131" spans="1:47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56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139</v>
      </c>
      <c r="K1131" s="155" t="s">
        <v>140</v>
      </c>
      <c r="L1131" s="17" t="s">
        <v>100</v>
      </c>
      <c r="M1131" s="13" t="s">
        <v>60</v>
      </c>
      <c r="N1131" s="13">
        <v>1</v>
      </c>
      <c r="O1131" s="13"/>
      <c r="P1131" s="33" t="str">
        <f t="shared" si="332"/>
        <v>MAIN UNIT</v>
      </c>
      <c r="Q1131" s="13" t="s">
        <v>68</v>
      </c>
      <c r="R1131" s="13" t="s">
        <v>62</v>
      </c>
      <c r="S1131" s="13" t="s">
        <v>52</v>
      </c>
      <c r="T1131" s="13" t="s">
        <v>141</v>
      </c>
      <c r="U1131" s="13" t="s">
        <v>142</v>
      </c>
      <c r="V1131" s="13" t="s">
        <v>143</v>
      </c>
      <c r="W1131" s="13" t="s">
        <v>64</v>
      </c>
      <c r="X1131" s="135">
        <v>580000</v>
      </c>
      <c r="Y1131" s="156">
        <v>1.17</v>
      </c>
      <c r="Z1131" s="18">
        <f t="shared" si="326"/>
        <v>580000</v>
      </c>
      <c r="AA1131" s="13">
        <v>1.123</v>
      </c>
      <c r="AB1131" s="21">
        <f t="shared" si="341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27"/>
        <v>13250187.062905986</v>
      </c>
      <c r="AJ1131" s="19">
        <f t="shared" si="328"/>
        <v>1545643.7555487182</v>
      </c>
      <c r="AK1131" s="20">
        <f t="shared" si="335"/>
        <v>0.11665071203981424</v>
      </c>
      <c r="AL1131" s="17" t="s">
        <v>144</v>
      </c>
      <c r="AM1131" s="17">
        <v>580000</v>
      </c>
      <c r="AN1131" s="17" t="s">
        <v>145</v>
      </c>
      <c r="AO1131" s="17"/>
      <c r="AP1131" s="28" t="str">
        <f t="shared" si="336"/>
        <v>20183</v>
      </c>
      <c r="AQ1131" s="28" t="str">
        <f t="shared" si="337"/>
        <v>20183RMB</v>
      </c>
      <c r="AR1131" s="206" t="str">
        <f t="shared" si="338"/>
        <v>YAMAHA_Mounter</v>
      </c>
      <c r="AS1131" s="22">
        <f t="shared" si="339"/>
        <v>3</v>
      </c>
      <c r="AT1131" s="24" t="str">
        <f t="shared" si="340"/>
        <v>0-3 months</v>
      </c>
      <c r="AU1131" s="22" t="s">
        <v>3240</v>
      </c>
    </row>
    <row r="1132" spans="1:47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48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1360</v>
      </c>
      <c r="K1132" s="155" t="s">
        <v>1361</v>
      </c>
      <c r="L1132" s="17" t="s">
        <v>67</v>
      </c>
      <c r="M1132" s="13" t="s">
        <v>60</v>
      </c>
      <c r="N1132" s="13">
        <v>1</v>
      </c>
      <c r="O1132" s="13"/>
      <c r="P1132" s="33" t="str">
        <f t="shared" si="332"/>
        <v>MAIN UNIT</v>
      </c>
      <c r="Q1132" s="13" t="s">
        <v>61</v>
      </c>
      <c r="R1132" s="13" t="s">
        <v>62</v>
      </c>
      <c r="S1132" s="13" t="s">
        <v>51</v>
      </c>
      <c r="T1132" s="13" t="s">
        <v>349</v>
      </c>
      <c r="U1132" s="13" t="s">
        <v>149</v>
      </c>
      <c r="V1132" s="13" t="s">
        <v>1362</v>
      </c>
      <c r="W1132" s="13" t="s">
        <v>64</v>
      </c>
      <c r="X1132" s="135">
        <v>840000</v>
      </c>
      <c r="Y1132" s="156">
        <v>1.1299999999999999</v>
      </c>
      <c r="Z1132" s="18">
        <f t="shared" si="326"/>
        <v>840000</v>
      </c>
      <c r="AA1132" s="13">
        <v>1.135</v>
      </c>
      <c r="AB1132" s="21">
        <f t="shared" si="341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27"/>
        <v>28011162.254106201</v>
      </c>
      <c r="AJ1132" s="19">
        <f t="shared" si="328"/>
        <v>3401347.1124888416</v>
      </c>
      <c r="AK1132" s="20">
        <f t="shared" si="335"/>
        <v>0.12142827497242578</v>
      </c>
      <c r="AL1132" s="17"/>
      <c r="AM1132" s="17"/>
      <c r="AN1132" s="17"/>
      <c r="AO1132" s="17"/>
      <c r="AP1132" s="28" t="str">
        <f t="shared" si="336"/>
        <v>202010</v>
      </c>
      <c r="AQ1132" s="28" t="str">
        <f t="shared" si="337"/>
        <v>202010RMB</v>
      </c>
      <c r="AR1132" s="206" t="str">
        <f t="shared" si="338"/>
        <v>YAMAHA_Mounter</v>
      </c>
      <c r="AS1132" s="22">
        <f t="shared" si="339"/>
        <v>3</v>
      </c>
      <c r="AT1132" s="24" t="str">
        <f t="shared" si="340"/>
        <v>0-3 months</v>
      </c>
      <c r="AU1132" s="22" t="s">
        <v>3240</v>
      </c>
    </row>
    <row r="1133" spans="1:47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3372</v>
      </c>
      <c r="K1133" s="29" t="s">
        <v>2561</v>
      </c>
      <c r="L1133" s="17" t="s">
        <v>67</v>
      </c>
      <c r="M1133" s="22" t="s">
        <v>60</v>
      </c>
      <c r="N1133" s="22">
        <v>1</v>
      </c>
      <c r="O1133" s="22"/>
      <c r="P1133" s="33" t="str">
        <f t="shared" si="332"/>
        <v>MAIN UNIT</v>
      </c>
      <c r="Q1133" s="13" t="s">
        <v>61</v>
      </c>
      <c r="R1133" s="22" t="s">
        <v>62</v>
      </c>
      <c r="S1133" s="22" t="s">
        <v>50</v>
      </c>
      <c r="T1133" s="22" t="s">
        <v>325</v>
      </c>
      <c r="U1133" s="22" t="s">
        <v>70</v>
      </c>
      <c r="V1133" s="22" t="s">
        <v>1010</v>
      </c>
      <c r="W1133" s="22" t="s">
        <v>64</v>
      </c>
      <c r="X1133" s="30">
        <v>434999</v>
      </c>
      <c r="Y1133" s="31" t="str">
        <f>IF(W1133="","",IF(W1133="RMB","1.13", "1"))</f>
        <v>1.13</v>
      </c>
      <c r="Z1133" s="18">
        <f t="shared" si="326"/>
        <v>434999</v>
      </c>
      <c r="AA1133" s="22">
        <v>1.083</v>
      </c>
      <c r="AB1133" s="21">
        <f t="shared" si="341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27"/>
        <v>11472879.764601771</v>
      </c>
      <c r="AJ1133" s="27">
        <f t="shared" si="328"/>
        <v>2038344.1716106194</v>
      </c>
      <c r="AK1133" s="28">
        <f t="shared" si="335"/>
        <v>0.17766630640544948</v>
      </c>
      <c r="AL1133" s="24"/>
      <c r="AM1133" s="24"/>
      <c r="AN1133" s="24"/>
      <c r="AO1133" s="24"/>
      <c r="AP1133" s="28" t="str">
        <f t="shared" si="336"/>
        <v>20245</v>
      </c>
      <c r="AQ1133" s="28" t="str">
        <f t="shared" si="337"/>
        <v>20245RMB</v>
      </c>
      <c r="AR1133" s="206" t="str">
        <f t="shared" si="338"/>
        <v>YAMAHA_Mounter</v>
      </c>
      <c r="AS1133" s="22">
        <f t="shared" si="339"/>
        <v>2</v>
      </c>
      <c r="AT1133" s="24" t="str">
        <f t="shared" si="340"/>
        <v>0-3 months</v>
      </c>
      <c r="AU1133" s="22" t="s">
        <v>3240</v>
      </c>
    </row>
    <row r="1134" spans="1:47" s="12" customFormat="1">
      <c r="A1134" s="33" t="str">
        <f t="shared" si="329"/>
        <v>cancel</v>
      </c>
      <c r="B1134" s="152"/>
      <c r="C1134" s="152" t="s">
        <v>185</v>
      </c>
      <c r="D1134" s="33" t="str">
        <f t="shared" si="330"/>
        <v/>
      </c>
      <c r="E1134" s="33" t="s">
        <v>185</v>
      </c>
      <c r="F1134" s="13" t="s">
        <v>185</v>
      </c>
      <c r="G1134" s="152" t="s">
        <v>185</v>
      </c>
      <c r="H1134" s="155"/>
      <c r="I1134" s="33" t="str">
        <f t="shared" si="331"/>
        <v>Cancel</v>
      </c>
      <c r="J1134" s="186" t="s">
        <v>2704</v>
      </c>
      <c r="K1134" s="155" t="s">
        <v>2705</v>
      </c>
      <c r="L1134" s="17" t="s">
        <v>92</v>
      </c>
      <c r="M1134" s="13" t="s">
        <v>60</v>
      </c>
      <c r="N1134" s="13">
        <v>1</v>
      </c>
      <c r="O1134" s="13"/>
      <c r="P1134" s="33" t="str">
        <f t="shared" si="332"/>
        <v>MAIN UNIT</v>
      </c>
      <c r="Q1134" s="13" t="s">
        <v>68</v>
      </c>
      <c r="R1134" s="13" t="s">
        <v>62</v>
      </c>
      <c r="S1134" s="13" t="s">
        <v>49</v>
      </c>
      <c r="T1134" s="13" t="s">
        <v>78</v>
      </c>
      <c r="U1134" s="13" t="s">
        <v>79</v>
      </c>
      <c r="V1134" s="13" t="s">
        <v>311</v>
      </c>
      <c r="W1134" s="13" t="s">
        <v>109</v>
      </c>
      <c r="X1134" s="135">
        <v>11840000</v>
      </c>
      <c r="Y1134" s="156">
        <v>1</v>
      </c>
      <c r="Z1134" s="18">
        <f t="shared" ref="Z1134:Z1197" si="342">IF(X1134="","",X1134*MAX(O1134,N1134))</f>
        <v>11840000</v>
      </c>
      <c r="AA1134" s="13">
        <v>7.2999999999999995E-2</v>
      </c>
      <c r="AB1134" s="21">
        <f t="shared" si="341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27"/>
        <v>499582152.5142017</v>
      </c>
      <c r="AJ1134" s="19">
        <f t="shared" si="328"/>
        <v>59520528.679470733</v>
      </c>
      <c r="AK1134" s="20">
        <f t="shared" si="335"/>
        <v>0.11914062257814291</v>
      </c>
      <c r="AL1134" s="17"/>
      <c r="AM1134" s="17"/>
      <c r="AN1134" s="17"/>
      <c r="AO1134" s="17"/>
      <c r="AP1134" s="28" t="str">
        <f t="shared" si="336"/>
        <v>CancelCancel</v>
      </c>
      <c r="AQ1134" s="28" t="str">
        <f t="shared" si="337"/>
        <v>CancelCancelJPY</v>
      </c>
      <c r="AR1134" s="206" t="str">
        <f t="shared" si="338"/>
        <v>YAMAHA_Mounter</v>
      </c>
      <c r="AS1134" s="22" t="str">
        <f t="shared" si="339"/>
        <v/>
      </c>
      <c r="AT1134" s="24" t="str">
        <f t="shared" si="340"/>
        <v/>
      </c>
      <c r="AU1134" s="22" t="s">
        <v>3745</v>
      </c>
    </row>
    <row r="1135" spans="1:47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47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547</v>
      </c>
      <c r="K1135" s="155" t="s">
        <v>548</v>
      </c>
      <c r="L1135" s="17" t="s">
        <v>92</v>
      </c>
      <c r="M1135" s="13" t="s">
        <v>60</v>
      </c>
      <c r="N1135" s="13">
        <v>1</v>
      </c>
      <c r="O1135" s="13"/>
      <c r="P1135" s="33" t="str">
        <f t="shared" si="332"/>
        <v>MAIN UNIT</v>
      </c>
      <c r="Q1135" s="13" t="s">
        <v>61</v>
      </c>
      <c r="R1135" s="13" t="s">
        <v>62</v>
      </c>
      <c r="S1135" s="13" t="s">
        <v>370</v>
      </c>
      <c r="T1135" s="13" t="s">
        <v>78</v>
      </c>
      <c r="U1135" s="13" t="s">
        <v>263</v>
      </c>
      <c r="V1135" s="13" t="s">
        <v>549</v>
      </c>
      <c r="W1135" s="13" t="s">
        <v>109</v>
      </c>
      <c r="X1135" s="135">
        <v>12400000</v>
      </c>
      <c r="Y1135" s="156">
        <v>1</v>
      </c>
      <c r="Z1135" s="18">
        <f t="shared" si="342"/>
        <v>12400000</v>
      </c>
      <c r="AA1135" s="13">
        <v>7.17E-2</v>
      </c>
      <c r="AB1135" s="21">
        <f t="shared" si="341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27"/>
        <v>14593788.187146019</v>
      </c>
      <c r="AJ1135" s="19">
        <f t="shared" si="328"/>
        <v>1868647.7321969916</v>
      </c>
      <c r="AK1135" s="20">
        <f t="shared" si="335"/>
        <v>0.12804404916900652</v>
      </c>
      <c r="AL1135" s="17"/>
      <c r="AM1135" s="17"/>
      <c r="AN1135" s="17"/>
      <c r="AO1135" s="17"/>
      <c r="AP1135" s="28" t="str">
        <f t="shared" si="336"/>
        <v>20195</v>
      </c>
      <c r="AQ1135" s="28" t="str">
        <f t="shared" si="337"/>
        <v>20195JPY</v>
      </c>
      <c r="AR1135" s="206" t="str">
        <f t="shared" si="338"/>
        <v>YAMAHA_Mounter</v>
      </c>
      <c r="AS1135" s="22">
        <f t="shared" si="339"/>
        <v>10</v>
      </c>
      <c r="AT1135" s="24" t="str">
        <f t="shared" si="340"/>
        <v>&gt; 6 months</v>
      </c>
      <c r="AU1135" s="22" t="s">
        <v>3746</v>
      </c>
    </row>
    <row r="1136" spans="1:47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48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1374</v>
      </c>
      <c r="K1136" s="155" t="s">
        <v>1375</v>
      </c>
      <c r="L1136" s="17" t="s">
        <v>92</v>
      </c>
      <c r="M1136" s="13" t="s">
        <v>60</v>
      </c>
      <c r="N1136" s="13">
        <v>1</v>
      </c>
      <c r="O1136" s="13"/>
      <c r="P1136" s="33" t="str">
        <f t="shared" si="332"/>
        <v>MAIN UNIT</v>
      </c>
      <c r="Q1136" s="13" t="s">
        <v>61</v>
      </c>
      <c r="R1136" s="13" t="s">
        <v>62</v>
      </c>
      <c r="S1136" s="13" t="s">
        <v>49</v>
      </c>
      <c r="T1136" s="13" t="s">
        <v>78</v>
      </c>
      <c r="U1136" s="13" t="s">
        <v>79</v>
      </c>
      <c r="V1136" s="13" t="s">
        <v>1140</v>
      </c>
      <c r="W1136" s="13" t="s">
        <v>109</v>
      </c>
      <c r="X1136" s="135">
        <v>10500000</v>
      </c>
      <c r="Y1136" s="156">
        <v>1</v>
      </c>
      <c r="Z1136" s="18">
        <f t="shared" si="342"/>
        <v>10500000</v>
      </c>
      <c r="AA1136" s="13">
        <v>7.4899999999999994E-2</v>
      </c>
      <c r="AB1136" s="21">
        <f t="shared" si="341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27"/>
        <v>47907808.356810622</v>
      </c>
      <c r="AJ1136" s="19">
        <f t="shared" si="328"/>
        <v>6027384.8806384448</v>
      </c>
      <c r="AK1136" s="20">
        <f t="shared" si="335"/>
        <v>0.12581216063459488</v>
      </c>
      <c r="AL1136" s="17"/>
      <c r="AM1136" s="17"/>
      <c r="AN1136" s="17"/>
      <c r="AO1136" s="17"/>
      <c r="AP1136" s="28" t="str">
        <f t="shared" si="336"/>
        <v>20209</v>
      </c>
      <c r="AQ1136" s="28" t="str">
        <f t="shared" si="337"/>
        <v>20209JPY</v>
      </c>
      <c r="AR1136" s="206" t="str">
        <f t="shared" si="338"/>
        <v>YAMAHA_Mounter</v>
      </c>
      <c r="AS1136" s="22">
        <f t="shared" si="339"/>
        <v>2</v>
      </c>
      <c r="AT1136" s="24" t="str">
        <f t="shared" si="340"/>
        <v>0-3 months</v>
      </c>
      <c r="AU1136" s="22" t="s">
        <v>3745</v>
      </c>
    </row>
    <row r="1137" spans="1:47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53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1782</v>
      </c>
      <c r="K1137" s="155" t="s">
        <v>1783</v>
      </c>
      <c r="L1137" s="17" t="s">
        <v>67</v>
      </c>
      <c r="M1137" s="13" t="s">
        <v>60</v>
      </c>
      <c r="N1137" s="13">
        <v>1</v>
      </c>
      <c r="O1137" s="13"/>
      <c r="P1137" s="33" t="str">
        <f t="shared" si="332"/>
        <v>MAIN UNIT</v>
      </c>
      <c r="Q1137" s="13" t="s">
        <v>61</v>
      </c>
      <c r="R1137" s="13" t="s">
        <v>62</v>
      </c>
      <c r="S1137" s="13" t="s">
        <v>49</v>
      </c>
      <c r="T1137" s="13" t="s">
        <v>78</v>
      </c>
      <c r="U1137" s="13" t="s">
        <v>79</v>
      </c>
      <c r="V1137" s="13" t="s">
        <v>80</v>
      </c>
      <c r="W1137" s="13" t="s">
        <v>109</v>
      </c>
      <c r="X1137" s="135">
        <v>6950000</v>
      </c>
      <c r="Y1137" s="157" t="str">
        <f t="shared" ref="Y1137:Y1142" si="343">IF(W1137="RMB","1.13", "1")</f>
        <v>1</v>
      </c>
      <c r="Z1137" s="18">
        <f t="shared" si="342"/>
        <v>6950000</v>
      </c>
      <c r="AA1137" s="13">
        <v>7.2099999999999997E-2</v>
      </c>
      <c r="AB1137" s="21">
        <f t="shared" si="341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27"/>
        <v>54700260.692079648</v>
      </c>
      <c r="AJ1137" s="19">
        <f t="shared" si="328"/>
        <v>7482899.5749188727</v>
      </c>
      <c r="AK1137" s="20">
        <f t="shared" si="335"/>
        <v>0.13679824337660537</v>
      </c>
      <c r="AL1137" s="17"/>
      <c r="AM1137" s="17"/>
      <c r="AN1137" s="17"/>
      <c r="AO1137" s="17"/>
      <c r="AP1137" s="28" t="str">
        <f t="shared" si="336"/>
        <v>20216</v>
      </c>
      <c r="AQ1137" s="28" t="str">
        <f t="shared" si="337"/>
        <v>20216JPY</v>
      </c>
      <c r="AR1137" s="206" t="str">
        <f t="shared" si="338"/>
        <v>YAMAHA_Mounter</v>
      </c>
      <c r="AS1137" s="22">
        <f t="shared" si="339"/>
        <v>3</v>
      </c>
      <c r="AT1137" s="24" t="str">
        <f t="shared" si="340"/>
        <v>0-3 months</v>
      </c>
      <c r="AU1137" s="22" t="s">
        <v>3745</v>
      </c>
    </row>
    <row r="1138" spans="1:47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53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1782</v>
      </c>
      <c r="K1138" s="155" t="s">
        <v>1783</v>
      </c>
      <c r="L1138" s="17" t="s">
        <v>67</v>
      </c>
      <c r="M1138" s="13" t="s">
        <v>60</v>
      </c>
      <c r="N1138" s="13">
        <v>1</v>
      </c>
      <c r="O1138" s="13"/>
      <c r="P1138" s="33" t="str">
        <f t="shared" si="332"/>
        <v>MAIN UNIT</v>
      </c>
      <c r="Q1138" s="13" t="s">
        <v>61</v>
      </c>
      <c r="R1138" s="13" t="s">
        <v>62</v>
      </c>
      <c r="S1138" s="13" t="s">
        <v>49</v>
      </c>
      <c r="T1138" s="13" t="s">
        <v>78</v>
      </c>
      <c r="U1138" s="13" t="s">
        <v>79</v>
      </c>
      <c r="V1138" s="13" t="s">
        <v>80</v>
      </c>
      <c r="W1138" s="13" t="s">
        <v>109</v>
      </c>
      <c r="X1138" s="135">
        <v>6950000</v>
      </c>
      <c r="Y1138" s="157" t="str">
        <f t="shared" si="343"/>
        <v>1</v>
      </c>
      <c r="Z1138" s="18">
        <f t="shared" si="342"/>
        <v>6950000</v>
      </c>
      <c r="AA1138" s="13">
        <v>7.2099999999999997E-2</v>
      </c>
      <c r="AB1138" s="21">
        <f t="shared" si="341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27"/>
        <v>54700260.692079648</v>
      </c>
      <c r="AJ1138" s="19">
        <f t="shared" si="328"/>
        <v>7482899.5749188727</v>
      </c>
      <c r="AK1138" s="20">
        <f t="shared" si="335"/>
        <v>0.13679824337660537</v>
      </c>
      <c r="AL1138" s="17"/>
      <c r="AM1138" s="17"/>
      <c r="AN1138" s="17"/>
      <c r="AO1138" s="17"/>
      <c r="AP1138" s="28" t="str">
        <f t="shared" si="336"/>
        <v>20216</v>
      </c>
      <c r="AQ1138" s="28" t="str">
        <f t="shared" si="337"/>
        <v>20216JPY</v>
      </c>
      <c r="AR1138" s="206" t="str">
        <f t="shared" si="338"/>
        <v>YAMAHA_Mounter</v>
      </c>
      <c r="AS1138" s="22">
        <f t="shared" si="339"/>
        <v>3</v>
      </c>
      <c r="AT1138" s="24" t="str">
        <f t="shared" si="340"/>
        <v>0-3 months</v>
      </c>
      <c r="AU1138" s="22" t="s">
        <v>3745</v>
      </c>
    </row>
    <row r="1139" spans="1:47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54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2180</v>
      </c>
      <c r="K1139" s="155" t="s">
        <v>2181</v>
      </c>
      <c r="L1139" s="17" t="s">
        <v>92</v>
      </c>
      <c r="M1139" s="13" t="s">
        <v>60</v>
      </c>
      <c r="N1139" s="13">
        <v>1</v>
      </c>
      <c r="O1139" s="13"/>
      <c r="P1139" s="33" t="str">
        <f t="shared" si="332"/>
        <v>MAIN UNIT</v>
      </c>
      <c r="Q1139" s="13" t="s">
        <v>61</v>
      </c>
      <c r="R1139" s="13" t="s">
        <v>2135</v>
      </c>
      <c r="S1139" s="13" t="s">
        <v>2163</v>
      </c>
      <c r="T1139" s="13" t="s">
        <v>78</v>
      </c>
      <c r="U1139" s="13" t="s">
        <v>79</v>
      </c>
      <c r="V1139" s="13" t="s">
        <v>1311</v>
      </c>
      <c r="W1139" s="13" t="s">
        <v>1341</v>
      </c>
      <c r="X1139" s="135">
        <v>13000000</v>
      </c>
      <c r="Y1139" s="157" t="str">
        <f t="shared" si="343"/>
        <v>1</v>
      </c>
      <c r="Z1139" s="18">
        <f t="shared" si="342"/>
        <v>13000000</v>
      </c>
      <c r="AA1139" s="13">
        <v>6.25E-2</v>
      </c>
      <c r="AB1139" s="21">
        <f t="shared" si="341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27"/>
        <v>35682787.057522126</v>
      </c>
      <c r="AJ1139" s="19">
        <f t="shared" si="328"/>
        <v>5833368.3789623892</v>
      </c>
      <c r="AK1139" s="20">
        <f t="shared" si="335"/>
        <v>0.16347849649632912</v>
      </c>
      <c r="AL1139" s="17"/>
      <c r="AM1139" s="17"/>
      <c r="AN1139" s="17"/>
      <c r="AO1139" s="17"/>
      <c r="AP1139" s="28" t="str">
        <f t="shared" si="336"/>
        <v>20226</v>
      </c>
      <c r="AQ1139" s="28" t="str">
        <f t="shared" si="337"/>
        <v>20226JPY</v>
      </c>
      <c r="AR1139" s="206" t="str">
        <f t="shared" si="338"/>
        <v>YAMAHA_Mounter</v>
      </c>
      <c r="AS1139" s="22">
        <f t="shared" si="339"/>
        <v>4</v>
      </c>
      <c r="AT1139" s="24" t="str">
        <f t="shared" si="340"/>
        <v>4-6 months</v>
      </c>
      <c r="AU1139" s="22" t="s">
        <v>3745</v>
      </c>
    </row>
    <row r="1140" spans="1:47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54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2180</v>
      </c>
      <c r="K1140" s="155" t="s">
        <v>2181</v>
      </c>
      <c r="L1140" s="17" t="s">
        <v>67</v>
      </c>
      <c r="M1140" s="13" t="s">
        <v>60</v>
      </c>
      <c r="N1140" s="13">
        <v>1</v>
      </c>
      <c r="O1140" s="13"/>
      <c r="P1140" s="33" t="str">
        <f t="shared" si="332"/>
        <v>MAIN UNIT</v>
      </c>
      <c r="Q1140" s="13" t="s">
        <v>61</v>
      </c>
      <c r="R1140" s="13" t="s">
        <v>2135</v>
      </c>
      <c r="S1140" s="13" t="s">
        <v>2163</v>
      </c>
      <c r="T1140" s="13" t="s">
        <v>78</v>
      </c>
      <c r="U1140" s="13" t="s">
        <v>79</v>
      </c>
      <c r="V1140" s="13" t="s">
        <v>1311</v>
      </c>
      <c r="W1140" s="13" t="s">
        <v>1341</v>
      </c>
      <c r="X1140" s="135">
        <v>8000000</v>
      </c>
      <c r="Y1140" s="157" t="str">
        <f t="shared" si="343"/>
        <v>1</v>
      </c>
      <c r="Z1140" s="18">
        <f t="shared" si="342"/>
        <v>8000000</v>
      </c>
      <c r="AA1140" s="13">
        <v>6.25E-2</v>
      </c>
      <c r="AB1140" s="21">
        <f t="shared" si="341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27"/>
        <v>35682787.057522126</v>
      </c>
      <c r="AJ1140" s="19">
        <f t="shared" si="328"/>
        <v>5833368.3789623892</v>
      </c>
      <c r="AK1140" s="20">
        <f t="shared" si="335"/>
        <v>0.16347849649632912</v>
      </c>
      <c r="AL1140" s="17"/>
      <c r="AM1140" s="17"/>
      <c r="AN1140" s="17"/>
      <c r="AO1140" s="17"/>
      <c r="AP1140" s="28" t="str">
        <f t="shared" si="336"/>
        <v>20226</v>
      </c>
      <c r="AQ1140" s="28" t="str">
        <f t="shared" si="337"/>
        <v>20226JPY</v>
      </c>
      <c r="AR1140" s="206" t="str">
        <f t="shared" si="338"/>
        <v>YAMAHA_Mounter</v>
      </c>
      <c r="AS1140" s="22">
        <f t="shared" si="339"/>
        <v>4</v>
      </c>
      <c r="AT1140" s="24" t="str">
        <f t="shared" si="340"/>
        <v>4-6 months</v>
      </c>
      <c r="AU1140" s="22" t="s">
        <v>3745</v>
      </c>
    </row>
    <row r="1141" spans="1:47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55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2275</v>
      </c>
      <c r="K1141" s="155" t="s">
        <v>1783</v>
      </c>
      <c r="L1141" s="17" t="s">
        <v>67</v>
      </c>
      <c r="M1141" s="13" t="s">
        <v>60</v>
      </c>
      <c r="N1141" s="13">
        <v>1</v>
      </c>
      <c r="O1141" s="13"/>
      <c r="P1141" s="33" t="str">
        <f t="shared" si="332"/>
        <v>MAIN UNIT</v>
      </c>
      <c r="Q1141" s="13" t="s">
        <v>61</v>
      </c>
      <c r="R1141" s="13" t="s">
        <v>62</v>
      </c>
      <c r="S1141" s="13" t="s">
        <v>49</v>
      </c>
      <c r="T1141" s="13" t="s">
        <v>78</v>
      </c>
      <c r="U1141" s="13" t="s">
        <v>79</v>
      </c>
      <c r="V1141" s="13" t="s">
        <v>80</v>
      </c>
      <c r="W1141" s="13" t="s">
        <v>64</v>
      </c>
      <c r="X1141" s="135">
        <v>415000</v>
      </c>
      <c r="Y1141" s="157" t="str">
        <f t="shared" si="343"/>
        <v>1.13</v>
      </c>
      <c r="Z1141" s="18">
        <f t="shared" si="342"/>
        <v>415000</v>
      </c>
      <c r="AA1141" s="13">
        <v>1.1399999999999999</v>
      </c>
      <c r="AB1141" s="21">
        <f t="shared" si="341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27"/>
        <v>30573205.452778768</v>
      </c>
      <c r="AJ1141" s="19">
        <f t="shared" si="328"/>
        <v>3790930.1683151261</v>
      </c>
      <c r="AK1141" s="20">
        <f t="shared" si="335"/>
        <v>0.12399518179964254</v>
      </c>
      <c r="AL1141" s="17"/>
      <c r="AM1141" s="17"/>
      <c r="AN1141" s="17"/>
      <c r="AO1141" s="17"/>
      <c r="AP1141" s="28" t="str">
        <f t="shared" si="336"/>
        <v>20234</v>
      </c>
      <c r="AQ1141" s="28" t="str">
        <f t="shared" si="337"/>
        <v>20234RMB</v>
      </c>
      <c r="AR1141" s="206" t="str">
        <f t="shared" si="338"/>
        <v>YAMAHA_Mounter</v>
      </c>
      <c r="AS1141" s="22">
        <f t="shared" si="339"/>
        <v>4</v>
      </c>
      <c r="AT1141" s="24" t="str">
        <f t="shared" si="340"/>
        <v>4-6 months</v>
      </c>
      <c r="AU1141" s="22" t="s">
        <v>3751</v>
      </c>
    </row>
    <row r="1142" spans="1:47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55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2275</v>
      </c>
      <c r="K1142" s="155" t="s">
        <v>1783</v>
      </c>
      <c r="L1142" s="17" t="s">
        <v>67</v>
      </c>
      <c r="M1142" s="13" t="s">
        <v>60</v>
      </c>
      <c r="N1142" s="13">
        <v>1</v>
      </c>
      <c r="O1142" s="13"/>
      <c r="P1142" s="33" t="str">
        <f t="shared" si="332"/>
        <v>MAIN UNIT</v>
      </c>
      <c r="Q1142" s="13" t="s">
        <v>61</v>
      </c>
      <c r="R1142" s="13" t="s">
        <v>62</v>
      </c>
      <c r="S1142" s="13" t="s">
        <v>49</v>
      </c>
      <c r="T1142" s="13" t="s">
        <v>78</v>
      </c>
      <c r="U1142" s="13" t="s">
        <v>79</v>
      </c>
      <c r="V1142" s="13" t="s">
        <v>80</v>
      </c>
      <c r="W1142" s="13" t="s">
        <v>64</v>
      </c>
      <c r="X1142" s="135">
        <v>415000</v>
      </c>
      <c r="Y1142" s="157" t="str">
        <f t="shared" si="343"/>
        <v>1.13</v>
      </c>
      <c r="Z1142" s="18">
        <f t="shared" si="342"/>
        <v>415000</v>
      </c>
      <c r="AA1142" s="13">
        <v>1.1399999999999999</v>
      </c>
      <c r="AB1142" s="21">
        <f t="shared" si="341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27"/>
        <v>30573205.452778768</v>
      </c>
      <c r="AJ1142" s="19">
        <f t="shared" si="328"/>
        <v>3790930.1683151261</v>
      </c>
      <c r="AK1142" s="20">
        <f t="shared" si="335"/>
        <v>0.12399518179964254</v>
      </c>
      <c r="AL1142" s="17"/>
      <c r="AM1142" s="17"/>
      <c r="AN1142" s="17"/>
      <c r="AO1142" s="17"/>
      <c r="AP1142" s="28" t="str">
        <f t="shared" si="336"/>
        <v>20234</v>
      </c>
      <c r="AQ1142" s="28" t="str">
        <f t="shared" si="337"/>
        <v>20234RMB</v>
      </c>
      <c r="AR1142" s="206" t="str">
        <f t="shared" si="338"/>
        <v>YAMAHA_Mounter</v>
      </c>
      <c r="AS1142" s="22">
        <f t="shared" si="339"/>
        <v>4</v>
      </c>
      <c r="AT1142" s="24" t="str">
        <f t="shared" si="340"/>
        <v>4-6 months</v>
      </c>
      <c r="AU1142" s="22" t="s">
        <v>3751</v>
      </c>
    </row>
    <row r="1143" spans="1:47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3372</v>
      </c>
      <c r="K1143" s="29" t="s">
        <v>2561</v>
      </c>
      <c r="L1143" s="17" t="s">
        <v>67</v>
      </c>
      <c r="M1143" s="22" t="s">
        <v>60</v>
      </c>
      <c r="N1143" s="22">
        <v>1</v>
      </c>
      <c r="O1143" s="22"/>
      <c r="P1143" s="33" t="str">
        <f t="shared" si="332"/>
        <v>MAIN UNIT</v>
      </c>
      <c r="Q1143" s="13" t="s">
        <v>61</v>
      </c>
      <c r="R1143" s="22" t="s">
        <v>62</v>
      </c>
      <c r="S1143" s="22" t="s">
        <v>50</v>
      </c>
      <c r="T1143" s="22" t="s">
        <v>325</v>
      </c>
      <c r="U1143" s="22" t="s">
        <v>70</v>
      </c>
      <c r="V1143" s="22" t="s">
        <v>1010</v>
      </c>
      <c r="W1143" s="22" t="s">
        <v>64</v>
      </c>
      <c r="X1143" s="30">
        <v>434999</v>
      </c>
      <c r="Y1143" s="31" t="str">
        <f>IF(W1143="","",IF(W1143="RMB","1.13", "1"))</f>
        <v>1.13</v>
      </c>
      <c r="Z1143" s="18">
        <f t="shared" si="342"/>
        <v>434999</v>
      </c>
      <c r="AA1143" s="22">
        <v>1.083</v>
      </c>
      <c r="AB1143" s="21">
        <f t="shared" si="341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27"/>
        <v>11472879.764601771</v>
      </c>
      <c r="AJ1143" s="27">
        <f t="shared" si="328"/>
        <v>2038344.1716106194</v>
      </c>
      <c r="AK1143" s="28">
        <f t="shared" si="335"/>
        <v>0.17766630640544948</v>
      </c>
      <c r="AL1143" s="24"/>
      <c r="AM1143" s="24"/>
      <c r="AN1143" s="24"/>
      <c r="AO1143" s="24"/>
      <c r="AP1143" s="28" t="str">
        <f t="shared" si="336"/>
        <v>20245</v>
      </c>
      <c r="AQ1143" s="28" t="str">
        <f t="shared" si="337"/>
        <v>20245RMB</v>
      </c>
      <c r="AR1143" s="206" t="str">
        <f t="shared" si="338"/>
        <v>YAMAHA_Mounter</v>
      </c>
      <c r="AS1143" s="22">
        <f t="shared" si="339"/>
        <v>2</v>
      </c>
      <c r="AT1143" s="24" t="str">
        <f t="shared" si="340"/>
        <v>0-3 months</v>
      </c>
      <c r="AU1143" s="22" t="s">
        <v>3240</v>
      </c>
    </row>
    <row r="1144" spans="1:47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3150</v>
      </c>
      <c r="K1144" s="155" t="s">
        <v>3151</v>
      </c>
      <c r="L1144" s="17" t="s">
        <v>92</v>
      </c>
      <c r="M1144" s="22" t="s">
        <v>60</v>
      </c>
      <c r="N1144" s="13">
        <v>1</v>
      </c>
      <c r="O1144" s="13"/>
      <c r="P1144" s="33" t="str">
        <f t="shared" si="332"/>
        <v>MAIN UNIT</v>
      </c>
      <c r="Q1144" s="13" t="s">
        <v>61</v>
      </c>
      <c r="R1144" s="13" t="s">
        <v>62</v>
      </c>
      <c r="S1144" s="13" t="s">
        <v>52</v>
      </c>
      <c r="T1144" s="13" t="s">
        <v>141</v>
      </c>
      <c r="U1144" s="13" t="s">
        <v>1077</v>
      </c>
      <c r="V1144" s="13" t="s">
        <v>143</v>
      </c>
      <c r="W1144" s="13" t="s">
        <v>64</v>
      </c>
      <c r="X1144" s="135">
        <v>918000</v>
      </c>
      <c r="Y1144" s="157" t="str">
        <f>IF(W1144="RMB","1.13", "1")</f>
        <v>1.13</v>
      </c>
      <c r="Z1144" s="18">
        <f t="shared" si="342"/>
        <v>918000</v>
      </c>
      <c r="AA1144" s="22">
        <v>1.083</v>
      </c>
      <c r="AB1144" s="21">
        <f t="shared" si="341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27"/>
        <v>11472879.764601771</v>
      </c>
      <c r="AJ1144" s="19">
        <f t="shared" si="328"/>
        <v>2038344.1716106194</v>
      </c>
      <c r="AK1144" s="20">
        <f t="shared" si="335"/>
        <v>0.17766630640544948</v>
      </c>
      <c r="AL1144" s="17"/>
      <c r="AM1144" s="17"/>
      <c r="AN1144" s="17"/>
      <c r="AO1144" s="17"/>
      <c r="AP1144" s="28" t="str">
        <f t="shared" si="336"/>
        <v>20245</v>
      </c>
      <c r="AQ1144" s="28" t="str">
        <f t="shared" si="337"/>
        <v>20245RMB</v>
      </c>
      <c r="AR1144" s="206" t="str">
        <f t="shared" si="338"/>
        <v>YAMAHA_Mounter</v>
      </c>
      <c r="AS1144" s="22">
        <f t="shared" si="339"/>
        <v>13</v>
      </c>
      <c r="AT1144" s="24" t="str">
        <f t="shared" si="340"/>
        <v>&gt; 6 months</v>
      </c>
      <c r="AU1144" s="22" t="s">
        <v>3240</v>
      </c>
    </row>
    <row r="1145" spans="1:47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48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1191</v>
      </c>
      <c r="K1145" s="155" t="s">
        <v>1192</v>
      </c>
      <c r="L1145" s="17" t="s">
        <v>92</v>
      </c>
      <c r="M1145" s="13" t="s">
        <v>60</v>
      </c>
      <c r="N1145" s="13">
        <v>1</v>
      </c>
      <c r="O1145" s="13"/>
      <c r="P1145" s="33" t="str">
        <f t="shared" si="332"/>
        <v>MAIN UNIT</v>
      </c>
      <c r="Q1145" s="13" t="s">
        <v>61</v>
      </c>
      <c r="R1145" s="13" t="s">
        <v>62</v>
      </c>
      <c r="S1145" s="13" t="s">
        <v>50</v>
      </c>
      <c r="T1145" s="13" t="s">
        <v>88</v>
      </c>
      <c r="U1145" s="13" t="s">
        <v>70</v>
      </c>
      <c r="V1145" s="13" t="s">
        <v>102</v>
      </c>
      <c r="W1145" s="13" t="s">
        <v>703</v>
      </c>
      <c r="X1145" s="135">
        <v>855000</v>
      </c>
      <c r="Y1145" s="156">
        <v>1.1299999999999999</v>
      </c>
      <c r="Z1145" s="18">
        <f t="shared" si="342"/>
        <v>855000</v>
      </c>
      <c r="AA1145" s="13">
        <v>1.095</v>
      </c>
      <c r="AB1145" s="21">
        <f t="shared" si="341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27"/>
        <v>35384300.169380538</v>
      </c>
      <c r="AJ1145" s="19">
        <f t="shared" si="328"/>
        <v>5044538.8896988509</v>
      </c>
      <c r="AK1145" s="20">
        <f t="shared" si="335"/>
        <v>0.14256432557804533</v>
      </c>
      <c r="AL1145" s="17"/>
      <c r="AM1145" s="17"/>
      <c r="AN1145" s="17"/>
      <c r="AO1145" s="17"/>
      <c r="AP1145" s="28" t="str">
        <f t="shared" si="336"/>
        <v>20207</v>
      </c>
      <c r="AQ1145" s="28" t="str">
        <f t="shared" si="337"/>
        <v>20207RMB</v>
      </c>
      <c r="AR1145" s="206" t="str">
        <f t="shared" si="338"/>
        <v>YAMAHA_Mounter</v>
      </c>
      <c r="AS1145" s="22">
        <f t="shared" si="339"/>
        <v>0</v>
      </c>
      <c r="AT1145" s="24" t="str">
        <f t="shared" si="340"/>
        <v>0-3 months</v>
      </c>
      <c r="AU1145" s="22" t="s">
        <v>3240</v>
      </c>
    </row>
    <row r="1146" spans="1:47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47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812</v>
      </c>
      <c r="K1146" s="155" t="s">
        <v>813</v>
      </c>
      <c r="L1146" s="17" t="s">
        <v>67</v>
      </c>
      <c r="M1146" s="13" t="s">
        <v>60</v>
      </c>
      <c r="N1146" s="13">
        <v>1</v>
      </c>
      <c r="O1146" s="13"/>
      <c r="P1146" s="33" t="str">
        <f t="shared" si="332"/>
        <v>MAIN UNIT</v>
      </c>
      <c r="Q1146" s="13" t="s">
        <v>68</v>
      </c>
      <c r="R1146" s="13" t="s">
        <v>701</v>
      </c>
      <c r="S1146" s="13" t="s">
        <v>50</v>
      </c>
      <c r="T1146" s="13" t="s">
        <v>88</v>
      </c>
      <c r="U1146" s="13" t="s">
        <v>70</v>
      </c>
      <c r="V1146" s="13" t="s">
        <v>702</v>
      </c>
      <c r="W1146" s="13" t="s">
        <v>703</v>
      </c>
      <c r="X1146" s="135">
        <v>542000</v>
      </c>
      <c r="Y1146" s="156">
        <v>1.1299999999999999</v>
      </c>
      <c r="Z1146" s="18">
        <f t="shared" si="342"/>
        <v>542000</v>
      </c>
      <c r="AA1146" s="13">
        <v>1.135</v>
      </c>
      <c r="AB1146" s="21">
        <f t="shared" si="341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27"/>
        <v>31296887.037898075</v>
      </c>
      <c r="AJ1146" s="19">
        <f t="shared" si="328"/>
        <v>3588873.9502021763</v>
      </c>
      <c r="AK1146" s="20">
        <f t="shared" si="335"/>
        <v>0.11467191436184473</v>
      </c>
      <c r="AL1146" s="17"/>
      <c r="AM1146" s="17"/>
      <c r="AN1146" s="17"/>
      <c r="AO1146" s="17"/>
      <c r="AP1146" s="28" t="str">
        <f t="shared" si="336"/>
        <v>20196</v>
      </c>
      <c r="AQ1146" s="28" t="str">
        <f t="shared" si="337"/>
        <v>20196RMB</v>
      </c>
      <c r="AR1146" s="206" t="str">
        <f t="shared" si="338"/>
        <v>YAMAHA_Mounter</v>
      </c>
      <c r="AS1146" s="22">
        <f t="shared" si="339"/>
        <v>0</v>
      </c>
      <c r="AT1146" s="24" t="str">
        <f t="shared" si="340"/>
        <v>0-3 months</v>
      </c>
      <c r="AU1146" s="22" t="s">
        <v>3240</v>
      </c>
    </row>
    <row r="1147" spans="1:47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53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1696</v>
      </c>
      <c r="K1147" s="155" t="s">
        <v>1697</v>
      </c>
      <c r="L1147" s="17" t="s">
        <v>92</v>
      </c>
      <c r="M1147" s="13" t="s">
        <v>60</v>
      </c>
      <c r="N1147" s="13">
        <v>1</v>
      </c>
      <c r="O1147" s="13"/>
      <c r="P1147" s="33" t="str">
        <f t="shared" si="332"/>
        <v>MAIN UNIT</v>
      </c>
      <c r="Q1147" s="13" t="s">
        <v>68</v>
      </c>
      <c r="R1147" s="13" t="s">
        <v>62</v>
      </c>
      <c r="S1147" s="13" t="s">
        <v>50</v>
      </c>
      <c r="T1147" s="13" t="s">
        <v>88</v>
      </c>
      <c r="U1147" s="13" t="s">
        <v>70</v>
      </c>
      <c r="V1147" s="13" t="s">
        <v>1010</v>
      </c>
      <c r="W1147" s="13" t="s">
        <v>64</v>
      </c>
      <c r="X1147" s="135">
        <v>988600</v>
      </c>
      <c r="Y1147" s="157" t="str">
        <f>IF(W1147="RMB","1.13", "1")</f>
        <v>1.13</v>
      </c>
      <c r="Z1147" s="18">
        <f t="shared" si="342"/>
        <v>988600</v>
      </c>
      <c r="AA1147" s="13">
        <v>1.18</v>
      </c>
      <c r="AB1147" s="21">
        <f t="shared" si="341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27"/>
        <v>43684091.636631854</v>
      </c>
      <c r="AJ1147" s="19">
        <f t="shared" si="328"/>
        <v>6483951.8242071122</v>
      </c>
      <c r="AK1147" s="20">
        <f t="shared" si="335"/>
        <v>0.14842821680123736</v>
      </c>
      <c r="AL1147" s="17"/>
      <c r="AM1147" s="17"/>
      <c r="AN1147" s="17"/>
      <c r="AO1147" s="17"/>
      <c r="AP1147" s="28" t="str">
        <f t="shared" si="336"/>
        <v>20214</v>
      </c>
      <c r="AQ1147" s="28" t="str">
        <f t="shared" si="337"/>
        <v>20214RMB</v>
      </c>
      <c r="AR1147" s="206" t="str">
        <f t="shared" si="338"/>
        <v>YAMAHA_Mounter</v>
      </c>
      <c r="AS1147" s="22">
        <f t="shared" si="339"/>
        <v>0</v>
      </c>
      <c r="AT1147" s="24" t="str">
        <f t="shared" si="340"/>
        <v>0-3 months</v>
      </c>
      <c r="AU1147" s="22" t="s">
        <v>3240</v>
      </c>
    </row>
    <row r="1148" spans="1:47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41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416</v>
      </c>
      <c r="K1148" s="155" t="s">
        <v>417</v>
      </c>
      <c r="L1148" s="17" t="s">
        <v>92</v>
      </c>
      <c r="M1148" s="13" t="s">
        <v>60</v>
      </c>
      <c r="N1148" s="13">
        <v>1</v>
      </c>
      <c r="O1148" s="13"/>
      <c r="P1148" s="33" t="str">
        <f t="shared" si="332"/>
        <v>MAIN UNIT</v>
      </c>
      <c r="Q1148" s="13" t="s">
        <v>68</v>
      </c>
      <c r="R1148" s="13" t="s">
        <v>62</v>
      </c>
      <c r="S1148" s="13" t="s">
        <v>49</v>
      </c>
      <c r="T1148" s="13" t="s">
        <v>78</v>
      </c>
      <c r="U1148" s="13" t="s">
        <v>79</v>
      </c>
      <c r="V1148" s="13" t="s">
        <v>112</v>
      </c>
      <c r="W1148" s="13" t="s">
        <v>109</v>
      </c>
      <c r="X1148" s="135">
        <v>14448643</v>
      </c>
      <c r="Y1148" s="156">
        <v>1</v>
      </c>
      <c r="Z1148" s="18">
        <f t="shared" si="342"/>
        <v>14448643</v>
      </c>
      <c r="AA1148" s="13">
        <v>7.0199999999999999E-2</v>
      </c>
      <c r="AB1148" s="21">
        <f t="shared" si="341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27"/>
        <v>10786543.370020689</v>
      </c>
      <c r="AJ1148" s="19">
        <f t="shared" si="328"/>
        <v>1330367.5841569281</v>
      </c>
      <c r="AK1148" s="20">
        <f t="shared" si="335"/>
        <v>0.123335858255987</v>
      </c>
      <c r="AL1148" s="17"/>
      <c r="AM1148" s="17"/>
      <c r="AN1148" s="17"/>
      <c r="AO1148" s="17"/>
      <c r="AP1148" s="28" t="str">
        <f t="shared" si="336"/>
        <v>201810</v>
      </c>
      <c r="AQ1148" s="28" t="str">
        <f t="shared" si="337"/>
        <v>201810JPY</v>
      </c>
      <c r="AR1148" s="206" t="str">
        <f t="shared" si="338"/>
        <v>YAMAHA_Mounter</v>
      </c>
      <c r="AS1148" s="22">
        <f t="shared" si="339"/>
        <v>4</v>
      </c>
      <c r="AT1148" s="24" t="str">
        <f t="shared" si="340"/>
        <v>4-6 months</v>
      </c>
      <c r="AU1148" s="22" t="s">
        <v>3745</v>
      </c>
    </row>
    <row r="1149" spans="1:47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47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925</v>
      </c>
      <c r="K1149" s="155" t="s">
        <v>417</v>
      </c>
      <c r="L1149" s="17" t="s">
        <v>67</v>
      </c>
      <c r="M1149" s="13" t="s">
        <v>60</v>
      </c>
      <c r="N1149" s="13">
        <v>1</v>
      </c>
      <c r="O1149" s="13"/>
      <c r="P1149" s="33" t="str">
        <f t="shared" si="332"/>
        <v>MAIN UNIT</v>
      </c>
      <c r="Q1149" s="13" t="s">
        <v>61</v>
      </c>
      <c r="R1149" s="13" t="s">
        <v>62</v>
      </c>
      <c r="S1149" s="13" t="s">
        <v>49</v>
      </c>
      <c r="T1149" s="13" t="s">
        <v>78</v>
      </c>
      <c r="U1149" s="13" t="s">
        <v>79</v>
      </c>
      <c r="V1149" s="13" t="s">
        <v>112</v>
      </c>
      <c r="W1149" s="13" t="s">
        <v>109</v>
      </c>
      <c r="X1149" s="135">
        <v>9100000</v>
      </c>
      <c r="Y1149" s="156">
        <v>1</v>
      </c>
      <c r="Z1149" s="18">
        <f t="shared" si="342"/>
        <v>9100000</v>
      </c>
      <c r="AA1149" s="13">
        <v>7.4099999999999999E-2</v>
      </c>
      <c r="AB1149" s="21">
        <f t="shared" si="341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27"/>
        <v>28647263.974455759</v>
      </c>
      <c r="AJ1149" s="19">
        <f t="shared" si="328"/>
        <v>3219855.6912513468</v>
      </c>
      <c r="AK1149" s="20">
        <f t="shared" si="335"/>
        <v>0.11239662168514358</v>
      </c>
      <c r="AL1149" s="17"/>
      <c r="AM1149" s="17"/>
      <c r="AN1149" s="17"/>
      <c r="AO1149" s="17"/>
      <c r="AP1149" s="28" t="str">
        <f t="shared" si="336"/>
        <v>201910</v>
      </c>
      <c r="AQ1149" s="28" t="str">
        <f t="shared" si="337"/>
        <v>201910JPY</v>
      </c>
      <c r="AR1149" s="206" t="str">
        <f t="shared" si="338"/>
        <v>YAMAHA_Mounter</v>
      </c>
      <c r="AS1149" s="22">
        <f t="shared" si="339"/>
        <v>0</v>
      </c>
      <c r="AT1149" s="24" t="str">
        <f t="shared" si="340"/>
        <v>0-3 months</v>
      </c>
      <c r="AU1149" s="22" t="s">
        <v>3745</v>
      </c>
    </row>
    <row r="1150" spans="1:47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48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1291</v>
      </c>
      <c r="K1150" s="155" t="s">
        <v>417</v>
      </c>
      <c r="L1150" s="17" t="s">
        <v>92</v>
      </c>
      <c r="M1150" s="13" t="s">
        <v>60</v>
      </c>
      <c r="N1150" s="13">
        <v>1</v>
      </c>
      <c r="O1150" s="13"/>
      <c r="P1150" s="33" t="str">
        <f t="shared" si="332"/>
        <v>MAIN UNIT</v>
      </c>
      <c r="Q1150" s="13" t="s">
        <v>61</v>
      </c>
      <c r="R1150" s="13" t="s">
        <v>62</v>
      </c>
      <c r="S1150" s="13" t="s">
        <v>49</v>
      </c>
      <c r="T1150" s="13" t="s">
        <v>78</v>
      </c>
      <c r="U1150" s="13" t="s">
        <v>79</v>
      </c>
      <c r="V1150" s="13" t="s">
        <v>112</v>
      </c>
      <c r="W1150" s="13" t="s">
        <v>64</v>
      </c>
      <c r="X1150" s="135">
        <v>900000</v>
      </c>
      <c r="Y1150" s="156">
        <v>1.1299999999999999</v>
      </c>
      <c r="Z1150" s="18">
        <f t="shared" si="342"/>
        <v>900000</v>
      </c>
      <c r="AA1150" s="13">
        <v>1.095</v>
      </c>
      <c r="AB1150" s="21">
        <f t="shared" si="341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27"/>
        <v>28065694.408805311</v>
      </c>
      <c r="AJ1150" s="19">
        <f t="shared" si="328"/>
        <v>4157433.2906989697</v>
      </c>
      <c r="AK1150" s="20">
        <f t="shared" si="335"/>
        <v>0.14813220831602228</v>
      </c>
      <c r="AL1150" s="17"/>
      <c r="AM1150" s="17"/>
      <c r="AN1150" s="17"/>
      <c r="AO1150" s="17"/>
      <c r="AP1150" s="28" t="str">
        <f t="shared" si="336"/>
        <v>20205</v>
      </c>
      <c r="AQ1150" s="28" t="str">
        <f t="shared" si="337"/>
        <v>20205RMB</v>
      </c>
      <c r="AR1150" s="206" t="str">
        <f t="shared" si="338"/>
        <v>YAMAHA_Mounter</v>
      </c>
      <c r="AS1150" s="22">
        <f t="shared" si="339"/>
        <v>0</v>
      </c>
      <c r="AT1150" s="24" t="str">
        <f t="shared" si="340"/>
        <v>0-3 months</v>
      </c>
      <c r="AU1150" s="22" t="s">
        <v>3744</v>
      </c>
    </row>
    <row r="1151" spans="1:47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48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1291</v>
      </c>
      <c r="K1151" s="155" t="s">
        <v>417</v>
      </c>
      <c r="L1151" s="17" t="s">
        <v>67</v>
      </c>
      <c r="M1151" s="13" t="s">
        <v>60</v>
      </c>
      <c r="N1151" s="13">
        <v>1</v>
      </c>
      <c r="O1151" s="13"/>
      <c r="P1151" s="33" t="str">
        <f t="shared" si="332"/>
        <v>MAIN UNIT</v>
      </c>
      <c r="Q1151" s="13" t="s">
        <v>61</v>
      </c>
      <c r="R1151" s="13" t="s">
        <v>62</v>
      </c>
      <c r="S1151" s="13" t="s">
        <v>49</v>
      </c>
      <c r="T1151" s="13" t="s">
        <v>78</v>
      </c>
      <c r="U1151" s="13" t="s">
        <v>79</v>
      </c>
      <c r="V1151" s="13" t="s">
        <v>112</v>
      </c>
      <c r="W1151" s="13" t="s">
        <v>64</v>
      </c>
      <c r="X1151" s="135">
        <v>620000</v>
      </c>
      <c r="Y1151" s="156">
        <v>1.1299999999999999</v>
      </c>
      <c r="Z1151" s="18">
        <f t="shared" si="342"/>
        <v>620000</v>
      </c>
      <c r="AA1151" s="13">
        <v>1.095</v>
      </c>
      <c r="AB1151" s="21">
        <f t="shared" si="341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27"/>
        <v>28065694.408805311</v>
      </c>
      <c r="AJ1151" s="19">
        <f t="shared" si="328"/>
        <v>4157433.2906989697</v>
      </c>
      <c r="AK1151" s="20">
        <f t="shared" si="335"/>
        <v>0.14813220831602228</v>
      </c>
      <c r="AL1151" s="17"/>
      <c r="AM1151" s="17"/>
      <c r="AN1151" s="17"/>
      <c r="AO1151" s="17"/>
      <c r="AP1151" s="28" t="str">
        <f t="shared" si="336"/>
        <v>20205</v>
      </c>
      <c r="AQ1151" s="28" t="str">
        <f t="shared" si="337"/>
        <v>20205RMB</v>
      </c>
      <c r="AR1151" s="206" t="str">
        <f t="shared" si="338"/>
        <v>YAMAHA_Mounter</v>
      </c>
      <c r="AS1151" s="22">
        <f t="shared" si="339"/>
        <v>0</v>
      </c>
      <c r="AT1151" s="24" t="str">
        <f t="shared" si="340"/>
        <v>0-3 months</v>
      </c>
      <c r="AU1151" s="22" t="s">
        <v>3744</v>
      </c>
    </row>
    <row r="1152" spans="1:47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48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1435</v>
      </c>
      <c r="K1152" s="155" t="s">
        <v>417</v>
      </c>
      <c r="L1152" s="17" t="s">
        <v>67</v>
      </c>
      <c r="M1152" s="13" t="s">
        <v>60</v>
      </c>
      <c r="N1152" s="13">
        <v>1</v>
      </c>
      <c r="O1152" s="13"/>
      <c r="P1152" s="33" t="str">
        <f t="shared" si="332"/>
        <v>MAIN UNIT</v>
      </c>
      <c r="Q1152" s="13" t="s">
        <v>61</v>
      </c>
      <c r="R1152" s="13" t="s">
        <v>62</v>
      </c>
      <c r="S1152" s="13" t="s">
        <v>49</v>
      </c>
      <c r="T1152" s="13" t="s">
        <v>78</v>
      </c>
      <c r="U1152" s="13" t="s">
        <v>79</v>
      </c>
      <c r="V1152" s="13" t="s">
        <v>112</v>
      </c>
      <c r="W1152" s="13" t="s">
        <v>64</v>
      </c>
      <c r="X1152" s="135">
        <v>518000</v>
      </c>
      <c r="Y1152" s="157" t="str">
        <f t="shared" ref="Y1152:Y1158" si="344">IF(W1152="RMB","1.13", "1")</f>
        <v>1.13</v>
      </c>
      <c r="Z1152" s="18">
        <f t="shared" si="342"/>
        <v>518000</v>
      </c>
      <c r="AA1152" s="13">
        <v>1.155</v>
      </c>
      <c r="AB1152" s="21">
        <f t="shared" si="341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27"/>
        <v>44078731.611185849</v>
      </c>
      <c r="AJ1152" s="19">
        <f t="shared" si="328"/>
        <v>5508173.2163771465</v>
      </c>
      <c r="AK1152" s="20">
        <f t="shared" si="335"/>
        <v>0.12496215328889679</v>
      </c>
      <c r="AL1152" s="17"/>
      <c r="AM1152" s="17"/>
      <c r="AN1152" s="17"/>
      <c r="AO1152" s="17"/>
      <c r="AP1152" s="28" t="str">
        <f t="shared" si="336"/>
        <v>202011</v>
      </c>
      <c r="AQ1152" s="28" t="str">
        <f t="shared" si="337"/>
        <v>202011RMB</v>
      </c>
      <c r="AR1152" s="206" t="str">
        <f t="shared" si="338"/>
        <v>YAMAHA_Mounter</v>
      </c>
      <c r="AS1152" s="22">
        <f t="shared" si="339"/>
        <v>2</v>
      </c>
      <c r="AT1152" s="24" t="str">
        <f t="shared" si="340"/>
        <v>0-3 months</v>
      </c>
      <c r="AU1152" s="22" t="s">
        <v>3744</v>
      </c>
    </row>
    <row r="1153" spans="1:47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53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1673</v>
      </c>
      <c r="K1153" s="155" t="s">
        <v>417</v>
      </c>
      <c r="L1153" s="17" t="s">
        <v>92</v>
      </c>
      <c r="M1153" s="13" t="s">
        <v>60</v>
      </c>
      <c r="N1153" s="13">
        <v>1</v>
      </c>
      <c r="O1153" s="13"/>
      <c r="P1153" s="33" t="str">
        <f t="shared" si="332"/>
        <v>MAIN UNIT</v>
      </c>
      <c r="Q1153" s="13" t="s">
        <v>61</v>
      </c>
      <c r="R1153" s="13" t="s">
        <v>62</v>
      </c>
      <c r="S1153" s="13" t="s">
        <v>49</v>
      </c>
      <c r="T1153" s="13" t="s">
        <v>78</v>
      </c>
      <c r="U1153" s="13" t="s">
        <v>79</v>
      </c>
      <c r="V1153" s="13" t="s">
        <v>112</v>
      </c>
      <c r="W1153" s="13" t="s">
        <v>109</v>
      </c>
      <c r="X1153" s="135">
        <v>12605000</v>
      </c>
      <c r="Y1153" s="157" t="str">
        <f t="shared" si="344"/>
        <v>1</v>
      </c>
      <c r="Z1153" s="18">
        <f t="shared" si="342"/>
        <v>12605000</v>
      </c>
      <c r="AA1153" s="13">
        <v>7.17E-2</v>
      </c>
      <c r="AB1153" s="21">
        <f t="shared" si="341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27"/>
        <v>43684091.636631854</v>
      </c>
      <c r="AJ1153" s="19">
        <f t="shared" si="328"/>
        <v>6483951.8242071122</v>
      </c>
      <c r="AK1153" s="20">
        <f t="shared" si="335"/>
        <v>0.14842821680123736</v>
      </c>
      <c r="AL1153" s="17"/>
      <c r="AM1153" s="17"/>
      <c r="AN1153" s="17"/>
      <c r="AO1153" s="17"/>
      <c r="AP1153" s="28" t="str">
        <f t="shared" si="336"/>
        <v>20214</v>
      </c>
      <c r="AQ1153" s="28" t="str">
        <f t="shared" si="337"/>
        <v>20214JPY</v>
      </c>
      <c r="AR1153" s="206" t="str">
        <f t="shared" si="338"/>
        <v>YAMAHA_Mounter</v>
      </c>
      <c r="AS1153" s="22">
        <f t="shared" si="339"/>
        <v>3</v>
      </c>
      <c r="AT1153" s="24" t="str">
        <f t="shared" si="340"/>
        <v>0-3 months</v>
      </c>
      <c r="AU1153" s="22" t="s">
        <v>3745</v>
      </c>
    </row>
    <row r="1154" spans="1:47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53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1930</v>
      </c>
      <c r="K1154" s="155" t="s">
        <v>417</v>
      </c>
      <c r="L1154" s="17" t="s">
        <v>67</v>
      </c>
      <c r="M1154" s="13" t="s">
        <v>60</v>
      </c>
      <c r="N1154" s="13">
        <v>1</v>
      </c>
      <c r="O1154" s="13"/>
      <c r="P1154" s="33" t="str">
        <f t="shared" si="332"/>
        <v>MAIN UNIT</v>
      </c>
      <c r="Q1154" s="13" t="s">
        <v>61</v>
      </c>
      <c r="R1154" s="13" t="s">
        <v>62</v>
      </c>
      <c r="S1154" s="13" t="s">
        <v>49</v>
      </c>
      <c r="T1154" s="13" t="s">
        <v>78</v>
      </c>
      <c r="U1154" s="13" t="s">
        <v>79</v>
      </c>
      <c r="V1154" s="13" t="s">
        <v>112</v>
      </c>
      <c r="W1154" s="13" t="s">
        <v>109</v>
      </c>
      <c r="X1154" s="135">
        <v>8590000</v>
      </c>
      <c r="Y1154" s="157" t="str">
        <f t="shared" si="344"/>
        <v>1</v>
      </c>
      <c r="Z1154" s="18">
        <f t="shared" si="342"/>
        <v>8590000</v>
      </c>
      <c r="AA1154" s="13">
        <v>6.9199999999999998E-2</v>
      </c>
      <c r="AB1154" s="21">
        <f t="shared" si="341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ref="AI1154:AI1217" si="345">IF(P1154="C66 SERVICE","",SUMIFS(AB:AB,F:F,F1154,G:G,G1154,E:E,E1154))</f>
        <v>26407088.359292038</v>
      </c>
      <c r="AJ1154" s="19">
        <f t="shared" ref="AJ1154:AJ1217" si="346">IF(P1154="C66 SERVICE","",SUMIFS(AC:AC,F:F,F1154,G:G,G1154,E:E,E1154))</f>
        <v>3424510.6998470789</v>
      </c>
      <c r="AK1154" s="20">
        <f t="shared" si="335"/>
        <v>0.12968149510667554</v>
      </c>
      <c r="AL1154" s="17"/>
      <c r="AM1154" s="17"/>
      <c r="AN1154" s="17"/>
      <c r="AO1154" s="17"/>
      <c r="AP1154" s="28" t="str">
        <f t="shared" si="336"/>
        <v>20221</v>
      </c>
      <c r="AQ1154" s="28" t="str">
        <f t="shared" si="337"/>
        <v>20221JPY</v>
      </c>
      <c r="AR1154" s="206" t="str">
        <f t="shared" si="338"/>
        <v>YAMAHA_Mounter</v>
      </c>
      <c r="AS1154" s="22">
        <f t="shared" si="339"/>
        <v>9</v>
      </c>
      <c r="AT1154" s="24" t="str">
        <f t="shared" si="340"/>
        <v>&gt; 6 months</v>
      </c>
      <c r="AU1154" s="22" t="s">
        <v>3745</v>
      </c>
    </row>
    <row r="1155" spans="1:47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54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2245</v>
      </c>
      <c r="K1155" s="155" t="s">
        <v>417</v>
      </c>
      <c r="L1155" s="17" t="s">
        <v>92</v>
      </c>
      <c r="M1155" s="13" t="s">
        <v>60</v>
      </c>
      <c r="N1155" s="13">
        <v>1</v>
      </c>
      <c r="O1155" s="13"/>
      <c r="P1155" s="33" t="str">
        <f t="shared" si="332"/>
        <v>MAIN UNIT</v>
      </c>
      <c r="Q1155" s="13" t="s">
        <v>61</v>
      </c>
      <c r="R1155" s="13" t="s">
        <v>62</v>
      </c>
      <c r="S1155" s="13" t="s">
        <v>49</v>
      </c>
      <c r="T1155" s="13" t="s">
        <v>78</v>
      </c>
      <c r="U1155" s="13" t="s">
        <v>79</v>
      </c>
      <c r="V1155" s="13" t="s">
        <v>112</v>
      </c>
      <c r="W1155" s="13" t="s">
        <v>109</v>
      </c>
      <c r="X1155" s="135">
        <v>14000000</v>
      </c>
      <c r="Y1155" s="157" t="str">
        <f t="shared" si="344"/>
        <v>1</v>
      </c>
      <c r="Z1155" s="18">
        <f t="shared" si="342"/>
        <v>14000000</v>
      </c>
      <c r="AA1155" s="13">
        <v>5.96E-2</v>
      </c>
      <c r="AB1155" s="21">
        <f t="shared" si="341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45"/>
        <v>35073581.838938057</v>
      </c>
      <c r="AJ1155" s="19">
        <f t="shared" si="346"/>
        <v>5034113.9728989396</v>
      </c>
      <c r="AK1155" s="20">
        <f t="shared" si="335"/>
        <v>0.14353007902118958</v>
      </c>
      <c r="AL1155" s="17"/>
      <c r="AM1155" s="17"/>
      <c r="AN1155" s="17"/>
      <c r="AO1155" s="17"/>
      <c r="AP1155" s="28" t="str">
        <f t="shared" si="336"/>
        <v>20228</v>
      </c>
      <c r="AQ1155" s="28" t="str">
        <f t="shared" si="337"/>
        <v>20228JPY</v>
      </c>
      <c r="AR1155" s="206" t="str">
        <f t="shared" si="338"/>
        <v>YAMAHA_Mounter</v>
      </c>
      <c r="AS1155" s="22">
        <f t="shared" si="339"/>
        <v>3</v>
      </c>
      <c r="AT1155" s="24" t="str">
        <f t="shared" si="340"/>
        <v>0-3 months</v>
      </c>
      <c r="AU1155" s="22" t="s">
        <v>3745</v>
      </c>
    </row>
    <row r="1156" spans="1:47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54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2245</v>
      </c>
      <c r="K1156" s="155" t="s">
        <v>417</v>
      </c>
      <c r="L1156" s="17" t="s">
        <v>67</v>
      </c>
      <c r="M1156" s="13" t="s">
        <v>60</v>
      </c>
      <c r="N1156" s="13">
        <v>1</v>
      </c>
      <c r="O1156" s="13"/>
      <c r="P1156" s="33" t="str">
        <f t="shared" si="332"/>
        <v>MAIN UNIT</v>
      </c>
      <c r="Q1156" s="13" t="s">
        <v>61</v>
      </c>
      <c r="R1156" s="13" t="s">
        <v>62</v>
      </c>
      <c r="S1156" s="13" t="s">
        <v>49</v>
      </c>
      <c r="T1156" s="13" t="s">
        <v>78</v>
      </c>
      <c r="U1156" s="13" t="s">
        <v>79</v>
      </c>
      <c r="V1156" s="13" t="s">
        <v>112</v>
      </c>
      <c r="W1156" s="13" t="s">
        <v>109</v>
      </c>
      <c r="X1156" s="135">
        <v>10000000</v>
      </c>
      <c r="Y1156" s="157" t="str">
        <f t="shared" si="344"/>
        <v>1</v>
      </c>
      <c r="Z1156" s="18">
        <f t="shared" si="342"/>
        <v>10000000</v>
      </c>
      <c r="AA1156" s="13">
        <v>5.96E-2</v>
      </c>
      <c r="AB1156" s="21">
        <f t="shared" si="341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45"/>
        <v>35073581.838938057</v>
      </c>
      <c r="AJ1156" s="19">
        <f t="shared" si="346"/>
        <v>5034113.9728989396</v>
      </c>
      <c r="AK1156" s="20">
        <f t="shared" si="335"/>
        <v>0.14353007902118958</v>
      </c>
      <c r="AL1156" s="17"/>
      <c r="AM1156" s="17"/>
      <c r="AN1156" s="17"/>
      <c r="AO1156" s="17"/>
      <c r="AP1156" s="28" t="str">
        <f t="shared" si="336"/>
        <v>20228</v>
      </c>
      <c r="AQ1156" s="28" t="str">
        <f t="shared" si="337"/>
        <v>20228JPY</v>
      </c>
      <c r="AR1156" s="206" t="str">
        <f t="shared" si="338"/>
        <v>YAMAHA_Mounter</v>
      </c>
      <c r="AS1156" s="22">
        <f t="shared" si="339"/>
        <v>3</v>
      </c>
      <c r="AT1156" s="24" t="str">
        <f t="shared" si="340"/>
        <v>0-3 months</v>
      </c>
      <c r="AU1156" s="22" t="s">
        <v>3745</v>
      </c>
    </row>
    <row r="1157" spans="1:47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54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2418</v>
      </c>
      <c r="K1157" s="155" t="s">
        <v>417</v>
      </c>
      <c r="L1157" s="17" t="s">
        <v>67</v>
      </c>
      <c r="M1157" s="13" t="s">
        <v>60</v>
      </c>
      <c r="N1157" s="13">
        <v>1</v>
      </c>
      <c r="O1157" s="13"/>
      <c r="P1157" s="33" t="str">
        <f t="shared" si="332"/>
        <v>MAIN UNIT</v>
      </c>
      <c r="Q1157" s="13" t="s">
        <v>61</v>
      </c>
      <c r="R1157" s="13" t="s">
        <v>62</v>
      </c>
      <c r="S1157" s="13" t="s">
        <v>49</v>
      </c>
      <c r="T1157" s="13" t="s">
        <v>78</v>
      </c>
      <c r="U1157" s="13" t="s">
        <v>79</v>
      </c>
      <c r="V1157" s="13" t="s">
        <v>112</v>
      </c>
      <c r="W1157" s="13" t="s">
        <v>64</v>
      </c>
      <c r="X1157" s="135">
        <v>458000</v>
      </c>
      <c r="Y1157" s="157" t="str">
        <f t="shared" si="344"/>
        <v>1.13</v>
      </c>
      <c r="Z1157" s="18">
        <f t="shared" si="342"/>
        <v>458000</v>
      </c>
      <c r="AA1157" s="13">
        <v>1.1299999999999999</v>
      </c>
      <c r="AB1157" s="21">
        <f t="shared" si="341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45"/>
        <v>33543315.897345133</v>
      </c>
      <c r="AJ1157" s="19">
        <f t="shared" si="346"/>
        <v>4706169.3252984071</v>
      </c>
      <c r="AK1157" s="20">
        <f t="shared" si="335"/>
        <v>0.14030125523967318</v>
      </c>
      <c r="AL1157" s="17"/>
      <c r="AM1157" s="17"/>
      <c r="AN1157" s="17"/>
      <c r="AO1157" s="17"/>
      <c r="AP1157" s="28" t="str">
        <f t="shared" si="336"/>
        <v>20233</v>
      </c>
      <c r="AQ1157" s="28" t="str">
        <f t="shared" si="337"/>
        <v>20233RMB</v>
      </c>
      <c r="AR1157" s="206" t="str">
        <f t="shared" si="338"/>
        <v>YAMAHA_Mounter</v>
      </c>
      <c r="AS1157" s="22">
        <f t="shared" si="339"/>
        <v>2</v>
      </c>
      <c r="AT1157" s="24" t="str">
        <f t="shared" si="340"/>
        <v>0-3 months</v>
      </c>
      <c r="AU1157" s="22" t="s">
        <v>3240</v>
      </c>
    </row>
    <row r="1158" spans="1:47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55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2573</v>
      </c>
      <c r="K1158" s="155" t="s">
        <v>417</v>
      </c>
      <c r="L1158" s="17" t="s">
        <v>92</v>
      </c>
      <c r="M1158" s="13" t="s">
        <v>60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61</v>
      </c>
      <c r="R1158" s="13" t="s">
        <v>62</v>
      </c>
      <c r="S1158" s="13" t="s">
        <v>49</v>
      </c>
      <c r="T1158" s="13" t="s">
        <v>78</v>
      </c>
      <c r="U1158" s="13" t="s">
        <v>79</v>
      </c>
      <c r="V1158" s="13" t="s">
        <v>112</v>
      </c>
      <c r="W1158" s="13" t="s">
        <v>64</v>
      </c>
      <c r="X1158" s="135">
        <v>670000</v>
      </c>
      <c r="Y1158" s="157" t="str">
        <f t="shared" si="344"/>
        <v>1.13</v>
      </c>
      <c r="Z1158" s="18">
        <f t="shared" si="342"/>
        <v>670000</v>
      </c>
      <c r="AA1158" s="13">
        <v>1.077</v>
      </c>
      <c r="AB1158" s="21">
        <f t="shared" si="341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si="345"/>
        <v>26078226.463097349</v>
      </c>
      <c r="AJ1158" s="19">
        <f t="shared" si="346"/>
        <v>3137870.4427774516</v>
      </c>
      <c r="AK1158" s="20">
        <f t="shared" ref="AK1158:AK1221" si="353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4">IF(F1158="","",F1158&amp;G1158)</f>
        <v>20239</v>
      </c>
      <c r="AQ1158" s="28" t="str">
        <f t="shared" ref="AQ1158:AQ1221" si="355">IF(W1158="","",F1158&amp;G1158&amp;W1158)</f>
        <v>20239RMB</v>
      </c>
      <c r="AR1158" s="206" t="str">
        <f t="shared" ref="AR1158:AR1221" si="356">IFERROR(IF(AND(M1158="YAMAHA", R1158="C28"), "YAMAHA_Non_Mounter", IF(AND(M1158="YAMAHA", R1158="C49"), "YAMAHA_Mounter", M1158)),"")</f>
        <v>YAMAHA_Mounter</v>
      </c>
      <c r="AS1158" s="22">
        <f t="shared" ref="AS1158:AS1221" si="357">IFERROR(IF(OR(G1158="TBA", G1158=""), "", DATEDIF(DATE(B1158, C1158, 1), DATE(F1158, G1158, 1), "M")),"")</f>
        <v>0</v>
      </c>
      <c r="AT1158" s="24" t="str">
        <f t="shared" ref="AT1158:AT1221" si="358">IF(ISNUMBER(AS1158), IF(AS1158&gt;=0, IF(AS1158&lt;=3, "0-3 months", IF(AS1158&lt;=6, "4-6 months", "&gt; 6 months"))), "")</f>
        <v>0-3 months</v>
      </c>
      <c r="AU1158" s="22" t="s">
        <v>3751</v>
      </c>
    </row>
    <row r="1159" spans="1:47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47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980</v>
      </c>
      <c r="K1159" s="155" t="s">
        <v>981</v>
      </c>
      <c r="L1159" s="17" t="s">
        <v>92</v>
      </c>
      <c r="M1159" s="13" t="s">
        <v>60</v>
      </c>
      <c r="N1159" s="13">
        <v>1</v>
      </c>
      <c r="O1159" s="13"/>
      <c r="P1159" s="33" t="str">
        <f t="shared" si="350"/>
        <v>MAIN UNIT</v>
      </c>
      <c r="Q1159" s="13" t="s">
        <v>61</v>
      </c>
      <c r="R1159" s="13" t="s">
        <v>62</v>
      </c>
      <c r="S1159" s="13" t="s">
        <v>49</v>
      </c>
      <c r="T1159" s="13" t="s">
        <v>249</v>
      </c>
      <c r="U1159" s="13" t="s">
        <v>79</v>
      </c>
      <c r="V1159" s="13" t="s">
        <v>112</v>
      </c>
      <c r="W1159" s="13" t="s">
        <v>64</v>
      </c>
      <c r="X1159" s="135">
        <v>1112500</v>
      </c>
      <c r="Y1159" s="156">
        <v>1.1299999999999999</v>
      </c>
      <c r="Z1159" s="18">
        <f t="shared" si="342"/>
        <v>1112500</v>
      </c>
      <c r="AA1159" s="13">
        <v>1.095</v>
      </c>
      <c r="AB1159" s="21">
        <f t="shared" si="341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45"/>
        <v>37599388.802345134</v>
      </c>
      <c r="AJ1159" s="19">
        <f t="shared" si="346"/>
        <v>4866784.3630338367</v>
      </c>
      <c r="AK1159" s="20">
        <f t="shared" si="353"/>
        <v>0.12943785838163113</v>
      </c>
      <c r="AL1159" s="17"/>
      <c r="AM1159" s="17"/>
      <c r="AN1159" s="17"/>
      <c r="AO1159" s="17"/>
      <c r="AP1159" s="28" t="str">
        <f t="shared" si="354"/>
        <v>20199</v>
      </c>
      <c r="AQ1159" s="28" t="str">
        <f t="shared" si="355"/>
        <v>20199RMB</v>
      </c>
      <c r="AR1159" s="206" t="str">
        <f t="shared" si="356"/>
        <v>YAMAHA_Mounter</v>
      </c>
      <c r="AS1159" s="22">
        <f t="shared" si="357"/>
        <v>0</v>
      </c>
      <c r="AT1159" s="24" t="str">
        <f t="shared" si="358"/>
        <v>0-3 months</v>
      </c>
      <c r="AU1159" s="22" t="s">
        <v>3744</v>
      </c>
    </row>
    <row r="1160" spans="1:47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47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980</v>
      </c>
      <c r="K1160" s="155" t="s">
        <v>981</v>
      </c>
      <c r="L1160" s="17" t="s">
        <v>92</v>
      </c>
      <c r="M1160" s="13" t="s">
        <v>60</v>
      </c>
      <c r="N1160" s="13">
        <v>1</v>
      </c>
      <c r="O1160" s="13"/>
      <c r="P1160" s="33" t="str">
        <f t="shared" si="350"/>
        <v>MAIN UNIT</v>
      </c>
      <c r="Q1160" s="13" t="s">
        <v>61</v>
      </c>
      <c r="R1160" s="13" t="s">
        <v>62</v>
      </c>
      <c r="S1160" s="13" t="s">
        <v>49</v>
      </c>
      <c r="T1160" s="13" t="s">
        <v>249</v>
      </c>
      <c r="U1160" s="13" t="s">
        <v>79</v>
      </c>
      <c r="V1160" s="13" t="s">
        <v>112</v>
      </c>
      <c r="W1160" s="13" t="s">
        <v>64</v>
      </c>
      <c r="X1160" s="135">
        <v>1112500</v>
      </c>
      <c r="Y1160" s="156">
        <v>1.1299999999999999</v>
      </c>
      <c r="Z1160" s="18">
        <f t="shared" si="342"/>
        <v>1112500</v>
      </c>
      <c r="AA1160" s="13">
        <v>1.095</v>
      </c>
      <c r="AB1160" s="21">
        <f t="shared" si="341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45"/>
        <v>37599388.802345134</v>
      </c>
      <c r="AJ1160" s="19">
        <f t="shared" si="346"/>
        <v>4866784.3630338367</v>
      </c>
      <c r="AK1160" s="20">
        <f t="shared" si="353"/>
        <v>0.12943785838163113</v>
      </c>
      <c r="AL1160" s="17"/>
      <c r="AM1160" s="17"/>
      <c r="AN1160" s="17"/>
      <c r="AO1160" s="17"/>
      <c r="AP1160" s="28" t="str">
        <f t="shared" si="354"/>
        <v>20199</v>
      </c>
      <c r="AQ1160" s="28" t="str">
        <f t="shared" si="355"/>
        <v>20199RMB</v>
      </c>
      <c r="AR1160" s="206" t="str">
        <f t="shared" si="356"/>
        <v>YAMAHA_Mounter</v>
      </c>
      <c r="AS1160" s="22">
        <f t="shared" si="357"/>
        <v>0</v>
      </c>
      <c r="AT1160" s="24" t="str">
        <f t="shared" si="358"/>
        <v>0-3 months</v>
      </c>
      <c r="AU1160" s="22" t="s">
        <v>3744</v>
      </c>
    </row>
    <row r="1161" spans="1:47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53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1745</v>
      </c>
      <c r="K1161" s="155" t="s">
        <v>981</v>
      </c>
      <c r="L1161" s="17" t="s">
        <v>92</v>
      </c>
      <c r="M1161" s="13" t="s">
        <v>60</v>
      </c>
      <c r="N1161" s="13">
        <v>1</v>
      </c>
      <c r="O1161" s="13"/>
      <c r="P1161" s="33" t="str">
        <f t="shared" si="350"/>
        <v>MAIN UNIT</v>
      </c>
      <c r="Q1161" s="13" t="s">
        <v>61</v>
      </c>
      <c r="R1161" s="13" t="s">
        <v>62</v>
      </c>
      <c r="S1161" s="13" t="s">
        <v>49</v>
      </c>
      <c r="T1161" s="13" t="s">
        <v>78</v>
      </c>
      <c r="U1161" s="13" t="s">
        <v>79</v>
      </c>
      <c r="V1161" s="13" t="s">
        <v>112</v>
      </c>
      <c r="W1161" s="13" t="s">
        <v>109</v>
      </c>
      <c r="X1161" s="135">
        <v>12500000</v>
      </c>
      <c r="Y1161" s="157" t="str">
        <f>IF(W1161="RMB","1.13", "1")</f>
        <v>1</v>
      </c>
      <c r="Z1161" s="18">
        <f t="shared" si="342"/>
        <v>12500000</v>
      </c>
      <c r="AA1161" s="13">
        <v>7.2800000000000004E-2</v>
      </c>
      <c r="AB1161" s="21">
        <f t="shared" si="341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45"/>
        <v>63006605.696460173</v>
      </c>
      <c r="AJ1161" s="19">
        <f t="shared" si="346"/>
        <v>8897485.660753984</v>
      </c>
      <c r="AK1161" s="20">
        <f t="shared" si="353"/>
        <v>0.141215124388995</v>
      </c>
      <c r="AL1161" s="17"/>
      <c r="AM1161" s="17"/>
      <c r="AN1161" s="17"/>
      <c r="AO1161" s="17"/>
      <c r="AP1161" s="28" t="str">
        <f t="shared" si="354"/>
        <v>20215</v>
      </c>
      <c r="AQ1161" s="28" t="str">
        <f t="shared" si="355"/>
        <v>20215JPY</v>
      </c>
      <c r="AR1161" s="206" t="str">
        <f t="shared" si="356"/>
        <v>YAMAHA_Mounter</v>
      </c>
      <c r="AS1161" s="22">
        <f t="shared" si="357"/>
        <v>1</v>
      </c>
      <c r="AT1161" s="24" t="str">
        <f t="shared" si="358"/>
        <v>0-3 months</v>
      </c>
      <c r="AU1161" s="22" t="s">
        <v>3745</v>
      </c>
    </row>
    <row r="1162" spans="1:47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53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1745</v>
      </c>
      <c r="K1162" s="155" t="s">
        <v>981</v>
      </c>
      <c r="L1162" s="17" t="s">
        <v>67</v>
      </c>
      <c r="M1162" s="13" t="s">
        <v>60</v>
      </c>
      <c r="N1162" s="13">
        <v>1</v>
      </c>
      <c r="O1162" s="13"/>
      <c r="P1162" s="33" t="str">
        <f t="shared" si="350"/>
        <v>MAIN UNIT</v>
      </c>
      <c r="Q1162" s="13" t="s">
        <v>61</v>
      </c>
      <c r="R1162" s="13" t="s">
        <v>62</v>
      </c>
      <c r="S1162" s="13" t="s">
        <v>49</v>
      </c>
      <c r="T1162" s="13" t="s">
        <v>78</v>
      </c>
      <c r="U1162" s="13" t="s">
        <v>79</v>
      </c>
      <c r="V1162" s="13" t="s">
        <v>112</v>
      </c>
      <c r="W1162" s="13" t="s">
        <v>109</v>
      </c>
      <c r="X1162" s="135">
        <v>8353000</v>
      </c>
      <c r="Y1162" s="157" t="str">
        <f>IF(W1162="RMB","1.13", "1")</f>
        <v>1</v>
      </c>
      <c r="Z1162" s="18">
        <f t="shared" si="342"/>
        <v>8353000</v>
      </c>
      <c r="AA1162" s="13">
        <v>7.2800000000000004E-2</v>
      </c>
      <c r="AB1162" s="21">
        <f t="shared" si="341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45"/>
        <v>63006605.696460173</v>
      </c>
      <c r="AJ1162" s="19">
        <f t="shared" si="346"/>
        <v>8897485.660753984</v>
      </c>
      <c r="AK1162" s="20">
        <f t="shared" si="353"/>
        <v>0.141215124388995</v>
      </c>
      <c r="AL1162" s="17"/>
      <c r="AM1162" s="17"/>
      <c r="AN1162" s="17"/>
      <c r="AO1162" s="17"/>
      <c r="AP1162" s="28" t="str">
        <f t="shared" si="354"/>
        <v>20215</v>
      </c>
      <c r="AQ1162" s="28" t="str">
        <f t="shared" si="355"/>
        <v>20215JPY</v>
      </c>
      <c r="AR1162" s="206" t="str">
        <f t="shared" si="356"/>
        <v>YAMAHA_Mounter</v>
      </c>
      <c r="AS1162" s="22">
        <f t="shared" si="357"/>
        <v>1</v>
      </c>
      <c r="AT1162" s="24" t="str">
        <f t="shared" si="358"/>
        <v>0-3 months</v>
      </c>
      <c r="AU1162" s="22" t="s">
        <v>3745</v>
      </c>
    </row>
    <row r="1163" spans="1:47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53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1745</v>
      </c>
      <c r="K1163" s="155" t="s">
        <v>981</v>
      </c>
      <c r="L1163" s="17" t="s">
        <v>67</v>
      </c>
      <c r="M1163" s="13" t="s">
        <v>60</v>
      </c>
      <c r="N1163" s="13">
        <v>1</v>
      </c>
      <c r="O1163" s="13"/>
      <c r="P1163" s="33" t="str">
        <f t="shared" si="350"/>
        <v>MAIN UNIT</v>
      </c>
      <c r="Q1163" s="13" t="s">
        <v>61</v>
      </c>
      <c r="R1163" s="13" t="s">
        <v>62</v>
      </c>
      <c r="S1163" s="13" t="s">
        <v>49</v>
      </c>
      <c r="T1163" s="13" t="s">
        <v>78</v>
      </c>
      <c r="U1163" s="13" t="s">
        <v>79</v>
      </c>
      <c r="V1163" s="13" t="s">
        <v>112</v>
      </c>
      <c r="W1163" s="13" t="s">
        <v>109</v>
      </c>
      <c r="X1163" s="135">
        <v>8353000</v>
      </c>
      <c r="Y1163" s="157" t="str">
        <f>IF(W1163="RMB","1.13", "1")</f>
        <v>1</v>
      </c>
      <c r="Z1163" s="18">
        <f t="shared" si="342"/>
        <v>8353000</v>
      </c>
      <c r="AA1163" s="13">
        <v>7.2800000000000004E-2</v>
      </c>
      <c r="AB1163" s="21">
        <f t="shared" si="341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45"/>
        <v>63006605.696460173</v>
      </c>
      <c r="AJ1163" s="19">
        <f t="shared" si="346"/>
        <v>8897485.660753984</v>
      </c>
      <c r="AK1163" s="20">
        <f t="shared" si="353"/>
        <v>0.141215124388995</v>
      </c>
      <c r="AL1163" s="17"/>
      <c r="AM1163" s="17"/>
      <c r="AN1163" s="17"/>
      <c r="AO1163" s="17"/>
      <c r="AP1163" s="28" t="str">
        <f t="shared" si="354"/>
        <v>20215</v>
      </c>
      <c r="AQ1163" s="28" t="str">
        <f t="shared" si="355"/>
        <v>20215JPY</v>
      </c>
      <c r="AR1163" s="206" t="str">
        <f t="shared" si="356"/>
        <v>YAMAHA_Mounter</v>
      </c>
      <c r="AS1163" s="22">
        <f t="shared" si="357"/>
        <v>1</v>
      </c>
      <c r="AT1163" s="24" t="str">
        <f t="shared" si="358"/>
        <v>0-3 months</v>
      </c>
      <c r="AU1163" s="22" t="s">
        <v>3745</v>
      </c>
    </row>
    <row r="1164" spans="1:47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47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723</v>
      </c>
      <c r="K1164" s="155" t="s">
        <v>724</v>
      </c>
      <c r="L1164" s="17" t="s">
        <v>92</v>
      </c>
      <c r="M1164" s="13" t="s">
        <v>60</v>
      </c>
      <c r="N1164" s="13">
        <v>1</v>
      </c>
      <c r="O1164" s="13"/>
      <c r="P1164" s="33" t="str">
        <f t="shared" si="350"/>
        <v>MAIN UNIT</v>
      </c>
      <c r="Q1164" s="13" t="s">
        <v>61</v>
      </c>
      <c r="R1164" s="13" t="s">
        <v>62</v>
      </c>
      <c r="S1164" s="13" t="s">
        <v>49</v>
      </c>
      <c r="T1164" s="13" t="s">
        <v>78</v>
      </c>
      <c r="U1164" s="13" t="s">
        <v>79</v>
      </c>
      <c r="V1164" s="13" t="s">
        <v>725</v>
      </c>
      <c r="W1164" s="13" t="s">
        <v>109</v>
      </c>
      <c r="X1164" s="135">
        <v>12600000</v>
      </c>
      <c r="Y1164" s="156">
        <v>1</v>
      </c>
      <c r="Z1164" s="18">
        <f t="shared" si="342"/>
        <v>12600000</v>
      </c>
      <c r="AA1164" s="13">
        <v>7.2900000000000006E-2</v>
      </c>
      <c r="AB1164" s="21">
        <f t="shared" si="341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45"/>
        <v>27318180.088495575</v>
      </c>
      <c r="AJ1164" s="19">
        <f t="shared" si="346"/>
        <v>3014099.212353982</v>
      </c>
      <c r="AK1164" s="20">
        <f t="shared" si="353"/>
        <v>0.11033308963444827</v>
      </c>
      <c r="AL1164" s="17"/>
      <c r="AM1164" s="17"/>
      <c r="AN1164" s="17"/>
      <c r="AO1164" s="17"/>
      <c r="AP1164" s="28" t="str">
        <f t="shared" si="354"/>
        <v>201912</v>
      </c>
      <c r="AQ1164" s="28" t="str">
        <f t="shared" si="355"/>
        <v>201912JPY</v>
      </c>
      <c r="AR1164" s="206" t="str">
        <f t="shared" si="356"/>
        <v>YAMAHA_Mounter</v>
      </c>
      <c r="AS1164" s="22">
        <f t="shared" si="357"/>
        <v>1</v>
      </c>
      <c r="AT1164" s="24" t="str">
        <f t="shared" si="358"/>
        <v>0-3 months</v>
      </c>
      <c r="AU1164" s="22" t="s">
        <v>3745</v>
      </c>
    </row>
    <row r="1165" spans="1:47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48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1467</v>
      </c>
      <c r="K1165" s="155" t="s">
        <v>724</v>
      </c>
      <c r="L1165" s="17" t="s">
        <v>67</v>
      </c>
      <c r="M1165" s="13" t="s">
        <v>60</v>
      </c>
      <c r="N1165" s="13">
        <v>1</v>
      </c>
      <c r="O1165" s="13"/>
      <c r="P1165" s="33" t="str">
        <f t="shared" si="350"/>
        <v>MAIN UNIT</v>
      </c>
      <c r="Q1165" s="13" t="s">
        <v>61</v>
      </c>
      <c r="R1165" s="13" t="s">
        <v>62</v>
      </c>
      <c r="S1165" s="13" t="s">
        <v>49</v>
      </c>
      <c r="T1165" s="13" t="s">
        <v>78</v>
      </c>
      <c r="U1165" s="13" t="s">
        <v>79</v>
      </c>
      <c r="V1165" s="13" t="s">
        <v>311</v>
      </c>
      <c r="W1165" s="13" t="s">
        <v>109</v>
      </c>
      <c r="X1165" s="135">
        <v>8700000</v>
      </c>
      <c r="Y1165" s="157" t="str">
        <f t="shared" ref="Y1165:Y1177" si="359">IF(W1165="RMB","1.13", "1")</f>
        <v>1</v>
      </c>
      <c r="Z1165" s="18">
        <f t="shared" si="342"/>
        <v>8700000</v>
      </c>
      <c r="AA1165" s="13">
        <v>7.6100000000000001E-2</v>
      </c>
      <c r="AB1165" s="21">
        <f t="shared" si="341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45"/>
        <v>44078731.611185849</v>
      </c>
      <c r="AJ1165" s="19">
        <f t="shared" si="346"/>
        <v>5508173.2163771465</v>
      </c>
      <c r="AK1165" s="20">
        <f t="shared" si="353"/>
        <v>0.12496215328889679</v>
      </c>
      <c r="AL1165" s="17"/>
      <c r="AM1165" s="17"/>
      <c r="AN1165" s="17"/>
      <c r="AO1165" s="17"/>
      <c r="AP1165" s="28" t="str">
        <f t="shared" si="354"/>
        <v>202011</v>
      </c>
      <c r="AQ1165" s="28" t="str">
        <f t="shared" si="355"/>
        <v>202011JPY</v>
      </c>
      <c r="AR1165" s="206" t="str">
        <f t="shared" si="356"/>
        <v>YAMAHA_Mounter</v>
      </c>
      <c r="AS1165" s="22">
        <f t="shared" si="357"/>
        <v>1</v>
      </c>
      <c r="AT1165" s="24" t="str">
        <f t="shared" si="358"/>
        <v>0-3 months</v>
      </c>
      <c r="AU1165" s="22" t="s">
        <v>3745</v>
      </c>
    </row>
    <row r="1166" spans="1:47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185</v>
      </c>
      <c r="F1166" s="13" t="s">
        <v>185</v>
      </c>
      <c r="G1166" s="152" t="s">
        <v>185</v>
      </c>
      <c r="H1166" s="155"/>
      <c r="I1166" s="33" t="str">
        <f t="shared" si="349"/>
        <v>Cancel</v>
      </c>
      <c r="J1166" s="186" t="s">
        <v>2597</v>
      </c>
      <c r="K1166" s="155" t="s">
        <v>2598</v>
      </c>
      <c r="L1166" s="17" t="s">
        <v>293</v>
      </c>
      <c r="M1166" s="13" t="s">
        <v>60</v>
      </c>
      <c r="N1166" s="13">
        <v>1</v>
      </c>
      <c r="O1166" s="13"/>
      <c r="P1166" s="33" t="str">
        <f t="shared" si="350"/>
        <v>MAIN UNIT</v>
      </c>
      <c r="Q1166" s="13" t="s">
        <v>68</v>
      </c>
      <c r="R1166" s="13" t="s">
        <v>62</v>
      </c>
      <c r="S1166" s="13" t="s">
        <v>49</v>
      </c>
      <c r="T1166" s="13" t="s">
        <v>78</v>
      </c>
      <c r="U1166" s="13" t="s">
        <v>79</v>
      </c>
      <c r="V1166" s="13" t="s">
        <v>2011</v>
      </c>
      <c r="W1166" s="13" t="s">
        <v>64</v>
      </c>
      <c r="X1166" s="135">
        <v>1150000</v>
      </c>
      <c r="Y1166" s="157" t="str">
        <f t="shared" si="359"/>
        <v>1.13</v>
      </c>
      <c r="Z1166" s="18">
        <f t="shared" si="342"/>
        <v>1150000</v>
      </c>
      <c r="AA1166" s="13">
        <v>1.095</v>
      </c>
      <c r="AB1166" s="21">
        <f t="shared" si="341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45"/>
        <v>499582152.5142017</v>
      </c>
      <c r="AJ1166" s="19">
        <f t="shared" si="346"/>
        <v>59520528.679470733</v>
      </c>
      <c r="AK1166" s="20">
        <f t="shared" si="353"/>
        <v>0.11914062257814291</v>
      </c>
      <c r="AL1166" s="17"/>
      <c r="AM1166" s="17"/>
      <c r="AN1166" s="17"/>
      <c r="AO1166" s="17"/>
      <c r="AP1166" s="28" t="str">
        <f t="shared" si="354"/>
        <v>CancelCancel</v>
      </c>
      <c r="AQ1166" s="28" t="str">
        <f t="shared" si="355"/>
        <v>CancelCancelRMB</v>
      </c>
      <c r="AR1166" s="206" t="str">
        <f t="shared" si="356"/>
        <v>YAMAHA_Mounter</v>
      </c>
      <c r="AS1166" s="22" t="str">
        <f t="shared" si="357"/>
        <v/>
      </c>
      <c r="AT1166" s="24" t="str">
        <f t="shared" si="358"/>
        <v/>
      </c>
      <c r="AU1166" s="22" t="s">
        <v>3751</v>
      </c>
    </row>
    <row r="1167" spans="1:47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185</v>
      </c>
      <c r="F1167" s="13" t="s">
        <v>185</v>
      </c>
      <c r="G1167" s="152" t="s">
        <v>185</v>
      </c>
      <c r="H1167" s="155"/>
      <c r="I1167" s="33" t="str">
        <f t="shared" si="349"/>
        <v>Cancel</v>
      </c>
      <c r="J1167" s="186" t="s">
        <v>2597</v>
      </c>
      <c r="K1167" s="155" t="s">
        <v>2598</v>
      </c>
      <c r="L1167" s="17" t="s">
        <v>293</v>
      </c>
      <c r="M1167" s="13" t="s">
        <v>60</v>
      </c>
      <c r="N1167" s="13">
        <v>1</v>
      </c>
      <c r="O1167" s="13"/>
      <c r="P1167" s="33" t="str">
        <f t="shared" si="350"/>
        <v>MAIN UNIT</v>
      </c>
      <c r="Q1167" s="13" t="s">
        <v>68</v>
      </c>
      <c r="R1167" s="13" t="s">
        <v>62</v>
      </c>
      <c r="S1167" s="13" t="s">
        <v>49</v>
      </c>
      <c r="T1167" s="13" t="s">
        <v>78</v>
      </c>
      <c r="U1167" s="13" t="s">
        <v>79</v>
      </c>
      <c r="V1167" s="13" t="s">
        <v>2011</v>
      </c>
      <c r="W1167" s="13" t="s">
        <v>64</v>
      </c>
      <c r="X1167" s="135">
        <v>1150000</v>
      </c>
      <c r="Y1167" s="157" t="str">
        <f t="shared" si="359"/>
        <v>1.13</v>
      </c>
      <c r="Z1167" s="18">
        <f t="shared" si="342"/>
        <v>1150000</v>
      </c>
      <c r="AA1167" s="13">
        <v>1.095</v>
      </c>
      <c r="AB1167" s="21">
        <f t="shared" si="341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45"/>
        <v>499582152.5142017</v>
      </c>
      <c r="AJ1167" s="19">
        <f t="shared" si="346"/>
        <v>59520528.679470733</v>
      </c>
      <c r="AK1167" s="20">
        <f t="shared" si="353"/>
        <v>0.11914062257814291</v>
      </c>
      <c r="AL1167" s="17"/>
      <c r="AM1167" s="17"/>
      <c r="AN1167" s="17"/>
      <c r="AO1167" s="17"/>
      <c r="AP1167" s="28" t="str">
        <f t="shared" si="354"/>
        <v>CancelCancel</v>
      </c>
      <c r="AQ1167" s="28" t="str">
        <f t="shared" si="355"/>
        <v>CancelCancelRMB</v>
      </c>
      <c r="AR1167" s="206" t="str">
        <f t="shared" si="356"/>
        <v>YAMAHA_Mounter</v>
      </c>
      <c r="AS1167" s="22" t="str">
        <f t="shared" si="357"/>
        <v/>
      </c>
      <c r="AT1167" s="24" t="str">
        <f t="shared" si="358"/>
        <v/>
      </c>
      <c r="AU1167" s="22" t="s">
        <v>3751</v>
      </c>
    </row>
    <row r="1168" spans="1:47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185</v>
      </c>
      <c r="F1168" s="13" t="s">
        <v>185</v>
      </c>
      <c r="G1168" s="152" t="s">
        <v>185</v>
      </c>
      <c r="H1168" s="155"/>
      <c r="I1168" s="33" t="str">
        <f t="shared" si="349"/>
        <v>Cancel</v>
      </c>
      <c r="J1168" s="186" t="s">
        <v>2597</v>
      </c>
      <c r="K1168" s="155" t="s">
        <v>2598</v>
      </c>
      <c r="L1168" s="17" t="s">
        <v>293</v>
      </c>
      <c r="M1168" s="13" t="s">
        <v>60</v>
      </c>
      <c r="N1168" s="13">
        <v>1</v>
      </c>
      <c r="O1168" s="13"/>
      <c r="P1168" s="33" t="str">
        <f t="shared" si="350"/>
        <v>MAIN UNIT</v>
      </c>
      <c r="Q1168" s="13" t="s">
        <v>68</v>
      </c>
      <c r="R1168" s="13" t="s">
        <v>62</v>
      </c>
      <c r="S1168" s="13" t="s">
        <v>49</v>
      </c>
      <c r="T1168" s="13" t="s">
        <v>78</v>
      </c>
      <c r="U1168" s="13" t="s">
        <v>79</v>
      </c>
      <c r="V1168" s="13" t="s">
        <v>2011</v>
      </c>
      <c r="W1168" s="13" t="s">
        <v>64</v>
      </c>
      <c r="X1168" s="135">
        <v>1150000</v>
      </c>
      <c r="Y1168" s="157" t="str">
        <f t="shared" si="359"/>
        <v>1.13</v>
      </c>
      <c r="Z1168" s="18">
        <f t="shared" si="342"/>
        <v>1150000</v>
      </c>
      <c r="AA1168" s="13">
        <v>1.095</v>
      </c>
      <c r="AB1168" s="21">
        <f t="shared" si="341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45"/>
        <v>499582152.5142017</v>
      </c>
      <c r="AJ1168" s="19">
        <f t="shared" si="346"/>
        <v>59520528.679470733</v>
      </c>
      <c r="AK1168" s="20">
        <f t="shared" si="353"/>
        <v>0.11914062257814291</v>
      </c>
      <c r="AL1168" s="17"/>
      <c r="AM1168" s="17"/>
      <c r="AN1168" s="17"/>
      <c r="AO1168" s="17"/>
      <c r="AP1168" s="28" t="str">
        <f t="shared" si="354"/>
        <v>CancelCancel</v>
      </c>
      <c r="AQ1168" s="28" t="str">
        <f t="shared" si="355"/>
        <v>CancelCancelRMB</v>
      </c>
      <c r="AR1168" s="206" t="str">
        <f t="shared" si="356"/>
        <v>YAMAHA_Mounter</v>
      </c>
      <c r="AS1168" s="22" t="str">
        <f t="shared" si="357"/>
        <v/>
      </c>
      <c r="AT1168" s="24" t="str">
        <f t="shared" si="358"/>
        <v/>
      </c>
      <c r="AU1168" s="22" t="s">
        <v>3751</v>
      </c>
    </row>
    <row r="1169" spans="1:47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185</v>
      </c>
      <c r="F1169" s="13" t="s">
        <v>185</v>
      </c>
      <c r="G1169" s="152" t="s">
        <v>185</v>
      </c>
      <c r="H1169" s="155"/>
      <c r="I1169" s="33" t="str">
        <f t="shared" si="349"/>
        <v>Cancel</v>
      </c>
      <c r="J1169" s="186" t="s">
        <v>2597</v>
      </c>
      <c r="K1169" s="155" t="s">
        <v>2598</v>
      </c>
      <c r="L1169" s="17" t="s">
        <v>293</v>
      </c>
      <c r="M1169" s="13" t="s">
        <v>60</v>
      </c>
      <c r="N1169" s="13">
        <v>1</v>
      </c>
      <c r="O1169" s="13"/>
      <c r="P1169" s="33" t="str">
        <f t="shared" si="350"/>
        <v>MAIN UNIT</v>
      </c>
      <c r="Q1169" s="13" t="s">
        <v>68</v>
      </c>
      <c r="R1169" s="13" t="s">
        <v>62</v>
      </c>
      <c r="S1169" s="13" t="s">
        <v>49</v>
      </c>
      <c r="T1169" s="13" t="s">
        <v>78</v>
      </c>
      <c r="U1169" s="13" t="s">
        <v>79</v>
      </c>
      <c r="V1169" s="13" t="s">
        <v>2011</v>
      </c>
      <c r="W1169" s="13" t="s">
        <v>64</v>
      </c>
      <c r="X1169" s="135">
        <v>1150000</v>
      </c>
      <c r="Y1169" s="157" t="str">
        <f t="shared" si="359"/>
        <v>1.13</v>
      </c>
      <c r="Z1169" s="18">
        <f t="shared" si="342"/>
        <v>1150000</v>
      </c>
      <c r="AA1169" s="13">
        <v>1.095</v>
      </c>
      <c r="AB1169" s="21">
        <f t="shared" si="341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45"/>
        <v>499582152.5142017</v>
      </c>
      <c r="AJ1169" s="19">
        <f t="shared" si="346"/>
        <v>59520528.679470733</v>
      </c>
      <c r="AK1169" s="20">
        <f t="shared" si="353"/>
        <v>0.11914062257814291</v>
      </c>
      <c r="AL1169" s="17"/>
      <c r="AM1169" s="17"/>
      <c r="AN1169" s="17"/>
      <c r="AO1169" s="17"/>
      <c r="AP1169" s="28" t="str">
        <f t="shared" si="354"/>
        <v>CancelCancel</v>
      </c>
      <c r="AQ1169" s="28" t="str">
        <f t="shared" si="355"/>
        <v>CancelCancelRMB</v>
      </c>
      <c r="AR1169" s="206" t="str">
        <f t="shared" si="356"/>
        <v>YAMAHA_Mounter</v>
      </c>
      <c r="AS1169" s="22" t="str">
        <f t="shared" si="357"/>
        <v/>
      </c>
      <c r="AT1169" s="24" t="str">
        <f t="shared" si="358"/>
        <v/>
      </c>
      <c r="AU1169" s="22" t="s">
        <v>3751</v>
      </c>
    </row>
    <row r="1170" spans="1:47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185</v>
      </c>
      <c r="F1170" s="13" t="s">
        <v>185</v>
      </c>
      <c r="G1170" s="152" t="s">
        <v>185</v>
      </c>
      <c r="H1170" s="155"/>
      <c r="I1170" s="33" t="str">
        <f t="shared" si="349"/>
        <v>Cancel</v>
      </c>
      <c r="J1170" s="186" t="s">
        <v>2597</v>
      </c>
      <c r="K1170" s="155" t="s">
        <v>2598</v>
      </c>
      <c r="L1170" s="17" t="s">
        <v>293</v>
      </c>
      <c r="M1170" s="13" t="s">
        <v>60</v>
      </c>
      <c r="N1170" s="13">
        <v>1</v>
      </c>
      <c r="O1170" s="13"/>
      <c r="P1170" s="33" t="str">
        <f t="shared" si="350"/>
        <v>MAIN UNIT</v>
      </c>
      <c r="Q1170" s="13" t="s">
        <v>68</v>
      </c>
      <c r="R1170" s="13" t="s">
        <v>62</v>
      </c>
      <c r="S1170" s="13" t="s">
        <v>49</v>
      </c>
      <c r="T1170" s="13" t="s">
        <v>78</v>
      </c>
      <c r="U1170" s="13" t="s">
        <v>79</v>
      </c>
      <c r="V1170" s="13" t="s">
        <v>2011</v>
      </c>
      <c r="W1170" s="13" t="s">
        <v>64</v>
      </c>
      <c r="X1170" s="135">
        <v>1150000</v>
      </c>
      <c r="Y1170" s="157" t="str">
        <f t="shared" si="359"/>
        <v>1.13</v>
      </c>
      <c r="Z1170" s="18">
        <f t="shared" si="342"/>
        <v>1150000</v>
      </c>
      <c r="AA1170" s="13">
        <v>1.095</v>
      </c>
      <c r="AB1170" s="21">
        <f t="shared" si="341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45"/>
        <v>499582152.5142017</v>
      </c>
      <c r="AJ1170" s="19">
        <f t="shared" si="346"/>
        <v>59520528.679470733</v>
      </c>
      <c r="AK1170" s="20">
        <f t="shared" si="353"/>
        <v>0.11914062257814291</v>
      </c>
      <c r="AL1170" s="17"/>
      <c r="AM1170" s="17"/>
      <c r="AN1170" s="17"/>
      <c r="AO1170" s="17"/>
      <c r="AP1170" s="28" t="str">
        <f t="shared" si="354"/>
        <v>CancelCancel</v>
      </c>
      <c r="AQ1170" s="28" t="str">
        <f t="shared" si="355"/>
        <v>CancelCancelRMB</v>
      </c>
      <c r="AR1170" s="206" t="str">
        <f t="shared" si="356"/>
        <v>YAMAHA_Mounter</v>
      </c>
      <c r="AS1170" s="22" t="str">
        <f t="shared" si="357"/>
        <v/>
      </c>
      <c r="AT1170" s="24" t="str">
        <f t="shared" si="358"/>
        <v/>
      </c>
      <c r="AU1170" s="22" t="s">
        <v>3751</v>
      </c>
    </row>
    <row r="1171" spans="1:47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185</v>
      </c>
      <c r="F1171" s="13" t="s">
        <v>185</v>
      </c>
      <c r="G1171" s="152" t="s">
        <v>185</v>
      </c>
      <c r="H1171" s="155"/>
      <c r="I1171" s="33" t="str">
        <f t="shared" si="349"/>
        <v>Cancel</v>
      </c>
      <c r="J1171" s="186" t="s">
        <v>2597</v>
      </c>
      <c r="K1171" s="155" t="s">
        <v>2598</v>
      </c>
      <c r="L1171" s="17" t="s">
        <v>1301</v>
      </c>
      <c r="M1171" s="13" t="s">
        <v>60</v>
      </c>
      <c r="N1171" s="13">
        <v>1</v>
      </c>
      <c r="O1171" s="13"/>
      <c r="P1171" s="33" t="str">
        <f t="shared" si="350"/>
        <v>MAIN UNIT</v>
      </c>
      <c r="Q1171" s="13" t="s">
        <v>68</v>
      </c>
      <c r="R1171" s="13" t="s">
        <v>62</v>
      </c>
      <c r="S1171" s="13" t="s">
        <v>49</v>
      </c>
      <c r="T1171" s="13" t="s">
        <v>78</v>
      </c>
      <c r="U1171" s="13" t="s">
        <v>79</v>
      </c>
      <c r="V1171" s="13" t="s">
        <v>2011</v>
      </c>
      <c r="W1171" s="13" t="s">
        <v>64</v>
      </c>
      <c r="X1171" s="135">
        <v>1050000</v>
      </c>
      <c r="Y1171" s="157" t="str">
        <f t="shared" si="359"/>
        <v>1.13</v>
      </c>
      <c r="Z1171" s="18">
        <f t="shared" si="342"/>
        <v>1050000</v>
      </c>
      <c r="AA1171" s="13">
        <v>1.095</v>
      </c>
      <c r="AB1171" s="21">
        <f t="shared" si="341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45"/>
        <v>499582152.5142017</v>
      </c>
      <c r="AJ1171" s="19">
        <f t="shared" si="346"/>
        <v>59520528.679470733</v>
      </c>
      <c r="AK1171" s="20">
        <f t="shared" si="353"/>
        <v>0.11914062257814291</v>
      </c>
      <c r="AL1171" s="17"/>
      <c r="AM1171" s="17"/>
      <c r="AN1171" s="17"/>
      <c r="AO1171" s="17"/>
      <c r="AP1171" s="28" t="str">
        <f t="shared" si="354"/>
        <v>CancelCancel</v>
      </c>
      <c r="AQ1171" s="28" t="str">
        <f t="shared" si="355"/>
        <v>CancelCancelRMB</v>
      </c>
      <c r="AR1171" s="206" t="str">
        <f t="shared" si="356"/>
        <v>YAMAHA_Mounter</v>
      </c>
      <c r="AS1171" s="22" t="str">
        <f t="shared" si="357"/>
        <v/>
      </c>
      <c r="AT1171" s="24" t="str">
        <f t="shared" si="358"/>
        <v/>
      </c>
      <c r="AU1171" s="22" t="s">
        <v>3751</v>
      </c>
    </row>
    <row r="1172" spans="1:47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185</v>
      </c>
      <c r="F1172" s="13" t="s">
        <v>185</v>
      </c>
      <c r="G1172" s="152" t="s">
        <v>185</v>
      </c>
      <c r="H1172" s="155"/>
      <c r="I1172" s="33" t="str">
        <f t="shared" si="349"/>
        <v>Cancel</v>
      </c>
      <c r="J1172" s="186" t="s">
        <v>2597</v>
      </c>
      <c r="K1172" s="155" t="s">
        <v>2598</v>
      </c>
      <c r="L1172" s="17" t="s">
        <v>1301</v>
      </c>
      <c r="M1172" s="13" t="s">
        <v>60</v>
      </c>
      <c r="N1172" s="13">
        <v>1</v>
      </c>
      <c r="O1172" s="13"/>
      <c r="P1172" s="33" t="str">
        <f t="shared" si="350"/>
        <v>MAIN UNIT</v>
      </c>
      <c r="Q1172" s="13" t="s">
        <v>68</v>
      </c>
      <c r="R1172" s="13" t="s">
        <v>62</v>
      </c>
      <c r="S1172" s="13" t="s">
        <v>49</v>
      </c>
      <c r="T1172" s="13" t="s">
        <v>78</v>
      </c>
      <c r="U1172" s="13" t="s">
        <v>79</v>
      </c>
      <c r="V1172" s="13" t="s">
        <v>2011</v>
      </c>
      <c r="W1172" s="13" t="s">
        <v>64</v>
      </c>
      <c r="X1172" s="135">
        <v>1050000</v>
      </c>
      <c r="Y1172" s="157" t="str">
        <f t="shared" si="359"/>
        <v>1.13</v>
      </c>
      <c r="Z1172" s="18">
        <f t="shared" si="342"/>
        <v>1050000</v>
      </c>
      <c r="AA1172" s="13">
        <v>1.095</v>
      </c>
      <c r="AB1172" s="21">
        <f t="shared" si="341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45"/>
        <v>499582152.5142017</v>
      </c>
      <c r="AJ1172" s="19">
        <f t="shared" si="346"/>
        <v>59520528.679470733</v>
      </c>
      <c r="AK1172" s="20">
        <f t="shared" si="353"/>
        <v>0.11914062257814291</v>
      </c>
      <c r="AL1172" s="17"/>
      <c r="AM1172" s="17"/>
      <c r="AN1172" s="17"/>
      <c r="AO1172" s="17"/>
      <c r="AP1172" s="28" t="str">
        <f t="shared" si="354"/>
        <v>CancelCancel</v>
      </c>
      <c r="AQ1172" s="28" t="str">
        <f t="shared" si="355"/>
        <v>CancelCancelRMB</v>
      </c>
      <c r="AR1172" s="206" t="str">
        <f t="shared" si="356"/>
        <v>YAMAHA_Mounter</v>
      </c>
      <c r="AS1172" s="22" t="str">
        <f t="shared" si="357"/>
        <v/>
      </c>
      <c r="AT1172" s="24" t="str">
        <f t="shared" si="358"/>
        <v/>
      </c>
      <c r="AU1172" s="22" t="s">
        <v>3751</v>
      </c>
    </row>
    <row r="1173" spans="1:47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185</v>
      </c>
      <c r="F1173" s="13" t="s">
        <v>185</v>
      </c>
      <c r="G1173" s="152" t="s">
        <v>185</v>
      </c>
      <c r="H1173" s="155"/>
      <c r="I1173" s="33" t="str">
        <f t="shared" si="349"/>
        <v>Cancel</v>
      </c>
      <c r="J1173" s="186" t="s">
        <v>2597</v>
      </c>
      <c r="K1173" s="155" t="s">
        <v>2598</v>
      </c>
      <c r="L1173" s="17" t="s">
        <v>1301</v>
      </c>
      <c r="M1173" s="13" t="s">
        <v>60</v>
      </c>
      <c r="N1173" s="13">
        <v>1</v>
      </c>
      <c r="O1173" s="13"/>
      <c r="P1173" s="33" t="str">
        <f t="shared" si="350"/>
        <v>MAIN UNIT</v>
      </c>
      <c r="Q1173" s="13" t="s">
        <v>68</v>
      </c>
      <c r="R1173" s="13" t="s">
        <v>62</v>
      </c>
      <c r="S1173" s="13" t="s">
        <v>49</v>
      </c>
      <c r="T1173" s="13" t="s">
        <v>78</v>
      </c>
      <c r="U1173" s="13" t="s">
        <v>79</v>
      </c>
      <c r="V1173" s="13" t="s">
        <v>2011</v>
      </c>
      <c r="W1173" s="13" t="s">
        <v>64</v>
      </c>
      <c r="X1173" s="135">
        <v>1050000</v>
      </c>
      <c r="Y1173" s="157" t="str">
        <f t="shared" si="359"/>
        <v>1.13</v>
      </c>
      <c r="Z1173" s="18">
        <f t="shared" si="342"/>
        <v>1050000</v>
      </c>
      <c r="AA1173" s="13">
        <v>1.095</v>
      </c>
      <c r="AB1173" s="21">
        <f t="shared" si="341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45"/>
        <v>499582152.5142017</v>
      </c>
      <c r="AJ1173" s="19">
        <f t="shared" si="346"/>
        <v>59520528.679470733</v>
      </c>
      <c r="AK1173" s="20">
        <f t="shared" si="353"/>
        <v>0.11914062257814291</v>
      </c>
      <c r="AL1173" s="17"/>
      <c r="AM1173" s="17"/>
      <c r="AN1173" s="17"/>
      <c r="AO1173" s="17"/>
      <c r="AP1173" s="28" t="str">
        <f t="shared" si="354"/>
        <v>CancelCancel</v>
      </c>
      <c r="AQ1173" s="28" t="str">
        <f t="shared" si="355"/>
        <v>CancelCancelRMB</v>
      </c>
      <c r="AR1173" s="206" t="str">
        <f t="shared" si="356"/>
        <v>YAMAHA_Mounter</v>
      </c>
      <c r="AS1173" s="22" t="str">
        <f t="shared" si="357"/>
        <v/>
      </c>
      <c r="AT1173" s="24" t="str">
        <f t="shared" si="358"/>
        <v/>
      </c>
      <c r="AU1173" s="22" t="s">
        <v>3751</v>
      </c>
    </row>
    <row r="1174" spans="1:47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185</v>
      </c>
      <c r="F1174" s="13" t="s">
        <v>185</v>
      </c>
      <c r="G1174" s="152" t="s">
        <v>185</v>
      </c>
      <c r="H1174" s="155"/>
      <c r="I1174" s="33" t="str">
        <f t="shared" si="349"/>
        <v>Cancel</v>
      </c>
      <c r="J1174" s="186" t="s">
        <v>2597</v>
      </c>
      <c r="K1174" s="155" t="s">
        <v>2598</v>
      </c>
      <c r="L1174" s="17" t="s">
        <v>92</v>
      </c>
      <c r="M1174" s="13" t="s">
        <v>60</v>
      </c>
      <c r="N1174" s="13">
        <v>1</v>
      </c>
      <c r="O1174" s="13"/>
      <c r="P1174" s="33" t="str">
        <f t="shared" si="350"/>
        <v>MAIN UNIT</v>
      </c>
      <c r="Q1174" s="13" t="s">
        <v>68</v>
      </c>
      <c r="R1174" s="13" t="s">
        <v>62</v>
      </c>
      <c r="S1174" s="13" t="s">
        <v>49</v>
      </c>
      <c r="T1174" s="13" t="s">
        <v>78</v>
      </c>
      <c r="U1174" s="13" t="s">
        <v>79</v>
      </c>
      <c r="V1174" s="13" t="s">
        <v>2011</v>
      </c>
      <c r="W1174" s="13" t="s">
        <v>64</v>
      </c>
      <c r="X1174" s="135">
        <v>900000</v>
      </c>
      <c r="Y1174" s="157" t="str">
        <f t="shared" si="359"/>
        <v>1.13</v>
      </c>
      <c r="Z1174" s="18">
        <f t="shared" si="342"/>
        <v>900000</v>
      </c>
      <c r="AA1174" s="13">
        <v>1.095</v>
      </c>
      <c r="AB1174" s="21">
        <f t="shared" si="341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45"/>
        <v>499582152.5142017</v>
      </c>
      <c r="AJ1174" s="19">
        <f t="shared" si="346"/>
        <v>59520528.679470733</v>
      </c>
      <c r="AK1174" s="20">
        <f t="shared" si="353"/>
        <v>0.11914062257814291</v>
      </c>
      <c r="AL1174" s="17"/>
      <c r="AM1174" s="17"/>
      <c r="AN1174" s="17"/>
      <c r="AO1174" s="17"/>
      <c r="AP1174" s="28" t="str">
        <f t="shared" si="354"/>
        <v>CancelCancel</v>
      </c>
      <c r="AQ1174" s="28" t="str">
        <f t="shared" si="355"/>
        <v>CancelCancelRMB</v>
      </c>
      <c r="AR1174" s="206" t="str">
        <f t="shared" si="356"/>
        <v>YAMAHA_Mounter</v>
      </c>
      <c r="AS1174" s="22" t="str">
        <f t="shared" si="357"/>
        <v/>
      </c>
      <c r="AT1174" s="24" t="str">
        <f t="shared" si="358"/>
        <v/>
      </c>
      <c r="AU1174" s="22" t="s">
        <v>3751</v>
      </c>
    </row>
    <row r="1175" spans="1:47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185</v>
      </c>
      <c r="F1175" s="13" t="s">
        <v>185</v>
      </c>
      <c r="G1175" s="152" t="s">
        <v>185</v>
      </c>
      <c r="H1175" s="155"/>
      <c r="I1175" s="33" t="str">
        <f t="shared" si="349"/>
        <v>Cancel</v>
      </c>
      <c r="J1175" s="186" t="s">
        <v>2597</v>
      </c>
      <c r="K1175" s="155" t="s">
        <v>2598</v>
      </c>
      <c r="L1175" s="17" t="s">
        <v>92</v>
      </c>
      <c r="M1175" s="13" t="s">
        <v>60</v>
      </c>
      <c r="N1175" s="13">
        <v>1</v>
      </c>
      <c r="O1175" s="13"/>
      <c r="P1175" s="33" t="str">
        <f t="shared" si="350"/>
        <v>MAIN UNIT</v>
      </c>
      <c r="Q1175" s="13" t="s">
        <v>68</v>
      </c>
      <c r="R1175" s="13" t="s">
        <v>62</v>
      </c>
      <c r="S1175" s="13" t="s">
        <v>49</v>
      </c>
      <c r="T1175" s="13" t="s">
        <v>78</v>
      </c>
      <c r="U1175" s="13" t="s">
        <v>79</v>
      </c>
      <c r="V1175" s="13" t="s">
        <v>2011</v>
      </c>
      <c r="W1175" s="13" t="s">
        <v>64</v>
      </c>
      <c r="X1175" s="135">
        <v>900000</v>
      </c>
      <c r="Y1175" s="157" t="str">
        <f t="shared" si="359"/>
        <v>1.13</v>
      </c>
      <c r="Z1175" s="18">
        <f t="shared" si="342"/>
        <v>900000</v>
      </c>
      <c r="AA1175" s="13">
        <v>1.095</v>
      </c>
      <c r="AB1175" s="21">
        <f t="shared" si="341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45"/>
        <v>499582152.5142017</v>
      </c>
      <c r="AJ1175" s="19">
        <f t="shared" si="346"/>
        <v>59520528.679470733</v>
      </c>
      <c r="AK1175" s="20">
        <f t="shared" si="353"/>
        <v>0.11914062257814291</v>
      </c>
      <c r="AL1175" s="17"/>
      <c r="AM1175" s="17"/>
      <c r="AN1175" s="17"/>
      <c r="AO1175" s="17"/>
      <c r="AP1175" s="28" t="str">
        <f t="shared" si="354"/>
        <v>CancelCancel</v>
      </c>
      <c r="AQ1175" s="28" t="str">
        <f t="shared" si="355"/>
        <v>CancelCancelRMB</v>
      </c>
      <c r="AR1175" s="206" t="str">
        <f t="shared" si="356"/>
        <v>YAMAHA_Mounter</v>
      </c>
      <c r="AS1175" s="22" t="str">
        <f t="shared" si="357"/>
        <v/>
      </c>
      <c r="AT1175" s="24" t="str">
        <f t="shared" si="358"/>
        <v/>
      </c>
      <c r="AU1175" s="22" t="s">
        <v>3751</v>
      </c>
    </row>
    <row r="1176" spans="1:47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185</v>
      </c>
      <c r="F1176" s="13" t="s">
        <v>185</v>
      </c>
      <c r="G1176" s="152" t="s">
        <v>185</v>
      </c>
      <c r="H1176" s="155"/>
      <c r="I1176" s="33" t="str">
        <f t="shared" si="349"/>
        <v>Cancel</v>
      </c>
      <c r="J1176" s="186" t="s">
        <v>2597</v>
      </c>
      <c r="K1176" s="155" t="s">
        <v>2598</v>
      </c>
      <c r="L1176" s="17" t="s">
        <v>67</v>
      </c>
      <c r="M1176" s="13" t="s">
        <v>60</v>
      </c>
      <c r="N1176" s="13">
        <v>1</v>
      </c>
      <c r="O1176" s="13"/>
      <c r="P1176" s="33" t="str">
        <f t="shared" si="350"/>
        <v>MAIN UNIT</v>
      </c>
      <c r="Q1176" s="13" t="s">
        <v>68</v>
      </c>
      <c r="R1176" s="13" t="s">
        <v>62</v>
      </c>
      <c r="S1176" s="13" t="s">
        <v>49</v>
      </c>
      <c r="T1176" s="13" t="s">
        <v>78</v>
      </c>
      <c r="U1176" s="13" t="s">
        <v>79</v>
      </c>
      <c r="V1176" s="13" t="s">
        <v>2011</v>
      </c>
      <c r="W1176" s="13" t="s">
        <v>64</v>
      </c>
      <c r="X1176" s="135">
        <v>600000</v>
      </c>
      <c r="Y1176" s="157" t="str">
        <f t="shared" si="359"/>
        <v>1.13</v>
      </c>
      <c r="Z1176" s="18">
        <f t="shared" si="342"/>
        <v>600000</v>
      </c>
      <c r="AA1176" s="13">
        <v>1.095</v>
      </c>
      <c r="AB1176" s="21">
        <f t="shared" si="341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45"/>
        <v>499582152.5142017</v>
      </c>
      <c r="AJ1176" s="19">
        <f t="shared" si="346"/>
        <v>59520528.679470733</v>
      </c>
      <c r="AK1176" s="20">
        <f t="shared" si="353"/>
        <v>0.11914062257814291</v>
      </c>
      <c r="AL1176" s="17"/>
      <c r="AM1176" s="17"/>
      <c r="AN1176" s="17"/>
      <c r="AO1176" s="17"/>
      <c r="AP1176" s="28" t="str">
        <f t="shared" si="354"/>
        <v>CancelCancel</v>
      </c>
      <c r="AQ1176" s="28" t="str">
        <f t="shared" si="355"/>
        <v>CancelCancelRMB</v>
      </c>
      <c r="AR1176" s="206" t="str">
        <f t="shared" si="356"/>
        <v>YAMAHA_Mounter</v>
      </c>
      <c r="AS1176" s="22" t="str">
        <f t="shared" si="357"/>
        <v/>
      </c>
      <c r="AT1176" s="24" t="str">
        <f t="shared" si="358"/>
        <v/>
      </c>
      <c r="AU1176" s="22" t="s">
        <v>3751</v>
      </c>
    </row>
    <row r="1177" spans="1:47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185</v>
      </c>
      <c r="F1177" s="13" t="s">
        <v>185</v>
      </c>
      <c r="G1177" s="152" t="s">
        <v>185</v>
      </c>
      <c r="H1177" s="155"/>
      <c r="I1177" s="33" t="str">
        <f t="shared" si="349"/>
        <v>Cancel</v>
      </c>
      <c r="J1177" s="186" t="s">
        <v>2597</v>
      </c>
      <c r="K1177" s="155" t="s">
        <v>2598</v>
      </c>
      <c r="L1177" s="17" t="s">
        <v>67</v>
      </c>
      <c r="M1177" s="13" t="s">
        <v>60</v>
      </c>
      <c r="N1177" s="13">
        <v>1</v>
      </c>
      <c r="O1177" s="13"/>
      <c r="P1177" s="33" t="str">
        <f t="shared" si="350"/>
        <v>MAIN UNIT</v>
      </c>
      <c r="Q1177" s="13" t="s">
        <v>68</v>
      </c>
      <c r="R1177" s="13" t="s">
        <v>62</v>
      </c>
      <c r="S1177" s="13" t="s">
        <v>49</v>
      </c>
      <c r="T1177" s="13" t="s">
        <v>78</v>
      </c>
      <c r="U1177" s="13" t="s">
        <v>79</v>
      </c>
      <c r="V1177" s="13" t="s">
        <v>2011</v>
      </c>
      <c r="W1177" s="13" t="s">
        <v>64</v>
      </c>
      <c r="X1177" s="135">
        <v>600000</v>
      </c>
      <c r="Y1177" s="157" t="str">
        <f t="shared" si="359"/>
        <v>1.13</v>
      </c>
      <c r="Z1177" s="18">
        <f t="shared" si="342"/>
        <v>600000</v>
      </c>
      <c r="AA1177" s="13">
        <v>1.095</v>
      </c>
      <c r="AB1177" s="21">
        <f t="shared" si="341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45"/>
        <v>499582152.5142017</v>
      </c>
      <c r="AJ1177" s="19">
        <f t="shared" si="346"/>
        <v>59520528.679470733</v>
      </c>
      <c r="AK1177" s="20">
        <f t="shared" si="353"/>
        <v>0.11914062257814291</v>
      </c>
      <c r="AL1177" s="17"/>
      <c r="AM1177" s="17"/>
      <c r="AN1177" s="17"/>
      <c r="AO1177" s="17"/>
      <c r="AP1177" s="28" t="str">
        <f t="shared" si="354"/>
        <v>CancelCancel</v>
      </c>
      <c r="AQ1177" s="28" t="str">
        <f t="shared" si="355"/>
        <v>CancelCancelRMB</v>
      </c>
      <c r="AR1177" s="206" t="str">
        <f t="shared" si="356"/>
        <v>YAMAHA_Mounter</v>
      </c>
      <c r="AS1177" s="22" t="str">
        <f t="shared" si="357"/>
        <v/>
      </c>
      <c r="AT1177" s="24" t="str">
        <f t="shared" si="358"/>
        <v/>
      </c>
      <c r="AU1177" s="22" t="s">
        <v>3751</v>
      </c>
    </row>
    <row r="1178" spans="1:47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41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525</v>
      </c>
      <c r="K1178" s="155" t="s">
        <v>526</v>
      </c>
      <c r="L1178" s="17" t="s">
        <v>67</v>
      </c>
      <c r="M1178" s="13" t="s">
        <v>60</v>
      </c>
      <c r="N1178" s="13">
        <v>1</v>
      </c>
      <c r="O1178" s="13"/>
      <c r="P1178" s="33" t="str">
        <f t="shared" si="350"/>
        <v>MAIN UNIT</v>
      </c>
      <c r="Q1178" s="13" t="s">
        <v>68</v>
      </c>
      <c r="R1178" s="13" t="s">
        <v>62</v>
      </c>
      <c r="S1178" s="13" t="s">
        <v>49</v>
      </c>
      <c r="T1178" s="13" t="s">
        <v>249</v>
      </c>
      <c r="U1178" s="13" t="s">
        <v>79</v>
      </c>
      <c r="V1178" s="13" t="s">
        <v>121</v>
      </c>
      <c r="W1178" s="13" t="s">
        <v>109</v>
      </c>
      <c r="X1178" s="135">
        <v>9175000</v>
      </c>
      <c r="Y1178" s="156">
        <v>1</v>
      </c>
      <c r="Z1178" s="18">
        <f t="shared" si="342"/>
        <v>9175000</v>
      </c>
      <c r="AA1178" s="13">
        <v>7.2099999999999997E-2</v>
      </c>
      <c r="AB1178" s="21">
        <f t="shared" si="341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45"/>
        <v>26492741.106427077</v>
      </c>
      <c r="AJ1178" s="19">
        <f t="shared" si="346"/>
        <v>3348032.1325698122</v>
      </c>
      <c r="AK1178" s="20">
        <f t="shared" si="353"/>
        <v>0.12637545201985867</v>
      </c>
      <c r="AL1178" s="17"/>
      <c r="AM1178" s="17"/>
      <c r="AN1178" s="17"/>
      <c r="AO1178" s="17"/>
      <c r="AP1178" s="28" t="str">
        <f t="shared" si="354"/>
        <v>20189</v>
      </c>
      <c r="AQ1178" s="28" t="str">
        <f t="shared" si="355"/>
        <v>20189JPY</v>
      </c>
      <c r="AR1178" s="206" t="str">
        <f t="shared" si="356"/>
        <v>YAMAHA_Mounter</v>
      </c>
      <c r="AS1178" s="22">
        <f t="shared" si="357"/>
        <v>0</v>
      </c>
      <c r="AT1178" s="24" t="str">
        <f t="shared" si="358"/>
        <v>0-3 months</v>
      </c>
      <c r="AU1178" s="22" t="s">
        <v>3746</v>
      </c>
    </row>
    <row r="1179" spans="1:47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3114</v>
      </c>
      <c r="K1179" s="155" t="s">
        <v>3115</v>
      </c>
      <c r="L1179" s="17" t="s">
        <v>92</v>
      </c>
      <c r="M1179" s="13" t="s">
        <v>60</v>
      </c>
      <c r="N1179" s="13">
        <v>1</v>
      </c>
      <c r="O1179" s="13"/>
      <c r="P1179" s="33" t="str">
        <f t="shared" si="350"/>
        <v>MAIN UNIT</v>
      </c>
      <c r="Q1179" s="13" t="s">
        <v>68</v>
      </c>
      <c r="R1179" s="13" t="s">
        <v>62</v>
      </c>
      <c r="S1179" s="13" t="s">
        <v>49</v>
      </c>
      <c r="T1179" s="13" t="s">
        <v>78</v>
      </c>
      <c r="U1179" s="13" t="s">
        <v>2110</v>
      </c>
      <c r="V1179" s="13" t="s">
        <v>471</v>
      </c>
      <c r="W1179" s="13" t="s">
        <v>109</v>
      </c>
      <c r="X1179" s="135">
        <v>12600000</v>
      </c>
      <c r="Y1179" s="157" t="str">
        <f>IF(W1179="","",IF(W1179="RMB","1.13", "1"))</f>
        <v>1</v>
      </c>
      <c r="Z1179" s="18">
        <f t="shared" si="342"/>
        <v>12600000</v>
      </c>
      <c r="AA1179" s="13">
        <v>5.4199999999999998E-2</v>
      </c>
      <c r="AB1179" s="21">
        <f t="shared" ref="AB1179:AB1242" si="360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45"/>
        <v>10271727.486725664</v>
      </c>
      <c r="AJ1179" s="19">
        <f t="shared" si="346"/>
        <v>1227228.7260761063</v>
      </c>
      <c r="AK1179" s="20">
        <f t="shared" si="353"/>
        <v>0.11947637120066472</v>
      </c>
      <c r="AL1179" s="17"/>
      <c r="AM1179" s="17"/>
      <c r="AN1179" s="17"/>
      <c r="AO1179" s="17"/>
      <c r="AP1179" s="28" t="str">
        <f t="shared" si="354"/>
        <v>202312</v>
      </c>
      <c r="AQ1179" s="28" t="str">
        <f t="shared" si="355"/>
        <v>202312JPY</v>
      </c>
      <c r="AR1179" s="206" t="str">
        <f t="shared" si="356"/>
        <v>YAMAHA_Mounter</v>
      </c>
      <c r="AS1179" s="22">
        <f t="shared" si="357"/>
        <v>1</v>
      </c>
      <c r="AT1179" s="24" t="str">
        <f t="shared" si="358"/>
        <v>0-3 months</v>
      </c>
      <c r="AU1179" s="22" t="s">
        <v>3745</v>
      </c>
    </row>
    <row r="1180" spans="1:47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3114</v>
      </c>
      <c r="K1180" s="155" t="s">
        <v>3115</v>
      </c>
      <c r="L1180" s="17" t="s">
        <v>67</v>
      </c>
      <c r="M1180" s="13" t="s">
        <v>60</v>
      </c>
      <c r="N1180" s="13">
        <v>1</v>
      </c>
      <c r="O1180" s="13"/>
      <c r="P1180" s="33" t="str">
        <f t="shared" si="350"/>
        <v>MAIN UNIT</v>
      </c>
      <c r="Q1180" s="13" t="s">
        <v>68</v>
      </c>
      <c r="R1180" s="13" t="s">
        <v>62</v>
      </c>
      <c r="S1180" s="13" t="s">
        <v>49</v>
      </c>
      <c r="T1180" s="13" t="s">
        <v>78</v>
      </c>
      <c r="U1180" s="13" t="s">
        <v>2110</v>
      </c>
      <c r="V1180" s="13" t="s">
        <v>471</v>
      </c>
      <c r="W1180" s="13" t="s">
        <v>109</v>
      </c>
      <c r="X1180" s="135">
        <v>9510000</v>
      </c>
      <c r="Y1180" s="157" t="str">
        <f>IF(W1180="","",IF(W1180="RMB","1.13", "1"))</f>
        <v>1</v>
      </c>
      <c r="Z1180" s="18">
        <f t="shared" si="342"/>
        <v>9510000</v>
      </c>
      <c r="AA1180" s="13">
        <v>5.4199999999999998E-2</v>
      </c>
      <c r="AB1180" s="21">
        <f t="shared" si="360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45"/>
        <v>10271727.486725664</v>
      </c>
      <c r="AJ1180" s="19">
        <f t="shared" si="346"/>
        <v>1227228.7260761063</v>
      </c>
      <c r="AK1180" s="20">
        <f t="shared" si="353"/>
        <v>0.11947637120066472</v>
      </c>
      <c r="AL1180" s="17"/>
      <c r="AM1180" s="17"/>
      <c r="AN1180" s="17"/>
      <c r="AO1180" s="17"/>
      <c r="AP1180" s="28" t="str">
        <f t="shared" si="354"/>
        <v>202312</v>
      </c>
      <c r="AQ1180" s="28" t="str">
        <f t="shared" si="355"/>
        <v>202312JPY</v>
      </c>
      <c r="AR1180" s="206" t="str">
        <f t="shared" si="356"/>
        <v>YAMAHA_Mounter</v>
      </c>
      <c r="AS1180" s="22">
        <f t="shared" si="357"/>
        <v>1</v>
      </c>
      <c r="AT1180" s="24" t="str">
        <f t="shared" si="358"/>
        <v>0-3 months</v>
      </c>
      <c r="AU1180" s="22" t="s">
        <v>3745</v>
      </c>
    </row>
    <row r="1181" spans="1:47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47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921</v>
      </c>
      <c r="K1181" s="155" t="s">
        <v>922</v>
      </c>
      <c r="L1181" s="17" t="s">
        <v>92</v>
      </c>
      <c r="M1181" s="13" t="s">
        <v>60</v>
      </c>
      <c r="N1181" s="13">
        <v>1</v>
      </c>
      <c r="O1181" s="13"/>
      <c r="P1181" s="33" t="str">
        <f t="shared" si="350"/>
        <v>MAIN UNIT</v>
      </c>
      <c r="Q1181" s="13" t="s">
        <v>68</v>
      </c>
      <c r="R1181" s="13" t="s">
        <v>62</v>
      </c>
      <c r="S1181" s="13" t="s">
        <v>49</v>
      </c>
      <c r="T1181" s="13" t="s">
        <v>78</v>
      </c>
      <c r="U1181" s="13" t="s">
        <v>79</v>
      </c>
      <c r="V1181" s="13" t="s">
        <v>715</v>
      </c>
      <c r="W1181" s="13" t="s">
        <v>64</v>
      </c>
      <c r="X1181" s="135">
        <v>1020000</v>
      </c>
      <c r="Y1181" s="156">
        <v>1.1299999999999999</v>
      </c>
      <c r="Z1181" s="18">
        <f t="shared" si="342"/>
        <v>1020000</v>
      </c>
      <c r="AA1181" s="13">
        <v>1.095</v>
      </c>
      <c r="AB1181" s="21">
        <f t="shared" si="360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45"/>
        <v>28647263.974455759</v>
      </c>
      <c r="AJ1181" s="19">
        <f t="shared" si="346"/>
        <v>3219855.6912513468</v>
      </c>
      <c r="AK1181" s="20">
        <f t="shared" si="353"/>
        <v>0.11239662168514358</v>
      </c>
      <c r="AL1181" s="17"/>
      <c r="AM1181" s="17"/>
      <c r="AN1181" s="17"/>
      <c r="AO1181" s="17"/>
      <c r="AP1181" s="28" t="str">
        <f t="shared" si="354"/>
        <v>201910</v>
      </c>
      <c r="AQ1181" s="28" t="str">
        <f t="shared" si="355"/>
        <v>201910RMB</v>
      </c>
      <c r="AR1181" s="206" t="str">
        <f t="shared" si="356"/>
        <v>YAMAHA_Mounter</v>
      </c>
      <c r="AS1181" s="22">
        <f t="shared" si="357"/>
        <v>2</v>
      </c>
      <c r="AT1181" s="24" t="str">
        <f t="shared" si="358"/>
        <v>0-3 months</v>
      </c>
      <c r="AU1181" s="22" t="s">
        <v>3744</v>
      </c>
    </row>
    <row r="1182" spans="1:47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47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1015</v>
      </c>
      <c r="K1182" s="155" t="s">
        <v>1016</v>
      </c>
      <c r="L1182" s="17" t="s">
        <v>92</v>
      </c>
      <c r="M1182" s="13" t="s">
        <v>60</v>
      </c>
      <c r="N1182" s="13">
        <v>1</v>
      </c>
      <c r="O1182" s="13"/>
      <c r="P1182" s="33" t="str">
        <f t="shared" si="350"/>
        <v>MAIN UNIT</v>
      </c>
      <c r="Q1182" s="13" t="s">
        <v>68</v>
      </c>
      <c r="R1182" s="13" t="s">
        <v>62</v>
      </c>
      <c r="S1182" s="13" t="s">
        <v>49</v>
      </c>
      <c r="T1182" s="13" t="s">
        <v>78</v>
      </c>
      <c r="U1182" s="13" t="s">
        <v>79</v>
      </c>
      <c r="V1182" s="13" t="s">
        <v>311</v>
      </c>
      <c r="W1182" s="13" t="s">
        <v>109</v>
      </c>
      <c r="X1182" s="135">
        <v>12350000</v>
      </c>
      <c r="Y1182" s="156">
        <v>1</v>
      </c>
      <c r="Z1182" s="18">
        <f t="shared" si="342"/>
        <v>12350000</v>
      </c>
      <c r="AA1182" s="13">
        <v>7.2999999999999995E-2</v>
      </c>
      <c r="AB1182" s="21">
        <f t="shared" si="360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45"/>
        <v>11620538.477876106</v>
      </c>
      <c r="AJ1182" s="19">
        <f t="shared" si="346"/>
        <v>1598596.3145221241</v>
      </c>
      <c r="AK1182" s="20">
        <f t="shared" si="353"/>
        <v>0.13756645766163331</v>
      </c>
      <c r="AL1182" s="17"/>
      <c r="AM1182" s="17"/>
      <c r="AN1182" s="17"/>
      <c r="AO1182" s="17"/>
      <c r="AP1182" s="28" t="str">
        <f t="shared" si="354"/>
        <v>20201</v>
      </c>
      <c r="AQ1182" s="28" t="str">
        <f t="shared" si="355"/>
        <v>20201JPY</v>
      </c>
      <c r="AR1182" s="206" t="str">
        <f t="shared" si="356"/>
        <v>YAMAHA_Mounter</v>
      </c>
      <c r="AS1182" s="22">
        <f t="shared" si="357"/>
        <v>2</v>
      </c>
      <c r="AT1182" s="24" t="str">
        <f t="shared" si="358"/>
        <v>0-3 months</v>
      </c>
      <c r="AU1182" s="22" t="s">
        <v>3745</v>
      </c>
    </row>
    <row r="1183" spans="1:47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47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1015</v>
      </c>
      <c r="K1183" s="155" t="s">
        <v>1016</v>
      </c>
      <c r="L1183" s="17" t="s">
        <v>92</v>
      </c>
      <c r="M1183" s="13" t="s">
        <v>60</v>
      </c>
      <c r="N1183" s="13">
        <v>1</v>
      </c>
      <c r="O1183" s="13"/>
      <c r="P1183" s="33" t="str">
        <f t="shared" si="350"/>
        <v>MAIN UNIT</v>
      </c>
      <c r="Q1183" s="13" t="s">
        <v>68</v>
      </c>
      <c r="R1183" s="13" t="s">
        <v>62</v>
      </c>
      <c r="S1183" s="13" t="s">
        <v>49</v>
      </c>
      <c r="T1183" s="13" t="s">
        <v>78</v>
      </c>
      <c r="U1183" s="13" t="s">
        <v>79</v>
      </c>
      <c r="V1183" s="13" t="s">
        <v>311</v>
      </c>
      <c r="W1183" s="13" t="s">
        <v>109</v>
      </c>
      <c r="X1183" s="135">
        <v>12350000</v>
      </c>
      <c r="Y1183" s="156">
        <v>1</v>
      </c>
      <c r="Z1183" s="18">
        <f t="shared" si="342"/>
        <v>12350000</v>
      </c>
      <c r="AA1183" s="13">
        <v>7.2999999999999995E-2</v>
      </c>
      <c r="AB1183" s="21">
        <f t="shared" si="360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45"/>
        <v>11620538.477876106</v>
      </c>
      <c r="AJ1183" s="19">
        <f t="shared" si="346"/>
        <v>1598596.3145221241</v>
      </c>
      <c r="AK1183" s="20">
        <f t="shared" si="353"/>
        <v>0.13756645766163331</v>
      </c>
      <c r="AL1183" s="17"/>
      <c r="AM1183" s="17"/>
      <c r="AN1183" s="17"/>
      <c r="AO1183" s="17"/>
      <c r="AP1183" s="28" t="str">
        <f t="shared" si="354"/>
        <v>20201</v>
      </c>
      <c r="AQ1183" s="28" t="str">
        <f t="shared" si="355"/>
        <v>20201JPY</v>
      </c>
      <c r="AR1183" s="206" t="str">
        <f t="shared" si="356"/>
        <v>YAMAHA_Mounter</v>
      </c>
      <c r="AS1183" s="22">
        <f t="shared" si="357"/>
        <v>2</v>
      </c>
      <c r="AT1183" s="24" t="str">
        <f t="shared" si="358"/>
        <v>0-3 months</v>
      </c>
      <c r="AU1183" s="22" t="s">
        <v>3745</v>
      </c>
    </row>
    <row r="1184" spans="1:47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48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1028</v>
      </c>
      <c r="K1184" s="155" t="s">
        <v>1029</v>
      </c>
      <c r="L1184" s="17" t="s">
        <v>92</v>
      </c>
      <c r="M1184" s="13" t="s">
        <v>60</v>
      </c>
      <c r="N1184" s="13">
        <v>1</v>
      </c>
      <c r="O1184" s="13"/>
      <c r="P1184" s="33" t="str">
        <f t="shared" si="350"/>
        <v>MAIN UNIT</v>
      </c>
      <c r="Q1184" s="13" t="s">
        <v>61</v>
      </c>
      <c r="R1184" s="13" t="s">
        <v>62</v>
      </c>
      <c r="S1184" s="13" t="s">
        <v>49</v>
      </c>
      <c r="T1184" s="13" t="s">
        <v>78</v>
      </c>
      <c r="U1184" s="13" t="s">
        <v>79</v>
      </c>
      <c r="V1184" s="13" t="s">
        <v>126</v>
      </c>
      <c r="W1184" s="13" t="s">
        <v>109</v>
      </c>
      <c r="X1184" s="135">
        <v>16200000</v>
      </c>
      <c r="Y1184" s="157" t="str">
        <f t="shared" ref="Y1184:Y1190" si="361">IF(W1184="RMB","1.13", "1")</f>
        <v>1</v>
      </c>
      <c r="Z1184" s="18">
        <f t="shared" si="342"/>
        <v>16200000</v>
      </c>
      <c r="AA1184" s="13">
        <v>7.4899999999999994E-2</v>
      </c>
      <c r="AB1184" s="21">
        <f t="shared" si="360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45"/>
        <v>28011162.254106201</v>
      </c>
      <c r="AJ1184" s="19">
        <f t="shared" si="346"/>
        <v>3401347.1124888416</v>
      </c>
      <c r="AK1184" s="20">
        <f t="shared" si="353"/>
        <v>0.12142827497242578</v>
      </c>
      <c r="AL1184" s="17"/>
      <c r="AM1184" s="17"/>
      <c r="AN1184" s="17"/>
      <c r="AO1184" s="17"/>
      <c r="AP1184" s="28" t="str">
        <f t="shared" si="354"/>
        <v>202010</v>
      </c>
      <c r="AQ1184" s="28" t="str">
        <f t="shared" si="355"/>
        <v>202010JPY</v>
      </c>
      <c r="AR1184" s="206" t="str">
        <f t="shared" si="356"/>
        <v>YAMAHA_Mounter</v>
      </c>
      <c r="AS1184" s="22">
        <f t="shared" si="357"/>
        <v>10</v>
      </c>
      <c r="AT1184" s="24" t="str">
        <f t="shared" si="358"/>
        <v>&gt; 6 months</v>
      </c>
      <c r="AU1184" s="22" t="s">
        <v>3745</v>
      </c>
    </row>
    <row r="1185" spans="1:47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48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1028</v>
      </c>
      <c r="K1185" s="155" t="s">
        <v>1029</v>
      </c>
      <c r="L1185" s="17" t="s">
        <v>67</v>
      </c>
      <c r="M1185" s="13" t="s">
        <v>60</v>
      </c>
      <c r="N1185" s="13">
        <v>1</v>
      </c>
      <c r="O1185" s="13"/>
      <c r="P1185" s="33" t="str">
        <f t="shared" si="350"/>
        <v>MAIN UNIT</v>
      </c>
      <c r="Q1185" s="13" t="s">
        <v>61</v>
      </c>
      <c r="R1185" s="13" t="s">
        <v>62</v>
      </c>
      <c r="S1185" s="13" t="s">
        <v>49</v>
      </c>
      <c r="T1185" s="13" t="s">
        <v>78</v>
      </c>
      <c r="U1185" s="13" t="s">
        <v>79</v>
      </c>
      <c r="V1185" s="13" t="s">
        <v>126</v>
      </c>
      <c r="W1185" s="13" t="s">
        <v>109</v>
      </c>
      <c r="X1185" s="135">
        <v>10200000</v>
      </c>
      <c r="Y1185" s="157" t="str">
        <f t="shared" si="361"/>
        <v>1</v>
      </c>
      <c r="Z1185" s="18">
        <f t="shared" si="342"/>
        <v>10200000</v>
      </c>
      <c r="AA1185" s="13">
        <v>7.4899999999999994E-2</v>
      </c>
      <c r="AB1185" s="21">
        <f t="shared" si="360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45"/>
        <v>28011162.254106201</v>
      </c>
      <c r="AJ1185" s="19">
        <f t="shared" si="346"/>
        <v>3401347.1124888416</v>
      </c>
      <c r="AK1185" s="20">
        <f t="shared" si="353"/>
        <v>0.12142827497242578</v>
      </c>
      <c r="AL1185" s="17"/>
      <c r="AM1185" s="17"/>
      <c r="AN1185" s="17"/>
      <c r="AO1185" s="17"/>
      <c r="AP1185" s="28" t="str">
        <f t="shared" si="354"/>
        <v>202010</v>
      </c>
      <c r="AQ1185" s="28" t="str">
        <f t="shared" si="355"/>
        <v>202010JPY</v>
      </c>
      <c r="AR1185" s="206" t="str">
        <f t="shared" si="356"/>
        <v>YAMAHA_Mounter</v>
      </c>
      <c r="AS1185" s="22">
        <f t="shared" si="357"/>
        <v>10</v>
      </c>
      <c r="AT1185" s="24" t="str">
        <f t="shared" si="358"/>
        <v>&gt; 6 months</v>
      </c>
      <c r="AU1185" s="22" t="s">
        <v>3745</v>
      </c>
    </row>
    <row r="1186" spans="1:47" s="12" customFormat="1">
      <c r="A1186" s="33" t="str">
        <f t="shared" si="347"/>
        <v>cancel</v>
      </c>
      <c r="B1186" s="152"/>
      <c r="C1186" s="152" t="s">
        <v>185</v>
      </c>
      <c r="D1186" s="33" t="str">
        <f t="shared" si="348"/>
        <v/>
      </c>
      <c r="E1186" s="33" t="s">
        <v>185</v>
      </c>
      <c r="F1186" s="13" t="s">
        <v>185</v>
      </c>
      <c r="G1186" s="152" t="s">
        <v>185</v>
      </c>
      <c r="H1186" s="155"/>
      <c r="I1186" s="33" t="str">
        <f t="shared" si="349"/>
        <v>Cancel</v>
      </c>
      <c r="J1186" s="186" t="s">
        <v>2733</v>
      </c>
      <c r="K1186" s="155" t="s">
        <v>1029</v>
      </c>
      <c r="L1186" s="17" t="s">
        <v>92</v>
      </c>
      <c r="M1186" s="13" t="s">
        <v>60</v>
      </c>
      <c r="N1186" s="13">
        <v>1</v>
      </c>
      <c r="O1186" s="13"/>
      <c r="P1186" s="33" t="str">
        <f t="shared" si="350"/>
        <v>MAIN UNIT</v>
      </c>
      <c r="Q1186" s="13" t="s">
        <v>61</v>
      </c>
      <c r="R1186" s="13" t="s">
        <v>62</v>
      </c>
      <c r="S1186" s="13" t="s">
        <v>49</v>
      </c>
      <c r="T1186" s="13" t="s">
        <v>78</v>
      </c>
      <c r="U1186" s="13" t="s">
        <v>79</v>
      </c>
      <c r="V1186" s="13" t="s">
        <v>126</v>
      </c>
      <c r="W1186" s="13" t="s">
        <v>109</v>
      </c>
      <c r="X1186" s="135">
        <v>10600000</v>
      </c>
      <c r="Y1186" s="157" t="str">
        <f t="shared" si="361"/>
        <v>1</v>
      </c>
      <c r="Z1186" s="18">
        <f t="shared" si="342"/>
        <v>10600000</v>
      </c>
      <c r="AA1186" s="13">
        <v>7.2999999999999995E-2</v>
      </c>
      <c r="AB1186" s="21">
        <f t="shared" si="360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45"/>
        <v>499582152.5142017</v>
      </c>
      <c r="AJ1186" s="19">
        <f t="shared" si="346"/>
        <v>59520528.679470733</v>
      </c>
      <c r="AK1186" s="20">
        <f t="shared" si="353"/>
        <v>0.11914062257814291</v>
      </c>
      <c r="AL1186" s="17"/>
      <c r="AM1186" s="17"/>
      <c r="AN1186" s="17"/>
      <c r="AO1186" s="17"/>
      <c r="AP1186" s="28" t="str">
        <f t="shared" si="354"/>
        <v>CancelCancel</v>
      </c>
      <c r="AQ1186" s="28" t="str">
        <f t="shared" si="355"/>
        <v>CancelCancelJPY</v>
      </c>
      <c r="AR1186" s="206" t="str">
        <f t="shared" si="356"/>
        <v>YAMAHA_Mounter</v>
      </c>
      <c r="AS1186" s="22" t="str">
        <f t="shared" si="357"/>
        <v/>
      </c>
      <c r="AT1186" s="24" t="str">
        <f t="shared" si="358"/>
        <v/>
      </c>
      <c r="AU1186" s="22" t="s">
        <v>3745</v>
      </c>
    </row>
    <row r="1187" spans="1:47" s="12" customFormat="1">
      <c r="A1187" s="33" t="str">
        <f t="shared" si="347"/>
        <v>cancel</v>
      </c>
      <c r="B1187" s="152"/>
      <c r="C1187" s="152" t="s">
        <v>185</v>
      </c>
      <c r="D1187" s="33" t="str">
        <f t="shared" si="348"/>
        <v/>
      </c>
      <c r="E1187" s="33" t="s">
        <v>185</v>
      </c>
      <c r="F1187" s="13" t="s">
        <v>185</v>
      </c>
      <c r="G1187" s="152" t="s">
        <v>185</v>
      </c>
      <c r="H1187" s="155"/>
      <c r="I1187" s="33" t="str">
        <f t="shared" si="349"/>
        <v>Cancel</v>
      </c>
      <c r="J1187" s="186" t="s">
        <v>2733</v>
      </c>
      <c r="K1187" s="155" t="s">
        <v>1029</v>
      </c>
      <c r="L1187" s="17" t="s">
        <v>67</v>
      </c>
      <c r="M1187" s="13" t="s">
        <v>60</v>
      </c>
      <c r="N1187" s="13">
        <v>1</v>
      </c>
      <c r="O1187" s="13"/>
      <c r="P1187" s="33" t="str">
        <f t="shared" si="350"/>
        <v>MAIN UNIT</v>
      </c>
      <c r="Q1187" s="13" t="s">
        <v>61</v>
      </c>
      <c r="R1187" s="13" t="s">
        <v>62</v>
      </c>
      <c r="S1187" s="13" t="s">
        <v>49</v>
      </c>
      <c r="T1187" s="13" t="s">
        <v>78</v>
      </c>
      <c r="U1187" s="13" t="s">
        <v>79</v>
      </c>
      <c r="V1187" s="13" t="s">
        <v>126</v>
      </c>
      <c r="W1187" s="13" t="s">
        <v>109</v>
      </c>
      <c r="X1187" s="135">
        <v>8150000</v>
      </c>
      <c r="Y1187" s="157" t="str">
        <f t="shared" si="361"/>
        <v>1</v>
      </c>
      <c r="Z1187" s="18">
        <f t="shared" si="342"/>
        <v>8150000</v>
      </c>
      <c r="AA1187" s="13">
        <v>7.2999999999999995E-2</v>
      </c>
      <c r="AB1187" s="21">
        <f t="shared" si="360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45"/>
        <v>499582152.5142017</v>
      </c>
      <c r="AJ1187" s="19">
        <f t="shared" si="346"/>
        <v>59520528.679470733</v>
      </c>
      <c r="AK1187" s="20">
        <f t="shared" si="353"/>
        <v>0.11914062257814291</v>
      </c>
      <c r="AL1187" s="17"/>
      <c r="AM1187" s="17"/>
      <c r="AN1187" s="17"/>
      <c r="AO1187" s="17"/>
      <c r="AP1187" s="28" t="str">
        <f t="shared" si="354"/>
        <v>CancelCancel</v>
      </c>
      <c r="AQ1187" s="28" t="str">
        <f t="shared" si="355"/>
        <v>CancelCancelJPY</v>
      </c>
      <c r="AR1187" s="206" t="str">
        <f t="shared" si="356"/>
        <v>YAMAHA_Mounter</v>
      </c>
      <c r="AS1187" s="22" t="str">
        <f t="shared" si="357"/>
        <v/>
      </c>
      <c r="AT1187" s="24" t="str">
        <f t="shared" si="358"/>
        <v/>
      </c>
      <c r="AU1187" s="22" t="s">
        <v>3745</v>
      </c>
    </row>
    <row r="1188" spans="1:47" s="12" customFormat="1">
      <c r="A1188" s="33" t="str">
        <f t="shared" si="347"/>
        <v>cancel</v>
      </c>
      <c r="B1188" s="152"/>
      <c r="C1188" s="152" t="s">
        <v>185</v>
      </c>
      <c r="D1188" s="33" t="str">
        <f t="shared" si="348"/>
        <v/>
      </c>
      <c r="E1188" s="33" t="s">
        <v>185</v>
      </c>
      <c r="F1188" s="13" t="s">
        <v>185</v>
      </c>
      <c r="G1188" s="152" t="s">
        <v>185</v>
      </c>
      <c r="H1188" s="155"/>
      <c r="I1188" s="33" t="str">
        <f t="shared" si="349"/>
        <v>Cancel</v>
      </c>
      <c r="J1188" s="186" t="s">
        <v>2733</v>
      </c>
      <c r="K1188" s="155" t="s">
        <v>1029</v>
      </c>
      <c r="L1188" s="17" t="s">
        <v>67</v>
      </c>
      <c r="M1188" s="13" t="s">
        <v>60</v>
      </c>
      <c r="N1188" s="13">
        <v>1</v>
      </c>
      <c r="O1188" s="13"/>
      <c r="P1188" s="33" t="str">
        <f t="shared" si="350"/>
        <v>MAIN UNIT</v>
      </c>
      <c r="Q1188" s="13" t="s">
        <v>61</v>
      </c>
      <c r="R1188" s="13" t="s">
        <v>62</v>
      </c>
      <c r="S1188" s="13" t="s">
        <v>49</v>
      </c>
      <c r="T1188" s="13" t="s">
        <v>78</v>
      </c>
      <c r="U1188" s="13" t="s">
        <v>79</v>
      </c>
      <c r="V1188" s="13" t="s">
        <v>126</v>
      </c>
      <c r="W1188" s="13" t="s">
        <v>109</v>
      </c>
      <c r="X1188" s="135">
        <v>8150000</v>
      </c>
      <c r="Y1188" s="157" t="str">
        <f t="shared" si="361"/>
        <v>1</v>
      </c>
      <c r="Z1188" s="18">
        <f t="shared" si="342"/>
        <v>8150000</v>
      </c>
      <c r="AA1188" s="13">
        <v>7.2999999999999995E-2</v>
      </c>
      <c r="AB1188" s="21">
        <f t="shared" si="360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45"/>
        <v>499582152.5142017</v>
      </c>
      <c r="AJ1188" s="19">
        <f t="shared" si="346"/>
        <v>59520528.679470733</v>
      </c>
      <c r="AK1188" s="20">
        <f t="shared" si="353"/>
        <v>0.11914062257814291</v>
      </c>
      <c r="AL1188" s="17"/>
      <c r="AM1188" s="17"/>
      <c r="AN1188" s="17"/>
      <c r="AO1188" s="17"/>
      <c r="AP1188" s="28" t="str">
        <f t="shared" si="354"/>
        <v>CancelCancel</v>
      </c>
      <c r="AQ1188" s="28" t="str">
        <f t="shared" si="355"/>
        <v>CancelCancelJPY</v>
      </c>
      <c r="AR1188" s="206" t="str">
        <f t="shared" si="356"/>
        <v>YAMAHA_Mounter</v>
      </c>
      <c r="AS1188" s="22" t="str">
        <f t="shared" si="357"/>
        <v/>
      </c>
      <c r="AT1188" s="24" t="str">
        <f t="shared" si="358"/>
        <v/>
      </c>
      <c r="AU1188" s="22" t="s">
        <v>3745</v>
      </c>
    </row>
    <row r="1189" spans="1:47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54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2386</v>
      </c>
      <c r="K1189" s="155" t="s">
        <v>2387</v>
      </c>
      <c r="L1189" s="17" t="s">
        <v>67</v>
      </c>
      <c r="M1189" s="13" t="s">
        <v>60</v>
      </c>
      <c r="N1189" s="13">
        <v>1</v>
      </c>
      <c r="O1189" s="13"/>
      <c r="P1189" s="33" t="str">
        <f t="shared" si="350"/>
        <v>MAIN UNIT</v>
      </c>
      <c r="Q1189" s="13" t="s">
        <v>68</v>
      </c>
      <c r="R1189" s="13" t="s">
        <v>62</v>
      </c>
      <c r="S1189" s="13" t="s">
        <v>49</v>
      </c>
      <c r="T1189" s="13" t="s">
        <v>78</v>
      </c>
      <c r="U1189" s="13" t="s">
        <v>79</v>
      </c>
      <c r="V1189" s="13" t="s">
        <v>126</v>
      </c>
      <c r="W1189" s="13" t="s">
        <v>109</v>
      </c>
      <c r="X1189" s="135">
        <v>8300000</v>
      </c>
      <c r="Y1189" s="157" t="str">
        <f t="shared" si="361"/>
        <v>1</v>
      </c>
      <c r="Z1189" s="18">
        <f t="shared" si="342"/>
        <v>8300000</v>
      </c>
      <c r="AA1189" s="13">
        <v>5.7500000000000002E-2</v>
      </c>
      <c r="AB1189" s="21">
        <f t="shared" si="360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45"/>
        <v>17329060.066371687</v>
      </c>
      <c r="AJ1189" s="19">
        <f t="shared" si="346"/>
        <v>2472600.2142256643</v>
      </c>
      <c r="AK1189" s="20">
        <f t="shared" si="353"/>
        <v>0.14268518919984163</v>
      </c>
      <c r="AL1189" s="17"/>
      <c r="AM1189" s="17"/>
      <c r="AN1189" s="17"/>
      <c r="AO1189" s="17"/>
      <c r="AP1189" s="28" t="str">
        <f t="shared" si="354"/>
        <v>202212</v>
      </c>
      <c r="AQ1189" s="28" t="str">
        <f t="shared" si="355"/>
        <v>202212JPY</v>
      </c>
      <c r="AR1189" s="206" t="str">
        <f t="shared" si="356"/>
        <v>YAMAHA_Mounter</v>
      </c>
      <c r="AS1189" s="22">
        <f t="shared" si="357"/>
        <v>6</v>
      </c>
      <c r="AT1189" s="24" t="str">
        <f t="shared" si="358"/>
        <v>4-6 months</v>
      </c>
      <c r="AU1189" s="22" t="s">
        <v>3746</v>
      </c>
    </row>
    <row r="1190" spans="1:47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54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2386</v>
      </c>
      <c r="K1190" s="155" t="s">
        <v>2387</v>
      </c>
      <c r="L1190" s="17" t="s">
        <v>67</v>
      </c>
      <c r="M1190" s="13" t="s">
        <v>60</v>
      </c>
      <c r="N1190" s="13">
        <v>1</v>
      </c>
      <c r="O1190" s="13"/>
      <c r="P1190" s="33" t="str">
        <f t="shared" si="350"/>
        <v>MAIN UNIT</v>
      </c>
      <c r="Q1190" s="13" t="s">
        <v>68</v>
      </c>
      <c r="R1190" s="13" t="s">
        <v>62</v>
      </c>
      <c r="S1190" s="13" t="s">
        <v>49</v>
      </c>
      <c r="T1190" s="13" t="s">
        <v>78</v>
      </c>
      <c r="U1190" s="13" t="s">
        <v>79</v>
      </c>
      <c r="V1190" s="13" t="s">
        <v>126</v>
      </c>
      <c r="W1190" s="13" t="s">
        <v>109</v>
      </c>
      <c r="X1190" s="135">
        <v>8300000</v>
      </c>
      <c r="Y1190" s="157" t="str">
        <f t="shared" si="361"/>
        <v>1</v>
      </c>
      <c r="Z1190" s="18">
        <f t="shared" si="342"/>
        <v>8300000</v>
      </c>
      <c r="AA1190" s="13">
        <v>5.7500000000000002E-2</v>
      </c>
      <c r="AB1190" s="21">
        <f t="shared" si="360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45"/>
        <v>17329060.066371687</v>
      </c>
      <c r="AJ1190" s="19">
        <f t="shared" si="346"/>
        <v>2472600.2142256643</v>
      </c>
      <c r="AK1190" s="20">
        <f t="shared" si="353"/>
        <v>0.14268518919984163</v>
      </c>
      <c r="AL1190" s="17"/>
      <c r="AM1190" s="17"/>
      <c r="AN1190" s="17"/>
      <c r="AO1190" s="17"/>
      <c r="AP1190" s="28" t="str">
        <f t="shared" si="354"/>
        <v>202212</v>
      </c>
      <c r="AQ1190" s="28" t="str">
        <f t="shared" si="355"/>
        <v>202212JPY</v>
      </c>
      <c r="AR1190" s="206" t="str">
        <f t="shared" si="356"/>
        <v>YAMAHA_Mounter</v>
      </c>
      <c r="AS1190" s="22">
        <f t="shared" si="357"/>
        <v>6</v>
      </c>
      <c r="AT1190" s="24" t="str">
        <f t="shared" si="358"/>
        <v>4-6 months</v>
      </c>
      <c r="AU1190" s="22" t="s">
        <v>3746</v>
      </c>
    </row>
    <row r="1191" spans="1:47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3172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3379</v>
      </c>
      <c r="K1191" s="29" t="s">
        <v>3380</v>
      </c>
      <c r="L1191" s="17" t="s">
        <v>67</v>
      </c>
      <c r="M1191" s="22" t="s">
        <v>60</v>
      </c>
      <c r="N1191" s="22">
        <v>1</v>
      </c>
      <c r="O1191" s="22"/>
      <c r="P1191" s="33" t="str">
        <f t="shared" si="350"/>
        <v>MAIN UNIT</v>
      </c>
      <c r="Q1191" s="13" t="s">
        <v>68</v>
      </c>
      <c r="R1191" s="22" t="s">
        <v>62</v>
      </c>
      <c r="S1191" s="22" t="s">
        <v>49</v>
      </c>
      <c r="T1191" s="22" t="s">
        <v>396</v>
      </c>
      <c r="U1191" s="22" t="s">
        <v>1768</v>
      </c>
      <c r="V1191" s="22" t="s">
        <v>2011</v>
      </c>
      <c r="W1191" s="22" t="s">
        <v>64</v>
      </c>
      <c r="X1191" s="30">
        <v>650000</v>
      </c>
      <c r="Y1191" s="31" t="str">
        <f>IF(W1191="","",IF(W1191="RMB","1.13", "1"))</f>
        <v>1.13</v>
      </c>
      <c r="Z1191" s="18">
        <f t="shared" si="342"/>
        <v>650000</v>
      </c>
      <c r="AA1191" s="22">
        <v>1.083</v>
      </c>
      <c r="AB1191" s="21">
        <f t="shared" si="360"/>
        <v>622964.60176991147</v>
      </c>
      <c r="AC1191" s="25">
        <f t="shared" si="351"/>
        <v>144590.08407079647</v>
      </c>
      <c r="AD1191" s="22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45"/>
        <v>11472879.764601771</v>
      </c>
      <c r="AJ1191" s="27">
        <f t="shared" si="346"/>
        <v>2038344.1716106194</v>
      </c>
      <c r="AK1191" s="28">
        <f t="shared" si="353"/>
        <v>0.17766630640544948</v>
      </c>
      <c r="AL1191" s="24"/>
      <c r="AM1191" s="24"/>
      <c r="AN1191" s="24"/>
      <c r="AO1191" s="24"/>
      <c r="AP1191" s="28" t="str">
        <f t="shared" si="354"/>
        <v>20245</v>
      </c>
      <c r="AQ1191" s="28" t="str">
        <f t="shared" si="355"/>
        <v>20245RMB</v>
      </c>
      <c r="AR1191" s="206" t="str">
        <f t="shared" si="356"/>
        <v>YAMAHA_Mounter</v>
      </c>
      <c r="AS1191" s="22">
        <f t="shared" si="357"/>
        <v>4</v>
      </c>
      <c r="AT1191" s="24" t="str">
        <f t="shared" si="358"/>
        <v>4-6 months</v>
      </c>
      <c r="AU1191" s="22" t="s">
        <v>3751</v>
      </c>
    </row>
    <row r="1192" spans="1:47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48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1569</v>
      </c>
      <c r="K1192" s="155" t="s">
        <v>1570</v>
      </c>
      <c r="L1192" s="17" t="s">
        <v>67</v>
      </c>
      <c r="M1192" s="13" t="s">
        <v>60</v>
      </c>
      <c r="N1192" s="13">
        <v>1</v>
      </c>
      <c r="O1192" s="13"/>
      <c r="P1192" s="33" t="str">
        <f t="shared" si="350"/>
        <v>MAIN UNIT</v>
      </c>
      <c r="Q1192" s="13" t="s">
        <v>68</v>
      </c>
      <c r="R1192" s="13" t="s">
        <v>62</v>
      </c>
      <c r="S1192" s="13" t="s">
        <v>49</v>
      </c>
      <c r="T1192" s="13" t="s">
        <v>78</v>
      </c>
      <c r="U1192" s="13" t="s">
        <v>79</v>
      </c>
      <c r="V1192" s="13" t="s">
        <v>112</v>
      </c>
      <c r="W1192" s="13" t="s">
        <v>109</v>
      </c>
      <c r="X1192" s="135">
        <v>8600000</v>
      </c>
      <c r="Y1192" s="157" t="str">
        <f t="shared" ref="Y1192:Y1205" si="362">IF(W1192="RMB","1.13", "1")</f>
        <v>1</v>
      </c>
      <c r="Z1192" s="18">
        <f t="shared" si="342"/>
        <v>8600000</v>
      </c>
      <c r="AA1192" s="13">
        <v>7.4499999999999997E-2</v>
      </c>
      <c r="AB1192" s="21">
        <f t="shared" si="360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45"/>
        <v>57778307.282035396</v>
      </c>
      <c r="AJ1192" s="19">
        <f t="shared" si="346"/>
        <v>7259860.7225420559</v>
      </c>
      <c r="AK1192" s="20">
        <f t="shared" si="353"/>
        <v>0.12565028406083667</v>
      </c>
      <c r="AL1192" s="17"/>
      <c r="AM1192" s="17"/>
      <c r="AN1192" s="17"/>
      <c r="AO1192" s="17"/>
      <c r="AP1192" s="28" t="str">
        <f t="shared" si="354"/>
        <v>20213</v>
      </c>
      <c r="AQ1192" s="28" t="str">
        <f t="shared" si="355"/>
        <v>20213JPY</v>
      </c>
      <c r="AR1192" s="206" t="str">
        <f t="shared" si="356"/>
        <v>YAMAHA_Mounter</v>
      </c>
      <c r="AS1192" s="22">
        <f t="shared" si="357"/>
        <v>3</v>
      </c>
      <c r="AT1192" s="24" t="str">
        <f t="shared" si="358"/>
        <v>0-3 months</v>
      </c>
      <c r="AU1192" s="22" t="s">
        <v>3745</v>
      </c>
    </row>
    <row r="1193" spans="1:47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48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1569</v>
      </c>
      <c r="K1193" s="155" t="s">
        <v>1570</v>
      </c>
      <c r="L1193" s="17" t="s">
        <v>67</v>
      </c>
      <c r="M1193" s="13" t="s">
        <v>60</v>
      </c>
      <c r="N1193" s="13">
        <v>1</v>
      </c>
      <c r="O1193" s="13"/>
      <c r="P1193" s="33" t="str">
        <f t="shared" si="350"/>
        <v>MAIN UNIT</v>
      </c>
      <c r="Q1193" s="13" t="s">
        <v>68</v>
      </c>
      <c r="R1193" s="13" t="s">
        <v>62</v>
      </c>
      <c r="S1193" s="13" t="s">
        <v>49</v>
      </c>
      <c r="T1193" s="13" t="s">
        <v>78</v>
      </c>
      <c r="U1193" s="13" t="s">
        <v>79</v>
      </c>
      <c r="V1193" s="13" t="s">
        <v>112</v>
      </c>
      <c r="W1193" s="13" t="s">
        <v>109</v>
      </c>
      <c r="X1193" s="135">
        <v>8600000</v>
      </c>
      <c r="Y1193" s="157" t="str">
        <f t="shared" si="362"/>
        <v>1</v>
      </c>
      <c r="Z1193" s="18">
        <f t="shared" si="342"/>
        <v>8600000</v>
      </c>
      <c r="AA1193" s="13">
        <v>7.4499999999999997E-2</v>
      </c>
      <c r="AB1193" s="21">
        <f t="shared" si="360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45"/>
        <v>57778307.282035396</v>
      </c>
      <c r="AJ1193" s="19">
        <f t="shared" si="346"/>
        <v>7259860.7225420559</v>
      </c>
      <c r="AK1193" s="20">
        <f t="shared" si="353"/>
        <v>0.12565028406083667</v>
      </c>
      <c r="AL1193" s="17"/>
      <c r="AM1193" s="17"/>
      <c r="AN1193" s="17"/>
      <c r="AO1193" s="17"/>
      <c r="AP1193" s="28" t="str">
        <f t="shared" si="354"/>
        <v>20213</v>
      </c>
      <c r="AQ1193" s="28" t="str">
        <f t="shared" si="355"/>
        <v>20213JPY</v>
      </c>
      <c r="AR1193" s="206" t="str">
        <f t="shared" si="356"/>
        <v>YAMAHA_Mounter</v>
      </c>
      <c r="AS1193" s="22">
        <f t="shared" si="357"/>
        <v>3</v>
      </c>
      <c r="AT1193" s="24" t="str">
        <f t="shared" si="358"/>
        <v>0-3 months</v>
      </c>
      <c r="AU1193" s="22" t="s">
        <v>3745</v>
      </c>
    </row>
    <row r="1194" spans="1:47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185</v>
      </c>
      <c r="F1194" s="13" t="s">
        <v>185</v>
      </c>
      <c r="G1194" s="152" t="s">
        <v>185</v>
      </c>
      <c r="H1194" s="155"/>
      <c r="I1194" s="33" t="str">
        <f t="shared" si="349"/>
        <v>Cancel</v>
      </c>
      <c r="J1194" s="186" t="s">
        <v>1637</v>
      </c>
      <c r="K1194" s="155" t="s">
        <v>1570</v>
      </c>
      <c r="L1194" s="17" t="s">
        <v>67</v>
      </c>
      <c r="M1194" s="13" t="s">
        <v>60</v>
      </c>
      <c r="N1194" s="13">
        <v>1</v>
      </c>
      <c r="O1194" s="13"/>
      <c r="P1194" s="33" t="str">
        <f t="shared" si="350"/>
        <v>MAIN UNIT</v>
      </c>
      <c r="Q1194" s="13" t="s">
        <v>68</v>
      </c>
      <c r="R1194" s="13" t="s">
        <v>62</v>
      </c>
      <c r="S1194" s="13" t="s">
        <v>49</v>
      </c>
      <c r="T1194" s="13" t="s">
        <v>78</v>
      </c>
      <c r="U1194" s="13" t="s">
        <v>79</v>
      </c>
      <c r="V1194" s="13" t="s">
        <v>112</v>
      </c>
      <c r="W1194" s="13" t="s">
        <v>109</v>
      </c>
      <c r="X1194" s="135">
        <v>8150000</v>
      </c>
      <c r="Y1194" s="157" t="str">
        <f t="shared" si="362"/>
        <v>1</v>
      </c>
      <c r="Z1194" s="18">
        <f t="shared" si="342"/>
        <v>8150000</v>
      </c>
      <c r="AA1194" s="13">
        <v>7.2400000000000006E-2</v>
      </c>
      <c r="AB1194" s="21">
        <f t="shared" si="360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45"/>
        <v>499582152.5142017</v>
      </c>
      <c r="AJ1194" s="19">
        <f t="shared" si="346"/>
        <v>59520528.679470733</v>
      </c>
      <c r="AK1194" s="20">
        <f t="shared" si="353"/>
        <v>0.11914062257814291</v>
      </c>
      <c r="AL1194" s="17"/>
      <c r="AM1194" s="17"/>
      <c r="AN1194" s="17"/>
      <c r="AO1194" s="17"/>
      <c r="AP1194" s="28" t="str">
        <f t="shared" si="354"/>
        <v>CancelCancel</v>
      </c>
      <c r="AQ1194" s="28" t="str">
        <f t="shared" si="355"/>
        <v>CancelCancelJPY</v>
      </c>
      <c r="AR1194" s="206" t="str">
        <f t="shared" si="356"/>
        <v>YAMAHA_Mounter</v>
      </c>
      <c r="AS1194" s="22" t="str">
        <f t="shared" si="357"/>
        <v/>
      </c>
      <c r="AT1194" s="24" t="str">
        <f t="shared" si="358"/>
        <v/>
      </c>
      <c r="AU1194" s="22" t="s">
        <v>3745</v>
      </c>
    </row>
    <row r="1195" spans="1:47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185</v>
      </c>
      <c r="F1195" s="13" t="s">
        <v>185</v>
      </c>
      <c r="G1195" s="152" t="s">
        <v>185</v>
      </c>
      <c r="H1195" s="155"/>
      <c r="I1195" s="33" t="str">
        <f t="shared" si="349"/>
        <v>Cancel</v>
      </c>
      <c r="J1195" s="186" t="s">
        <v>1637</v>
      </c>
      <c r="K1195" s="155" t="s">
        <v>1570</v>
      </c>
      <c r="L1195" s="17" t="s">
        <v>67</v>
      </c>
      <c r="M1195" s="13" t="s">
        <v>60</v>
      </c>
      <c r="N1195" s="13">
        <v>1</v>
      </c>
      <c r="O1195" s="13"/>
      <c r="P1195" s="33" t="str">
        <f t="shared" si="350"/>
        <v>MAIN UNIT</v>
      </c>
      <c r="Q1195" s="13" t="s">
        <v>68</v>
      </c>
      <c r="R1195" s="13" t="s">
        <v>62</v>
      </c>
      <c r="S1195" s="13" t="s">
        <v>49</v>
      </c>
      <c r="T1195" s="13" t="s">
        <v>78</v>
      </c>
      <c r="U1195" s="13" t="s">
        <v>79</v>
      </c>
      <c r="V1195" s="13" t="s">
        <v>112</v>
      </c>
      <c r="W1195" s="13" t="s">
        <v>109</v>
      </c>
      <c r="X1195" s="135">
        <v>8150000</v>
      </c>
      <c r="Y1195" s="157" t="str">
        <f t="shared" si="362"/>
        <v>1</v>
      </c>
      <c r="Z1195" s="18">
        <f t="shared" si="342"/>
        <v>8150000</v>
      </c>
      <c r="AA1195" s="13">
        <v>7.2400000000000006E-2</v>
      </c>
      <c r="AB1195" s="21">
        <f t="shared" si="360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45"/>
        <v>499582152.5142017</v>
      </c>
      <c r="AJ1195" s="19">
        <f t="shared" si="346"/>
        <v>59520528.679470733</v>
      </c>
      <c r="AK1195" s="20">
        <f t="shared" si="353"/>
        <v>0.11914062257814291</v>
      </c>
      <c r="AL1195" s="17"/>
      <c r="AM1195" s="17"/>
      <c r="AN1195" s="17"/>
      <c r="AO1195" s="17"/>
      <c r="AP1195" s="28" t="str">
        <f t="shared" si="354"/>
        <v>CancelCancel</v>
      </c>
      <c r="AQ1195" s="28" t="str">
        <f t="shared" si="355"/>
        <v>CancelCancelJPY</v>
      </c>
      <c r="AR1195" s="206" t="str">
        <f t="shared" si="356"/>
        <v>YAMAHA_Mounter</v>
      </c>
      <c r="AS1195" s="22" t="str">
        <f t="shared" si="357"/>
        <v/>
      </c>
      <c r="AT1195" s="24" t="str">
        <f t="shared" si="358"/>
        <v/>
      </c>
      <c r="AU1195" s="22" t="s">
        <v>3745</v>
      </c>
    </row>
    <row r="1196" spans="1:47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185</v>
      </c>
      <c r="F1196" s="13" t="s">
        <v>185</v>
      </c>
      <c r="G1196" s="152" t="s">
        <v>185</v>
      </c>
      <c r="H1196" s="155"/>
      <c r="I1196" s="33" t="str">
        <f t="shared" si="349"/>
        <v>Cancel</v>
      </c>
      <c r="J1196" s="186" t="s">
        <v>1637</v>
      </c>
      <c r="K1196" s="155" t="s">
        <v>1570</v>
      </c>
      <c r="L1196" s="17" t="s">
        <v>67</v>
      </c>
      <c r="M1196" s="13" t="s">
        <v>60</v>
      </c>
      <c r="N1196" s="13">
        <v>1</v>
      </c>
      <c r="O1196" s="13"/>
      <c r="P1196" s="33" t="str">
        <f t="shared" si="350"/>
        <v>MAIN UNIT</v>
      </c>
      <c r="Q1196" s="13" t="s">
        <v>68</v>
      </c>
      <c r="R1196" s="13" t="s">
        <v>62</v>
      </c>
      <c r="S1196" s="13" t="s">
        <v>49</v>
      </c>
      <c r="T1196" s="13" t="s">
        <v>78</v>
      </c>
      <c r="U1196" s="13" t="s">
        <v>79</v>
      </c>
      <c r="V1196" s="13" t="s">
        <v>112</v>
      </c>
      <c r="W1196" s="13" t="s">
        <v>109</v>
      </c>
      <c r="X1196" s="135">
        <v>8150000</v>
      </c>
      <c r="Y1196" s="157" t="str">
        <f t="shared" si="362"/>
        <v>1</v>
      </c>
      <c r="Z1196" s="18">
        <f t="shared" si="342"/>
        <v>8150000</v>
      </c>
      <c r="AA1196" s="13">
        <v>7.2400000000000006E-2</v>
      </c>
      <c r="AB1196" s="21">
        <f t="shared" si="360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45"/>
        <v>499582152.5142017</v>
      </c>
      <c r="AJ1196" s="19">
        <f t="shared" si="346"/>
        <v>59520528.679470733</v>
      </c>
      <c r="AK1196" s="20">
        <f t="shared" si="353"/>
        <v>0.11914062257814291</v>
      </c>
      <c r="AL1196" s="17"/>
      <c r="AM1196" s="17"/>
      <c r="AN1196" s="17"/>
      <c r="AO1196" s="17"/>
      <c r="AP1196" s="28" t="str">
        <f t="shared" si="354"/>
        <v>CancelCancel</v>
      </c>
      <c r="AQ1196" s="28" t="str">
        <f t="shared" si="355"/>
        <v>CancelCancelJPY</v>
      </c>
      <c r="AR1196" s="206" t="str">
        <f t="shared" si="356"/>
        <v>YAMAHA_Mounter</v>
      </c>
      <c r="AS1196" s="22" t="str">
        <f t="shared" si="357"/>
        <v/>
      </c>
      <c r="AT1196" s="24" t="str">
        <f t="shared" si="358"/>
        <v/>
      </c>
      <c r="AU1196" s="22" t="s">
        <v>3745</v>
      </c>
    </row>
    <row r="1197" spans="1:47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185</v>
      </c>
      <c r="F1197" s="13" t="s">
        <v>185</v>
      </c>
      <c r="G1197" s="152" t="s">
        <v>185</v>
      </c>
      <c r="H1197" s="155"/>
      <c r="I1197" s="33" t="str">
        <f t="shared" si="349"/>
        <v>Cancel</v>
      </c>
      <c r="J1197" s="186" t="s">
        <v>1637</v>
      </c>
      <c r="K1197" s="155" t="s">
        <v>1570</v>
      </c>
      <c r="L1197" s="17" t="s">
        <v>67</v>
      </c>
      <c r="M1197" s="13" t="s">
        <v>60</v>
      </c>
      <c r="N1197" s="13">
        <v>1</v>
      </c>
      <c r="O1197" s="13"/>
      <c r="P1197" s="33" t="str">
        <f t="shared" si="350"/>
        <v>MAIN UNIT</v>
      </c>
      <c r="Q1197" s="13" t="s">
        <v>68</v>
      </c>
      <c r="R1197" s="13" t="s">
        <v>62</v>
      </c>
      <c r="S1197" s="13" t="s">
        <v>49</v>
      </c>
      <c r="T1197" s="13" t="s">
        <v>78</v>
      </c>
      <c r="U1197" s="13" t="s">
        <v>79</v>
      </c>
      <c r="V1197" s="13" t="s">
        <v>112</v>
      </c>
      <c r="W1197" s="13" t="s">
        <v>109</v>
      </c>
      <c r="X1197" s="135">
        <v>8150000</v>
      </c>
      <c r="Y1197" s="157" t="str">
        <f t="shared" si="362"/>
        <v>1</v>
      </c>
      <c r="Z1197" s="18">
        <f t="shared" si="342"/>
        <v>8150000</v>
      </c>
      <c r="AA1197" s="13">
        <v>7.2400000000000006E-2</v>
      </c>
      <c r="AB1197" s="21">
        <f t="shared" si="360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45"/>
        <v>499582152.5142017</v>
      </c>
      <c r="AJ1197" s="19">
        <f t="shared" si="346"/>
        <v>59520528.679470733</v>
      </c>
      <c r="AK1197" s="20">
        <f t="shared" si="353"/>
        <v>0.11914062257814291</v>
      </c>
      <c r="AL1197" s="17"/>
      <c r="AM1197" s="17"/>
      <c r="AN1197" s="17"/>
      <c r="AO1197" s="17"/>
      <c r="AP1197" s="28" t="str">
        <f t="shared" si="354"/>
        <v>CancelCancel</v>
      </c>
      <c r="AQ1197" s="28" t="str">
        <f t="shared" si="355"/>
        <v>CancelCancelJPY</v>
      </c>
      <c r="AR1197" s="206" t="str">
        <f t="shared" si="356"/>
        <v>YAMAHA_Mounter</v>
      </c>
      <c r="AS1197" s="22" t="str">
        <f t="shared" si="357"/>
        <v/>
      </c>
      <c r="AT1197" s="24" t="str">
        <f t="shared" si="358"/>
        <v/>
      </c>
      <c r="AU1197" s="22" t="s">
        <v>3745</v>
      </c>
    </row>
    <row r="1198" spans="1:47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53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1731</v>
      </c>
      <c r="K1198" s="155" t="s">
        <v>1570</v>
      </c>
      <c r="L1198" s="17" t="s">
        <v>67</v>
      </c>
      <c r="M1198" s="13" t="s">
        <v>60</v>
      </c>
      <c r="N1198" s="13">
        <v>1</v>
      </c>
      <c r="O1198" s="13"/>
      <c r="P1198" s="33" t="str">
        <f t="shared" si="350"/>
        <v>MAIN UNIT</v>
      </c>
      <c r="Q1198" s="13" t="s">
        <v>61</v>
      </c>
      <c r="R1198" s="13" t="s">
        <v>62</v>
      </c>
      <c r="S1198" s="13" t="s">
        <v>49</v>
      </c>
      <c r="T1198" s="13" t="s">
        <v>78</v>
      </c>
      <c r="U1198" s="13" t="s">
        <v>79</v>
      </c>
      <c r="V1198" s="13" t="s">
        <v>112</v>
      </c>
      <c r="W1198" s="13" t="s">
        <v>109</v>
      </c>
      <c r="X1198" s="135">
        <v>9600000</v>
      </c>
      <c r="Y1198" s="157" t="str">
        <f t="shared" si="362"/>
        <v>1</v>
      </c>
      <c r="Z1198" s="18">
        <f t="shared" ref="Z1198:Z1261" si="363">IF(X1198="","",X1198*MAX(O1198,N1198))</f>
        <v>9600000</v>
      </c>
      <c r="AA1198" s="13">
        <v>7.2800000000000004E-2</v>
      </c>
      <c r="AB1198" s="21">
        <f t="shared" si="360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45"/>
        <v>63006605.696460173</v>
      </c>
      <c r="AJ1198" s="19">
        <f t="shared" si="346"/>
        <v>8897485.660753984</v>
      </c>
      <c r="AK1198" s="20">
        <f t="shared" si="353"/>
        <v>0.141215124388995</v>
      </c>
      <c r="AL1198" s="17"/>
      <c r="AM1198" s="17"/>
      <c r="AN1198" s="17"/>
      <c r="AO1198" s="17"/>
      <c r="AP1198" s="28" t="str">
        <f t="shared" si="354"/>
        <v>20215</v>
      </c>
      <c r="AQ1198" s="28" t="str">
        <f t="shared" si="355"/>
        <v>20215JPY</v>
      </c>
      <c r="AR1198" s="206" t="str">
        <f t="shared" si="356"/>
        <v>YAMAHA_Mounter</v>
      </c>
      <c r="AS1198" s="22">
        <f t="shared" si="357"/>
        <v>2</v>
      </c>
      <c r="AT1198" s="24" t="str">
        <f t="shared" si="358"/>
        <v>0-3 months</v>
      </c>
      <c r="AU1198" s="22" t="s">
        <v>3745</v>
      </c>
    </row>
    <row r="1199" spans="1:47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54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2161</v>
      </c>
      <c r="K1199" s="155" t="s">
        <v>2162</v>
      </c>
      <c r="L1199" s="17" t="s">
        <v>67</v>
      </c>
      <c r="M1199" s="13" t="s">
        <v>60</v>
      </c>
      <c r="N1199" s="13">
        <v>1</v>
      </c>
      <c r="O1199" s="13"/>
      <c r="P1199" s="33" t="str">
        <f t="shared" si="350"/>
        <v>MAIN UNIT</v>
      </c>
      <c r="Q1199" s="13" t="s">
        <v>61</v>
      </c>
      <c r="R1199" s="13" t="s">
        <v>2135</v>
      </c>
      <c r="S1199" s="13" t="s">
        <v>2163</v>
      </c>
      <c r="T1199" s="13" t="s">
        <v>78</v>
      </c>
      <c r="U1199" s="13" t="s">
        <v>79</v>
      </c>
      <c r="V1199" s="13" t="s">
        <v>1307</v>
      </c>
      <c r="W1199" s="13" t="s">
        <v>1341</v>
      </c>
      <c r="X1199" s="135">
        <v>9000000</v>
      </c>
      <c r="Y1199" s="157" t="str">
        <f t="shared" si="362"/>
        <v>1</v>
      </c>
      <c r="Z1199" s="18">
        <f t="shared" si="363"/>
        <v>9000000</v>
      </c>
      <c r="AA1199" s="13">
        <v>6.2799999999999995E-2</v>
      </c>
      <c r="AB1199" s="21">
        <f t="shared" si="360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45"/>
        <v>44014086.982070789</v>
      </c>
      <c r="AJ1199" s="19">
        <f t="shared" si="346"/>
        <v>6419974.0221889298</v>
      </c>
      <c r="AK1199" s="20">
        <f t="shared" si="353"/>
        <v>0.14586180158193709</v>
      </c>
      <c r="AL1199" s="17"/>
      <c r="AM1199" s="17"/>
      <c r="AN1199" s="17"/>
      <c r="AO1199" s="17"/>
      <c r="AP1199" s="28" t="str">
        <f t="shared" si="354"/>
        <v>20225</v>
      </c>
      <c r="AQ1199" s="28" t="str">
        <f t="shared" si="355"/>
        <v>20225JPY</v>
      </c>
      <c r="AR1199" s="206" t="str">
        <f t="shared" si="356"/>
        <v>YAMAHA_Mounter</v>
      </c>
      <c r="AS1199" s="22">
        <f t="shared" si="357"/>
        <v>3</v>
      </c>
      <c r="AT1199" s="24" t="str">
        <f t="shared" si="358"/>
        <v>0-3 months</v>
      </c>
      <c r="AU1199" s="22" t="s">
        <v>3745</v>
      </c>
    </row>
    <row r="1200" spans="1:47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54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2161</v>
      </c>
      <c r="K1200" s="155" t="s">
        <v>2162</v>
      </c>
      <c r="L1200" s="17" t="s">
        <v>67</v>
      </c>
      <c r="M1200" s="13" t="s">
        <v>60</v>
      </c>
      <c r="N1200" s="13">
        <v>1</v>
      </c>
      <c r="O1200" s="13"/>
      <c r="P1200" s="33" t="str">
        <f t="shared" si="350"/>
        <v>MAIN UNIT</v>
      </c>
      <c r="Q1200" s="13" t="s">
        <v>61</v>
      </c>
      <c r="R1200" s="13" t="s">
        <v>2135</v>
      </c>
      <c r="S1200" s="13" t="s">
        <v>2163</v>
      </c>
      <c r="T1200" s="13" t="s">
        <v>78</v>
      </c>
      <c r="U1200" s="13" t="s">
        <v>79</v>
      </c>
      <c r="V1200" s="13" t="s">
        <v>1307</v>
      </c>
      <c r="W1200" s="13" t="s">
        <v>1341</v>
      </c>
      <c r="X1200" s="135">
        <v>9000000</v>
      </c>
      <c r="Y1200" s="157" t="str">
        <f t="shared" si="362"/>
        <v>1</v>
      </c>
      <c r="Z1200" s="18">
        <f t="shared" si="363"/>
        <v>9000000</v>
      </c>
      <c r="AA1200" s="13">
        <v>6.2799999999999995E-2</v>
      </c>
      <c r="AB1200" s="21">
        <f t="shared" si="360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45"/>
        <v>44014086.982070789</v>
      </c>
      <c r="AJ1200" s="19">
        <f t="shared" si="346"/>
        <v>6419974.0221889298</v>
      </c>
      <c r="AK1200" s="20">
        <f t="shared" si="353"/>
        <v>0.14586180158193709</v>
      </c>
      <c r="AL1200" s="17"/>
      <c r="AM1200" s="17"/>
      <c r="AN1200" s="17"/>
      <c r="AO1200" s="17"/>
      <c r="AP1200" s="28" t="str">
        <f t="shared" si="354"/>
        <v>20225</v>
      </c>
      <c r="AQ1200" s="28" t="str">
        <f t="shared" si="355"/>
        <v>20225JPY</v>
      </c>
      <c r="AR1200" s="206" t="str">
        <f t="shared" si="356"/>
        <v>YAMAHA_Mounter</v>
      </c>
      <c r="AS1200" s="22">
        <f t="shared" si="357"/>
        <v>3</v>
      </c>
      <c r="AT1200" s="24" t="str">
        <f t="shared" si="358"/>
        <v>0-3 months</v>
      </c>
      <c r="AU1200" s="22" t="s">
        <v>3745</v>
      </c>
    </row>
    <row r="1201" spans="1:47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48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1315</v>
      </c>
      <c r="K1201" s="155" t="s">
        <v>1316</v>
      </c>
      <c r="L1201" s="17" t="s">
        <v>92</v>
      </c>
      <c r="M1201" s="13" t="s">
        <v>60</v>
      </c>
      <c r="N1201" s="13">
        <v>1</v>
      </c>
      <c r="O1201" s="13"/>
      <c r="P1201" s="33" t="str">
        <f t="shared" si="350"/>
        <v>MAIN UNIT</v>
      </c>
      <c r="Q1201" s="13" t="s">
        <v>68</v>
      </c>
      <c r="R1201" s="13" t="s">
        <v>62</v>
      </c>
      <c r="S1201" s="13" t="s">
        <v>49</v>
      </c>
      <c r="T1201" s="13" t="s">
        <v>78</v>
      </c>
      <c r="U1201" s="13" t="s">
        <v>79</v>
      </c>
      <c r="V1201" s="13" t="s">
        <v>1317</v>
      </c>
      <c r="W1201" s="13" t="s">
        <v>64</v>
      </c>
      <c r="X1201" s="135">
        <v>900000</v>
      </c>
      <c r="Y1201" s="157" t="str">
        <f t="shared" si="362"/>
        <v>1.13</v>
      </c>
      <c r="Z1201" s="18">
        <f t="shared" si="363"/>
        <v>900000</v>
      </c>
      <c r="AA1201" s="13">
        <v>1.155</v>
      </c>
      <c r="AB1201" s="21">
        <f t="shared" si="360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45"/>
        <v>44078731.611185849</v>
      </c>
      <c r="AJ1201" s="19">
        <f t="shared" si="346"/>
        <v>5508173.2163771465</v>
      </c>
      <c r="AK1201" s="20">
        <f t="shared" si="353"/>
        <v>0.12496215328889679</v>
      </c>
      <c r="AL1201" s="17"/>
      <c r="AM1201" s="17"/>
      <c r="AN1201" s="17"/>
      <c r="AO1201" s="17"/>
      <c r="AP1201" s="28" t="str">
        <f t="shared" si="354"/>
        <v>202011</v>
      </c>
      <c r="AQ1201" s="28" t="str">
        <f t="shared" si="355"/>
        <v>202011RMB</v>
      </c>
      <c r="AR1201" s="206" t="str">
        <f t="shared" si="356"/>
        <v>YAMAHA_Mounter</v>
      </c>
      <c r="AS1201" s="22">
        <f t="shared" si="357"/>
        <v>2</v>
      </c>
      <c r="AT1201" s="24" t="str">
        <f t="shared" si="358"/>
        <v>0-3 months</v>
      </c>
      <c r="AU1201" s="22" t="s">
        <v>3744</v>
      </c>
    </row>
    <row r="1202" spans="1:47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48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1315</v>
      </c>
      <c r="K1202" s="155" t="s">
        <v>1316</v>
      </c>
      <c r="L1202" s="17" t="s">
        <v>92</v>
      </c>
      <c r="M1202" s="13" t="s">
        <v>60</v>
      </c>
      <c r="N1202" s="13">
        <v>1</v>
      </c>
      <c r="O1202" s="13"/>
      <c r="P1202" s="33" t="str">
        <f t="shared" si="350"/>
        <v>MAIN UNIT</v>
      </c>
      <c r="Q1202" s="13" t="s">
        <v>68</v>
      </c>
      <c r="R1202" s="13" t="s">
        <v>62</v>
      </c>
      <c r="S1202" s="13" t="s">
        <v>49</v>
      </c>
      <c r="T1202" s="13" t="s">
        <v>78</v>
      </c>
      <c r="U1202" s="13" t="s">
        <v>79</v>
      </c>
      <c r="V1202" s="13" t="s">
        <v>1317</v>
      </c>
      <c r="W1202" s="13" t="s">
        <v>64</v>
      </c>
      <c r="X1202" s="135">
        <v>900000</v>
      </c>
      <c r="Y1202" s="157" t="str">
        <f t="shared" si="362"/>
        <v>1.13</v>
      </c>
      <c r="Z1202" s="18">
        <f t="shared" si="363"/>
        <v>900000</v>
      </c>
      <c r="AA1202" s="13">
        <v>1.155</v>
      </c>
      <c r="AB1202" s="21">
        <f t="shared" si="360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45"/>
        <v>44078731.611185849</v>
      </c>
      <c r="AJ1202" s="19">
        <f t="shared" si="346"/>
        <v>5508173.2163771465</v>
      </c>
      <c r="AK1202" s="20">
        <f t="shared" si="353"/>
        <v>0.12496215328889679</v>
      </c>
      <c r="AL1202" s="17"/>
      <c r="AM1202" s="17"/>
      <c r="AN1202" s="17"/>
      <c r="AO1202" s="17"/>
      <c r="AP1202" s="28" t="str">
        <f t="shared" si="354"/>
        <v>202011</v>
      </c>
      <c r="AQ1202" s="28" t="str">
        <f t="shared" si="355"/>
        <v>202011RMB</v>
      </c>
      <c r="AR1202" s="206" t="str">
        <f t="shared" si="356"/>
        <v>YAMAHA_Mounter</v>
      </c>
      <c r="AS1202" s="22">
        <f t="shared" si="357"/>
        <v>2</v>
      </c>
      <c r="AT1202" s="24" t="str">
        <f t="shared" si="358"/>
        <v>0-3 months</v>
      </c>
      <c r="AU1202" s="22" t="s">
        <v>3744</v>
      </c>
    </row>
    <row r="1203" spans="1:47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48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1315</v>
      </c>
      <c r="K1203" s="155" t="s">
        <v>1316</v>
      </c>
      <c r="L1203" s="17" t="s">
        <v>67</v>
      </c>
      <c r="M1203" s="13" t="s">
        <v>60</v>
      </c>
      <c r="N1203" s="13">
        <v>1</v>
      </c>
      <c r="O1203" s="13"/>
      <c r="P1203" s="33" t="str">
        <f t="shared" si="350"/>
        <v>MAIN UNIT</v>
      </c>
      <c r="Q1203" s="13" t="s">
        <v>68</v>
      </c>
      <c r="R1203" s="13" t="s">
        <v>62</v>
      </c>
      <c r="S1203" s="13" t="s">
        <v>49</v>
      </c>
      <c r="T1203" s="13" t="s">
        <v>78</v>
      </c>
      <c r="U1203" s="13" t="s">
        <v>79</v>
      </c>
      <c r="V1203" s="13" t="s">
        <v>1317</v>
      </c>
      <c r="W1203" s="13" t="s">
        <v>64</v>
      </c>
      <c r="X1203" s="135">
        <v>875000</v>
      </c>
      <c r="Y1203" s="157" t="str">
        <f t="shared" si="362"/>
        <v>1.13</v>
      </c>
      <c r="Z1203" s="18">
        <f t="shared" si="363"/>
        <v>875000</v>
      </c>
      <c r="AA1203" s="13">
        <v>1.155</v>
      </c>
      <c r="AB1203" s="21">
        <f t="shared" si="360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45"/>
        <v>44078731.611185849</v>
      </c>
      <c r="AJ1203" s="19">
        <f t="shared" si="346"/>
        <v>5508173.2163771465</v>
      </c>
      <c r="AK1203" s="20">
        <f t="shared" si="353"/>
        <v>0.12496215328889679</v>
      </c>
      <c r="AL1203" s="17"/>
      <c r="AM1203" s="17"/>
      <c r="AN1203" s="17"/>
      <c r="AO1203" s="17"/>
      <c r="AP1203" s="28" t="str">
        <f t="shared" si="354"/>
        <v>202011</v>
      </c>
      <c r="AQ1203" s="28" t="str">
        <f t="shared" si="355"/>
        <v>202011RMB</v>
      </c>
      <c r="AR1203" s="206" t="str">
        <f t="shared" si="356"/>
        <v>YAMAHA_Mounter</v>
      </c>
      <c r="AS1203" s="22">
        <f t="shared" si="357"/>
        <v>2</v>
      </c>
      <c r="AT1203" s="24" t="str">
        <f t="shared" si="358"/>
        <v>0-3 months</v>
      </c>
      <c r="AU1203" s="22" t="s">
        <v>3744</v>
      </c>
    </row>
    <row r="1204" spans="1:47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48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1315</v>
      </c>
      <c r="K1204" s="155" t="s">
        <v>1316</v>
      </c>
      <c r="L1204" s="17" t="s">
        <v>67</v>
      </c>
      <c r="M1204" s="13" t="s">
        <v>60</v>
      </c>
      <c r="N1204" s="13">
        <v>1</v>
      </c>
      <c r="O1204" s="13"/>
      <c r="P1204" s="33" t="str">
        <f t="shared" si="350"/>
        <v>MAIN UNIT</v>
      </c>
      <c r="Q1204" s="13" t="s">
        <v>68</v>
      </c>
      <c r="R1204" s="13" t="s">
        <v>62</v>
      </c>
      <c r="S1204" s="13" t="s">
        <v>49</v>
      </c>
      <c r="T1204" s="13" t="s">
        <v>78</v>
      </c>
      <c r="U1204" s="13" t="s">
        <v>79</v>
      </c>
      <c r="V1204" s="13" t="s">
        <v>1317</v>
      </c>
      <c r="W1204" s="13" t="s">
        <v>64</v>
      </c>
      <c r="X1204" s="135">
        <v>875000</v>
      </c>
      <c r="Y1204" s="157" t="str">
        <f t="shared" si="362"/>
        <v>1.13</v>
      </c>
      <c r="Z1204" s="18">
        <f t="shared" si="363"/>
        <v>875000</v>
      </c>
      <c r="AA1204" s="13">
        <v>1.155</v>
      </c>
      <c r="AB1204" s="21">
        <f t="shared" si="360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45"/>
        <v>44078731.611185849</v>
      </c>
      <c r="AJ1204" s="19">
        <f t="shared" si="346"/>
        <v>5508173.2163771465</v>
      </c>
      <c r="AK1204" s="20">
        <f t="shared" si="353"/>
        <v>0.12496215328889679</v>
      </c>
      <c r="AL1204" s="17"/>
      <c r="AM1204" s="17"/>
      <c r="AN1204" s="17"/>
      <c r="AO1204" s="17"/>
      <c r="AP1204" s="28" t="str">
        <f t="shared" si="354"/>
        <v>202011</v>
      </c>
      <c r="AQ1204" s="28" t="str">
        <f t="shared" si="355"/>
        <v>202011RMB</v>
      </c>
      <c r="AR1204" s="206" t="str">
        <f t="shared" si="356"/>
        <v>YAMAHA_Mounter</v>
      </c>
      <c r="AS1204" s="22">
        <f t="shared" si="357"/>
        <v>2</v>
      </c>
      <c r="AT1204" s="24" t="str">
        <f t="shared" si="358"/>
        <v>0-3 months</v>
      </c>
      <c r="AU1204" s="22" t="s">
        <v>3744</v>
      </c>
    </row>
    <row r="1205" spans="1:47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54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2193</v>
      </c>
      <c r="K1205" s="155" t="s">
        <v>1316</v>
      </c>
      <c r="L1205" s="17" t="s">
        <v>67</v>
      </c>
      <c r="M1205" s="13" t="s">
        <v>60</v>
      </c>
      <c r="N1205" s="13">
        <v>1</v>
      </c>
      <c r="O1205" s="13"/>
      <c r="P1205" s="33" t="str">
        <f t="shared" si="350"/>
        <v>MAIN UNIT</v>
      </c>
      <c r="Q1205" s="13" t="s">
        <v>61</v>
      </c>
      <c r="R1205" s="13" t="s">
        <v>62</v>
      </c>
      <c r="S1205" s="13" t="s">
        <v>49</v>
      </c>
      <c r="T1205" s="13" t="s">
        <v>78</v>
      </c>
      <c r="U1205" s="13" t="s">
        <v>79</v>
      </c>
      <c r="V1205" s="13" t="s">
        <v>112</v>
      </c>
      <c r="W1205" s="13" t="s">
        <v>64</v>
      </c>
      <c r="X1205" s="135">
        <v>490000</v>
      </c>
      <c r="Y1205" s="157" t="str">
        <f t="shared" si="362"/>
        <v>1.13</v>
      </c>
      <c r="Z1205" s="18">
        <f t="shared" si="363"/>
        <v>490000</v>
      </c>
      <c r="AA1205" s="13">
        <v>1.175</v>
      </c>
      <c r="AB1205" s="21">
        <f t="shared" si="360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45"/>
        <v>35682787.057522126</v>
      </c>
      <c r="AJ1205" s="19">
        <f t="shared" si="346"/>
        <v>5833368.3789623892</v>
      </c>
      <c r="AK1205" s="20">
        <f t="shared" si="353"/>
        <v>0.16347849649632912</v>
      </c>
      <c r="AL1205" s="17"/>
      <c r="AM1205" s="17"/>
      <c r="AN1205" s="17"/>
      <c r="AO1205" s="17"/>
      <c r="AP1205" s="28" t="str">
        <f t="shared" si="354"/>
        <v>20226</v>
      </c>
      <c r="AQ1205" s="28" t="str">
        <f t="shared" si="355"/>
        <v>20226RMB</v>
      </c>
      <c r="AR1205" s="206" t="str">
        <f t="shared" si="356"/>
        <v>YAMAHA_Mounter</v>
      </c>
      <c r="AS1205" s="22">
        <f t="shared" si="357"/>
        <v>2</v>
      </c>
      <c r="AT1205" s="24" t="str">
        <f t="shared" si="358"/>
        <v>0-3 months</v>
      </c>
      <c r="AU1205" s="22" t="s">
        <v>3751</v>
      </c>
    </row>
    <row r="1206" spans="1:47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47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1011</v>
      </c>
      <c r="K1206" s="155" t="s">
        <v>1012</v>
      </c>
      <c r="L1206" s="17" t="s">
        <v>92</v>
      </c>
      <c r="M1206" s="13" t="s">
        <v>60</v>
      </c>
      <c r="N1206" s="13">
        <v>1</v>
      </c>
      <c r="O1206" s="13"/>
      <c r="P1206" s="33" t="str">
        <f t="shared" si="350"/>
        <v>MAIN UNIT</v>
      </c>
      <c r="Q1206" s="13" t="s">
        <v>68</v>
      </c>
      <c r="R1206" s="13" t="s">
        <v>62</v>
      </c>
      <c r="S1206" s="13" t="s">
        <v>49</v>
      </c>
      <c r="T1206" s="13" t="s">
        <v>78</v>
      </c>
      <c r="U1206" s="13" t="s">
        <v>79</v>
      </c>
      <c r="V1206" s="13" t="s">
        <v>80</v>
      </c>
      <c r="W1206" s="13" t="s">
        <v>109</v>
      </c>
      <c r="X1206" s="135">
        <v>11000000</v>
      </c>
      <c r="Y1206" s="156">
        <v>1</v>
      </c>
      <c r="Z1206" s="18">
        <f t="shared" si="363"/>
        <v>11000000</v>
      </c>
      <c r="AA1206" s="13">
        <v>7.2999999999999995E-2</v>
      </c>
      <c r="AB1206" s="21">
        <f t="shared" si="360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45"/>
        <v>11620538.477876106</v>
      </c>
      <c r="AJ1206" s="19">
        <f t="shared" si="346"/>
        <v>1598596.3145221241</v>
      </c>
      <c r="AK1206" s="20">
        <f t="shared" si="353"/>
        <v>0.13756645766163331</v>
      </c>
      <c r="AL1206" s="17"/>
      <c r="AM1206" s="17"/>
      <c r="AN1206" s="17"/>
      <c r="AO1206" s="17"/>
      <c r="AP1206" s="28" t="str">
        <f t="shared" si="354"/>
        <v>20201</v>
      </c>
      <c r="AQ1206" s="28" t="str">
        <f t="shared" si="355"/>
        <v>20201JPY</v>
      </c>
      <c r="AR1206" s="206" t="str">
        <f t="shared" si="356"/>
        <v>YAMAHA_Mounter</v>
      </c>
      <c r="AS1206" s="22">
        <f t="shared" si="357"/>
        <v>1</v>
      </c>
      <c r="AT1206" s="24" t="str">
        <f t="shared" si="358"/>
        <v>0-3 months</v>
      </c>
      <c r="AU1206" s="22" t="s">
        <v>3746</v>
      </c>
    </row>
    <row r="1207" spans="1:47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47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1011</v>
      </c>
      <c r="K1207" s="155" t="s">
        <v>1012</v>
      </c>
      <c r="L1207" s="17" t="s">
        <v>92</v>
      </c>
      <c r="M1207" s="13" t="s">
        <v>60</v>
      </c>
      <c r="N1207" s="13">
        <v>1</v>
      </c>
      <c r="O1207" s="13"/>
      <c r="P1207" s="33" t="str">
        <f t="shared" si="350"/>
        <v>MAIN UNIT</v>
      </c>
      <c r="Q1207" s="13" t="s">
        <v>68</v>
      </c>
      <c r="R1207" s="13" t="s">
        <v>62</v>
      </c>
      <c r="S1207" s="13" t="s">
        <v>49</v>
      </c>
      <c r="T1207" s="13" t="s">
        <v>78</v>
      </c>
      <c r="U1207" s="13" t="s">
        <v>79</v>
      </c>
      <c r="V1207" s="13" t="s">
        <v>80</v>
      </c>
      <c r="W1207" s="13" t="s">
        <v>109</v>
      </c>
      <c r="X1207" s="135">
        <v>11000000</v>
      </c>
      <c r="Y1207" s="156">
        <v>1</v>
      </c>
      <c r="Z1207" s="18">
        <f t="shared" si="363"/>
        <v>11000000</v>
      </c>
      <c r="AA1207" s="13">
        <v>7.2999999999999995E-2</v>
      </c>
      <c r="AB1207" s="21">
        <f t="shared" si="360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45"/>
        <v>11620538.477876106</v>
      </c>
      <c r="AJ1207" s="19">
        <f t="shared" si="346"/>
        <v>1598596.3145221241</v>
      </c>
      <c r="AK1207" s="20">
        <f t="shared" si="353"/>
        <v>0.13756645766163331</v>
      </c>
      <c r="AL1207" s="17"/>
      <c r="AM1207" s="17"/>
      <c r="AN1207" s="17"/>
      <c r="AO1207" s="17"/>
      <c r="AP1207" s="28" t="str">
        <f t="shared" si="354"/>
        <v>20201</v>
      </c>
      <c r="AQ1207" s="28" t="str">
        <f t="shared" si="355"/>
        <v>20201JPY</v>
      </c>
      <c r="AR1207" s="206" t="str">
        <f t="shared" si="356"/>
        <v>YAMAHA_Mounter</v>
      </c>
      <c r="AS1207" s="22">
        <f t="shared" si="357"/>
        <v>1</v>
      </c>
      <c r="AT1207" s="24" t="str">
        <f t="shared" si="358"/>
        <v>0-3 months</v>
      </c>
      <c r="AU1207" s="22" t="s">
        <v>3746</v>
      </c>
    </row>
    <row r="1208" spans="1:47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47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1011</v>
      </c>
      <c r="K1208" s="155" t="s">
        <v>1012</v>
      </c>
      <c r="L1208" s="17" t="s">
        <v>92</v>
      </c>
      <c r="M1208" s="13" t="s">
        <v>60</v>
      </c>
      <c r="N1208" s="13">
        <v>1</v>
      </c>
      <c r="O1208" s="13"/>
      <c r="P1208" s="33" t="str">
        <f t="shared" si="350"/>
        <v>MAIN UNIT</v>
      </c>
      <c r="Q1208" s="13" t="s">
        <v>68</v>
      </c>
      <c r="R1208" s="13" t="s">
        <v>62</v>
      </c>
      <c r="S1208" s="13" t="s">
        <v>49</v>
      </c>
      <c r="T1208" s="13" t="s">
        <v>78</v>
      </c>
      <c r="U1208" s="13" t="s">
        <v>79</v>
      </c>
      <c r="V1208" s="13" t="s">
        <v>80</v>
      </c>
      <c r="W1208" s="13" t="s">
        <v>109</v>
      </c>
      <c r="X1208" s="135">
        <v>11000000</v>
      </c>
      <c r="Y1208" s="156">
        <v>1</v>
      </c>
      <c r="Z1208" s="18">
        <f t="shared" si="363"/>
        <v>11000000</v>
      </c>
      <c r="AA1208" s="13">
        <v>7.2999999999999995E-2</v>
      </c>
      <c r="AB1208" s="21">
        <f t="shared" si="360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45"/>
        <v>11620538.477876106</v>
      </c>
      <c r="AJ1208" s="19">
        <f t="shared" si="346"/>
        <v>1598596.3145221241</v>
      </c>
      <c r="AK1208" s="20">
        <f t="shared" si="353"/>
        <v>0.13756645766163331</v>
      </c>
      <c r="AL1208" s="17"/>
      <c r="AM1208" s="17"/>
      <c r="AN1208" s="17"/>
      <c r="AO1208" s="17"/>
      <c r="AP1208" s="28" t="str">
        <f t="shared" si="354"/>
        <v>20201</v>
      </c>
      <c r="AQ1208" s="28" t="str">
        <f t="shared" si="355"/>
        <v>20201JPY</v>
      </c>
      <c r="AR1208" s="206" t="str">
        <f t="shared" si="356"/>
        <v>YAMAHA_Mounter</v>
      </c>
      <c r="AS1208" s="22">
        <f t="shared" si="357"/>
        <v>1</v>
      </c>
      <c r="AT1208" s="24" t="str">
        <f t="shared" si="358"/>
        <v>0-3 months</v>
      </c>
      <c r="AU1208" s="22" t="s">
        <v>3746</v>
      </c>
    </row>
    <row r="1209" spans="1:47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47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1011</v>
      </c>
      <c r="K1209" s="155" t="s">
        <v>1012</v>
      </c>
      <c r="L1209" s="17" t="s">
        <v>67</v>
      </c>
      <c r="M1209" s="13" t="s">
        <v>60</v>
      </c>
      <c r="N1209" s="13">
        <v>1</v>
      </c>
      <c r="O1209" s="13"/>
      <c r="P1209" s="33" t="str">
        <f t="shared" si="350"/>
        <v>MAIN UNIT</v>
      </c>
      <c r="Q1209" s="13" t="s">
        <v>68</v>
      </c>
      <c r="R1209" s="13" t="s">
        <v>62</v>
      </c>
      <c r="S1209" s="13" t="s">
        <v>49</v>
      </c>
      <c r="T1209" s="13" t="s">
        <v>78</v>
      </c>
      <c r="U1209" s="13" t="s">
        <v>79</v>
      </c>
      <c r="V1209" s="13" t="s">
        <v>80</v>
      </c>
      <c r="W1209" s="13" t="s">
        <v>109</v>
      </c>
      <c r="X1209" s="135">
        <v>10510000</v>
      </c>
      <c r="Y1209" s="156">
        <v>1</v>
      </c>
      <c r="Z1209" s="18">
        <f t="shared" si="363"/>
        <v>10510000</v>
      </c>
      <c r="AA1209" s="13">
        <v>7.2999999999999995E-2</v>
      </c>
      <c r="AB1209" s="21">
        <f t="shared" si="360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45"/>
        <v>11620538.477876106</v>
      </c>
      <c r="AJ1209" s="19">
        <f t="shared" si="346"/>
        <v>1598596.3145221241</v>
      </c>
      <c r="AK1209" s="20">
        <f t="shared" si="353"/>
        <v>0.13756645766163331</v>
      </c>
      <c r="AL1209" s="17"/>
      <c r="AM1209" s="17"/>
      <c r="AN1209" s="17"/>
      <c r="AO1209" s="17"/>
      <c r="AP1209" s="28" t="str">
        <f t="shared" si="354"/>
        <v>20201</v>
      </c>
      <c r="AQ1209" s="28" t="str">
        <f t="shared" si="355"/>
        <v>20201JPY</v>
      </c>
      <c r="AR1209" s="206" t="str">
        <f t="shared" si="356"/>
        <v>YAMAHA_Mounter</v>
      </c>
      <c r="AS1209" s="22">
        <f t="shared" si="357"/>
        <v>1</v>
      </c>
      <c r="AT1209" s="24" t="str">
        <f t="shared" si="358"/>
        <v>0-3 months</v>
      </c>
      <c r="AU1209" s="22" t="s">
        <v>3746</v>
      </c>
    </row>
    <row r="1210" spans="1:47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54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2191</v>
      </c>
      <c r="K1210" s="155" t="s">
        <v>2192</v>
      </c>
      <c r="L1210" s="17" t="s">
        <v>92</v>
      </c>
      <c r="M1210" s="13" t="s">
        <v>60</v>
      </c>
      <c r="N1210" s="13">
        <v>1</v>
      </c>
      <c r="O1210" s="13"/>
      <c r="P1210" s="33" t="str">
        <f t="shared" si="350"/>
        <v>MAIN UNIT</v>
      </c>
      <c r="Q1210" s="13" t="s">
        <v>61</v>
      </c>
      <c r="R1210" s="13" t="s">
        <v>62</v>
      </c>
      <c r="S1210" s="13" t="s">
        <v>49</v>
      </c>
      <c r="T1210" s="13" t="s">
        <v>78</v>
      </c>
      <c r="U1210" s="13" t="s">
        <v>79</v>
      </c>
      <c r="V1210" s="13" t="s">
        <v>80</v>
      </c>
      <c r="W1210" s="13" t="s">
        <v>109</v>
      </c>
      <c r="X1210" s="135">
        <v>11300000</v>
      </c>
      <c r="Y1210" s="157" t="str">
        <f t="shared" ref="Y1210:Y1236" si="364">IF(W1210="RMB","1.13", "1")</f>
        <v>1</v>
      </c>
      <c r="Z1210" s="18">
        <f t="shared" si="363"/>
        <v>11300000</v>
      </c>
      <c r="AA1210" s="13">
        <v>6.25E-2</v>
      </c>
      <c r="AB1210" s="21">
        <f t="shared" si="360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45"/>
        <v>35682787.057522126</v>
      </c>
      <c r="AJ1210" s="19">
        <f t="shared" si="346"/>
        <v>5833368.3789623892</v>
      </c>
      <c r="AK1210" s="20">
        <f t="shared" si="353"/>
        <v>0.16347849649632912</v>
      </c>
      <c r="AL1210" s="17"/>
      <c r="AM1210" s="17"/>
      <c r="AN1210" s="17"/>
      <c r="AO1210" s="17"/>
      <c r="AP1210" s="28" t="str">
        <f t="shared" si="354"/>
        <v>20226</v>
      </c>
      <c r="AQ1210" s="28" t="str">
        <f t="shared" si="355"/>
        <v>20226JPY</v>
      </c>
      <c r="AR1210" s="206" t="str">
        <f t="shared" si="356"/>
        <v>YAMAHA_Mounter</v>
      </c>
      <c r="AS1210" s="22">
        <f t="shared" si="357"/>
        <v>2</v>
      </c>
      <c r="AT1210" s="24" t="str">
        <f t="shared" si="358"/>
        <v>0-3 months</v>
      </c>
      <c r="AU1210" s="22" t="s">
        <v>3745</v>
      </c>
    </row>
    <row r="1211" spans="1:47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54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2191</v>
      </c>
      <c r="K1211" s="155" t="s">
        <v>2192</v>
      </c>
      <c r="L1211" s="17" t="s">
        <v>67</v>
      </c>
      <c r="M1211" s="13" t="s">
        <v>60</v>
      </c>
      <c r="N1211" s="13">
        <v>1</v>
      </c>
      <c r="O1211" s="13"/>
      <c r="P1211" s="33" t="str">
        <f t="shared" si="350"/>
        <v>MAIN UNIT</v>
      </c>
      <c r="Q1211" s="13" t="s">
        <v>61</v>
      </c>
      <c r="R1211" s="13" t="s">
        <v>62</v>
      </c>
      <c r="S1211" s="13" t="s">
        <v>49</v>
      </c>
      <c r="T1211" s="13" t="s">
        <v>78</v>
      </c>
      <c r="U1211" s="13" t="s">
        <v>79</v>
      </c>
      <c r="V1211" s="13" t="s">
        <v>80</v>
      </c>
      <c r="W1211" s="13" t="s">
        <v>109</v>
      </c>
      <c r="X1211" s="135">
        <v>7000000</v>
      </c>
      <c r="Y1211" s="157" t="str">
        <f t="shared" si="364"/>
        <v>1</v>
      </c>
      <c r="Z1211" s="18">
        <f t="shared" si="363"/>
        <v>7000000</v>
      </c>
      <c r="AA1211" s="13">
        <v>6.25E-2</v>
      </c>
      <c r="AB1211" s="21">
        <f t="shared" si="360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45"/>
        <v>35682787.057522126</v>
      </c>
      <c r="AJ1211" s="19">
        <f t="shared" si="346"/>
        <v>5833368.3789623892</v>
      </c>
      <c r="AK1211" s="20">
        <f t="shared" si="353"/>
        <v>0.16347849649632912</v>
      </c>
      <c r="AL1211" s="17"/>
      <c r="AM1211" s="17"/>
      <c r="AN1211" s="17"/>
      <c r="AO1211" s="17"/>
      <c r="AP1211" s="28" t="str">
        <f t="shared" si="354"/>
        <v>20226</v>
      </c>
      <c r="AQ1211" s="28" t="str">
        <f t="shared" si="355"/>
        <v>20226JPY</v>
      </c>
      <c r="AR1211" s="206" t="str">
        <f t="shared" si="356"/>
        <v>YAMAHA_Mounter</v>
      </c>
      <c r="AS1211" s="22">
        <f t="shared" si="357"/>
        <v>2</v>
      </c>
      <c r="AT1211" s="24" t="str">
        <f t="shared" si="358"/>
        <v>0-3 months</v>
      </c>
      <c r="AU1211" s="22" t="s">
        <v>3745</v>
      </c>
    </row>
    <row r="1212" spans="1:47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54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2191</v>
      </c>
      <c r="K1212" s="155" t="s">
        <v>2192</v>
      </c>
      <c r="L1212" s="17" t="s">
        <v>92</v>
      </c>
      <c r="M1212" s="13" t="s">
        <v>60</v>
      </c>
      <c r="N1212" s="13">
        <v>1</v>
      </c>
      <c r="O1212" s="13"/>
      <c r="P1212" s="33" t="str">
        <f t="shared" si="350"/>
        <v>MAIN UNIT</v>
      </c>
      <c r="Q1212" s="13" t="s">
        <v>61</v>
      </c>
      <c r="R1212" s="13" t="s">
        <v>62</v>
      </c>
      <c r="S1212" s="13" t="s">
        <v>49</v>
      </c>
      <c r="T1212" s="13" t="s">
        <v>78</v>
      </c>
      <c r="U1212" s="13" t="s">
        <v>79</v>
      </c>
      <c r="V1212" s="13" t="s">
        <v>80</v>
      </c>
      <c r="W1212" s="13" t="s">
        <v>109</v>
      </c>
      <c r="X1212" s="135">
        <v>11300000</v>
      </c>
      <c r="Y1212" s="157" t="str">
        <f t="shared" si="364"/>
        <v>1</v>
      </c>
      <c r="Z1212" s="18">
        <f t="shared" si="363"/>
        <v>11300000</v>
      </c>
      <c r="AA1212" s="13">
        <v>5.96E-2</v>
      </c>
      <c r="AB1212" s="21">
        <f t="shared" si="360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45"/>
        <v>35073581.838938057</v>
      </c>
      <c r="AJ1212" s="19">
        <f t="shared" si="346"/>
        <v>5034113.9728989396</v>
      </c>
      <c r="AK1212" s="20">
        <f t="shared" si="353"/>
        <v>0.14353007902118958</v>
      </c>
      <c r="AL1212" s="17"/>
      <c r="AM1212" s="17"/>
      <c r="AN1212" s="17"/>
      <c r="AO1212" s="17"/>
      <c r="AP1212" s="28" t="str">
        <f t="shared" si="354"/>
        <v>20228</v>
      </c>
      <c r="AQ1212" s="28" t="str">
        <f t="shared" si="355"/>
        <v>20228JPY</v>
      </c>
      <c r="AR1212" s="206" t="str">
        <f t="shared" si="356"/>
        <v>YAMAHA_Mounter</v>
      </c>
      <c r="AS1212" s="22">
        <f t="shared" si="357"/>
        <v>4</v>
      </c>
      <c r="AT1212" s="24" t="str">
        <f t="shared" si="358"/>
        <v>4-6 months</v>
      </c>
      <c r="AU1212" s="22" t="s">
        <v>3745</v>
      </c>
    </row>
    <row r="1213" spans="1:47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54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2191</v>
      </c>
      <c r="K1213" s="155" t="s">
        <v>2192</v>
      </c>
      <c r="L1213" s="17" t="s">
        <v>67</v>
      </c>
      <c r="M1213" s="13" t="s">
        <v>60</v>
      </c>
      <c r="N1213" s="13">
        <v>1</v>
      </c>
      <c r="O1213" s="13"/>
      <c r="P1213" s="33" t="str">
        <f t="shared" si="350"/>
        <v>MAIN UNIT</v>
      </c>
      <c r="Q1213" s="13" t="s">
        <v>61</v>
      </c>
      <c r="R1213" s="13" t="s">
        <v>62</v>
      </c>
      <c r="S1213" s="13" t="s">
        <v>49</v>
      </c>
      <c r="T1213" s="13" t="s">
        <v>78</v>
      </c>
      <c r="U1213" s="13" t="s">
        <v>79</v>
      </c>
      <c r="V1213" s="13" t="s">
        <v>80</v>
      </c>
      <c r="W1213" s="13" t="s">
        <v>109</v>
      </c>
      <c r="X1213" s="135">
        <v>7000000</v>
      </c>
      <c r="Y1213" s="157" t="str">
        <f t="shared" si="364"/>
        <v>1</v>
      </c>
      <c r="Z1213" s="18">
        <f t="shared" si="363"/>
        <v>7000000</v>
      </c>
      <c r="AA1213" s="13">
        <v>5.96E-2</v>
      </c>
      <c r="AB1213" s="21">
        <f t="shared" si="360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45"/>
        <v>35073581.838938057</v>
      </c>
      <c r="AJ1213" s="19">
        <f t="shared" si="346"/>
        <v>5034113.9728989396</v>
      </c>
      <c r="AK1213" s="20">
        <f t="shared" si="353"/>
        <v>0.14353007902118958</v>
      </c>
      <c r="AL1213" s="17"/>
      <c r="AM1213" s="17"/>
      <c r="AN1213" s="17"/>
      <c r="AO1213" s="17"/>
      <c r="AP1213" s="28" t="str">
        <f t="shared" si="354"/>
        <v>20228</v>
      </c>
      <c r="AQ1213" s="28" t="str">
        <f t="shared" si="355"/>
        <v>20228JPY</v>
      </c>
      <c r="AR1213" s="206" t="str">
        <f t="shared" si="356"/>
        <v>YAMAHA_Mounter</v>
      </c>
      <c r="AS1213" s="22">
        <f t="shared" si="357"/>
        <v>4</v>
      </c>
      <c r="AT1213" s="24" t="str">
        <f t="shared" si="358"/>
        <v>4-6 months</v>
      </c>
      <c r="AU1213" s="22" t="s">
        <v>3745</v>
      </c>
    </row>
    <row r="1214" spans="1:47" s="12" customFormat="1">
      <c r="A1214" s="33" t="str">
        <f t="shared" si="347"/>
        <v>cancel</v>
      </c>
      <c r="B1214" s="152"/>
      <c r="C1214" s="152" t="s">
        <v>185</v>
      </c>
      <c r="D1214" s="33" t="str">
        <f t="shared" si="348"/>
        <v/>
      </c>
      <c r="E1214" s="33" t="s">
        <v>185</v>
      </c>
      <c r="F1214" s="13" t="s">
        <v>185</v>
      </c>
      <c r="G1214" s="152" t="s">
        <v>185</v>
      </c>
      <c r="H1214" s="155" t="s">
        <v>2758</v>
      </c>
      <c r="I1214" s="33" t="str">
        <f t="shared" si="349"/>
        <v>Cancel</v>
      </c>
      <c r="J1214" s="186" t="s">
        <v>2770</v>
      </c>
      <c r="K1214" s="155" t="s">
        <v>2192</v>
      </c>
      <c r="L1214" s="17" t="s">
        <v>92</v>
      </c>
      <c r="M1214" s="13" t="s">
        <v>60</v>
      </c>
      <c r="N1214" s="13">
        <v>1</v>
      </c>
      <c r="O1214" s="13"/>
      <c r="P1214" s="33" t="str">
        <f t="shared" si="350"/>
        <v>MAIN UNIT</v>
      </c>
      <c r="Q1214" s="13" t="s">
        <v>61</v>
      </c>
      <c r="R1214" s="13" t="s">
        <v>62</v>
      </c>
      <c r="S1214" s="13" t="s">
        <v>49</v>
      </c>
      <c r="T1214" s="13" t="s">
        <v>78</v>
      </c>
      <c r="U1214" s="13" t="s">
        <v>79</v>
      </c>
      <c r="V1214" s="13" t="s">
        <v>80</v>
      </c>
      <c r="W1214" s="13" t="s">
        <v>109</v>
      </c>
      <c r="X1214" s="135">
        <v>13000000</v>
      </c>
      <c r="Y1214" s="157" t="str">
        <f t="shared" si="364"/>
        <v>1</v>
      </c>
      <c r="Z1214" s="18">
        <f t="shared" si="363"/>
        <v>13000000</v>
      </c>
      <c r="AA1214" s="13">
        <v>5.8799999999999998E-2</v>
      </c>
      <c r="AB1214" s="21">
        <f t="shared" si="360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45"/>
        <v>499582152.5142017</v>
      </c>
      <c r="AJ1214" s="19">
        <f t="shared" si="346"/>
        <v>59520528.679470733</v>
      </c>
      <c r="AK1214" s="20">
        <f t="shared" si="353"/>
        <v>0.11914062257814291</v>
      </c>
      <c r="AL1214" s="17"/>
      <c r="AM1214" s="17"/>
      <c r="AN1214" s="17"/>
      <c r="AO1214" s="17"/>
      <c r="AP1214" s="28" t="str">
        <f t="shared" si="354"/>
        <v>CancelCancel</v>
      </c>
      <c r="AQ1214" s="28" t="str">
        <f t="shared" si="355"/>
        <v>CancelCancelJPY</v>
      </c>
      <c r="AR1214" s="206" t="str">
        <f t="shared" si="356"/>
        <v>YAMAHA_Mounter</v>
      </c>
      <c r="AS1214" s="22" t="str">
        <f t="shared" si="357"/>
        <v/>
      </c>
      <c r="AT1214" s="24" t="str">
        <f t="shared" si="358"/>
        <v/>
      </c>
      <c r="AU1214" s="22" t="s">
        <v>3745</v>
      </c>
    </row>
    <row r="1215" spans="1:47" s="12" customFormat="1">
      <c r="A1215" s="33" t="str">
        <f t="shared" si="347"/>
        <v>cancel</v>
      </c>
      <c r="B1215" s="152"/>
      <c r="C1215" s="152" t="s">
        <v>185</v>
      </c>
      <c r="D1215" s="33" t="str">
        <f t="shared" si="348"/>
        <v/>
      </c>
      <c r="E1215" s="33" t="s">
        <v>185</v>
      </c>
      <c r="F1215" s="13" t="s">
        <v>185</v>
      </c>
      <c r="G1215" s="152" t="s">
        <v>185</v>
      </c>
      <c r="H1215" s="155" t="s">
        <v>2758</v>
      </c>
      <c r="I1215" s="33" t="str">
        <f t="shared" si="349"/>
        <v>Cancel</v>
      </c>
      <c r="J1215" s="186" t="s">
        <v>2770</v>
      </c>
      <c r="K1215" s="155" t="s">
        <v>2192</v>
      </c>
      <c r="L1215" s="17" t="s">
        <v>92</v>
      </c>
      <c r="M1215" s="13" t="s">
        <v>60</v>
      </c>
      <c r="N1215" s="13">
        <v>1</v>
      </c>
      <c r="O1215" s="13"/>
      <c r="P1215" s="33" t="str">
        <f t="shared" si="350"/>
        <v>MAIN UNIT</v>
      </c>
      <c r="Q1215" s="13" t="s">
        <v>61</v>
      </c>
      <c r="R1215" s="13" t="s">
        <v>62</v>
      </c>
      <c r="S1215" s="13" t="s">
        <v>49</v>
      </c>
      <c r="T1215" s="13" t="s">
        <v>78</v>
      </c>
      <c r="U1215" s="13" t="s">
        <v>79</v>
      </c>
      <c r="V1215" s="13" t="s">
        <v>80</v>
      </c>
      <c r="W1215" s="13" t="s">
        <v>109</v>
      </c>
      <c r="X1215" s="135">
        <v>13000000</v>
      </c>
      <c r="Y1215" s="157" t="str">
        <f t="shared" si="364"/>
        <v>1</v>
      </c>
      <c r="Z1215" s="18">
        <f t="shared" si="363"/>
        <v>13000000</v>
      </c>
      <c r="AA1215" s="13">
        <v>5.8799999999999998E-2</v>
      </c>
      <c r="AB1215" s="21">
        <f t="shared" si="360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45"/>
        <v>499582152.5142017</v>
      </c>
      <c r="AJ1215" s="19">
        <f t="shared" si="346"/>
        <v>59520528.679470733</v>
      </c>
      <c r="AK1215" s="20">
        <f t="shared" si="353"/>
        <v>0.11914062257814291</v>
      </c>
      <c r="AL1215" s="17"/>
      <c r="AM1215" s="17"/>
      <c r="AN1215" s="17"/>
      <c r="AO1215" s="17"/>
      <c r="AP1215" s="28" t="str">
        <f t="shared" si="354"/>
        <v>CancelCancel</v>
      </c>
      <c r="AQ1215" s="28" t="str">
        <f t="shared" si="355"/>
        <v>CancelCancelJPY</v>
      </c>
      <c r="AR1215" s="206" t="str">
        <f t="shared" si="356"/>
        <v>YAMAHA_Mounter</v>
      </c>
      <c r="AS1215" s="22" t="str">
        <f t="shared" si="357"/>
        <v/>
      </c>
      <c r="AT1215" s="24" t="str">
        <f t="shared" si="358"/>
        <v/>
      </c>
      <c r="AU1215" s="22" t="s">
        <v>3745</v>
      </c>
    </row>
    <row r="1216" spans="1:47" s="12" customFormat="1">
      <c r="A1216" s="33" t="str">
        <f t="shared" si="347"/>
        <v>cancel</v>
      </c>
      <c r="B1216" s="152"/>
      <c r="C1216" s="152" t="s">
        <v>185</v>
      </c>
      <c r="D1216" s="33" t="str">
        <f t="shared" si="348"/>
        <v/>
      </c>
      <c r="E1216" s="33" t="s">
        <v>185</v>
      </c>
      <c r="F1216" s="13" t="s">
        <v>185</v>
      </c>
      <c r="G1216" s="152" t="s">
        <v>185</v>
      </c>
      <c r="H1216" s="155" t="s">
        <v>2758</v>
      </c>
      <c r="I1216" s="33" t="str">
        <f t="shared" si="349"/>
        <v>Cancel</v>
      </c>
      <c r="J1216" s="186" t="s">
        <v>2770</v>
      </c>
      <c r="K1216" s="155" t="s">
        <v>2192</v>
      </c>
      <c r="L1216" s="17" t="s">
        <v>67</v>
      </c>
      <c r="M1216" s="13" t="s">
        <v>60</v>
      </c>
      <c r="N1216" s="13">
        <v>1</v>
      </c>
      <c r="O1216" s="13"/>
      <c r="P1216" s="33" t="str">
        <f t="shared" si="350"/>
        <v>MAIN UNIT</v>
      </c>
      <c r="Q1216" s="13" t="s">
        <v>61</v>
      </c>
      <c r="R1216" s="13" t="s">
        <v>62</v>
      </c>
      <c r="S1216" s="13" t="s">
        <v>49</v>
      </c>
      <c r="T1216" s="13" t="s">
        <v>78</v>
      </c>
      <c r="U1216" s="13" t="s">
        <v>79</v>
      </c>
      <c r="V1216" s="13" t="s">
        <v>80</v>
      </c>
      <c r="W1216" s="13" t="s">
        <v>109</v>
      </c>
      <c r="X1216" s="135">
        <v>8300000</v>
      </c>
      <c r="Y1216" s="157" t="str">
        <f t="shared" si="364"/>
        <v>1</v>
      </c>
      <c r="Z1216" s="18">
        <f t="shared" si="363"/>
        <v>8300000</v>
      </c>
      <c r="AA1216" s="13">
        <v>5.8799999999999998E-2</v>
      </c>
      <c r="AB1216" s="21">
        <f t="shared" si="360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45"/>
        <v>499582152.5142017</v>
      </c>
      <c r="AJ1216" s="19">
        <f t="shared" si="346"/>
        <v>59520528.679470733</v>
      </c>
      <c r="AK1216" s="20">
        <f t="shared" si="353"/>
        <v>0.11914062257814291</v>
      </c>
      <c r="AL1216" s="17"/>
      <c r="AM1216" s="17"/>
      <c r="AN1216" s="17"/>
      <c r="AO1216" s="17"/>
      <c r="AP1216" s="28" t="str">
        <f t="shared" si="354"/>
        <v>CancelCancel</v>
      </c>
      <c r="AQ1216" s="28" t="str">
        <f t="shared" si="355"/>
        <v>CancelCancelJPY</v>
      </c>
      <c r="AR1216" s="206" t="str">
        <f t="shared" si="356"/>
        <v>YAMAHA_Mounter</v>
      </c>
      <c r="AS1216" s="22" t="str">
        <f t="shared" si="357"/>
        <v/>
      </c>
      <c r="AT1216" s="24" t="str">
        <f t="shared" si="358"/>
        <v/>
      </c>
      <c r="AU1216" s="22" t="s">
        <v>3745</v>
      </c>
    </row>
    <row r="1217" spans="1:47" s="12" customFormat="1">
      <c r="A1217" s="33" t="str">
        <f t="shared" si="347"/>
        <v>cancel</v>
      </c>
      <c r="B1217" s="152"/>
      <c r="C1217" s="152" t="s">
        <v>185</v>
      </c>
      <c r="D1217" s="33" t="str">
        <f t="shared" si="348"/>
        <v/>
      </c>
      <c r="E1217" s="33" t="s">
        <v>185</v>
      </c>
      <c r="F1217" s="13" t="s">
        <v>185</v>
      </c>
      <c r="G1217" s="152" t="s">
        <v>185</v>
      </c>
      <c r="H1217" s="155" t="s">
        <v>2758</v>
      </c>
      <c r="I1217" s="33" t="str">
        <f t="shared" si="349"/>
        <v>Cancel</v>
      </c>
      <c r="J1217" s="186" t="s">
        <v>2770</v>
      </c>
      <c r="K1217" s="155" t="s">
        <v>2192</v>
      </c>
      <c r="L1217" s="17" t="s">
        <v>67</v>
      </c>
      <c r="M1217" s="13" t="s">
        <v>60</v>
      </c>
      <c r="N1217" s="13">
        <v>1</v>
      </c>
      <c r="O1217" s="13"/>
      <c r="P1217" s="33" t="str">
        <f t="shared" si="350"/>
        <v>MAIN UNIT</v>
      </c>
      <c r="Q1217" s="13" t="s">
        <v>61</v>
      </c>
      <c r="R1217" s="13" t="s">
        <v>62</v>
      </c>
      <c r="S1217" s="13" t="s">
        <v>49</v>
      </c>
      <c r="T1217" s="13" t="s">
        <v>78</v>
      </c>
      <c r="U1217" s="13" t="s">
        <v>79</v>
      </c>
      <c r="V1217" s="13" t="s">
        <v>80</v>
      </c>
      <c r="W1217" s="13" t="s">
        <v>109</v>
      </c>
      <c r="X1217" s="135">
        <v>8300000</v>
      </c>
      <c r="Y1217" s="157" t="str">
        <f t="shared" si="364"/>
        <v>1</v>
      </c>
      <c r="Z1217" s="18">
        <f t="shared" si="363"/>
        <v>8300000</v>
      </c>
      <c r="AA1217" s="13">
        <v>5.8799999999999998E-2</v>
      </c>
      <c r="AB1217" s="21">
        <f t="shared" si="360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45"/>
        <v>499582152.5142017</v>
      </c>
      <c r="AJ1217" s="19">
        <f t="shared" si="346"/>
        <v>59520528.679470733</v>
      </c>
      <c r="AK1217" s="20">
        <f t="shared" si="353"/>
        <v>0.11914062257814291</v>
      </c>
      <c r="AL1217" s="17"/>
      <c r="AM1217" s="17"/>
      <c r="AN1217" s="17"/>
      <c r="AO1217" s="17"/>
      <c r="AP1217" s="28" t="str">
        <f t="shared" si="354"/>
        <v>CancelCancel</v>
      </c>
      <c r="AQ1217" s="28" t="str">
        <f t="shared" si="355"/>
        <v>CancelCancelJPY</v>
      </c>
      <c r="AR1217" s="206" t="str">
        <f t="shared" si="356"/>
        <v>YAMAHA_Mounter</v>
      </c>
      <c r="AS1217" s="22" t="str">
        <f t="shared" si="357"/>
        <v/>
      </c>
      <c r="AT1217" s="24" t="str">
        <f t="shared" si="358"/>
        <v/>
      </c>
      <c r="AU1217" s="22" t="s">
        <v>3745</v>
      </c>
    </row>
    <row r="1218" spans="1:47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54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2237</v>
      </c>
      <c r="K1218" s="155" t="s">
        <v>2238</v>
      </c>
      <c r="L1218" s="17" t="s">
        <v>67</v>
      </c>
      <c r="M1218" s="13" t="s">
        <v>60</v>
      </c>
      <c r="N1218" s="13">
        <v>1</v>
      </c>
      <c r="O1218" s="13"/>
      <c r="P1218" s="33" t="str">
        <f t="shared" si="350"/>
        <v>MAIN UNIT</v>
      </c>
      <c r="Q1218" s="13" t="s">
        <v>68</v>
      </c>
      <c r="R1218" s="13" t="s">
        <v>62</v>
      </c>
      <c r="S1218" s="13" t="s">
        <v>51</v>
      </c>
      <c r="T1218" s="13" t="s">
        <v>1043</v>
      </c>
      <c r="U1218" s="13" t="s">
        <v>149</v>
      </c>
      <c r="V1218" s="13" t="s">
        <v>954</v>
      </c>
      <c r="W1218" s="13" t="s">
        <v>64</v>
      </c>
      <c r="X1218" s="135">
        <v>640000</v>
      </c>
      <c r="Y1218" s="157" t="str">
        <f t="shared" si="364"/>
        <v>1.13</v>
      </c>
      <c r="Z1218" s="18">
        <f t="shared" si="363"/>
        <v>640000</v>
      </c>
      <c r="AA1218" s="13">
        <v>1.17</v>
      </c>
      <c r="AB1218" s="21">
        <f t="shared" si="360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ref="AI1218:AI1281" si="365">IF(P1218="C66 SERVICE","",SUMIFS(AB:AB,F:F,F1218,G:G,G1218,E:E,E1218))</f>
        <v>36480247.665929198</v>
      </c>
      <c r="AJ1218" s="19">
        <f t="shared" ref="AJ1218:AJ1281" si="366">IF(P1218="C66 SERVICE","",SUMIFS(AC:AC,F:F,F1218,G:G,G1218,E:E,E1218))</f>
        <v>5330996.6372757526</v>
      </c>
      <c r="AK1218" s="20">
        <f t="shared" si="353"/>
        <v>0.14613378412599562</v>
      </c>
      <c r="AL1218" s="17"/>
      <c r="AM1218" s="17"/>
      <c r="AN1218" s="17"/>
      <c r="AO1218" s="17"/>
      <c r="AP1218" s="28" t="str">
        <f t="shared" si="354"/>
        <v>20227</v>
      </c>
      <c r="AQ1218" s="28" t="str">
        <f t="shared" si="355"/>
        <v>20227RMB</v>
      </c>
      <c r="AR1218" s="206" t="str">
        <f t="shared" si="356"/>
        <v>YAMAHA_Mounter</v>
      </c>
      <c r="AS1218" s="22">
        <f t="shared" si="357"/>
        <v>0</v>
      </c>
      <c r="AT1218" s="24" t="str">
        <f t="shared" si="358"/>
        <v>0-3 months</v>
      </c>
      <c r="AU1218" s="22" t="s">
        <v>3240</v>
      </c>
    </row>
    <row r="1219" spans="1:47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55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2487</v>
      </c>
      <c r="K1219" s="155" t="s">
        <v>2238</v>
      </c>
      <c r="L1219" s="17" t="s">
        <v>92</v>
      </c>
      <c r="M1219" s="13" t="s">
        <v>60</v>
      </c>
      <c r="N1219" s="13">
        <v>1</v>
      </c>
      <c r="O1219" s="13"/>
      <c r="P1219" s="33" t="str">
        <f t="shared" si="350"/>
        <v>MAIN UNIT</v>
      </c>
      <c r="Q1219" s="13" t="s">
        <v>61</v>
      </c>
      <c r="R1219" s="13" t="s">
        <v>62</v>
      </c>
      <c r="S1219" s="13" t="s">
        <v>51</v>
      </c>
      <c r="T1219" s="13" t="s">
        <v>1043</v>
      </c>
      <c r="U1219" s="13" t="s">
        <v>149</v>
      </c>
      <c r="V1219" s="13" t="s">
        <v>954</v>
      </c>
      <c r="W1219" s="13" t="s">
        <v>64</v>
      </c>
      <c r="X1219" s="135">
        <v>767000</v>
      </c>
      <c r="Y1219" s="157" t="str">
        <f t="shared" si="364"/>
        <v>1.13</v>
      </c>
      <c r="Z1219" s="18">
        <f t="shared" si="363"/>
        <v>767000</v>
      </c>
      <c r="AA1219" s="13">
        <v>1.135</v>
      </c>
      <c r="AB1219" s="21">
        <f t="shared" si="360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65"/>
        <v>28177779.013274338</v>
      </c>
      <c r="AJ1219" s="19">
        <f t="shared" si="366"/>
        <v>4727216.6376190251</v>
      </c>
      <c r="AK1219" s="20">
        <f t="shared" si="353"/>
        <v>0.1677639900359808</v>
      </c>
      <c r="AL1219" s="17"/>
      <c r="AM1219" s="17"/>
      <c r="AN1219" s="17"/>
      <c r="AO1219" s="17"/>
      <c r="AP1219" s="28" t="str">
        <f t="shared" si="354"/>
        <v>20235</v>
      </c>
      <c r="AQ1219" s="28" t="str">
        <f t="shared" si="355"/>
        <v>20235RMB</v>
      </c>
      <c r="AR1219" s="206" t="str">
        <f t="shared" si="356"/>
        <v>YAMAHA_Mounter</v>
      </c>
      <c r="AS1219" s="22">
        <f t="shared" si="357"/>
        <v>1</v>
      </c>
      <c r="AT1219" s="24" t="str">
        <f t="shared" si="358"/>
        <v>0-3 months</v>
      </c>
      <c r="AU1219" s="22" t="s">
        <v>3240</v>
      </c>
    </row>
    <row r="1220" spans="1:47" s="12" customFormat="1">
      <c r="A1220" s="33" t="str">
        <f t="shared" si="347"/>
        <v>cancel</v>
      </c>
      <c r="B1220" s="152"/>
      <c r="C1220" s="152" t="s">
        <v>185</v>
      </c>
      <c r="D1220" s="33" t="str">
        <f t="shared" si="348"/>
        <v/>
      </c>
      <c r="E1220" s="33" t="s">
        <v>185</v>
      </c>
      <c r="F1220" s="13" t="s">
        <v>185</v>
      </c>
      <c r="G1220" s="152" t="s">
        <v>1622</v>
      </c>
      <c r="H1220" s="155"/>
      <c r="I1220" s="33" t="str">
        <f t="shared" si="349"/>
        <v>Cancel</v>
      </c>
      <c r="J1220" s="186" t="s">
        <v>2766</v>
      </c>
      <c r="K1220" s="155" t="s">
        <v>2238</v>
      </c>
      <c r="L1220" s="17" t="s">
        <v>67</v>
      </c>
      <c r="M1220" s="13" t="s">
        <v>60</v>
      </c>
      <c r="N1220" s="13">
        <v>1</v>
      </c>
      <c r="O1220" s="13"/>
      <c r="P1220" s="33" t="str">
        <f t="shared" si="350"/>
        <v>MAIN UNIT</v>
      </c>
      <c r="Q1220" s="13" t="s">
        <v>68</v>
      </c>
      <c r="R1220" s="13" t="s">
        <v>62</v>
      </c>
      <c r="S1220" s="13" t="s">
        <v>51</v>
      </c>
      <c r="T1220" s="13" t="s">
        <v>349</v>
      </c>
      <c r="U1220" s="13" t="s">
        <v>149</v>
      </c>
      <c r="V1220" s="13" t="s">
        <v>564</v>
      </c>
      <c r="W1220" s="13" t="s">
        <v>64</v>
      </c>
      <c r="X1220" s="135">
        <v>652100</v>
      </c>
      <c r="Y1220" s="157" t="str">
        <f t="shared" si="364"/>
        <v>1.13</v>
      </c>
      <c r="Z1220" s="18">
        <f t="shared" si="363"/>
        <v>652100</v>
      </c>
      <c r="AA1220" s="13">
        <v>1.1950000000000001</v>
      </c>
      <c r="AB1220" s="21">
        <f t="shared" si="360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65"/>
        <v>499582152.5142017</v>
      </c>
      <c r="AJ1220" s="19">
        <f t="shared" si="366"/>
        <v>59520528.679470733</v>
      </c>
      <c r="AK1220" s="20">
        <f t="shared" si="353"/>
        <v>0.11914062257814291</v>
      </c>
      <c r="AL1220" s="17"/>
      <c r="AM1220" s="17"/>
      <c r="AN1220" s="17"/>
      <c r="AO1220" s="17"/>
      <c r="AP1220" s="28" t="str">
        <f t="shared" si="354"/>
        <v>Cancelcancel</v>
      </c>
      <c r="AQ1220" s="28" t="str">
        <f t="shared" si="355"/>
        <v>CancelcancelRMB</v>
      </c>
      <c r="AR1220" s="206" t="str">
        <f t="shared" si="356"/>
        <v>YAMAHA_Mounter</v>
      </c>
      <c r="AS1220" s="22" t="str">
        <f t="shared" si="357"/>
        <v/>
      </c>
      <c r="AT1220" s="24" t="str">
        <f t="shared" si="358"/>
        <v/>
      </c>
      <c r="AU1220" s="22" t="s">
        <v>3240</v>
      </c>
    </row>
    <row r="1221" spans="1:47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53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1827</v>
      </c>
      <c r="K1221" s="155" t="s">
        <v>1828</v>
      </c>
      <c r="L1221" s="17" t="s">
        <v>293</v>
      </c>
      <c r="M1221" s="13" t="s">
        <v>60</v>
      </c>
      <c r="N1221" s="13">
        <v>1</v>
      </c>
      <c r="O1221" s="13"/>
      <c r="P1221" s="33" t="str">
        <f t="shared" si="350"/>
        <v>MAIN UNIT</v>
      </c>
      <c r="Q1221" s="13" t="s">
        <v>68</v>
      </c>
      <c r="R1221" s="13" t="s">
        <v>62</v>
      </c>
      <c r="S1221" s="13" t="s">
        <v>49</v>
      </c>
      <c r="T1221" s="13" t="s">
        <v>78</v>
      </c>
      <c r="U1221" s="13" t="s">
        <v>79</v>
      </c>
      <c r="V1221" s="13" t="s">
        <v>80</v>
      </c>
      <c r="W1221" s="13" t="s">
        <v>109</v>
      </c>
      <c r="X1221" s="135">
        <v>25000000</v>
      </c>
      <c r="Y1221" s="157" t="str">
        <f t="shared" si="364"/>
        <v>1</v>
      </c>
      <c r="Z1221" s="18">
        <f t="shared" si="363"/>
        <v>25000000</v>
      </c>
      <c r="AA1221" s="13">
        <v>7.17E-2</v>
      </c>
      <c r="AB1221" s="21">
        <f t="shared" si="360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65"/>
        <v>41443303.53761062</v>
      </c>
      <c r="AJ1221" s="19">
        <f t="shared" si="366"/>
        <v>6194988.76643031</v>
      </c>
      <c r="AK1221" s="20">
        <f t="shared" si="353"/>
        <v>0.1494810557466355</v>
      </c>
      <c r="AL1221" s="17"/>
      <c r="AM1221" s="17"/>
      <c r="AN1221" s="17"/>
      <c r="AO1221" s="17"/>
      <c r="AP1221" s="28" t="str">
        <f t="shared" si="354"/>
        <v>20217</v>
      </c>
      <c r="AQ1221" s="28" t="str">
        <f t="shared" si="355"/>
        <v>20217JPY</v>
      </c>
      <c r="AR1221" s="206" t="str">
        <f t="shared" si="356"/>
        <v>YAMAHA_Mounter</v>
      </c>
      <c r="AS1221" s="22">
        <f t="shared" si="357"/>
        <v>3</v>
      </c>
      <c r="AT1221" s="24" t="str">
        <f t="shared" si="358"/>
        <v>0-3 months</v>
      </c>
      <c r="AU1221" s="22" t="s">
        <v>3745</v>
      </c>
    </row>
    <row r="1222" spans="1:47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53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1827</v>
      </c>
      <c r="K1222" s="155" t="s">
        <v>1828</v>
      </c>
      <c r="L1222" s="17" t="s">
        <v>92</v>
      </c>
      <c r="M1222" s="13" t="s">
        <v>60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68</v>
      </c>
      <c r="R1222" s="13" t="s">
        <v>62</v>
      </c>
      <c r="S1222" s="13" t="s">
        <v>49</v>
      </c>
      <c r="T1222" s="13" t="s">
        <v>78</v>
      </c>
      <c r="U1222" s="13" t="s">
        <v>79</v>
      </c>
      <c r="V1222" s="13" t="s">
        <v>80</v>
      </c>
      <c r="W1222" s="13" t="s">
        <v>109</v>
      </c>
      <c r="X1222" s="135">
        <v>15710000</v>
      </c>
      <c r="Y1222" s="157" t="str">
        <f t="shared" si="364"/>
        <v>1</v>
      </c>
      <c r="Z1222" s="18">
        <f t="shared" si="363"/>
        <v>15710000</v>
      </c>
      <c r="AA1222" s="13">
        <v>7.17E-2</v>
      </c>
      <c r="AB1222" s="21">
        <f t="shared" si="360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si="365"/>
        <v>41443303.53761062</v>
      </c>
      <c r="AJ1222" s="19">
        <f t="shared" si="366"/>
        <v>6194988.76643031</v>
      </c>
      <c r="AK1222" s="20">
        <f t="shared" ref="AK1222:AK1285" si="373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4">IF(F1222="","",F1222&amp;G1222)</f>
        <v>20217</v>
      </c>
      <c r="AQ1222" s="28" t="str">
        <f t="shared" ref="AQ1222:AQ1285" si="375">IF(W1222="","",F1222&amp;G1222&amp;W1222)</f>
        <v>20217JPY</v>
      </c>
      <c r="AR1222" s="206" t="str">
        <f t="shared" ref="AR1222:AR1285" si="376">IFERROR(IF(AND(M1222="YAMAHA", R1222="C28"), "YAMAHA_Non_Mounter", IF(AND(M1222="YAMAHA", R1222="C49"), "YAMAHA_Mounter", M1222)),"")</f>
        <v>YAMAHA_Mounter</v>
      </c>
      <c r="AS1222" s="22">
        <f t="shared" ref="AS1222:AS1285" si="377">IFERROR(IF(OR(G1222="TBA", G1222=""), "", DATEDIF(DATE(B1222, C1222, 1), DATE(F1222, G1222, 1), "M")),"")</f>
        <v>3</v>
      </c>
      <c r="AT1222" s="24" t="str">
        <f t="shared" ref="AT1222:AT1285" si="378">IF(ISNUMBER(AS1222), IF(AS1222&gt;=0, IF(AS1222&lt;=3, "0-3 months", IF(AS1222&lt;=6, "4-6 months", "&gt; 6 months"))), "")</f>
        <v>0-3 months</v>
      </c>
      <c r="AU1222" s="22" t="s">
        <v>3745</v>
      </c>
    </row>
    <row r="1223" spans="1:47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53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1827</v>
      </c>
      <c r="K1223" s="155" t="s">
        <v>1828</v>
      </c>
      <c r="L1223" s="17" t="s">
        <v>92</v>
      </c>
      <c r="M1223" s="13" t="s">
        <v>60</v>
      </c>
      <c r="N1223" s="13">
        <v>1</v>
      </c>
      <c r="O1223" s="13"/>
      <c r="P1223" s="33" t="str">
        <f t="shared" si="370"/>
        <v>MAIN UNIT</v>
      </c>
      <c r="Q1223" s="13" t="s">
        <v>68</v>
      </c>
      <c r="R1223" s="13" t="s">
        <v>62</v>
      </c>
      <c r="S1223" s="13" t="s">
        <v>49</v>
      </c>
      <c r="T1223" s="13" t="s">
        <v>78</v>
      </c>
      <c r="U1223" s="13" t="s">
        <v>79</v>
      </c>
      <c r="V1223" s="13" t="s">
        <v>80</v>
      </c>
      <c r="W1223" s="13" t="s">
        <v>109</v>
      </c>
      <c r="X1223" s="135">
        <v>20300000</v>
      </c>
      <c r="Y1223" s="157" t="str">
        <f t="shared" si="364"/>
        <v>1</v>
      </c>
      <c r="Z1223" s="18">
        <f t="shared" si="363"/>
        <v>20300000</v>
      </c>
      <c r="AA1223" s="13">
        <v>7.17E-2</v>
      </c>
      <c r="AB1223" s="21">
        <f t="shared" si="360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65"/>
        <v>41443303.53761062</v>
      </c>
      <c r="AJ1223" s="19">
        <f t="shared" si="366"/>
        <v>6194988.76643031</v>
      </c>
      <c r="AK1223" s="20">
        <f t="shared" si="373"/>
        <v>0.1494810557466355</v>
      </c>
      <c r="AL1223" s="17"/>
      <c r="AM1223" s="17"/>
      <c r="AN1223" s="17"/>
      <c r="AO1223" s="17"/>
      <c r="AP1223" s="28" t="str">
        <f t="shared" si="374"/>
        <v>20217</v>
      </c>
      <c r="AQ1223" s="28" t="str">
        <f t="shared" si="375"/>
        <v>20217JPY</v>
      </c>
      <c r="AR1223" s="206" t="str">
        <f t="shared" si="376"/>
        <v>YAMAHA_Mounter</v>
      </c>
      <c r="AS1223" s="22">
        <f t="shared" si="377"/>
        <v>3</v>
      </c>
      <c r="AT1223" s="24" t="str">
        <f t="shared" si="378"/>
        <v>0-3 months</v>
      </c>
      <c r="AU1223" s="22" t="s">
        <v>3745</v>
      </c>
    </row>
    <row r="1224" spans="1:47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53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1827</v>
      </c>
      <c r="K1224" s="155" t="s">
        <v>1828</v>
      </c>
      <c r="L1224" s="17" t="s">
        <v>92</v>
      </c>
      <c r="M1224" s="13" t="s">
        <v>60</v>
      </c>
      <c r="N1224" s="13">
        <v>1</v>
      </c>
      <c r="O1224" s="13"/>
      <c r="P1224" s="33" t="str">
        <f t="shared" si="370"/>
        <v>MAIN UNIT</v>
      </c>
      <c r="Q1224" s="13" t="s">
        <v>68</v>
      </c>
      <c r="R1224" s="13" t="s">
        <v>62</v>
      </c>
      <c r="S1224" s="13" t="s">
        <v>49</v>
      </c>
      <c r="T1224" s="13" t="s">
        <v>78</v>
      </c>
      <c r="U1224" s="13" t="s">
        <v>79</v>
      </c>
      <c r="V1224" s="13" t="s">
        <v>80</v>
      </c>
      <c r="W1224" s="13" t="s">
        <v>109</v>
      </c>
      <c r="X1224" s="135">
        <v>20300000</v>
      </c>
      <c r="Y1224" s="157" t="str">
        <f t="shared" si="364"/>
        <v>1</v>
      </c>
      <c r="Z1224" s="18">
        <f t="shared" si="363"/>
        <v>20300000</v>
      </c>
      <c r="AA1224" s="13">
        <v>7.17E-2</v>
      </c>
      <c r="AB1224" s="21">
        <f t="shared" si="360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65"/>
        <v>41443303.53761062</v>
      </c>
      <c r="AJ1224" s="19">
        <f t="shared" si="366"/>
        <v>6194988.76643031</v>
      </c>
      <c r="AK1224" s="20">
        <f t="shared" si="373"/>
        <v>0.1494810557466355</v>
      </c>
      <c r="AL1224" s="17"/>
      <c r="AM1224" s="17"/>
      <c r="AN1224" s="17"/>
      <c r="AO1224" s="17"/>
      <c r="AP1224" s="28" t="str">
        <f t="shared" si="374"/>
        <v>20217</v>
      </c>
      <c r="AQ1224" s="28" t="str">
        <f t="shared" si="375"/>
        <v>20217JPY</v>
      </c>
      <c r="AR1224" s="206" t="str">
        <f t="shared" si="376"/>
        <v>YAMAHA_Mounter</v>
      </c>
      <c r="AS1224" s="22">
        <f t="shared" si="377"/>
        <v>3</v>
      </c>
      <c r="AT1224" s="24" t="str">
        <f t="shared" si="378"/>
        <v>0-3 months</v>
      </c>
      <c r="AU1224" s="22" t="s">
        <v>3745</v>
      </c>
    </row>
    <row r="1225" spans="1:47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53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1827</v>
      </c>
      <c r="K1225" s="155" t="s">
        <v>1828</v>
      </c>
      <c r="L1225" s="17" t="s">
        <v>92</v>
      </c>
      <c r="M1225" s="13" t="s">
        <v>60</v>
      </c>
      <c r="N1225" s="13">
        <v>1</v>
      </c>
      <c r="O1225" s="13"/>
      <c r="P1225" s="33" t="str">
        <f t="shared" si="370"/>
        <v>MAIN UNIT</v>
      </c>
      <c r="Q1225" s="13" t="s">
        <v>68</v>
      </c>
      <c r="R1225" s="13" t="s">
        <v>62</v>
      </c>
      <c r="S1225" s="13" t="s">
        <v>49</v>
      </c>
      <c r="T1225" s="13" t="s">
        <v>78</v>
      </c>
      <c r="U1225" s="13" t="s">
        <v>79</v>
      </c>
      <c r="V1225" s="13" t="s">
        <v>80</v>
      </c>
      <c r="W1225" s="13" t="s">
        <v>109</v>
      </c>
      <c r="X1225" s="135">
        <v>20300000</v>
      </c>
      <c r="Y1225" s="157" t="str">
        <f t="shared" si="364"/>
        <v>1</v>
      </c>
      <c r="Z1225" s="18">
        <f t="shared" si="363"/>
        <v>20300000</v>
      </c>
      <c r="AA1225" s="13">
        <v>7.17E-2</v>
      </c>
      <c r="AB1225" s="21">
        <f t="shared" si="360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65"/>
        <v>41443303.53761062</v>
      </c>
      <c r="AJ1225" s="19">
        <f t="shared" si="366"/>
        <v>6194988.76643031</v>
      </c>
      <c r="AK1225" s="20">
        <f t="shared" si="373"/>
        <v>0.1494810557466355</v>
      </c>
      <c r="AL1225" s="17"/>
      <c r="AM1225" s="17"/>
      <c r="AN1225" s="17"/>
      <c r="AO1225" s="17"/>
      <c r="AP1225" s="28" t="str">
        <f t="shared" si="374"/>
        <v>20217</v>
      </c>
      <c r="AQ1225" s="28" t="str">
        <f t="shared" si="375"/>
        <v>20217JPY</v>
      </c>
      <c r="AR1225" s="206" t="str">
        <f t="shared" si="376"/>
        <v>YAMAHA_Mounter</v>
      </c>
      <c r="AS1225" s="22">
        <f t="shared" si="377"/>
        <v>3</v>
      </c>
      <c r="AT1225" s="24" t="str">
        <f t="shared" si="378"/>
        <v>0-3 months</v>
      </c>
      <c r="AU1225" s="22" t="s">
        <v>3745</v>
      </c>
    </row>
    <row r="1226" spans="1:47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53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1827</v>
      </c>
      <c r="K1226" s="155" t="s">
        <v>1828</v>
      </c>
      <c r="L1226" s="17" t="s">
        <v>92</v>
      </c>
      <c r="M1226" s="13" t="s">
        <v>60</v>
      </c>
      <c r="N1226" s="13">
        <v>1</v>
      </c>
      <c r="O1226" s="13"/>
      <c r="P1226" s="33" t="str">
        <f t="shared" si="370"/>
        <v>MAIN UNIT</v>
      </c>
      <c r="Q1226" s="13" t="s">
        <v>68</v>
      </c>
      <c r="R1226" s="13" t="s">
        <v>62</v>
      </c>
      <c r="S1226" s="13" t="s">
        <v>49</v>
      </c>
      <c r="T1226" s="13" t="s">
        <v>78</v>
      </c>
      <c r="U1226" s="13" t="s">
        <v>79</v>
      </c>
      <c r="V1226" s="13" t="s">
        <v>80</v>
      </c>
      <c r="W1226" s="13" t="s">
        <v>109</v>
      </c>
      <c r="X1226" s="135">
        <v>20300000</v>
      </c>
      <c r="Y1226" s="157" t="str">
        <f t="shared" si="364"/>
        <v>1</v>
      </c>
      <c r="Z1226" s="18">
        <f t="shared" si="363"/>
        <v>20300000</v>
      </c>
      <c r="AA1226" s="13">
        <v>7.17E-2</v>
      </c>
      <c r="AB1226" s="21">
        <f t="shared" si="360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65"/>
        <v>41443303.53761062</v>
      </c>
      <c r="AJ1226" s="19">
        <f t="shared" si="366"/>
        <v>6194988.76643031</v>
      </c>
      <c r="AK1226" s="20">
        <f t="shared" si="373"/>
        <v>0.1494810557466355</v>
      </c>
      <c r="AL1226" s="17"/>
      <c r="AM1226" s="17"/>
      <c r="AN1226" s="17"/>
      <c r="AO1226" s="17"/>
      <c r="AP1226" s="28" t="str">
        <f t="shared" si="374"/>
        <v>20217</v>
      </c>
      <c r="AQ1226" s="28" t="str">
        <f t="shared" si="375"/>
        <v>20217JPY</v>
      </c>
      <c r="AR1226" s="206" t="str">
        <f t="shared" si="376"/>
        <v>YAMAHA_Mounter</v>
      </c>
      <c r="AS1226" s="22">
        <f t="shared" si="377"/>
        <v>3</v>
      </c>
      <c r="AT1226" s="24" t="str">
        <f t="shared" si="378"/>
        <v>0-3 months</v>
      </c>
      <c r="AU1226" s="22" t="s">
        <v>3745</v>
      </c>
    </row>
    <row r="1227" spans="1:47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53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1827</v>
      </c>
      <c r="K1227" s="155" t="s">
        <v>1828</v>
      </c>
      <c r="L1227" s="17" t="s">
        <v>92</v>
      </c>
      <c r="M1227" s="13" t="s">
        <v>60</v>
      </c>
      <c r="N1227" s="13">
        <v>1</v>
      </c>
      <c r="O1227" s="13"/>
      <c r="P1227" s="33" t="str">
        <f t="shared" si="370"/>
        <v>MAIN UNIT</v>
      </c>
      <c r="Q1227" s="13" t="s">
        <v>68</v>
      </c>
      <c r="R1227" s="13" t="s">
        <v>62</v>
      </c>
      <c r="S1227" s="13" t="s">
        <v>49</v>
      </c>
      <c r="T1227" s="13" t="s">
        <v>78</v>
      </c>
      <c r="U1227" s="13" t="s">
        <v>79</v>
      </c>
      <c r="V1227" s="13" t="s">
        <v>80</v>
      </c>
      <c r="W1227" s="13" t="s">
        <v>109</v>
      </c>
      <c r="X1227" s="135">
        <v>20300000</v>
      </c>
      <c r="Y1227" s="157" t="str">
        <f t="shared" si="364"/>
        <v>1</v>
      </c>
      <c r="Z1227" s="18">
        <f t="shared" si="363"/>
        <v>20300000</v>
      </c>
      <c r="AA1227" s="13">
        <v>7.17E-2</v>
      </c>
      <c r="AB1227" s="21">
        <f t="shared" si="360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65"/>
        <v>41443303.53761062</v>
      </c>
      <c r="AJ1227" s="19">
        <f t="shared" si="366"/>
        <v>6194988.76643031</v>
      </c>
      <c r="AK1227" s="20">
        <f t="shared" si="373"/>
        <v>0.1494810557466355</v>
      </c>
      <c r="AL1227" s="17"/>
      <c r="AM1227" s="17"/>
      <c r="AN1227" s="17"/>
      <c r="AO1227" s="17"/>
      <c r="AP1227" s="28" t="str">
        <f t="shared" si="374"/>
        <v>20217</v>
      </c>
      <c r="AQ1227" s="28" t="str">
        <f t="shared" si="375"/>
        <v>20217JPY</v>
      </c>
      <c r="AR1227" s="206" t="str">
        <f t="shared" si="376"/>
        <v>YAMAHA_Mounter</v>
      </c>
      <c r="AS1227" s="22">
        <f t="shared" si="377"/>
        <v>3</v>
      </c>
      <c r="AT1227" s="24" t="str">
        <f t="shared" si="378"/>
        <v>0-3 months</v>
      </c>
      <c r="AU1227" s="22" t="s">
        <v>3745</v>
      </c>
    </row>
    <row r="1228" spans="1:47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53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1827</v>
      </c>
      <c r="K1228" s="155" t="s">
        <v>1828</v>
      </c>
      <c r="L1228" s="17" t="s">
        <v>92</v>
      </c>
      <c r="M1228" s="13" t="s">
        <v>60</v>
      </c>
      <c r="N1228" s="13">
        <v>1</v>
      </c>
      <c r="O1228" s="13"/>
      <c r="P1228" s="33" t="str">
        <f t="shared" si="370"/>
        <v>MAIN UNIT</v>
      </c>
      <c r="Q1228" s="13" t="s">
        <v>68</v>
      </c>
      <c r="R1228" s="13" t="s">
        <v>62</v>
      </c>
      <c r="S1228" s="13" t="s">
        <v>49</v>
      </c>
      <c r="T1228" s="13" t="s">
        <v>78</v>
      </c>
      <c r="U1228" s="13" t="s">
        <v>79</v>
      </c>
      <c r="V1228" s="13" t="s">
        <v>80</v>
      </c>
      <c r="W1228" s="13" t="s">
        <v>109</v>
      </c>
      <c r="X1228" s="135">
        <v>20300000</v>
      </c>
      <c r="Y1228" s="157" t="str">
        <f t="shared" si="364"/>
        <v>1</v>
      </c>
      <c r="Z1228" s="18">
        <f t="shared" si="363"/>
        <v>20300000</v>
      </c>
      <c r="AA1228" s="13">
        <v>7.17E-2</v>
      </c>
      <c r="AB1228" s="21">
        <f t="shared" si="360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65"/>
        <v>41443303.53761062</v>
      </c>
      <c r="AJ1228" s="19">
        <f t="shared" si="366"/>
        <v>6194988.76643031</v>
      </c>
      <c r="AK1228" s="20">
        <f t="shared" si="373"/>
        <v>0.1494810557466355</v>
      </c>
      <c r="AL1228" s="17"/>
      <c r="AM1228" s="17"/>
      <c r="AN1228" s="17"/>
      <c r="AO1228" s="17"/>
      <c r="AP1228" s="28" t="str">
        <f t="shared" si="374"/>
        <v>20217</v>
      </c>
      <c r="AQ1228" s="28" t="str">
        <f t="shared" si="375"/>
        <v>20217JPY</v>
      </c>
      <c r="AR1228" s="206" t="str">
        <f t="shared" si="376"/>
        <v>YAMAHA_Mounter</v>
      </c>
      <c r="AS1228" s="22">
        <f t="shared" si="377"/>
        <v>3</v>
      </c>
      <c r="AT1228" s="24" t="str">
        <f t="shared" si="378"/>
        <v>0-3 months</v>
      </c>
      <c r="AU1228" s="22" t="s">
        <v>3745</v>
      </c>
    </row>
    <row r="1229" spans="1:47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53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1827</v>
      </c>
      <c r="K1229" s="155" t="s">
        <v>1828</v>
      </c>
      <c r="L1229" s="17" t="s">
        <v>293</v>
      </c>
      <c r="M1229" s="13" t="s">
        <v>60</v>
      </c>
      <c r="N1229" s="13">
        <v>1</v>
      </c>
      <c r="O1229" s="13"/>
      <c r="P1229" s="33" t="str">
        <f t="shared" si="370"/>
        <v>MAIN UNIT</v>
      </c>
      <c r="Q1229" s="13" t="s">
        <v>68</v>
      </c>
      <c r="R1229" s="13" t="s">
        <v>62</v>
      </c>
      <c r="S1229" s="13" t="s">
        <v>49</v>
      </c>
      <c r="T1229" s="13" t="s">
        <v>78</v>
      </c>
      <c r="U1229" s="13" t="s">
        <v>79</v>
      </c>
      <c r="V1229" s="13" t="s">
        <v>80</v>
      </c>
      <c r="W1229" s="13" t="s">
        <v>109</v>
      </c>
      <c r="X1229" s="135">
        <v>25000000</v>
      </c>
      <c r="Y1229" s="157" t="str">
        <f t="shared" si="364"/>
        <v>1</v>
      </c>
      <c r="Z1229" s="18">
        <f t="shared" si="363"/>
        <v>25000000</v>
      </c>
      <c r="AA1229" s="13">
        <v>7.2400000000000006E-2</v>
      </c>
      <c r="AB1229" s="21">
        <f t="shared" si="360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65"/>
        <v>47458373.787610628</v>
      </c>
      <c r="AJ1229" s="19">
        <f t="shared" si="366"/>
        <v>7436880.1411522133</v>
      </c>
      <c r="AK1229" s="20">
        <f t="shared" si="373"/>
        <v>0.15670322321692506</v>
      </c>
      <c r="AL1229" s="17"/>
      <c r="AM1229" s="17"/>
      <c r="AN1229" s="17"/>
      <c r="AO1229" s="17"/>
      <c r="AP1229" s="28" t="str">
        <f t="shared" si="374"/>
        <v>20218</v>
      </c>
      <c r="AQ1229" s="28" t="str">
        <f t="shared" si="375"/>
        <v>20218JPY</v>
      </c>
      <c r="AR1229" s="206" t="str">
        <f t="shared" si="376"/>
        <v>YAMAHA_Mounter</v>
      </c>
      <c r="AS1229" s="22">
        <f t="shared" si="377"/>
        <v>4</v>
      </c>
      <c r="AT1229" s="24" t="str">
        <f t="shared" si="378"/>
        <v>4-6 months</v>
      </c>
      <c r="AU1229" s="22" t="s">
        <v>3745</v>
      </c>
    </row>
    <row r="1230" spans="1:47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53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1827</v>
      </c>
      <c r="K1230" s="155" t="s">
        <v>1828</v>
      </c>
      <c r="L1230" s="17" t="s">
        <v>293</v>
      </c>
      <c r="M1230" s="13" t="s">
        <v>60</v>
      </c>
      <c r="N1230" s="13">
        <v>1</v>
      </c>
      <c r="O1230" s="13"/>
      <c r="P1230" s="33" t="str">
        <f t="shared" si="370"/>
        <v>MAIN UNIT</v>
      </c>
      <c r="Q1230" s="13" t="s">
        <v>68</v>
      </c>
      <c r="R1230" s="13" t="s">
        <v>62</v>
      </c>
      <c r="S1230" s="13" t="s">
        <v>49</v>
      </c>
      <c r="T1230" s="13" t="s">
        <v>78</v>
      </c>
      <c r="U1230" s="13" t="s">
        <v>79</v>
      </c>
      <c r="V1230" s="13" t="s">
        <v>80</v>
      </c>
      <c r="W1230" s="13" t="s">
        <v>109</v>
      </c>
      <c r="X1230" s="135">
        <v>25000000</v>
      </c>
      <c r="Y1230" s="157" t="str">
        <f t="shared" si="364"/>
        <v>1</v>
      </c>
      <c r="Z1230" s="18">
        <f t="shared" si="363"/>
        <v>25000000</v>
      </c>
      <c r="AA1230" s="13">
        <v>7.2400000000000006E-2</v>
      </c>
      <c r="AB1230" s="21">
        <f t="shared" si="360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65"/>
        <v>47458373.787610628</v>
      </c>
      <c r="AJ1230" s="19">
        <f t="shared" si="366"/>
        <v>7436880.1411522133</v>
      </c>
      <c r="AK1230" s="20">
        <f t="shared" si="373"/>
        <v>0.15670322321692506</v>
      </c>
      <c r="AL1230" s="17"/>
      <c r="AM1230" s="17"/>
      <c r="AN1230" s="17"/>
      <c r="AO1230" s="17"/>
      <c r="AP1230" s="28" t="str">
        <f t="shared" si="374"/>
        <v>20218</v>
      </c>
      <c r="AQ1230" s="28" t="str">
        <f t="shared" si="375"/>
        <v>20218JPY</v>
      </c>
      <c r="AR1230" s="206" t="str">
        <f t="shared" si="376"/>
        <v>YAMAHA_Mounter</v>
      </c>
      <c r="AS1230" s="22">
        <f t="shared" si="377"/>
        <v>4</v>
      </c>
      <c r="AT1230" s="24" t="str">
        <f t="shared" si="378"/>
        <v>4-6 months</v>
      </c>
      <c r="AU1230" s="22" t="s">
        <v>3745</v>
      </c>
    </row>
    <row r="1231" spans="1:47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53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1827</v>
      </c>
      <c r="K1231" s="155" t="s">
        <v>1828</v>
      </c>
      <c r="L1231" s="17" t="s">
        <v>92</v>
      </c>
      <c r="M1231" s="13" t="s">
        <v>60</v>
      </c>
      <c r="N1231" s="13">
        <v>1</v>
      </c>
      <c r="O1231" s="13"/>
      <c r="P1231" s="33" t="str">
        <f t="shared" si="370"/>
        <v>MAIN UNIT</v>
      </c>
      <c r="Q1231" s="13" t="s">
        <v>68</v>
      </c>
      <c r="R1231" s="13" t="s">
        <v>62</v>
      </c>
      <c r="S1231" s="13" t="s">
        <v>49</v>
      </c>
      <c r="T1231" s="13" t="s">
        <v>78</v>
      </c>
      <c r="U1231" s="13" t="s">
        <v>79</v>
      </c>
      <c r="V1231" s="13" t="s">
        <v>80</v>
      </c>
      <c r="W1231" s="13" t="s">
        <v>109</v>
      </c>
      <c r="X1231" s="135">
        <v>20300000</v>
      </c>
      <c r="Y1231" s="157" t="str">
        <f t="shared" si="364"/>
        <v>1</v>
      </c>
      <c r="Z1231" s="18">
        <f t="shared" si="363"/>
        <v>20300000</v>
      </c>
      <c r="AA1231" s="13">
        <v>7.2400000000000006E-2</v>
      </c>
      <c r="AB1231" s="21">
        <f t="shared" si="360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65"/>
        <v>47458373.787610628</v>
      </c>
      <c r="AJ1231" s="19">
        <f t="shared" si="366"/>
        <v>7436880.1411522133</v>
      </c>
      <c r="AK1231" s="20">
        <f t="shared" si="373"/>
        <v>0.15670322321692506</v>
      </c>
      <c r="AL1231" s="17"/>
      <c r="AM1231" s="17"/>
      <c r="AN1231" s="17"/>
      <c r="AO1231" s="17"/>
      <c r="AP1231" s="28" t="str">
        <f t="shared" si="374"/>
        <v>20218</v>
      </c>
      <c r="AQ1231" s="28" t="str">
        <f t="shared" si="375"/>
        <v>20218JPY</v>
      </c>
      <c r="AR1231" s="206" t="str">
        <f t="shared" si="376"/>
        <v>YAMAHA_Mounter</v>
      </c>
      <c r="AS1231" s="22">
        <f t="shared" si="377"/>
        <v>4</v>
      </c>
      <c r="AT1231" s="24" t="str">
        <f t="shared" si="378"/>
        <v>4-6 months</v>
      </c>
      <c r="AU1231" s="22" t="s">
        <v>3745</v>
      </c>
    </row>
    <row r="1232" spans="1:47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53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1827</v>
      </c>
      <c r="K1232" s="155" t="s">
        <v>1828</v>
      </c>
      <c r="L1232" s="17" t="s">
        <v>92</v>
      </c>
      <c r="M1232" s="13" t="s">
        <v>60</v>
      </c>
      <c r="N1232" s="13">
        <v>1</v>
      </c>
      <c r="O1232" s="13"/>
      <c r="P1232" s="33" t="str">
        <f t="shared" si="370"/>
        <v>MAIN UNIT</v>
      </c>
      <c r="Q1232" s="13" t="s">
        <v>68</v>
      </c>
      <c r="R1232" s="13" t="s">
        <v>62</v>
      </c>
      <c r="S1232" s="13" t="s">
        <v>49</v>
      </c>
      <c r="T1232" s="13" t="s">
        <v>78</v>
      </c>
      <c r="U1232" s="13" t="s">
        <v>79</v>
      </c>
      <c r="V1232" s="13" t="s">
        <v>80</v>
      </c>
      <c r="W1232" s="13" t="s">
        <v>109</v>
      </c>
      <c r="X1232" s="135">
        <v>20300000</v>
      </c>
      <c r="Y1232" s="157" t="str">
        <f t="shared" si="364"/>
        <v>1</v>
      </c>
      <c r="Z1232" s="18">
        <f t="shared" si="363"/>
        <v>20300000</v>
      </c>
      <c r="AA1232" s="13">
        <v>7.2400000000000006E-2</v>
      </c>
      <c r="AB1232" s="21">
        <f t="shared" si="360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65"/>
        <v>47458373.787610628</v>
      </c>
      <c r="AJ1232" s="19">
        <f t="shared" si="366"/>
        <v>7436880.1411522133</v>
      </c>
      <c r="AK1232" s="20">
        <f t="shared" si="373"/>
        <v>0.15670322321692506</v>
      </c>
      <c r="AL1232" s="17"/>
      <c r="AM1232" s="17"/>
      <c r="AN1232" s="17"/>
      <c r="AO1232" s="17"/>
      <c r="AP1232" s="28" t="str">
        <f t="shared" si="374"/>
        <v>20218</v>
      </c>
      <c r="AQ1232" s="28" t="str">
        <f t="shared" si="375"/>
        <v>20218JPY</v>
      </c>
      <c r="AR1232" s="206" t="str">
        <f t="shared" si="376"/>
        <v>YAMAHA_Mounter</v>
      </c>
      <c r="AS1232" s="22">
        <f t="shared" si="377"/>
        <v>4</v>
      </c>
      <c r="AT1232" s="24" t="str">
        <f t="shared" si="378"/>
        <v>4-6 months</v>
      </c>
      <c r="AU1232" s="22" t="s">
        <v>3745</v>
      </c>
    </row>
    <row r="1233" spans="1:47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53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1827</v>
      </c>
      <c r="K1233" s="155" t="s">
        <v>1828</v>
      </c>
      <c r="L1233" s="17" t="s">
        <v>92</v>
      </c>
      <c r="M1233" s="13" t="s">
        <v>60</v>
      </c>
      <c r="N1233" s="13">
        <v>1</v>
      </c>
      <c r="O1233" s="13"/>
      <c r="P1233" s="33" t="str">
        <f t="shared" si="370"/>
        <v>MAIN UNIT</v>
      </c>
      <c r="Q1233" s="13" t="s">
        <v>68</v>
      </c>
      <c r="R1233" s="13" t="s">
        <v>62</v>
      </c>
      <c r="S1233" s="13" t="s">
        <v>49</v>
      </c>
      <c r="T1233" s="13" t="s">
        <v>78</v>
      </c>
      <c r="U1233" s="13" t="s">
        <v>79</v>
      </c>
      <c r="V1233" s="13" t="s">
        <v>80</v>
      </c>
      <c r="W1233" s="13" t="s">
        <v>109</v>
      </c>
      <c r="X1233" s="135">
        <v>20300000</v>
      </c>
      <c r="Y1233" s="157" t="str">
        <f t="shared" si="364"/>
        <v>1</v>
      </c>
      <c r="Z1233" s="18">
        <f t="shared" si="363"/>
        <v>20300000</v>
      </c>
      <c r="AA1233" s="13">
        <v>7.2400000000000006E-2</v>
      </c>
      <c r="AB1233" s="21">
        <f t="shared" si="360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65"/>
        <v>47458373.787610628</v>
      </c>
      <c r="AJ1233" s="19">
        <f t="shared" si="366"/>
        <v>7436880.1411522133</v>
      </c>
      <c r="AK1233" s="20">
        <f t="shared" si="373"/>
        <v>0.15670322321692506</v>
      </c>
      <c r="AL1233" s="17"/>
      <c r="AM1233" s="17"/>
      <c r="AN1233" s="17"/>
      <c r="AO1233" s="17"/>
      <c r="AP1233" s="28" t="str">
        <f t="shared" si="374"/>
        <v>20218</v>
      </c>
      <c r="AQ1233" s="28" t="str">
        <f t="shared" si="375"/>
        <v>20218JPY</v>
      </c>
      <c r="AR1233" s="206" t="str">
        <f t="shared" si="376"/>
        <v>YAMAHA_Mounter</v>
      </c>
      <c r="AS1233" s="22">
        <f t="shared" si="377"/>
        <v>4</v>
      </c>
      <c r="AT1233" s="24" t="str">
        <f t="shared" si="378"/>
        <v>4-6 months</v>
      </c>
      <c r="AU1233" s="22" t="s">
        <v>3745</v>
      </c>
    </row>
    <row r="1234" spans="1:47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53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1827</v>
      </c>
      <c r="K1234" s="155" t="s">
        <v>1828</v>
      </c>
      <c r="L1234" s="17" t="s">
        <v>92</v>
      </c>
      <c r="M1234" s="13" t="s">
        <v>60</v>
      </c>
      <c r="N1234" s="13">
        <v>1</v>
      </c>
      <c r="O1234" s="13"/>
      <c r="P1234" s="33" t="str">
        <f t="shared" si="370"/>
        <v>MAIN UNIT</v>
      </c>
      <c r="Q1234" s="13" t="s">
        <v>68</v>
      </c>
      <c r="R1234" s="13" t="s">
        <v>62</v>
      </c>
      <c r="S1234" s="13" t="s">
        <v>49</v>
      </c>
      <c r="T1234" s="13" t="s">
        <v>78</v>
      </c>
      <c r="U1234" s="13" t="s">
        <v>79</v>
      </c>
      <c r="V1234" s="13" t="s">
        <v>80</v>
      </c>
      <c r="W1234" s="13" t="s">
        <v>109</v>
      </c>
      <c r="X1234" s="135">
        <v>20300000</v>
      </c>
      <c r="Y1234" s="157" t="str">
        <f t="shared" si="364"/>
        <v>1</v>
      </c>
      <c r="Z1234" s="18">
        <f t="shared" si="363"/>
        <v>20300000</v>
      </c>
      <c r="AA1234" s="13">
        <v>7.2400000000000006E-2</v>
      </c>
      <c r="AB1234" s="21">
        <f t="shared" si="360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65"/>
        <v>47458373.787610628</v>
      </c>
      <c r="AJ1234" s="19">
        <f t="shared" si="366"/>
        <v>7436880.1411522133</v>
      </c>
      <c r="AK1234" s="20">
        <f t="shared" si="373"/>
        <v>0.15670322321692506</v>
      </c>
      <c r="AL1234" s="17"/>
      <c r="AM1234" s="17"/>
      <c r="AN1234" s="17"/>
      <c r="AO1234" s="17"/>
      <c r="AP1234" s="28" t="str">
        <f t="shared" si="374"/>
        <v>20218</v>
      </c>
      <c r="AQ1234" s="28" t="str">
        <f t="shared" si="375"/>
        <v>20218JPY</v>
      </c>
      <c r="AR1234" s="206" t="str">
        <f t="shared" si="376"/>
        <v>YAMAHA_Mounter</v>
      </c>
      <c r="AS1234" s="22">
        <f t="shared" si="377"/>
        <v>4</v>
      </c>
      <c r="AT1234" s="24" t="str">
        <f t="shared" si="378"/>
        <v>4-6 months</v>
      </c>
      <c r="AU1234" s="22" t="s">
        <v>3745</v>
      </c>
    </row>
    <row r="1235" spans="1:47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53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1827</v>
      </c>
      <c r="K1235" s="155" t="s">
        <v>1828</v>
      </c>
      <c r="L1235" s="17" t="s">
        <v>92</v>
      </c>
      <c r="M1235" s="13" t="s">
        <v>60</v>
      </c>
      <c r="N1235" s="13">
        <v>1</v>
      </c>
      <c r="O1235" s="13"/>
      <c r="P1235" s="33" t="str">
        <f t="shared" si="370"/>
        <v>MAIN UNIT</v>
      </c>
      <c r="Q1235" s="13" t="s">
        <v>68</v>
      </c>
      <c r="R1235" s="13" t="s">
        <v>62</v>
      </c>
      <c r="S1235" s="13" t="s">
        <v>49</v>
      </c>
      <c r="T1235" s="13" t="s">
        <v>78</v>
      </c>
      <c r="U1235" s="13" t="s">
        <v>79</v>
      </c>
      <c r="V1235" s="13" t="s">
        <v>80</v>
      </c>
      <c r="W1235" s="13" t="s">
        <v>109</v>
      </c>
      <c r="X1235" s="135">
        <v>20300000</v>
      </c>
      <c r="Y1235" s="157" t="str">
        <f t="shared" si="364"/>
        <v>1</v>
      </c>
      <c r="Z1235" s="18">
        <f t="shared" si="363"/>
        <v>20300000</v>
      </c>
      <c r="AA1235" s="13">
        <v>7.2400000000000006E-2</v>
      </c>
      <c r="AB1235" s="21">
        <f t="shared" si="360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65"/>
        <v>47458373.787610628</v>
      </c>
      <c r="AJ1235" s="19">
        <f t="shared" si="366"/>
        <v>7436880.1411522133</v>
      </c>
      <c r="AK1235" s="20">
        <f t="shared" si="373"/>
        <v>0.15670322321692506</v>
      </c>
      <c r="AL1235" s="17"/>
      <c r="AM1235" s="17"/>
      <c r="AN1235" s="17"/>
      <c r="AO1235" s="17"/>
      <c r="AP1235" s="28" t="str">
        <f t="shared" si="374"/>
        <v>20218</v>
      </c>
      <c r="AQ1235" s="28" t="str">
        <f t="shared" si="375"/>
        <v>20218JPY</v>
      </c>
      <c r="AR1235" s="206" t="str">
        <f t="shared" si="376"/>
        <v>YAMAHA_Mounter</v>
      </c>
      <c r="AS1235" s="22">
        <f t="shared" si="377"/>
        <v>4</v>
      </c>
      <c r="AT1235" s="24" t="str">
        <f t="shared" si="378"/>
        <v>4-6 months</v>
      </c>
      <c r="AU1235" s="22" t="s">
        <v>3745</v>
      </c>
    </row>
    <row r="1236" spans="1:47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53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1827</v>
      </c>
      <c r="K1236" s="155" t="s">
        <v>1828</v>
      </c>
      <c r="L1236" s="17" t="s">
        <v>92</v>
      </c>
      <c r="M1236" s="13" t="s">
        <v>60</v>
      </c>
      <c r="N1236" s="13">
        <v>1</v>
      </c>
      <c r="O1236" s="13"/>
      <c r="P1236" s="33" t="str">
        <f t="shared" si="370"/>
        <v>MAIN UNIT</v>
      </c>
      <c r="Q1236" s="13" t="s">
        <v>68</v>
      </c>
      <c r="R1236" s="13" t="s">
        <v>62</v>
      </c>
      <c r="S1236" s="13" t="s">
        <v>49</v>
      </c>
      <c r="T1236" s="13" t="s">
        <v>78</v>
      </c>
      <c r="U1236" s="13" t="s">
        <v>79</v>
      </c>
      <c r="V1236" s="13" t="s">
        <v>80</v>
      </c>
      <c r="W1236" s="13" t="s">
        <v>109</v>
      </c>
      <c r="X1236" s="135">
        <v>20300000</v>
      </c>
      <c r="Y1236" s="157" t="str">
        <f t="shared" si="364"/>
        <v>1</v>
      </c>
      <c r="Z1236" s="18">
        <f t="shared" si="363"/>
        <v>20300000</v>
      </c>
      <c r="AA1236" s="13">
        <v>7.2400000000000006E-2</v>
      </c>
      <c r="AB1236" s="21">
        <f t="shared" si="360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65"/>
        <v>47458373.787610628</v>
      </c>
      <c r="AJ1236" s="19">
        <f t="shared" si="366"/>
        <v>7436880.1411522133</v>
      </c>
      <c r="AK1236" s="20">
        <f t="shared" si="373"/>
        <v>0.15670322321692506</v>
      </c>
      <c r="AL1236" s="17"/>
      <c r="AM1236" s="17"/>
      <c r="AN1236" s="17"/>
      <c r="AO1236" s="17"/>
      <c r="AP1236" s="28" t="str">
        <f t="shared" si="374"/>
        <v>20218</v>
      </c>
      <c r="AQ1236" s="28" t="str">
        <f t="shared" si="375"/>
        <v>20218JPY</v>
      </c>
      <c r="AR1236" s="206" t="str">
        <f t="shared" si="376"/>
        <v>YAMAHA_Mounter</v>
      </c>
      <c r="AS1236" s="22">
        <f t="shared" si="377"/>
        <v>4</v>
      </c>
      <c r="AT1236" s="24" t="str">
        <f t="shared" si="378"/>
        <v>4-6 months</v>
      </c>
      <c r="AU1236" s="22" t="s">
        <v>3745</v>
      </c>
    </row>
    <row r="1237" spans="1:47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47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649</v>
      </c>
      <c r="K1237" s="155" t="s">
        <v>650</v>
      </c>
      <c r="L1237" s="17" t="s">
        <v>92</v>
      </c>
      <c r="M1237" s="13" t="s">
        <v>60</v>
      </c>
      <c r="N1237" s="13">
        <v>1</v>
      </c>
      <c r="O1237" s="13"/>
      <c r="P1237" s="33" t="str">
        <f t="shared" si="370"/>
        <v>MAIN UNIT</v>
      </c>
      <c r="Q1237" s="13" t="s">
        <v>61</v>
      </c>
      <c r="R1237" s="13" t="s">
        <v>62</v>
      </c>
      <c r="S1237" s="13" t="s">
        <v>49</v>
      </c>
      <c r="T1237" s="13" t="s">
        <v>78</v>
      </c>
      <c r="U1237" s="13" t="s">
        <v>79</v>
      </c>
      <c r="V1237" s="13" t="s">
        <v>80</v>
      </c>
      <c r="W1237" s="13" t="s">
        <v>109</v>
      </c>
      <c r="X1237" s="135">
        <v>15920000</v>
      </c>
      <c r="Y1237" s="156">
        <v>1</v>
      </c>
      <c r="Z1237" s="18">
        <f t="shared" si="363"/>
        <v>15920000</v>
      </c>
      <c r="AA1237" s="13">
        <v>7.2300000000000003E-2</v>
      </c>
      <c r="AB1237" s="21">
        <f t="shared" si="360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65"/>
        <v>32843736.557277881</v>
      </c>
      <c r="AJ1237" s="19">
        <f t="shared" si="366"/>
        <v>3921470.6822663117</v>
      </c>
      <c r="AK1237" s="20">
        <f t="shared" si="373"/>
        <v>0.11939782416131177</v>
      </c>
      <c r="AL1237" s="17"/>
      <c r="AM1237" s="17"/>
      <c r="AN1237" s="17"/>
      <c r="AO1237" s="17"/>
      <c r="AP1237" s="28" t="str">
        <f t="shared" si="374"/>
        <v>20194</v>
      </c>
      <c r="AQ1237" s="28" t="str">
        <f t="shared" si="375"/>
        <v>20194JPY</v>
      </c>
      <c r="AR1237" s="206" t="str">
        <f t="shared" si="376"/>
        <v>YAMAHA_Mounter</v>
      </c>
      <c r="AS1237" s="22">
        <f t="shared" si="377"/>
        <v>0</v>
      </c>
      <c r="AT1237" s="24" t="str">
        <f t="shared" si="378"/>
        <v>0-3 months</v>
      </c>
      <c r="AU1237" s="22" t="s">
        <v>3745</v>
      </c>
    </row>
    <row r="1238" spans="1:47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47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755</v>
      </c>
      <c r="K1238" s="155" t="s">
        <v>756</v>
      </c>
      <c r="L1238" s="17" t="s">
        <v>92</v>
      </c>
      <c r="M1238" s="13" t="s">
        <v>60</v>
      </c>
      <c r="N1238" s="13">
        <v>1</v>
      </c>
      <c r="O1238" s="13"/>
      <c r="P1238" s="33" t="str">
        <f t="shared" si="370"/>
        <v>MAIN UNIT</v>
      </c>
      <c r="Q1238" s="13" t="s">
        <v>61</v>
      </c>
      <c r="R1238" s="13" t="s">
        <v>260</v>
      </c>
      <c r="S1238" s="13" t="s">
        <v>261</v>
      </c>
      <c r="T1238" s="13" t="s">
        <v>78</v>
      </c>
      <c r="U1238" s="13" t="s">
        <v>79</v>
      </c>
      <c r="V1238" s="13" t="s">
        <v>264</v>
      </c>
      <c r="W1238" s="13" t="s">
        <v>109</v>
      </c>
      <c r="X1238" s="135">
        <v>14000000</v>
      </c>
      <c r="Y1238" s="156">
        <v>1</v>
      </c>
      <c r="Z1238" s="18">
        <f t="shared" si="363"/>
        <v>14000000</v>
      </c>
      <c r="AA1238" s="13">
        <v>7.3999999999999996E-2</v>
      </c>
      <c r="AB1238" s="21">
        <f t="shared" si="360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65"/>
        <v>34015877.71150443</v>
      </c>
      <c r="AJ1238" s="19">
        <f t="shared" si="366"/>
        <v>4446292.375441948</v>
      </c>
      <c r="AK1238" s="20">
        <f t="shared" si="373"/>
        <v>0.13071226364205143</v>
      </c>
      <c r="AL1238" s="17"/>
      <c r="AM1238" s="17"/>
      <c r="AN1238" s="17"/>
      <c r="AO1238" s="17"/>
      <c r="AP1238" s="28" t="str">
        <f t="shared" si="374"/>
        <v>20197</v>
      </c>
      <c r="AQ1238" s="28" t="str">
        <f t="shared" si="375"/>
        <v>20197JPY</v>
      </c>
      <c r="AR1238" s="206" t="str">
        <f t="shared" si="376"/>
        <v>YAMAHA_Mounter</v>
      </c>
      <c r="AS1238" s="22">
        <f t="shared" si="377"/>
        <v>0</v>
      </c>
      <c r="AT1238" s="24" t="str">
        <f t="shared" si="378"/>
        <v>0-3 months</v>
      </c>
      <c r="AU1238" s="22" t="s">
        <v>3745</v>
      </c>
    </row>
    <row r="1239" spans="1:47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47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757</v>
      </c>
      <c r="K1239" s="155" t="s">
        <v>756</v>
      </c>
      <c r="L1239" s="17" t="s">
        <v>92</v>
      </c>
      <c r="M1239" s="13" t="s">
        <v>60</v>
      </c>
      <c r="N1239" s="13">
        <v>1</v>
      </c>
      <c r="O1239" s="13"/>
      <c r="P1239" s="33" t="str">
        <f t="shared" si="370"/>
        <v>MAIN UNIT</v>
      </c>
      <c r="Q1239" s="13" t="s">
        <v>61</v>
      </c>
      <c r="R1239" s="13" t="s">
        <v>260</v>
      </c>
      <c r="S1239" s="13" t="s">
        <v>261</v>
      </c>
      <c r="T1239" s="13" t="s">
        <v>78</v>
      </c>
      <c r="U1239" s="13" t="s">
        <v>79</v>
      </c>
      <c r="V1239" s="13" t="s">
        <v>264</v>
      </c>
      <c r="W1239" s="13" t="s">
        <v>109</v>
      </c>
      <c r="X1239" s="135">
        <v>14000000</v>
      </c>
      <c r="Y1239" s="156">
        <v>1</v>
      </c>
      <c r="Z1239" s="18">
        <f t="shared" si="363"/>
        <v>14000000</v>
      </c>
      <c r="AA1239" s="13">
        <v>7.3999999999999996E-2</v>
      </c>
      <c r="AB1239" s="21">
        <f t="shared" si="360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65"/>
        <v>34015877.71150443</v>
      </c>
      <c r="AJ1239" s="19">
        <f t="shared" si="366"/>
        <v>4446292.375441948</v>
      </c>
      <c r="AK1239" s="20">
        <f t="shared" si="373"/>
        <v>0.13071226364205143</v>
      </c>
      <c r="AL1239" s="17"/>
      <c r="AM1239" s="17"/>
      <c r="AN1239" s="17"/>
      <c r="AO1239" s="17"/>
      <c r="AP1239" s="28" t="str">
        <f t="shared" si="374"/>
        <v>20197</v>
      </c>
      <c r="AQ1239" s="28" t="str">
        <f t="shared" si="375"/>
        <v>20197JPY</v>
      </c>
      <c r="AR1239" s="206" t="str">
        <f t="shared" si="376"/>
        <v>YAMAHA_Mounter</v>
      </c>
      <c r="AS1239" s="22">
        <f t="shared" si="377"/>
        <v>0</v>
      </c>
      <c r="AT1239" s="24" t="str">
        <f t="shared" si="378"/>
        <v>0-3 months</v>
      </c>
      <c r="AU1239" s="22" t="s">
        <v>3745</v>
      </c>
    </row>
    <row r="1240" spans="1:47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47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757</v>
      </c>
      <c r="K1240" s="155" t="s">
        <v>756</v>
      </c>
      <c r="L1240" s="17" t="s">
        <v>67</v>
      </c>
      <c r="M1240" s="13" t="s">
        <v>60</v>
      </c>
      <c r="N1240" s="13">
        <v>1</v>
      </c>
      <c r="O1240" s="13"/>
      <c r="P1240" s="33" t="str">
        <f t="shared" si="370"/>
        <v>MAIN UNIT</v>
      </c>
      <c r="Q1240" s="13" t="s">
        <v>61</v>
      </c>
      <c r="R1240" s="13" t="s">
        <v>260</v>
      </c>
      <c r="S1240" s="13" t="s">
        <v>261</v>
      </c>
      <c r="T1240" s="13" t="s">
        <v>78</v>
      </c>
      <c r="U1240" s="13" t="s">
        <v>79</v>
      </c>
      <c r="V1240" s="13" t="s">
        <v>264</v>
      </c>
      <c r="W1240" s="13" t="s">
        <v>109</v>
      </c>
      <c r="X1240" s="135">
        <v>10000000</v>
      </c>
      <c r="Y1240" s="156">
        <v>1</v>
      </c>
      <c r="Z1240" s="18">
        <f t="shared" si="363"/>
        <v>10000000</v>
      </c>
      <c r="AA1240" s="13">
        <v>7.3999999999999996E-2</v>
      </c>
      <c r="AB1240" s="21">
        <f t="shared" si="360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65"/>
        <v>34015877.71150443</v>
      </c>
      <c r="AJ1240" s="19">
        <f t="shared" si="366"/>
        <v>4446292.375441948</v>
      </c>
      <c r="AK1240" s="20">
        <f t="shared" si="373"/>
        <v>0.13071226364205143</v>
      </c>
      <c r="AL1240" s="17"/>
      <c r="AM1240" s="17"/>
      <c r="AN1240" s="17"/>
      <c r="AO1240" s="17"/>
      <c r="AP1240" s="28" t="str">
        <f t="shared" si="374"/>
        <v>20197</v>
      </c>
      <c r="AQ1240" s="28" t="str">
        <f t="shared" si="375"/>
        <v>20197JPY</v>
      </c>
      <c r="AR1240" s="206" t="str">
        <f t="shared" si="376"/>
        <v>YAMAHA_Mounter</v>
      </c>
      <c r="AS1240" s="22">
        <f t="shared" si="377"/>
        <v>0</v>
      </c>
      <c r="AT1240" s="24" t="str">
        <f t="shared" si="378"/>
        <v>0-3 months</v>
      </c>
      <c r="AU1240" s="22" t="s">
        <v>3745</v>
      </c>
    </row>
    <row r="1241" spans="1:47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47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755</v>
      </c>
      <c r="K1241" s="155" t="s">
        <v>756</v>
      </c>
      <c r="L1241" s="17" t="s">
        <v>67</v>
      </c>
      <c r="M1241" s="13" t="s">
        <v>60</v>
      </c>
      <c r="N1241" s="13">
        <v>1</v>
      </c>
      <c r="O1241" s="13"/>
      <c r="P1241" s="33" t="str">
        <f t="shared" si="370"/>
        <v>MAIN UNIT</v>
      </c>
      <c r="Q1241" s="13" t="s">
        <v>61</v>
      </c>
      <c r="R1241" s="13" t="s">
        <v>260</v>
      </c>
      <c r="S1241" s="13" t="s">
        <v>261</v>
      </c>
      <c r="T1241" s="13" t="s">
        <v>78</v>
      </c>
      <c r="U1241" s="13" t="s">
        <v>79</v>
      </c>
      <c r="V1241" s="13" t="s">
        <v>264</v>
      </c>
      <c r="W1241" s="13" t="s">
        <v>109</v>
      </c>
      <c r="X1241" s="135">
        <v>10000000</v>
      </c>
      <c r="Y1241" s="156">
        <v>1</v>
      </c>
      <c r="Z1241" s="18">
        <f t="shared" si="363"/>
        <v>10000000</v>
      </c>
      <c r="AA1241" s="13">
        <v>7.3999999999999996E-2</v>
      </c>
      <c r="AB1241" s="21">
        <f t="shared" si="360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65"/>
        <v>34015877.71150443</v>
      </c>
      <c r="AJ1241" s="19">
        <f t="shared" si="366"/>
        <v>4446292.375441948</v>
      </c>
      <c r="AK1241" s="20">
        <f t="shared" si="373"/>
        <v>0.13071226364205143</v>
      </c>
      <c r="AL1241" s="17"/>
      <c r="AM1241" s="17"/>
      <c r="AN1241" s="17"/>
      <c r="AO1241" s="17"/>
      <c r="AP1241" s="28" t="str">
        <f t="shared" si="374"/>
        <v>20197</v>
      </c>
      <c r="AQ1241" s="28" t="str">
        <f t="shared" si="375"/>
        <v>20197JPY</v>
      </c>
      <c r="AR1241" s="206" t="str">
        <f t="shared" si="376"/>
        <v>YAMAHA_Mounter</v>
      </c>
      <c r="AS1241" s="22">
        <f t="shared" si="377"/>
        <v>0</v>
      </c>
      <c r="AT1241" s="24" t="str">
        <f t="shared" si="378"/>
        <v>0-3 months</v>
      </c>
      <c r="AU1241" s="22" t="s">
        <v>3745</v>
      </c>
    </row>
    <row r="1242" spans="1:47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47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984</v>
      </c>
      <c r="K1242" s="155" t="s">
        <v>650</v>
      </c>
      <c r="L1242" s="17" t="s">
        <v>92</v>
      </c>
      <c r="M1242" s="13" t="s">
        <v>60</v>
      </c>
      <c r="N1242" s="13">
        <v>1</v>
      </c>
      <c r="O1242" s="13"/>
      <c r="P1242" s="33" t="str">
        <f t="shared" si="370"/>
        <v>MAIN UNIT</v>
      </c>
      <c r="Q1242" s="13" t="s">
        <v>61</v>
      </c>
      <c r="R1242" s="13" t="s">
        <v>62</v>
      </c>
      <c r="S1242" s="13" t="s">
        <v>49</v>
      </c>
      <c r="T1242" s="13" t="s">
        <v>78</v>
      </c>
      <c r="U1242" s="13" t="s">
        <v>79</v>
      </c>
      <c r="V1242" s="13" t="s">
        <v>80</v>
      </c>
      <c r="W1242" s="13" t="s">
        <v>64</v>
      </c>
      <c r="X1242" s="135">
        <v>1160000</v>
      </c>
      <c r="Y1242" s="156">
        <v>1.1299999999999999</v>
      </c>
      <c r="Z1242" s="18">
        <f t="shared" si="363"/>
        <v>1160000</v>
      </c>
      <c r="AA1242" s="13">
        <v>1.095</v>
      </c>
      <c r="AB1242" s="21">
        <f t="shared" si="360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65"/>
        <v>37599388.802345134</v>
      </c>
      <c r="AJ1242" s="19">
        <f t="shared" si="366"/>
        <v>4866784.3630338367</v>
      </c>
      <c r="AK1242" s="20">
        <f t="shared" si="373"/>
        <v>0.12943785838163113</v>
      </c>
      <c r="AL1242" s="17"/>
      <c r="AM1242" s="17"/>
      <c r="AN1242" s="17"/>
      <c r="AO1242" s="17"/>
      <c r="AP1242" s="28" t="str">
        <f t="shared" si="374"/>
        <v>20199</v>
      </c>
      <c r="AQ1242" s="28" t="str">
        <f t="shared" si="375"/>
        <v>20199RMB</v>
      </c>
      <c r="AR1242" s="206" t="str">
        <f t="shared" si="376"/>
        <v>YAMAHA_Mounter</v>
      </c>
      <c r="AS1242" s="22">
        <f t="shared" si="377"/>
        <v>0</v>
      </c>
      <c r="AT1242" s="24" t="str">
        <f t="shared" si="378"/>
        <v>0-3 months</v>
      </c>
      <c r="AU1242" s="22" t="s">
        <v>3744</v>
      </c>
    </row>
    <row r="1243" spans="1:47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47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984</v>
      </c>
      <c r="K1243" s="155" t="s">
        <v>650</v>
      </c>
      <c r="L1243" s="17" t="s">
        <v>92</v>
      </c>
      <c r="M1243" s="13" t="s">
        <v>60</v>
      </c>
      <c r="N1243" s="13">
        <v>1</v>
      </c>
      <c r="O1243" s="13"/>
      <c r="P1243" s="33" t="str">
        <f t="shared" si="370"/>
        <v>MAIN UNIT</v>
      </c>
      <c r="Q1243" s="13" t="s">
        <v>61</v>
      </c>
      <c r="R1243" s="13" t="s">
        <v>62</v>
      </c>
      <c r="S1243" s="13" t="s">
        <v>49</v>
      </c>
      <c r="T1243" s="13" t="s">
        <v>78</v>
      </c>
      <c r="U1243" s="13" t="s">
        <v>79</v>
      </c>
      <c r="V1243" s="13" t="s">
        <v>80</v>
      </c>
      <c r="W1243" s="13" t="s">
        <v>64</v>
      </c>
      <c r="X1243" s="135">
        <v>1090000</v>
      </c>
      <c r="Y1243" s="156">
        <v>1.1299999999999999</v>
      </c>
      <c r="Z1243" s="18">
        <f t="shared" si="363"/>
        <v>1090000</v>
      </c>
      <c r="AA1243" s="13">
        <v>1.095</v>
      </c>
      <c r="AB1243" s="21">
        <f t="shared" ref="AB1243:AB1306" si="379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65"/>
        <v>37599388.802345134</v>
      </c>
      <c r="AJ1243" s="19">
        <f t="shared" si="366"/>
        <v>4866784.3630338367</v>
      </c>
      <c r="AK1243" s="20">
        <f t="shared" si="373"/>
        <v>0.12943785838163113</v>
      </c>
      <c r="AL1243" s="17"/>
      <c r="AM1243" s="17"/>
      <c r="AN1243" s="17"/>
      <c r="AO1243" s="17"/>
      <c r="AP1243" s="28" t="str">
        <f t="shared" si="374"/>
        <v>20199</v>
      </c>
      <c r="AQ1243" s="28" t="str">
        <f t="shared" si="375"/>
        <v>20199RMB</v>
      </c>
      <c r="AR1243" s="206" t="str">
        <f t="shared" si="376"/>
        <v>YAMAHA_Mounter</v>
      </c>
      <c r="AS1243" s="22">
        <f t="shared" si="377"/>
        <v>0</v>
      </c>
      <c r="AT1243" s="24" t="str">
        <f t="shared" si="378"/>
        <v>0-3 months</v>
      </c>
      <c r="AU1243" s="22" t="s">
        <v>3744</v>
      </c>
    </row>
    <row r="1244" spans="1:47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47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984</v>
      </c>
      <c r="K1244" s="155" t="s">
        <v>650</v>
      </c>
      <c r="L1244" s="17" t="s">
        <v>92</v>
      </c>
      <c r="M1244" s="13" t="s">
        <v>60</v>
      </c>
      <c r="N1244" s="13">
        <v>1</v>
      </c>
      <c r="O1244" s="13"/>
      <c r="P1244" s="33" t="str">
        <f t="shared" si="370"/>
        <v>MAIN UNIT</v>
      </c>
      <c r="Q1244" s="13" t="s">
        <v>61</v>
      </c>
      <c r="R1244" s="13" t="s">
        <v>62</v>
      </c>
      <c r="S1244" s="13" t="s">
        <v>49</v>
      </c>
      <c r="T1244" s="13" t="s">
        <v>78</v>
      </c>
      <c r="U1244" s="13" t="s">
        <v>79</v>
      </c>
      <c r="V1244" s="13" t="s">
        <v>80</v>
      </c>
      <c r="W1244" s="13" t="s">
        <v>64</v>
      </c>
      <c r="X1244" s="135">
        <v>1090000</v>
      </c>
      <c r="Y1244" s="156">
        <v>1.1299999999999999</v>
      </c>
      <c r="Z1244" s="18">
        <f t="shared" si="363"/>
        <v>1090000</v>
      </c>
      <c r="AA1244" s="13">
        <v>1.095</v>
      </c>
      <c r="AB1244" s="21">
        <f t="shared" si="379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65"/>
        <v>37599388.802345134</v>
      </c>
      <c r="AJ1244" s="19">
        <f t="shared" si="366"/>
        <v>4866784.3630338367</v>
      </c>
      <c r="AK1244" s="20">
        <f t="shared" si="373"/>
        <v>0.12943785838163113</v>
      </c>
      <c r="AL1244" s="17"/>
      <c r="AM1244" s="17"/>
      <c r="AN1244" s="17"/>
      <c r="AO1244" s="17"/>
      <c r="AP1244" s="28" t="str">
        <f t="shared" si="374"/>
        <v>20199</v>
      </c>
      <c r="AQ1244" s="28" t="str">
        <f t="shared" si="375"/>
        <v>20199RMB</v>
      </c>
      <c r="AR1244" s="206" t="str">
        <f t="shared" si="376"/>
        <v>YAMAHA_Mounter</v>
      </c>
      <c r="AS1244" s="22">
        <f t="shared" si="377"/>
        <v>0</v>
      </c>
      <c r="AT1244" s="24" t="str">
        <f t="shared" si="378"/>
        <v>0-3 months</v>
      </c>
      <c r="AU1244" s="22" t="s">
        <v>3744</v>
      </c>
    </row>
    <row r="1245" spans="1:47" s="12" customFormat="1">
      <c r="A1245" s="33" t="str">
        <f t="shared" si="367"/>
        <v>cancel</v>
      </c>
      <c r="B1245" s="152"/>
      <c r="C1245" s="152" t="s">
        <v>185</v>
      </c>
      <c r="D1245" s="33" t="str">
        <f t="shared" si="368"/>
        <v/>
      </c>
      <c r="E1245" s="33" t="s">
        <v>185</v>
      </c>
      <c r="F1245" s="13" t="s">
        <v>185</v>
      </c>
      <c r="G1245" s="152" t="s">
        <v>185</v>
      </c>
      <c r="H1245" s="155"/>
      <c r="I1245" s="33" t="str">
        <f t="shared" si="369"/>
        <v>Cancel</v>
      </c>
      <c r="J1245" s="186" t="s">
        <v>2717</v>
      </c>
      <c r="K1245" s="155" t="s">
        <v>2718</v>
      </c>
      <c r="L1245" s="17" t="s">
        <v>92</v>
      </c>
      <c r="M1245" s="13" t="s">
        <v>60</v>
      </c>
      <c r="N1245" s="13">
        <v>1</v>
      </c>
      <c r="O1245" s="13"/>
      <c r="P1245" s="33" t="str">
        <f t="shared" si="370"/>
        <v>MAIN UNIT</v>
      </c>
      <c r="Q1245" s="13" t="s">
        <v>61</v>
      </c>
      <c r="R1245" s="13" t="s">
        <v>62</v>
      </c>
      <c r="S1245" s="13" t="s">
        <v>49</v>
      </c>
      <c r="T1245" s="13" t="s">
        <v>78</v>
      </c>
      <c r="U1245" s="13" t="s">
        <v>79</v>
      </c>
      <c r="V1245" s="13" t="s">
        <v>1140</v>
      </c>
      <c r="W1245" s="13" t="s">
        <v>109</v>
      </c>
      <c r="X1245" s="135">
        <v>14000000</v>
      </c>
      <c r="Y1245" s="156">
        <v>1</v>
      </c>
      <c r="Z1245" s="18">
        <f t="shared" si="363"/>
        <v>14000000</v>
      </c>
      <c r="AA1245" s="13">
        <v>7.5700000000000003E-2</v>
      </c>
      <c r="AB1245" s="21">
        <f t="shared" si="379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65"/>
        <v>499582152.5142017</v>
      </c>
      <c r="AJ1245" s="19">
        <f t="shared" si="366"/>
        <v>59520528.679470733</v>
      </c>
      <c r="AK1245" s="20">
        <f t="shared" si="373"/>
        <v>0.11914062257814291</v>
      </c>
      <c r="AL1245" s="17"/>
      <c r="AM1245" s="17"/>
      <c r="AN1245" s="17"/>
      <c r="AO1245" s="17"/>
      <c r="AP1245" s="28" t="str">
        <f t="shared" si="374"/>
        <v>CancelCancel</v>
      </c>
      <c r="AQ1245" s="28" t="str">
        <f t="shared" si="375"/>
        <v>CancelCancelJPY</v>
      </c>
      <c r="AR1245" s="206" t="str">
        <f t="shared" si="376"/>
        <v>YAMAHA_Mounter</v>
      </c>
      <c r="AS1245" s="22" t="str">
        <f t="shared" si="377"/>
        <v/>
      </c>
      <c r="AT1245" s="24" t="str">
        <f t="shared" si="378"/>
        <v/>
      </c>
      <c r="AU1245" s="22" t="s">
        <v>3240</v>
      </c>
    </row>
    <row r="1246" spans="1:47" s="12" customFormat="1">
      <c r="A1246" s="33" t="str">
        <f t="shared" si="367"/>
        <v>cancel</v>
      </c>
      <c r="B1246" s="152"/>
      <c r="C1246" s="152" t="s">
        <v>185</v>
      </c>
      <c r="D1246" s="33" t="str">
        <f t="shared" si="368"/>
        <v/>
      </c>
      <c r="E1246" s="33" t="s">
        <v>185</v>
      </c>
      <c r="F1246" s="13" t="s">
        <v>185</v>
      </c>
      <c r="G1246" s="152" t="s">
        <v>185</v>
      </c>
      <c r="H1246" s="155"/>
      <c r="I1246" s="33" t="str">
        <f t="shared" si="369"/>
        <v>Cancel</v>
      </c>
      <c r="J1246" s="186" t="s">
        <v>2717</v>
      </c>
      <c r="K1246" s="155" t="s">
        <v>2718</v>
      </c>
      <c r="L1246" s="17" t="s">
        <v>92</v>
      </c>
      <c r="M1246" s="13" t="s">
        <v>60</v>
      </c>
      <c r="N1246" s="13">
        <v>1</v>
      </c>
      <c r="O1246" s="13"/>
      <c r="P1246" s="33" t="str">
        <f t="shared" si="370"/>
        <v>MAIN UNIT</v>
      </c>
      <c r="Q1246" s="13" t="s">
        <v>61</v>
      </c>
      <c r="R1246" s="13" t="s">
        <v>62</v>
      </c>
      <c r="S1246" s="13" t="s">
        <v>49</v>
      </c>
      <c r="T1246" s="13" t="s">
        <v>78</v>
      </c>
      <c r="U1246" s="13" t="s">
        <v>79</v>
      </c>
      <c r="V1246" s="13" t="s">
        <v>1140</v>
      </c>
      <c r="W1246" s="13" t="s">
        <v>109</v>
      </c>
      <c r="X1246" s="135">
        <v>14000000</v>
      </c>
      <c r="Y1246" s="156">
        <v>1</v>
      </c>
      <c r="Z1246" s="18">
        <f t="shared" si="363"/>
        <v>14000000</v>
      </c>
      <c r="AA1246" s="13">
        <v>7.5700000000000003E-2</v>
      </c>
      <c r="AB1246" s="21">
        <f t="shared" si="379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65"/>
        <v>499582152.5142017</v>
      </c>
      <c r="AJ1246" s="19">
        <f t="shared" si="366"/>
        <v>59520528.679470733</v>
      </c>
      <c r="AK1246" s="20">
        <f t="shared" si="373"/>
        <v>0.11914062257814291</v>
      </c>
      <c r="AL1246" s="17"/>
      <c r="AM1246" s="17"/>
      <c r="AN1246" s="17"/>
      <c r="AO1246" s="17"/>
      <c r="AP1246" s="28" t="str">
        <f t="shared" si="374"/>
        <v>CancelCancel</v>
      </c>
      <c r="AQ1246" s="28" t="str">
        <f t="shared" si="375"/>
        <v>CancelCancelJPY</v>
      </c>
      <c r="AR1246" s="206" t="str">
        <f t="shared" si="376"/>
        <v>YAMAHA_Mounter</v>
      </c>
      <c r="AS1246" s="22" t="str">
        <f t="shared" si="377"/>
        <v/>
      </c>
      <c r="AT1246" s="24" t="str">
        <f t="shared" si="378"/>
        <v/>
      </c>
      <c r="AU1246" s="22" t="s">
        <v>3240</v>
      </c>
    </row>
    <row r="1247" spans="1:47" s="12" customFormat="1">
      <c r="A1247" s="33" t="str">
        <f t="shared" si="367"/>
        <v>cancel</v>
      </c>
      <c r="B1247" s="152"/>
      <c r="C1247" s="152" t="s">
        <v>185</v>
      </c>
      <c r="D1247" s="33" t="str">
        <f t="shared" si="368"/>
        <v/>
      </c>
      <c r="E1247" s="33" t="s">
        <v>185</v>
      </c>
      <c r="F1247" s="13" t="s">
        <v>185</v>
      </c>
      <c r="G1247" s="152" t="s">
        <v>185</v>
      </c>
      <c r="H1247" s="155"/>
      <c r="I1247" s="33" t="str">
        <f t="shared" si="369"/>
        <v>Cancel</v>
      </c>
      <c r="J1247" s="186" t="s">
        <v>2717</v>
      </c>
      <c r="K1247" s="155" t="s">
        <v>2718</v>
      </c>
      <c r="L1247" s="17" t="s">
        <v>92</v>
      </c>
      <c r="M1247" s="13" t="s">
        <v>60</v>
      </c>
      <c r="N1247" s="13">
        <v>1</v>
      </c>
      <c r="O1247" s="13"/>
      <c r="P1247" s="33" t="str">
        <f t="shared" si="370"/>
        <v>MAIN UNIT</v>
      </c>
      <c r="Q1247" s="13" t="s">
        <v>61</v>
      </c>
      <c r="R1247" s="13" t="s">
        <v>62</v>
      </c>
      <c r="S1247" s="13" t="s">
        <v>49</v>
      </c>
      <c r="T1247" s="13" t="s">
        <v>78</v>
      </c>
      <c r="U1247" s="13" t="s">
        <v>79</v>
      </c>
      <c r="V1247" s="13" t="s">
        <v>1140</v>
      </c>
      <c r="W1247" s="13" t="s">
        <v>109</v>
      </c>
      <c r="X1247" s="135">
        <v>14000000</v>
      </c>
      <c r="Y1247" s="156">
        <v>1</v>
      </c>
      <c r="Z1247" s="18">
        <f t="shared" si="363"/>
        <v>14000000</v>
      </c>
      <c r="AA1247" s="13">
        <v>7.5700000000000003E-2</v>
      </c>
      <c r="AB1247" s="21">
        <f t="shared" si="379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65"/>
        <v>499582152.5142017</v>
      </c>
      <c r="AJ1247" s="19">
        <f t="shared" si="366"/>
        <v>59520528.679470733</v>
      </c>
      <c r="AK1247" s="20">
        <f t="shared" si="373"/>
        <v>0.11914062257814291</v>
      </c>
      <c r="AL1247" s="17"/>
      <c r="AM1247" s="17"/>
      <c r="AN1247" s="17"/>
      <c r="AO1247" s="17"/>
      <c r="AP1247" s="28" t="str">
        <f t="shared" si="374"/>
        <v>CancelCancel</v>
      </c>
      <c r="AQ1247" s="28" t="str">
        <f t="shared" si="375"/>
        <v>CancelCancelJPY</v>
      </c>
      <c r="AR1247" s="206" t="str">
        <f t="shared" si="376"/>
        <v>YAMAHA_Mounter</v>
      </c>
      <c r="AS1247" s="22" t="str">
        <f t="shared" si="377"/>
        <v/>
      </c>
      <c r="AT1247" s="24" t="str">
        <f t="shared" si="378"/>
        <v/>
      </c>
      <c r="AU1247" s="22" t="s">
        <v>3240</v>
      </c>
    </row>
    <row r="1248" spans="1:47" s="12" customFormat="1">
      <c r="A1248" s="33" t="str">
        <f t="shared" si="367"/>
        <v>cancel</v>
      </c>
      <c r="B1248" s="152"/>
      <c r="C1248" s="152" t="s">
        <v>185</v>
      </c>
      <c r="D1248" s="33" t="str">
        <f t="shared" si="368"/>
        <v/>
      </c>
      <c r="E1248" s="33" t="s">
        <v>185</v>
      </c>
      <c r="F1248" s="13" t="s">
        <v>185</v>
      </c>
      <c r="G1248" s="152" t="s">
        <v>185</v>
      </c>
      <c r="H1248" s="155"/>
      <c r="I1248" s="33" t="str">
        <f t="shared" si="369"/>
        <v>Cancel</v>
      </c>
      <c r="J1248" s="186" t="s">
        <v>2717</v>
      </c>
      <c r="K1248" s="155" t="s">
        <v>2718</v>
      </c>
      <c r="L1248" s="17" t="s">
        <v>92</v>
      </c>
      <c r="M1248" s="13" t="s">
        <v>60</v>
      </c>
      <c r="N1248" s="13">
        <v>1</v>
      </c>
      <c r="O1248" s="13"/>
      <c r="P1248" s="33" t="str">
        <f t="shared" si="370"/>
        <v>MAIN UNIT</v>
      </c>
      <c r="Q1248" s="13" t="s">
        <v>61</v>
      </c>
      <c r="R1248" s="13" t="s">
        <v>62</v>
      </c>
      <c r="S1248" s="13" t="s">
        <v>49</v>
      </c>
      <c r="T1248" s="13" t="s">
        <v>78</v>
      </c>
      <c r="U1248" s="13" t="s">
        <v>79</v>
      </c>
      <c r="V1248" s="13" t="s">
        <v>1140</v>
      </c>
      <c r="W1248" s="13" t="s">
        <v>109</v>
      </c>
      <c r="X1248" s="135">
        <v>14000000</v>
      </c>
      <c r="Y1248" s="156">
        <v>1</v>
      </c>
      <c r="Z1248" s="18">
        <f t="shared" si="363"/>
        <v>14000000</v>
      </c>
      <c r="AA1248" s="13">
        <v>7.5700000000000003E-2</v>
      </c>
      <c r="AB1248" s="21">
        <f t="shared" si="379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65"/>
        <v>499582152.5142017</v>
      </c>
      <c r="AJ1248" s="19">
        <f t="shared" si="366"/>
        <v>59520528.679470733</v>
      </c>
      <c r="AK1248" s="20">
        <f t="shared" si="373"/>
        <v>0.11914062257814291</v>
      </c>
      <c r="AL1248" s="17"/>
      <c r="AM1248" s="17"/>
      <c r="AN1248" s="17"/>
      <c r="AO1248" s="17"/>
      <c r="AP1248" s="28" t="str">
        <f t="shared" si="374"/>
        <v>CancelCancel</v>
      </c>
      <c r="AQ1248" s="28" t="str">
        <f t="shared" si="375"/>
        <v>CancelCancelJPY</v>
      </c>
      <c r="AR1248" s="206" t="str">
        <f t="shared" si="376"/>
        <v>YAMAHA_Mounter</v>
      </c>
      <c r="AS1248" s="22" t="str">
        <f t="shared" si="377"/>
        <v/>
      </c>
      <c r="AT1248" s="24" t="str">
        <f t="shared" si="378"/>
        <v/>
      </c>
      <c r="AU1248" s="22" t="s">
        <v>3240</v>
      </c>
    </row>
    <row r="1249" spans="1:47" s="12" customFormat="1">
      <c r="A1249" s="33" t="str">
        <f t="shared" si="367"/>
        <v>cancel</v>
      </c>
      <c r="B1249" s="152"/>
      <c r="C1249" s="152" t="s">
        <v>185</v>
      </c>
      <c r="D1249" s="33" t="str">
        <f t="shared" si="368"/>
        <v/>
      </c>
      <c r="E1249" s="33" t="s">
        <v>185</v>
      </c>
      <c r="F1249" s="13" t="s">
        <v>185</v>
      </c>
      <c r="G1249" s="152" t="s">
        <v>185</v>
      </c>
      <c r="H1249" s="155"/>
      <c r="I1249" s="33" t="str">
        <f t="shared" si="369"/>
        <v>Cancel</v>
      </c>
      <c r="J1249" s="186" t="s">
        <v>2717</v>
      </c>
      <c r="K1249" s="155" t="s">
        <v>2718</v>
      </c>
      <c r="L1249" s="17" t="s">
        <v>293</v>
      </c>
      <c r="M1249" s="13" t="s">
        <v>60</v>
      </c>
      <c r="N1249" s="13">
        <v>1</v>
      </c>
      <c r="O1249" s="13"/>
      <c r="P1249" s="33" t="str">
        <f t="shared" si="370"/>
        <v>MAIN UNIT</v>
      </c>
      <c r="Q1249" s="13" t="s">
        <v>61</v>
      </c>
      <c r="R1249" s="13" t="s">
        <v>62</v>
      </c>
      <c r="S1249" s="13" t="s">
        <v>49</v>
      </c>
      <c r="T1249" s="13" t="s">
        <v>78</v>
      </c>
      <c r="U1249" s="13" t="s">
        <v>79</v>
      </c>
      <c r="V1249" s="13" t="s">
        <v>1140</v>
      </c>
      <c r="W1249" s="13" t="s">
        <v>109</v>
      </c>
      <c r="X1249" s="135">
        <v>24000000</v>
      </c>
      <c r="Y1249" s="156">
        <v>1</v>
      </c>
      <c r="Z1249" s="18">
        <f t="shared" si="363"/>
        <v>24000000</v>
      </c>
      <c r="AA1249" s="13">
        <v>7.5700000000000003E-2</v>
      </c>
      <c r="AB1249" s="21">
        <f t="shared" si="379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65"/>
        <v>499582152.5142017</v>
      </c>
      <c r="AJ1249" s="19">
        <f t="shared" si="366"/>
        <v>59520528.679470733</v>
      </c>
      <c r="AK1249" s="20">
        <f t="shared" si="373"/>
        <v>0.11914062257814291</v>
      </c>
      <c r="AL1249" s="17"/>
      <c r="AM1249" s="17"/>
      <c r="AN1249" s="17"/>
      <c r="AO1249" s="17"/>
      <c r="AP1249" s="28" t="str">
        <f t="shared" si="374"/>
        <v>CancelCancel</v>
      </c>
      <c r="AQ1249" s="28" t="str">
        <f t="shared" si="375"/>
        <v>CancelCancelJPY</v>
      </c>
      <c r="AR1249" s="206" t="str">
        <f t="shared" si="376"/>
        <v>YAMAHA_Mounter</v>
      </c>
      <c r="AS1249" s="22" t="str">
        <f t="shared" si="377"/>
        <v/>
      </c>
      <c r="AT1249" s="24" t="str">
        <f t="shared" si="378"/>
        <v/>
      </c>
      <c r="AU1249" s="22" t="s">
        <v>3240</v>
      </c>
    </row>
    <row r="1250" spans="1:47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47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721</v>
      </c>
      <c r="K1250" s="155" t="s">
        <v>722</v>
      </c>
      <c r="L1250" s="17" t="s">
        <v>92</v>
      </c>
      <c r="M1250" s="13" t="s">
        <v>60</v>
      </c>
      <c r="N1250" s="13">
        <v>1</v>
      </c>
      <c r="O1250" s="13"/>
      <c r="P1250" s="33" t="str">
        <f t="shared" si="370"/>
        <v>MAIN UNIT</v>
      </c>
      <c r="Q1250" s="13" t="s">
        <v>68</v>
      </c>
      <c r="R1250" s="13" t="s">
        <v>62</v>
      </c>
      <c r="S1250" s="13" t="s">
        <v>49</v>
      </c>
      <c r="T1250" s="13" t="s">
        <v>78</v>
      </c>
      <c r="U1250" s="13" t="s">
        <v>79</v>
      </c>
      <c r="V1250" s="13" t="s">
        <v>126</v>
      </c>
      <c r="W1250" s="13" t="s">
        <v>109</v>
      </c>
      <c r="X1250" s="135">
        <v>11000000</v>
      </c>
      <c r="Y1250" s="156">
        <v>1</v>
      </c>
      <c r="Z1250" s="18">
        <f t="shared" si="363"/>
        <v>11000000</v>
      </c>
      <c r="AA1250" s="13">
        <v>7.2900000000000006E-2</v>
      </c>
      <c r="AB1250" s="21">
        <f t="shared" si="379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65"/>
        <v>27318180.088495575</v>
      </c>
      <c r="AJ1250" s="19">
        <f t="shared" si="366"/>
        <v>3014099.212353982</v>
      </c>
      <c r="AK1250" s="20">
        <f t="shared" si="373"/>
        <v>0.11033308963444827</v>
      </c>
      <c r="AL1250" s="17"/>
      <c r="AM1250" s="17"/>
      <c r="AN1250" s="17"/>
      <c r="AO1250" s="17"/>
      <c r="AP1250" s="28" t="str">
        <f t="shared" si="374"/>
        <v>201912</v>
      </c>
      <c r="AQ1250" s="28" t="str">
        <f t="shared" si="375"/>
        <v>201912JPY</v>
      </c>
      <c r="AR1250" s="206" t="str">
        <f t="shared" si="376"/>
        <v>YAMAHA_Mounter</v>
      </c>
      <c r="AS1250" s="22">
        <f t="shared" si="377"/>
        <v>1</v>
      </c>
      <c r="AT1250" s="24" t="str">
        <f t="shared" si="378"/>
        <v>0-3 months</v>
      </c>
      <c r="AU1250" s="22" t="s">
        <v>3745</v>
      </c>
    </row>
    <row r="1251" spans="1:47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47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721</v>
      </c>
      <c r="K1251" s="155" t="s">
        <v>722</v>
      </c>
      <c r="L1251" s="17" t="s">
        <v>92</v>
      </c>
      <c r="M1251" s="13" t="s">
        <v>60</v>
      </c>
      <c r="N1251" s="13">
        <v>1</v>
      </c>
      <c r="O1251" s="13"/>
      <c r="P1251" s="33" t="str">
        <f t="shared" si="370"/>
        <v>MAIN UNIT</v>
      </c>
      <c r="Q1251" s="13" t="s">
        <v>68</v>
      </c>
      <c r="R1251" s="13" t="s">
        <v>62</v>
      </c>
      <c r="S1251" s="13" t="s">
        <v>49</v>
      </c>
      <c r="T1251" s="13" t="s">
        <v>78</v>
      </c>
      <c r="U1251" s="13" t="s">
        <v>79</v>
      </c>
      <c r="V1251" s="13" t="s">
        <v>126</v>
      </c>
      <c r="W1251" s="13" t="s">
        <v>109</v>
      </c>
      <c r="X1251" s="135">
        <v>11000000</v>
      </c>
      <c r="Y1251" s="156">
        <v>1</v>
      </c>
      <c r="Z1251" s="18">
        <f t="shared" si="363"/>
        <v>11000000</v>
      </c>
      <c r="AA1251" s="13">
        <v>7.2900000000000006E-2</v>
      </c>
      <c r="AB1251" s="21">
        <f t="shared" si="379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65"/>
        <v>27318180.088495575</v>
      </c>
      <c r="AJ1251" s="19">
        <f t="shared" si="366"/>
        <v>3014099.212353982</v>
      </c>
      <c r="AK1251" s="20">
        <f t="shared" si="373"/>
        <v>0.11033308963444827</v>
      </c>
      <c r="AL1251" s="17"/>
      <c r="AM1251" s="17"/>
      <c r="AN1251" s="17"/>
      <c r="AO1251" s="17"/>
      <c r="AP1251" s="28" t="str">
        <f t="shared" si="374"/>
        <v>201912</v>
      </c>
      <c r="AQ1251" s="28" t="str">
        <f t="shared" si="375"/>
        <v>201912JPY</v>
      </c>
      <c r="AR1251" s="206" t="str">
        <f t="shared" si="376"/>
        <v>YAMAHA_Mounter</v>
      </c>
      <c r="AS1251" s="22">
        <f t="shared" si="377"/>
        <v>1</v>
      </c>
      <c r="AT1251" s="24" t="str">
        <f t="shared" si="378"/>
        <v>0-3 months</v>
      </c>
      <c r="AU1251" s="22" t="s">
        <v>3745</v>
      </c>
    </row>
    <row r="1252" spans="1:47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47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721</v>
      </c>
      <c r="K1252" s="155" t="s">
        <v>722</v>
      </c>
      <c r="L1252" s="17" t="s">
        <v>92</v>
      </c>
      <c r="M1252" s="13" t="s">
        <v>60</v>
      </c>
      <c r="N1252" s="13">
        <v>1</v>
      </c>
      <c r="O1252" s="13"/>
      <c r="P1252" s="33" t="str">
        <f t="shared" si="370"/>
        <v>MAIN UNIT</v>
      </c>
      <c r="Q1252" s="13" t="s">
        <v>68</v>
      </c>
      <c r="R1252" s="13" t="s">
        <v>62</v>
      </c>
      <c r="S1252" s="13" t="s">
        <v>49</v>
      </c>
      <c r="T1252" s="13" t="s">
        <v>78</v>
      </c>
      <c r="U1252" s="13" t="s">
        <v>79</v>
      </c>
      <c r="V1252" s="13" t="s">
        <v>126</v>
      </c>
      <c r="W1252" s="13" t="s">
        <v>109</v>
      </c>
      <c r="X1252" s="135">
        <v>11000000</v>
      </c>
      <c r="Y1252" s="156">
        <v>1</v>
      </c>
      <c r="Z1252" s="18">
        <f t="shared" si="363"/>
        <v>11000000</v>
      </c>
      <c r="AA1252" s="13">
        <v>7.2900000000000006E-2</v>
      </c>
      <c r="AB1252" s="21">
        <f t="shared" si="379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65"/>
        <v>27318180.088495575</v>
      </c>
      <c r="AJ1252" s="19">
        <f t="shared" si="366"/>
        <v>3014099.212353982</v>
      </c>
      <c r="AK1252" s="20">
        <f t="shared" si="373"/>
        <v>0.11033308963444827</v>
      </c>
      <c r="AL1252" s="17"/>
      <c r="AM1252" s="17"/>
      <c r="AN1252" s="17"/>
      <c r="AO1252" s="17"/>
      <c r="AP1252" s="28" t="str">
        <f t="shared" si="374"/>
        <v>201912</v>
      </c>
      <c r="AQ1252" s="28" t="str">
        <f t="shared" si="375"/>
        <v>201912JPY</v>
      </c>
      <c r="AR1252" s="206" t="str">
        <f t="shared" si="376"/>
        <v>YAMAHA_Mounter</v>
      </c>
      <c r="AS1252" s="22">
        <f t="shared" si="377"/>
        <v>1</v>
      </c>
      <c r="AT1252" s="24" t="str">
        <f t="shared" si="378"/>
        <v>0-3 months</v>
      </c>
      <c r="AU1252" s="22" t="s">
        <v>3745</v>
      </c>
    </row>
    <row r="1253" spans="1:47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47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721</v>
      </c>
      <c r="K1253" s="155" t="s">
        <v>722</v>
      </c>
      <c r="L1253" s="17" t="s">
        <v>92</v>
      </c>
      <c r="M1253" s="13" t="s">
        <v>60</v>
      </c>
      <c r="N1253" s="13">
        <v>1</v>
      </c>
      <c r="O1253" s="13"/>
      <c r="P1253" s="33" t="str">
        <f t="shared" si="370"/>
        <v>MAIN UNIT</v>
      </c>
      <c r="Q1253" s="13" t="s">
        <v>68</v>
      </c>
      <c r="R1253" s="13" t="s">
        <v>62</v>
      </c>
      <c r="S1253" s="13" t="s">
        <v>49</v>
      </c>
      <c r="T1253" s="13" t="s">
        <v>78</v>
      </c>
      <c r="U1253" s="13" t="s">
        <v>79</v>
      </c>
      <c r="V1253" s="13" t="s">
        <v>126</v>
      </c>
      <c r="W1253" s="13" t="s">
        <v>109</v>
      </c>
      <c r="X1253" s="135">
        <v>11000000</v>
      </c>
      <c r="Y1253" s="156">
        <v>1</v>
      </c>
      <c r="Z1253" s="18">
        <f t="shared" si="363"/>
        <v>11000000</v>
      </c>
      <c r="AA1253" s="13">
        <v>7.2900000000000006E-2</v>
      </c>
      <c r="AB1253" s="21">
        <f t="shared" si="379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65"/>
        <v>27318180.088495575</v>
      </c>
      <c r="AJ1253" s="19">
        <f t="shared" si="366"/>
        <v>3014099.212353982</v>
      </c>
      <c r="AK1253" s="20">
        <f t="shared" si="373"/>
        <v>0.11033308963444827</v>
      </c>
      <c r="AL1253" s="17"/>
      <c r="AM1253" s="17"/>
      <c r="AN1253" s="17"/>
      <c r="AO1253" s="17"/>
      <c r="AP1253" s="28" t="str">
        <f t="shared" si="374"/>
        <v>201912</v>
      </c>
      <c r="AQ1253" s="28" t="str">
        <f t="shared" si="375"/>
        <v>201912JPY</v>
      </c>
      <c r="AR1253" s="206" t="str">
        <f t="shared" si="376"/>
        <v>YAMAHA_Mounter</v>
      </c>
      <c r="AS1253" s="22">
        <f t="shared" si="377"/>
        <v>1</v>
      </c>
      <c r="AT1253" s="24" t="str">
        <f t="shared" si="378"/>
        <v>0-3 months</v>
      </c>
      <c r="AU1253" s="22" t="s">
        <v>3745</v>
      </c>
    </row>
    <row r="1254" spans="1:47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47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721</v>
      </c>
      <c r="K1254" s="155" t="s">
        <v>722</v>
      </c>
      <c r="L1254" s="17" t="s">
        <v>92</v>
      </c>
      <c r="M1254" s="13" t="s">
        <v>60</v>
      </c>
      <c r="N1254" s="13">
        <v>1</v>
      </c>
      <c r="O1254" s="13"/>
      <c r="P1254" s="33" t="str">
        <f t="shared" si="370"/>
        <v>MAIN UNIT</v>
      </c>
      <c r="Q1254" s="13" t="s">
        <v>68</v>
      </c>
      <c r="R1254" s="13" t="s">
        <v>62</v>
      </c>
      <c r="S1254" s="13" t="s">
        <v>49</v>
      </c>
      <c r="T1254" s="13" t="s">
        <v>78</v>
      </c>
      <c r="U1254" s="13" t="s">
        <v>79</v>
      </c>
      <c r="V1254" s="13" t="s">
        <v>126</v>
      </c>
      <c r="W1254" s="13" t="s">
        <v>109</v>
      </c>
      <c r="X1254" s="135">
        <v>11000000</v>
      </c>
      <c r="Y1254" s="156">
        <v>1</v>
      </c>
      <c r="Z1254" s="18">
        <f t="shared" si="363"/>
        <v>11000000</v>
      </c>
      <c r="AA1254" s="13">
        <v>7.2900000000000006E-2</v>
      </c>
      <c r="AB1254" s="21">
        <f t="shared" si="379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65"/>
        <v>27318180.088495575</v>
      </c>
      <c r="AJ1254" s="19">
        <f t="shared" si="366"/>
        <v>3014099.212353982</v>
      </c>
      <c r="AK1254" s="20">
        <f t="shared" si="373"/>
        <v>0.11033308963444827</v>
      </c>
      <c r="AL1254" s="17"/>
      <c r="AM1254" s="17"/>
      <c r="AN1254" s="17"/>
      <c r="AO1254" s="17"/>
      <c r="AP1254" s="28" t="str">
        <f t="shared" si="374"/>
        <v>201912</v>
      </c>
      <c r="AQ1254" s="28" t="str">
        <f t="shared" si="375"/>
        <v>201912JPY</v>
      </c>
      <c r="AR1254" s="206" t="str">
        <f t="shared" si="376"/>
        <v>YAMAHA_Mounter</v>
      </c>
      <c r="AS1254" s="22">
        <f t="shared" si="377"/>
        <v>1</v>
      </c>
      <c r="AT1254" s="24" t="str">
        <f t="shared" si="378"/>
        <v>0-3 months</v>
      </c>
      <c r="AU1254" s="22" t="s">
        <v>3745</v>
      </c>
    </row>
    <row r="1255" spans="1:47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47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721</v>
      </c>
      <c r="K1255" s="155" t="s">
        <v>722</v>
      </c>
      <c r="L1255" s="17" t="s">
        <v>67</v>
      </c>
      <c r="M1255" s="13" t="s">
        <v>60</v>
      </c>
      <c r="N1255" s="13">
        <v>1</v>
      </c>
      <c r="O1255" s="13"/>
      <c r="P1255" s="33" t="str">
        <f t="shared" si="370"/>
        <v>MAIN UNIT</v>
      </c>
      <c r="Q1255" s="13" t="s">
        <v>68</v>
      </c>
      <c r="R1255" s="13" t="s">
        <v>62</v>
      </c>
      <c r="S1255" s="13" t="s">
        <v>49</v>
      </c>
      <c r="T1255" s="13" t="s">
        <v>78</v>
      </c>
      <c r="U1255" s="13" t="s">
        <v>79</v>
      </c>
      <c r="V1255" s="13" t="s">
        <v>126</v>
      </c>
      <c r="W1255" s="13" t="s">
        <v>109</v>
      </c>
      <c r="X1255" s="135">
        <v>7750000</v>
      </c>
      <c r="Y1255" s="156">
        <v>1</v>
      </c>
      <c r="Z1255" s="18">
        <f t="shared" si="363"/>
        <v>7750000</v>
      </c>
      <c r="AA1255" s="13">
        <v>7.2900000000000006E-2</v>
      </c>
      <c r="AB1255" s="21">
        <f t="shared" si="379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65"/>
        <v>27318180.088495575</v>
      </c>
      <c r="AJ1255" s="19">
        <f t="shared" si="366"/>
        <v>3014099.212353982</v>
      </c>
      <c r="AK1255" s="20">
        <f t="shared" si="373"/>
        <v>0.11033308963444827</v>
      </c>
      <c r="AL1255" s="17"/>
      <c r="AM1255" s="17"/>
      <c r="AN1255" s="17"/>
      <c r="AO1255" s="17"/>
      <c r="AP1255" s="28" t="str">
        <f t="shared" si="374"/>
        <v>201912</v>
      </c>
      <c r="AQ1255" s="28" t="str">
        <f t="shared" si="375"/>
        <v>201912JPY</v>
      </c>
      <c r="AR1255" s="206" t="str">
        <f t="shared" si="376"/>
        <v>YAMAHA_Mounter</v>
      </c>
      <c r="AS1255" s="22">
        <f t="shared" si="377"/>
        <v>1</v>
      </c>
      <c r="AT1255" s="24" t="str">
        <f t="shared" si="378"/>
        <v>0-3 months</v>
      </c>
      <c r="AU1255" s="22" t="s">
        <v>3745</v>
      </c>
    </row>
    <row r="1256" spans="1:47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47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721</v>
      </c>
      <c r="K1256" s="155" t="s">
        <v>722</v>
      </c>
      <c r="L1256" s="17" t="s">
        <v>67</v>
      </c>
      <c r="M1256" s="13" t="s">
        <v>60</v>
      </c>
      <c r="N1256" s="13">
        <v>1</v>
      </c>
      <c r="O1256" s="13"/>
      <c r="P1256" s="33" t="str">
        <f t="shared" si="370"/>
        <v>MAIN UNIT</v>
      </c>
      <c r="Q1256" s="13" t="s">
        <v>68</v>
      </c>
      <c r="R1256" s="13" t="s">
        <v>62</v>
      </c>
      <c r="S1256" s="13" t="s">
        <v>49</v>
      </c>
      <c r="T1256" s="13" t="s">
        <v>78</v>
      </c>
      <c r="U1256" s="13" t="s">
        <v>79</v>
      </c>
      <c r="V1256" s="13" t="s">
        <v>126</v>
      </c>
      <c r="W1256" s="13" t="s">
        <v>109</v>
      </c>
      <c r="X1256" s="135">
        <v>7750000</v>
      </c>
      <c r="Y1256" s="156">
        <v>1</v>
      </c>
      <c r="Z1256" s="18">
        <f t="shared" si="363"/>
        <v>7750000</v>
      </c>
      <c r="AA1256" s="13">
        <v>7.2900000000000006E-2</v>
      </c>
      <c r="AB1256" s="21">
        <f t="shared" si="379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65"/>
        <v>27318180.088495575</v>
      </c>
      <c r="AJ1256" s="19">
        <f t="shared" si="366"/>
        <v>3014099.212353982</v>
      </c>
      <c r="AK1256" s="20">
        <f t="shared" si="373"/>
        <v>0.11033308963444827</v>
      </c>
      <c r="AL1256" s="17"/>
      <c r="AM1256" s="17"/>
      <c r="AN1256" s="17"/>
      <c r="AO1256" s="17"/>
      <c r="AP1256" s="28" t="str">
        <f t="shared" si="374"/>
        <v>201912</v>
      </c>
      <c r="AQ1256" s="28" t="str">
        <f t="shared" si="375"/>
        <v>201912JPY</v>
      </c>
      <c r="AR1256" s="206" t="str">
        <f t="shared" si="376"/>
        <v>YAMAHA_Mounter</v>
      </c>
      <c r="AS1256" s="22">
        <f t="shared" si="377"/>
        <v>1</v>
      </c>
      <c r="AT1256" s="24" t="str">
        <f t="shared" si="378"/>
        <v>0-3 months</v>
      </c>
      <c r="AU1256" s="22" t="s">
        <v>3745</v>
      </c>
    </row>
    <row r="1257" spans="1:47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47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721</v>
      </c>
      <c r="K1257" s="155" t="s">
        <v>722</v>
      </c>
      <c r="L1257" s="17" t="s">
        <v>67</v>
      </c>
      <c r="M1257" s="13" t="s">
        <v>60</v>
      </c>
      <c r="N1257" s="13">
        <v>1</v>
      </c>
      <c r="O1257" s="13"/>
      <c r="P1257" s="33" t="str">
        <f t="shared" si="370"/>
        <v>MAIN UNIT</v>
      </c>
      <c r="Q1257" s="13" t="s">
        <v>68</v>
      </c>
      <c r="R1257" s="13" t="s">
        <v>62</v>
      </c>
      <c r="S1257" s="13" t="s">
        <v>49</v>
      </c>
      <c r="T1257" s="13" t="s">
        <v>78</v>
      </c>
      <c r="U1257" s="13" t="s">
        <v>79</v>
      </c>
      <c r="V1257" s="13" t="s">
        <v>126</v>
      </c>
      <c r="W1257" s="13" t="s">
        <v>109</v>
      </c>
      <c r="X1257" s="135">
        <v>7750000</v>
      </c>
      <c r="Y1257" s="156">
        <v>1</v>
      </c>
      <c r="Z1257" s="18">
        <f t="shared" si="363"/>
        <v>7750000</v>
      </c>
      <c r="AA1257" s="13">
        <v>7.2900000000000006E-2</v>
      </c>
      <c r="AB1257" s="21">
        <f t="shared" si="379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65"/>
        <v>27318180.088495575</v>
      </c>
      <c r="AJ1257" s="19">
        <f t="shared" si="366"/>
        <v>3014099.212353982</v>
      </c>
      <c r="AK1257" s="20">
        <f t="shared" si="373"/>
        <v>0.11033308963444827</v>
      </c>
      <c r="AL1257" s="17"/>
      <c r="AM1257" s="17"/>
      <c r="AN1257" s="17"/>
      <c r="AO1257" s="17"/>
      <c r="AP1257" s="28" t="str">
        <f t="shared" si="374"/>
        <v>201912</v>
      </c>
      <c r="AQ1257" s="28" t="str">
        <f t="shared" si="375"/>
        <v>201912JPY</v>
      </c>
      <c r="AR1257" s="206" t="str">
        <f t="shared" si="376"/>
        <v>YAMAHA_Mounter</v>
      </c>
      <c r="AS1257" s="22">
        <f t="shared" si="377"/>
        <v>1</v>
      </c>
      <c r="AT1257" s="24" t="str">
        <f t="shared" si="378"/>
        <v>0-3 months</v>
      </c>
      <c r="AU1257" s="22" t="s">
        <v>3745</v>
      </c>
    </row>
    <row r="1258" spans="1:47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47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721</v>
      </c>
      <c r="K1258" s="155" t="s">
        <v>722</v>
      </c>
      <c r="L1258" s="17" t="s">
        <v>67</v>
      </c>
      <c r="M1258" s="13" t="s">
        <v>60</v>
      </c>
      <c r="N1258" s="13">
        <v>1</v>
      </c>
      <c r="O1258" s="13"/>
      <c r="P1258" s="33" t="str">
        <f t="shared" si="370"/>
        <v>MAIN UNIT</v>
      </c>
      <c r="Q1258" s="13" t="s">
        <v>68</v>
      </c>
      <c r="R1258" s="13" t="s">
        <v>62</v>
      </c>
      <c r="S1258" s="13" t="s">
        <v>49</v>
      </c>
      <c r="T1258" s="13" t="s">
        <v>78</v>
      </c>
      <c r="U1258" s="13" t="s">
        <v>79</v>
      </c>
      <c r="V1258" s="13" t="s">
        <v>126</v>
      </c>
      <c r="W1258" s="13" t="s">
        <v>109</v>
      </c>
      <c r="X1258" s="135">
        <v>7750000</v>
      </c>
      <c r="Y1258" s="156">
        <v>1</v>
      </c>
      <c r="Z1258" s="18">
        <f t="shared" si="363"/>
        <v>7750000</v>
      </c>
      <c r="AA1258" s="13">
        <v>7.2900000000000006E-2</v>
      </c>
      <c r="AB1258" s="21">
        <f t="shared" si="379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65"/>
        <v>27318180.088495575</v>
      </c>
      <c r="AJ1258" s="19">
        <f t="shared" si="366"/>
        <v>3014099.212353982</v>
      </c>
      <c r="AK1258" s="20">
        <f t="shared" si="373"/>
        <v>0.11033308963444827</v>
      </c>
      <c r="AL1258" s="17"/>
      <c r="AM1258" s="17"/>
      <c r="AN1258" s="17"/>
      <c r="AO1258" s="17"/>
      <c r="AP1258" s="28" t="str">
        <f t="shared" si="374"/>
        <v>201912</v>
      </c>
      <c r="AQ1258" s="28" t="str">
        <f t="shared" si="375"/>
        <v>201912JPY</v>
      </c>
      <c r="AR1258" s="206" t="str">
        <f t="shared" si="376"/>
        <v>YAMAHA_Mounter</v>
      </c>
      <c r="AS1258" s="22">
        <f t="shared" si="377"/>
        <v>1</v>
      </c>
      <c r="AT1258" s="24" t="str">
        <f t="shared" si="378"/>
        <v>0-3 months</v>
      </c>
      <c r="AU1258" s="22" t="s">
        <v>3745</v>
      </c>
    </row>
    <row r="1259" spans="1:47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53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1718</v>
      </c>
      <c r="K1259" s="155" t="s">
        <v>1719</v>
      </c>
      <c r="L1259" s="17" t="s">
        <v>67</v>
      </c>
      <c r="M1259" s="13" t="s">
        <v>60</v>
      </c>
      <c r="N1259" s="13">
        <v>1</v>
      </c>
      <c r="O1259" s="13"/>
      <c r="P1259" s="33" t="str">
        <f t="shared" si="370"/>
        <v>MAIN UNIT</v>
      </c>
      <c r="Q1259" s="13" t="s">
        <v>68</v>
      </c>
      <c r="R1259" s="13" t="s">
        <v>62</v>
      </c>
      <c r="S1259" s="13" t="s">
        <v>49</v>
      </c>
      <c r="T1259" s="13" t="s">
        <v>78</v>
      </c>
      <c r="U1259" s="13" t="s">
        <v>79</v>
      </c>
      <c r="V1259" s="13" t="s">
        <v>1713</v>
      </c>
      <c r="W1259" s="13" t="s">
        <v>109</v>
      </c>
      <c r="X1259" s="135">
        <v>7800000</v>
      </c>
      <c r="Y1259" s="157" t="str">
        <f t="shared" ref="Y1259:Y1267" si="380">IF(W1259="RMB","1.13", "1")</f>
        <v>1</v>
      </c>
      <c r="Z1259" s="18">
        <f t="shared" si="363"/>
        <v>7800000</v>
      </c>
      <c r="AA1259" s="13">
        <v>7.2800000000000004E-2</v>
      </c>
      <c r="AB1259" s="21">
        <f t="shared" si="379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65"/>
        <v>63006605.696460173</v>
      </c>
      <c r="AJ1259" s="19">
        <f t="shared" si="366"/>
        <v>8897485.660753984</v>
      </c>
      <c r="AK1259" s="20">
        <f t="shared" si="373"/>
        <v>0.141215124388995</v>
      </c>
      <c r="AL1259" s="17"/>
      <c r="AM1259" s="17"/>
      <c r="AN1259" s="17"/>
      <c r="AO1259" s="17"/>
      <c r="AP1259" s="28" t="str">
        <f t="shared" si="374"/>
        <v>20215</v>
      </c>
      <c r="AQ1259" s="28" t="str">
        <f t="shared" si="375"/>
        <v>20215JPY</v>
      </c>
      <c r="AR1259" s="206" t="str">
        <f t="shared" si="376"/>
        <v>YAMAHA_Mounter</v>
      </c>
      <c r="AS1259" s="22">
        <f t="shared" si="377"/>
        <v>3</v>
      </c>
      <c r="AT1259" s="24" t="str">
        <f t="shared" si="378"/>
        <v>0-3 months</v>
      </c>
      <c r="AU1259" s="22" t="s">
        <v>3745</v>
      </c>
    </row>
    <row r="1260" spans="1:47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53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1718</v>
      </c>
      <c r="K1260" s="155" t="s">
        <v>1719</v>
      </c>
      <c r="L1260" s="17" t="s">
        <v>92</v>
      </c>
      <c r="M1260" s="13" t="s">
        <v>60</v>
      </c>
      <c r="N1260" s="13">
        <v>1</v>
      </c>
      <c r="O1260" s="13"/>
      <c r="P1260" s="33" t="str">
        <f t="shared" si="370"/>
        <v>MAIN UNIT</v>
      </c>
      <c r="Q1260" s="13" t="s">
        <v>68</v>
      </c>
      <c r="R1260" s="13" t="s">
        <v>62</v>
      </c>
      <c r="S1260" s="13" t="s">
        <v>49</v>
      </c>
      <c r="T1260" s="13" t="s">
        <v>78</v>
      </c>
      <c r="U1260" s="13" t="s">
        <v>79</v>
      </c>
      <c r="V1260" s="13" t="s">
        <v>1713</v>
      </c>
      <c r="W1260" s="13" t="s">
        <v>109</v>
      </c>
      <c r="X1260" s="135">
        <v>15000000</v>
      </c>
      <c r="Y1260" s="157" t="str">
        <f t="shared" si="380"/>
        <v>1</v>
      </c>
      <c r="Z1260" s="18">
        <f t="shared" si="363"/>
        <v>15000000</v>
      </c>
      <c r="AA1260" s="13">
        <v>7.2800000000000004E-2</v>
      </c>
      <c r="AB1260" s="21">
        <f t="shared" si="379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65"/>
        <v>63006605.696460173</v>
      </c>
      <c r="AJ1260" s="19">
        <f t="shared" si="366"/>
        <v>8897485.660753984</v>
      </c>
      <c r="AK1260" s="20">
        <f t="shared" si="373"/>
        <v>0.141215124388995</v>
      </c>
      <c r="AL1260" s="17"/>
      <c r="AM1260" s="17"/>
      <c r="AN1260" s="17"/>
      <c r="AO1260" s="17"/>
      <c r="AP1260" s="28" t="str">
        <f t="shared" si="374"/>
        <v>20215</v>
      </c>
      <c r="AQ1260" s="28" t="str">
        <f t="shared" si="375"/>
        <v>20215JPY</v>
      </c>
      <c r="AR1260" s="206" t="str">
        <f t="shared" si="376"/>
        <v>YAMAHA_Mounter</v>
      </c>
      <c r="AS1260" s="22">
        <f t="shared" si="377"/>
        <v>3</v>
      </c>
      <c r="AT1260" s="24" t="str">
        <f t="shared" si="378"/>
        <v>0-3 months</v>
      </c>
      <c r="AU1260" s="22" t="s">
        <v>3745</v>
      </c>
    </row>
    <row r="1261" spans="1:47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53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1718</v>
      </c>
      <c r="K1261" s="155" t="s">
        <v>1719</v>
      </c>
      <c r="L1261" s="17" t="s">
        <v>92</v>
      </c>
      <c r="M1261" s="13" t="s">
        <v>60</v>
      </c>
      <c r="N1261" s="13">
        <v>1</v>
      </c>
      <c r="O1261" s="13"/>
      <c r="P1261" s="33" t="str">
        <f t="shared" si="370"/>
        <v>MAIN UNIT</v>
      </c>
      <c r="Q1261" s="13" t="s">
        <v>68</v>
      </c>
      <c r="R1261" s="13" t="s">
        <v>62</v>
      </c>
      <c r="S1261" s="13" t="s">
        <v>49</v>
      </c>
      <c r="T1261" s="13" t="s">
        <v>78</v>
      </c>
      <c r="U1261" s="13" t="s">
        <v>79</v>
      </c>
      <c r="V1261" s="13" t="s">
        <v>1713</v>
      </c>
      <c r="W1261" s="13" t="s">
        <v>109</v>
      </c>
      <c r="X1261" s="135">
        <v>15000000</v>
      </c>
      <c r="Y1261" s="157" t="str">
        <f t="shared" si="380"/>
        <v>1</v>
      </c>
      <c r="Z1261" s="18">
        <f t="shared" si="363"/>
        <v>15000000</v>
      </c>
      <c r="AA1261" s="13">
        <v>7.2800000000000004E-2</v>
      </c>
      <c r="AB1261" s="21">
        <f t="shared" si="379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65"/>
        <v>63006605.696460173</v>
      </c>
      <c r="AJ1261" s="19">
        <f t="shared" si="366"/>
        <v>8897485.660753984</v>
      </c>
      <c r="AK1261" s="20">
        <f t="shared" si="373"/>
        <v>0.141215124388995</v>
      </c>
      <c r="AL1261" s="17"/>
      <c r="AM1261" s="17"/>
      <c r="AN1261" s="17"/>
      <c r="AO1261" s="17"/>
      <c r="AP1261" s="28" t="str">
        <f t="shared" si="374"/>
        <v>20215</v>
      </c>
      <c r="AQ1261" s="28" t="str">
        <f t="shared" si="375"/>
        <v>20215JPY</v>
      </c>
      <c r="AR1261" s="206" t="str">
        <f t="shared" si="376"/>
        <v>YAMAHA_Mounter</v>
      </c>
      <c r="AS1261" s="22">
        <f t="shared" si="377"/>
        <v>3</v>
      </c>
      <c r="AT1261" s="24" t="str">
        <f t="shared" si="378"/>
        <v>0-3 months</v>
      </c>
      <c r="AU1261" s="22" t="s">
        <v>3745</v>
      </c>
    </row>
    <row r="1262" spans="1:47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53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1806</v>
      </c>
      <c r="K1262" s="155" t="s">
        <v>1719</v>
      </c>
      <c r="L1262" s="17" t="s">
        <v>67</v>
      </c>
      <c r="M1262" s="13" t="s">
        <v>60</v>
      </c>
      <c r="N1262" s="13">
        <v>1</v>
      </c>
      <c r="O1262" s="13"/>
      <c r="P1262" s="33" t="str">
        <f t="shared" si="370"/>
        <v>MAIN UNIT</v>
      </c>
      <c r="Q1262" s="13" t="s">
        <v>61</v>
      </c>
      <c r="R1262" s="13" t="s">
        <v>62</v>
      </c>
      <c r="S1262" s="13" t="s">
        <v>49</v>
      </c>
      <c r="T1262" s="13" t="s">
        <v>78</v>
      </c>
      <c r="U1262" s="13" t="s">
        <v>79</v>
      </c>
      <c r="V1262" s="13" t="s">
        <v>1713</v>
      </c>
      <c r="W1262" s="13" t="s">
        <v>109</v>
      </c>
      <c r="X1262" s="135">
        <v>8989000</v>
      </c>
      <c r="Y1262" s="157" t="str">
        <f t="shared" si="380"/>
        <v>1</v>
      </c>
      <c r="Z1262" s="18">
        <f t="shared" ref="Z1262:Z1273" si="381">IF(X1262="","",X1262*MAX(O1262,N1262))</f>
        <v>8989000</v>
      </c>
      <c r="AA1262" s="13">
        <v>7.2099999999999997E-2</v>
      </c>
      <c r="AB1262" s="21">
        <f t="shared" si="379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65"/>
        <v>54700260.692079648</v>
      </c>
      <c r="AJ1262" s="19">
        <f t="shared" si="366"/>
        <v>7482899.5749188727</v>
      </c>
      <c r="AK1262" s="20">
        <f t="shared" si="373"/>
        <v>0.13679824337660537</v>
      </c>
      <c r="AL1262" s="17"/>
      <c r="AM1262" s="17"/>
      <c r="AN1262" s="17"/>
      <c r="AO1262" s="17"/>
      <c r="AP1262" s="28" t="str">
        <f t="shared" si="374"/>
        <v>20216</v>
      </c>
      <c r="AQ1262" s="28" t="str">
        <f t="shared" si="375"/>
        <v>20216JPY</v>
      </c>
      <c r="AR1262" s="206" t="str">
        <f t="shared" si="376"/>
        <v>YAMAHA_Mounter</v>
      </c>
      <c r="AS1262" s="22">
        <f t="shared" si="377"/>
        <v>0</v>
      </c>
      <c r="AT1262" s="24" t="str">
        <f t="shared" si="378"/>
        <v>0-3 months</v>
      </c>
      <c r="AU1262" s="22" t="s">
        <v>3745</v>
      </c>
    </row>
    <row r="1263" spans="1:47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185</v>
      </c>
      <c r="G1263" s="152" t="s">
        <v>185</v>
      </c>
      <c r="H1263" s="155"/>
      <c r="I1263" s="33" t="str">
        <f t="shared" si="369"/>
        <v>Cancel</v>
      </c>
      <c r="J1263" s="186" t="s">
        <v>2628</v>
      </c>
      <c r="K1263" s="155" t="s">
        <v>1719</v>
      </c>
      <c r="L1263" s="17" t="s">
        <v>92</v>
      </c>
      <c r="M1263" s="13" t="s">
        <v>60</v>
      </c>
      <c r="N1263" s="13">
        <v>1</v>
      </c>
      <c r="O1263" s="13"/>
      <c r="P1263" s="33" t="str">
        <f t="shared" si="370"/>
        <v>MAIN UNIT</v>
      </c>
      <c r="Q1263" s="13" t="s">
        <v>61</v>
      </c>
      <c r="R1263" s="13" t="s">
        <v>62</v>
      </c>
      <c r="S1263" s="13" t="s">
        <v>49</v>
      </c>
      <c r="T1263" s="13" t="s">
        <v>78</v>
      </c>
      <c r="U1263" s="13" t="s">
        <v>79</v>
      </c>
      <c r="V1263" s="13" t="s">
        <v>1713</v>
      </c>
      <c r="W1263" s="13" t="s">
        <v>109</v>
      </c>
      <c r="X1263" s="135">
        <v>14345000</v>
      </c>
      <c r="Y1263" s="157" t="str">
        <f t="shared" si="380"/>
        <v>1</v>
      </c>
      <c r="Z1263" s="18">
        <f t="shared" si="381"/>
        <v>14345000</v>
      </c>
      <c r="AA1263" s="13">
        <v>5.4199999999999998E-2</v>
      </c>
      <c r="AB1263" s="21">
        <f t="shared" si="379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65"/>
        <v>499582152.5142017</v>
      </c>
      <c r="AJ1263" s="19">
        <f t="shared" si="366"/>
        <v>59520528.679470733</v>
      </c>
      <c r="AK1263" s="20">
        <f t="shared" si="373"/>
        <v>0.11914062257814291</v>
      </c>
      <c r="AL1263" s="17"/>
      <c r="AM1263" s="17"/>
      <c r="AN1263" s="17"/>
      <c r="AO1263" s="17"/>
      <c r="AP1263" s="28" t="str">
        <f t="shared" si="374"/>
        <v>CancelCancel</v>
      </c>
      <c r="AQ1263" s="28" t="str">
        <f t="shared" si="375"/>
        <v>CancelCancelJPY</v>
      </c>
      <c r="AR1263" s="206" t="str">
        <f t="shared" si="376"/>
        <v>YAMAHA_Mounter</v>
      </c>
      <c r="AS1263" s="22" t="str">
        <f t="shared" si="377"/>
        <v/>
      </c>
      <c r="AT1263" s="24" t="str">
        <f t="shared" si="378"/>
        <v/>
      </c>
      <c r="AU1263" s="22" t="s">
        <v>3745</v>
      </c>
    </row>
    <row r="1264" spans="1:47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185</v>
      </c>
      <c r="G1264" s="152" t="s">
        <v>185</v>
      </c>
      <c r="H1264" s="155"/>
      <c r="I1264" s="33" t="str">
        <f t="shared" si="369"/>
        <v>Cancel</v>
      </c>
      <c r="J1264" s="186" t="s">
        <v>2628</v>
      </c>
      <c r="K1264" s="155" t="s">
        <v>1719</v>
      </c>
      <c r="L1264" s="17" t="s">
        <v>92</v>
      </c>
      <c r="M1264" s="13" t="s">
        <v>60</v>
      </c>
      <c r="N1264" s="13">
        <v>1</v>
      </c>
      <c r="O1264" s="13"/>
      <c r="P1264" s="33" t="str">
        <f t="shared" si="370"/>
        <v>MAIN UNIT</v>
      </c>
      <c r="Q1264" s="13" t="s">
        <v>61</v>
      </c>
      <c r="R1264" s="13" t="s">
        <v>62</v>
      </c>
      <c r="S1264" s="13" t="s">
        <v>49</v>
      </c>
      <c r="T1264" s="13" t="s">
        <v>78</v>
      </c>
      <c r="U1264" s="13" t="s">
        <v>79</v>
      </c>
      <c r="V1264" s="13" t="s">
        <v>1713</v>
      </c>
      <c r="W1264" s="13" t="s">
        <v>109</v>
      </c>
      <c r="X1264" s="135">
        <v>14345000</v>
      </c>
      <c r="Y1264" s="157" t="str">
        <f t="shared" si="380"/>
        <v>1</v>
      </c>
      <c r="Z1264" s="18">
        <f t="shared" si="381"/>
        <v>14345000</v>
      </c>
      <c r="AA1264" s="13">
        <v>5.4199999999999998E-2</v>
      </c>
      <c r="AB1264" s="21">
        <f t="shared" si="379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65"/>
        <v>499582152.5142017</v>
      </c>
      <c r="AJ1264" s="19">
        <f t="shared" si="366"/>
        <v>59520528.679470733</v>
      </c>
      <c r="AK1264" s="20">
        <f t="shared" si="373"/>
        <v>0.11914062257814291</v>
      </c>
      <c r="AL1264" s="17"/>
      <c r="AM1264" s="17"/>
      <c r="AN1264" s="17"/>
      <c r="AO1264" s="17"/>
      <c r="AP1264" s="28" t="str">
        <f t="shared" si="374"/>
        <v>CancelCancel</v>
      </c>
      <c r="AQ1264" s="28" t="str">
        <f t="shared" si="375"/>
        <v>CancelCancelJPY</v>
      </c>
      <c r="AR1264" s="206" t="str">
        <f t="shared" si="376"/>
        <v>YAMAHA_Mounter</v>
      </c>
      <c r="AS1264" s="22" t="str">
        <f t="shared" si="377"/>
        <v/>
      </c>
      <c r="AT1264" s="24" t="str">
        <f t="shared" si="378"/>
        <v/>
      </c>
      <c r="AU1264" s="22" t="s">
        <v>3745</v>
      </c>
    </row>
    <row r="1265" spans="1:47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185</v>
      </c>
      <c r="G1265" s="152" t="s">
        <v>185</v>
      </c>
      <c r="H1265" s="155"/>
      <c r="I1265" s="33" t="str">
        <f t="shared" si="369"/>
        <v>Cancel</v>
      </c>
      <c r="J1265" s="186" t="s">
        <v>2628</v>
      </c>
      <c r="K1265" s="155" t="s">
        <v>1719</v>
      </c>
      <c r="L1265" s="17" t="s">
        <v>67</v>
      </c>
      <c r="M1265" s="13" t="s">
        <v>60</v>
      </c>
      <c r="N1265" s="13">
        <v>1</v>
      </c>
      <c r="O1265" s="13"/>
      <c r="P1265" s="33" t="str">
        <f t="shared" si="370"/>
        <v>MAIN UNIT</v>
      </c>
      <c r="Q1265" s="13" t="s">
        <v>61</v>
      </c>
      <c r="R1265" s="13" t="s">
        <v>62</v>
      </c>
      <c r="S1265" s="13" t="s">
        <v>49</v>
      </c>
      <c r="T1265" s="13" t="s">
        <v>78</v>
      </c>
      <c r="U1265" s="13" t="s">
        <v>79</v>
      </c>
      <c r="V1265" s="13" t="s">
        <v>1713</v>
      </c>
      <c r="W1265" s="13" t="s">
        <v>109</v>
      </c>
      <c r="X1265" s="135">
        <v>8989000</v>
      </c>
      <c r="Y1265" s="157" t="str">
        <f t="shared" si="380"/>
        <v>1</v>
      </c>
      <c r="Z1265" s="18">
        <f t="shared" si="381"/>
        <v>8989000</v>
      </c>
      <c r="AA1265" s="13">
        <v>5.4199999999999998E-2</v>
      </c>
      <c r="AB1265" s="21">
        <f t="shared" si="379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65"/>
        <v>499582152.5142017</v>
      </c>
      <c r="AJ1265" s="19">
        <f t="shared" si="366"/>
        <v>59520528.679470733</v>
      </c>
      <c r="AK1265" s="20">
        <f t="shared" si="373"/>
        <v>0.11914062257814291</v>
      </c>
      <c r="AL1265" s="17"/>
      <c r="AM1265" s="17"/>
      <c r="AN1265" s="17"/>
      <c r="AO1265" s="17"/>
      <c r="AP1265" s="28" t="str">
        <f t="shared" si="374"/>
        <v>CancelCancel</v>
      </c>
      <c r="AQ1265" s="28" t="str">
        <f t="shared" si="375"/>
        <v>CancelCancelJPY</v>
      </c>
      <c r="AR1265" s="206" t="str">
        <f t="shared" si="376"/>
        <v>YAMAHA_Mounter</v>
      </c>
      <c r="AS1265" s="22" t="str">
        <f t="shared" si="377"/>
        <v/>
      </c>
      <c r="AT1265" s="24" t="str">
        <f t="shared" si="378"/>
        <v/>
      </c>
      <c r="AU1265" s="22" t="s">
        <v>3745</v>
      </c>
    </row>
    <row r="1266" spans="1:47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185</v>
      </c>
      <c r="G1266" s="152" t="s">
        <v>185</v>
      </c>
      <c r="H1266" s="155"/>
      <c r="I1266" s="33" t="str">
        <f t="shared" si="369"/>
        <v>Cancel</v>
      </c>
      <c r="J1266" s="186" t="s">
        <v>2628</v>
      </c>
      <c r="K1266" s="155" t="s">
        <v>1719</v>
      </c>
      <c r="L1266" s="17" t="s">
        <v>67</v>
      </c>
      <c r="M1266" s="13" t="s">
        <v>60</v>
      </c>
      <c r="N1266" s="13">
        <v>1</v>
      </c>
      <c r="O1266" s="13"/>
      <c r="P1266" s="33" t="str">
        <f t="shared" si="370"/>
        <v>MAIN UNIT</v>
      </c>
      <c r="Q1266" s="13" t="s">
        <v>61</v>
      </c>
      <c r="R1266" s="13" t="s">
        <v>62</v>
      </c>
      <c r="S1266" s="13" t="s">
        <v>49</v>
      </c>
      <c r="T1266" s="13" t="s">
        <v>78</v>
      </c>
      <c r="U1266" s="13" t="s">
        <v>79</v>
      </c>
      <c r="V1266" s="13" t="s">
        <v>1713</v>
      </c>
      <c r="W1266" s="13" t="s">
        <v>109</v>
      </c>
      <c r="X1266" s="135">
        <v>8989000</v>
      </c>
      <c r="Y1266" s="157" t="str">
        <f t="shared" si="380"/>
        <v>1</v>
      </c>
      <c r="Z1266" s="18">
        <f t="shared" si="381"/>
        <v>8989000</v>
      </c>
      <c r="AA1266" s="13">
        <v>5.4199999999999998E-2</v>
      </c>
      <c r="AB1266" s="21">
        <f t="shared" si="379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65"/>
        <v>499582152.5142017</v>
      </c>
      <c r="AJ1266" s="19">
        <f t="shared" si="366"/>
        <v>59520528.679470733</v>
      </c>
      <c r="AK1266" s="20">
        <f t="shared" si="373"/>
        <v>0.11914062257814291</v>
      </c>
      <c r="AL1266" s="17"/>
      <c r="AM1266" s="17"/>
      <c r="AN1266" s="17"/>
      <c r="AO1266" s="17"/>
      <c r="AP1266" s="28" t="str">
        <f t="shared" si="374"/>
        <v>CancelCancel</v>
      </c>
      <c r="AQ1266" s="28" t="str">
        <f t="shared" si="375"/>
        <v>CancelCancelJPY</v>
      </c>
      <c r="AR1266" s="206" t="str">
        <f t="shared" si="376"/>
        <v>YAMAHA_Mounter</v>
      </c>
      <c r="AS1266" s="22" t="str">
        <f t="shared" si="377"/>
        <v/>
      </c>
      <c r="AT1266" s="24" t="str">
        <f t="shared" si="378"/>
        <v/>
      </c>
      <c r="AU1266" s="22" t="s">
        <v>3745</v>
      </c>
    </row>
    <row r="1267" spans="1:47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53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1893</v>
      </c>
      <c r="K1267" s="155" t="s">
        <v>1894</v>
      </c>
      <c r="L1267" s="17" t="s">
        <v>92</v>
      </c>
      <c r="M1267" s="13" t="s">
        <v>60</v>
      </c>
      <c r="N1267" s="13">
        <v>1</v>
      </c>
      <c r="O1267" s="13"/>
      <c r="P1267" s="33" t="str">
        <f t="shared" si="370"/>
        <v>MAIN UNIT</v>
      </c>
      <c r="Q1267" s="13" t="s">
        <v>61</v>
      </c>
      <c r="R1267" s="13" t="s">
        <v>62</v>
      </c>
      <c r="S1267" s="13" t="s">
        <v>49</v>
      </c>
      <c r="T1267" s="13" t="s">
        <v>78</v>
      </c>
      <c r="U1267" s="13" t="s">
        <v>79</v>
      </c>
      <c r="V1267" s="13" t="s">
        <v>311</v>
      </c>
      <c r="W1267" s="13" t="s">
        <v>109</v>
      </c>
      <c r="X1267" s="135">
        <v>12165000</v>
      </c>
      <c r="Y1267" s="157" t="str">
        <f t="shared" si="380"/>
        <v>1</v>
      </c>
      <c r="Z1267" s="18">
        <f t="shared" si="381"/>
        <v>12165000</v>
      </c>
      <c r="AA1267" s="13">
        <v>7.0000000000000007E-2</v>
      </c>
      <c r="AB1267" s="21">
        <f t="shared" si="379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65"/>
        <v>29500529.005044252</v>
      </c>
      <c r="AJ1267" s="19">
        <f t="shared" si="366"/>
        <v>3253064.846231177</v>
      </c>
      <c r="AK1267" s="20">
        <f t="shared" si="373"/>
        <v>0.11027140718984871</v>
      </c>
      <c r="AL1267" s="17"/>
      <c r="AM1267" s="17"/>
      <c r="AN1267" s="17"/>
      <c r="AO1267" s="17"/>
      <c r="AP1267" s="28" t="str">
        <f t="shared" si="374"/>
        <v>202111</v>
      </c>
      <c r="AQ1267" s="28" t="str">
        <f t="shared" si="375"/>
        <v>202111JPY</v>
      </c>
      <c r="AR1267" s="206" t="str">
        <f t="shared" si="376"/>
        <v>YAMAHA_Mounter</v>
      </c>
      <c r="AS1267" s="22">
        <f t="shared" si="377"/>
        <v>6</v>
      </c>
      <c r="AT1267" s="24" t="str">
        <f t="shared" si="378"/>
        <v>4-6 months</v>
      </c>
      <c r="AU1267" s="22" t="s">
        <v>3745</v>
      </c>
    </row>
    <row r="1268" spans="1:47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47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804</v>
      </c>
      <c r="K1268" s="155" t="s">
        <v>805</v>
      </c>
      <c r="L1268" s="17" t="s">
        <v>67</v>
      </c>
      <c r="M1268" s="13" t="s">
        <v>60</v>
      </c>
      <c r="N1268" s="13">
        <v>1</v>
      </c>
      <c r="O1268" s="13"/>
      <c r="P1268" s="33" t="str">
        <f t="shared" si="370"/>
        <v>MAIN UNIT</v>
      </c>
      <c r="Q1268" s="13" t="s">
        <v>68</v>
      </c>
      <c r="R1268" s="13" t="s">
        <v>701</v>
      </c>
      <c r="S1268" s="13" t="s">
        <v>750</v>
      </c>
      <c r="T1268" s="13" t="s">
        <v>806</v>
      </c>
      <c r="U1268" s="13" t="s">
        <v>807</v>
      </c>
      <c r="V1268" s="13" t="s">
        <v>751</v>
      </c>
      <c r="W1268" s="13" t="s">
        <v>773</v>
      </c>
      <c r="X1268" s="135">
        <v>563500</v>
      </c>
      <c r="Y1268" s="156">
        <v>1.1299999999999999</v>
      </c>
      <c r="Z1268" s="18">
        <f t="shared" si="381"/>
        <v>563500</v>
      </c>
      <c r="AA1268" s="13">
        <v>1.135</v>
      </c>
      <c r="AB1268" s="21">
        <f t="shared" si="379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65"/>
        <v>31296887.037898075</v>
      </c>
      <c r="AJ1268" s="19">
        <f t="shared" si="366"/>
        <v>3588873.9502021763</v>
      </c>
      <c r="AK1268" s="20">
        <f t="shared" si="373"/>
        <v>0.11467191436184473</v>
      </c>
      <c r="AL1268" s="17"/>
      <c r="AM1268" s="17"/>
      <c r="AN1268" s="17"/>
      <c r="AO1268" s="17"/>
      <c r="AP1268" s="28" t="str">
        <f t="shared" si="374"/>
        <v>20196</v>
      </c>
      <c r="AQ1268" s="28" t="str">
        <f t="shared" si="375"/>
        <v>20196RMB</v>
      </c>
      <c r="AR1268" s="206" t="str">
        <f t="shared" si="376"/>
        <v>YAMAHA_Mounter</v>
      </c>
      <c r="AS1268" s="22" t="str">
        <f t="shared" si="377"/>
        <v/>
      </c>
      <c r="AT1268" s="24" t="str">
        <f t="shared" si="378"/>
        <v/>
      </c>
      <c r="AU1268" s="22" t="s">
        <v>3744</v>
      </c>
    </row>
    <row r="1269" spans="1:47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47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804</v>
      </c>
      <c r="K1269" s="155" t="s">
        <v>805</v>
      </c>
      <c r="L1269" s="17" t="s">
        <v>67</v>
      </c>
      <c r="M1269" s="13" t="s">
        <v>60</v>
      </c>
      <c r="N1269" s="13">
        <v>1</v>
      </c>
      <c r="O1269" s="13"/>
      <c r="P1269" s="33" t="str">
        <f t="shared" si="370"/>
        <v>MAIN UNIT</v>
      </c>
      <c r="Q1269" s="13" t="s">
        <v>68</v>
      </c>
      <c r="R1269" s="13" t="s">
        <v>701</v>
      </c>
      <c r="S1269" s="13" t="s">
        <v>750</v>
      </c>
      <c r="T1269" s="13" t="s">
        <v>806</v>
      </c>
      <c r="U1269" s="13" t="s">
        <v>807</v>
      </c>
      <c r="V1269" s="13" t="s">
        <v>751</v>
      </c>
      <c r="W1269" s="13" t="s">
        <v>773</v>
      </c>
      <c r="X1269" s="135">
        <v>563500</v>
      </c>
      <c r="Y1269" s="156">
        <v>1.1299999999999999</v>
      </c>
      <c r="Z1269" s="18">
        <f t="shared" si="381"/>
        <v>563500</v>
      </c>
      <c r="AA1269" s="13">
        <v>1.135</v>
      </c>
      <c r="AB1269" s="21">
        <f t="shared" si="379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65"/>
        <v>31296887.037898075</v>
      </c>
      <c r="AJ1269" s="19">
        <f t="shared" si="366"/>
        <v>3588873.9502021763</v>
      </c>
      <c r="AK1269" s="20">
        <f t="shared" si="373"/>
        <v>0.11467191436184473</v>
      </c>
      <c r="AL1269" s="17"/>
      <c r="AM1269" s="17"/>
      <c r="AN1269" s="17"/>
      <c r="AO1269" s="17"/>
      <c r="AP1269" s="28" t="str">
        <f t="shared" si="374"/>
        <v>20196</v>
      </c>
      <c r="AQ1269" s="28" t="str">
        <f t="shared" si="375"/>
        <v>20196RMB</v>
      </c>
      <c r="AR1269" s="206" t="str">
        <f t="shared" si="376"/>
        <v>YAMAHA_Mounter</v>
      </c>
      <c r="AS1269" s="22" t="str">
        <f t="shared" si="377"/>
        <v/>
      </c>
      <c r="AT1269" s="24" t="str">
        <f t="shared" si="378"/>
        <v/>
      </c>
      <c r="AU1269" s="22" t="s">
        <v>3744</v>
      </c>
    </row>
    <row r="1270" spans="1:47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48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1179</v>
      </c>
      <c r="K1270" s="155" t="s">
        <v>1180</v>
      </c>
      <c r="L1270" s="17" t="s">
        <v>67</v>
      </c>
      <c r="M1270" s="13" t="s">
        <v>60</v>
      </c>
      <c r="N1270" s="13">
        <v>1</v>
      </c>
      <c r="O1270" s="13"/>
      <c r="P1270" s="33" t="str">
        <f t="shared" si="370"/>
        <v>MAIN UNIT</v>
      </c>
      <c r="Q1270" s="13" t="s">
        <v>61</v>
      </c>
      <c r="R1270" s="13" t="s">
        <v>62</v>
      </c>
      <c r="S1270" s="13" t="s">
        <v>49</v>
      </c>
      <c r="T1270" s="13" t="s">
        <v>78</v>
      </c>
      <c r="U1270" s="13" t="s">
        <v>79</v>
      </c>
      <c r="V1270" s="13" t="s">
        <v>1140</v>
      </c>
      <c r="W1270" s="13" t="s">
        <v>1101</v>
      </c>
      <c r="X1270" s="135">
        <v>577500</v>
      </c>
      <c r="Y1270" s="156">
        <v>1.1299999999999999</v>
      </c>
      <c r="Z1270" s="18">
        <f t="shared" si="381"/>
        <v>577500</v>
      </c>
      <c r="AA1270" s="13">
        <v>1.095</v>
      </c>
      <c r="AB1270" s="21">
        <f t="shared" si="379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65"/>
        <v>35384300.169380538</v>
      </c>
      <c r="AJ1270" s="19">
        <f t="shared" si="366"/>
        <v>5044538.8896988509</v>
      </c>
      <c r="AK1270" s="20">
        <f t="shared" si="373"/>
        <v>0.14256432557804533</v>
      </c>
      <c r="AL1270" s="17"/>
      <c r="AM1270" s="17"/>
      <c r="AN1270" s="17"/>
      <c r="AO1270" s="17"/>
      <c r="AP1270" s="28" t="str">
        <f t="shared" si="374"/>
        <v>20207</v>
      </c>
      <c r="AQ1270" s="28" t="str">
        <f t="shared" si="375"/>
        <v>20207RMB</v>
      </c>
      <c r="AR1270" s="206" t="str">
        <f t="shared" si="376"/>
        <v>YAMAHA_Mounter</v>
      </c>
      <c r="AS1270" s="22">
        <f t="shared" si="377"/>
        <v>1</v>
      </c>
      <c r="AT1270" s="24" t="str">
        <f t="shared" si="378"/>
        <v>0-3 months</v>
      </c>
      <c r="AU1270" s="22" t="s">
        <v>3744</v>
      </c>
    </row>
    <row r="1271" spans="1:47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48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1179</v>
      </c>
      <c r="K1271" s="155" t="s">
        <v>1180</v>
      </c>
      <c r="L1271" s="17" t="s">
        <v>67</v>
      </c>
      <c r="M1271" s="13" t="s">
        <v>60</v>
      </c>
      <c r="N1271" s="13">
        <v>1</v>
      </c>
      <c r="O1271" s="13"/>
      <c r="P1271" s="33" t="str">
        <f t="shared" si="370"/>
        <v>MAIN UNIT</v>
      </c>
      <c r="Q1271" s="13" t="s">
        <v>61</v>
      </c>
      <c r="R1271" s="13" t="s">
        <v>62</v>
      </c>
      <c r="S1271" s="13" t="s">
        <v>49</v>
      </c>
      <c r="T1271" s="13" t="s">
        <v>78</v>
      </c>
      <c r="U1271" s="13" t="s">
        <v>79</v>
      </c>
      <c r="V1271" s="13" t="s">
        <v>1140</v>
      </c>
      <c r="W1271" s="13" t="s">
        <v>1101</v>
      </c>
      <c r="X1271" s="135">
        <v>577500</v>
      </c>
      <c r="Y1271" s="156">
        <v>1.1299999999999999</v>
      </c>
      <c r="Z1271" s="18">
        <f t="shared" si="381"/>
        <v>577500</v>
      </c>
      <c r="AA1271" s="13">
        <v>1.095</v>
      </c>
      <c r="AB1271" s="21">
        <f t="shared" si="379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65"/>
        <v>35384300.169380538</v>
      </c>
      <c r="AJ1271" s="19">
        <f t="shared" si="366"/>
        <v>5044538.8896988509</v>
      </c>
      <c r="AK1271" s="20">
        <f t="shared" si="373"/>
        <v>0.14256432557804533</v>
      </c>
      <c r="AL1271" s="17"/>
      <c r="AM1271" s="17"/>
      <c r="AN1271" s="17"/>
      <c r="AO1271" s="17"/>
      <c r="AP1271" s="28" t="str">
        <f t="shared" si="374"/>
        <v>20207</v>
      </c>
      <c r="AQ1271" s="28" t="str">
        <f t="shared" si="375"/>
        <v>20207RMB</v>
      </c>
      <c r="AR1271" s="206" t="str">
        <f t="shared" si="376"/>
        <v>YAMAHA_Mounter</v>
      </c>
      <c r="AS1271" s="22">
        <f t="shared" si="377"/>
        <v>1</v>
      </c>
      <c r="AT1271" s="24" t="str">
        <f t="shared" si="378"/>
        <v>0-3 months</v>
      </c>
      <c r="AU1271" s="22" t="s">
        <v>3744</v>
      </c>
    </row>
    <row r="1272" spans="1:47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53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2132</v>
      </c>
      <c r="K1272" s="155" t="s">
        <v>2133</v>
      </c>
      <c r="L1272" s="17" t="s">
        <v>92</v>
      </c>
      <c r="M1272" s="13" t="s">
        <v>60</v>
      </c>
      <c r="N1272" s="13">
        <v>1</v>
      </c>
      <c r="O1272" s="13"/>
      <c r="P1272" s="33" t="str">
        <f t="shared" si="370"/>
        <v>MAIN UNIT</v>
      </c>
      <c r="Q1272" s="13" t="s">
        <v>68</v>
      </c>
      <c r="R1272" s="13" t="s">
        <v>62</v>
      </c>
      <c r="S1272" s="13" t="s">
        <v>49</v>
      </c>
      <c r="T1272" s="13" t="s">
        <v>78</v>
      </c>
      <c r="U1272" s="13" t="s">
        <v>79</v>
      </c>
      <c r="V1272" s="13" t="s">
        <v>2011</v>
      </c>
      <c r="W1272" s="13" t="s">
        <v>109</v>
      </c>
      <c r="X1272" s="135">
        <v>17000000</v>
      </c>
      <c r="Y1272" s="157" t="str">
        <f>IF(W1272="RMB","1.13", "1")</f>
        <v>1</v>
      </c>
      <c r="Z1272" s="18">
        <f t="shared" si="381"/>
        <v>17000000</v>
      </c>
      <c r="AA1272" s="13">
        <v>6.9199999999999998E-2</v>
      </c>
      <c r="AB1272" s="21">
        <f t="shared" si="379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65"/>
        <v>28726768.133805312</v>
      </c>
      <c r="AJ1272" s="19">
        <f t="shared" si="366"/>
        <v>3853638.1988864429</v>
      </c>
      <c r="AK1272" s="20">
        <f t="shared" si="373"/>
        <v>0.1341479898099476</v>
      </c>
      <c r="AL1272" s="17"/>
      <c r="AM1272" s="17"/>
      <c r="AN1272" s="17"/>
      <c r="AO1272" s="17"/>
      <c r="AP1272" s="28" t="str">
        <f t="shared" si="374"/>
        <v>20223</v>
      </c>
      <c r="AQ1272" s="28" t="str">
        <f t="shared" si="375"/>
        <v>20223JPY</v>
      </c>
      <c r="AR1272" s="206" t="str">
        <f t="shared" si="376"/>
        <v>YAMAHA_Mounter</v>
      </c>
      <c r="AS1272" s="22">
        <f t="shared" si="377"/>
        <v>2</v>
      </c>
      <c r="AT1272" s="24" t="str">
        <f t="shared" si="378"/>
        <v>0-3 months</v>
      </c>
      <c r="AU1272" s="22" t="s">
        <v>3745</v>
      </c>
    </row>
    <row r="1273" spans="1:47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53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2132</v>
      </c>
      <c r="K1273" s="155" t="s">
        <v>2133</v>
      </c>
      <c r="L1273" s="17" t="s">
        <v>67</v>
      </c>
      <c r="M1273" s="13" t="s">
        <v>60</v>
      </c>
      <c r="N1273" s="13">
        <v>1</v>
      </c>
      <c r="O1273" s="13"/>
      <c r="P1273" s="33" t="str">
        <f t="shared" si="370"/>
        <v>MAIN UNIT</v>
      </c>
      <c r="Q1273" s="13" t="s">
        <v>68</v>
      </c>
      <c r="R1273" s="13" t="s">
        <v>62</v>
      </c>
      <c r="S1273" s="13" t="s">
        <v>49</v>
      </c>
      <c r="T1273" s="13" t="s">
        <v>78</v>
      </c>
      <c r="U1273" s="13" t="s">
        <v>79</v>
      </c>
      <c r="V1273" s="13" t="s">
        <v>2011</v>
      </c>
      <c r="W1273" s="13" t="s">
        <v>109</v>
      </c>
      <c r="X1273" s="135">
        <v>11800000</v>
      </c>
      <c r="Y1273" s="157" t="str">
        <f>IF(W1273="RMB","1.13", "1")</f>
        <v>1</v>
      </c>
      <c r="Z1273" s="18">
        <f t="shared" si="381"/>
        <v>11800000</v>
      </c>
      <c r="AA1273" s="13">
        <v>6.9199999999999998E-2</v>
      </c>
      <c r="AB1273" s="21">
        <f t="shared" si="379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65"/>
        <v>28726768.133805312</v>
      </c>
      <c r="AJ1273" s="19">
        <f t="shared" si="366"/>
        <v>3853638.1988864429</v>
      </c>
      <c r="AK1273" s="20">
        <f t="shared" si="373"/>
        <v>0.1341479898099476</v>
      </c>
      <c r="AL1273" s="17"/>
      <c r="AM1273" s="17"/>
      <c r="AN1273" s="17"/>
      <c r="AO1273" s="17"/>
      <c r="AP1273" s="28" t="str">
        <f t="shared" si="374"/>
        <v>20223</v>
      </c>
      <c r="AQ1273" s="28" t="str">
        <f t="shared" si="375"/>
        <v>20223JPY</v>
      </c>
      <c r="AR1273" s="206" t="str">
        <f t="shared" si="376"/>
        <v>YAMAHA_Mounter</v>
      </c>
      <c r="AS1273" s="22">
        <f t="shared" si="377"/>
        <v>2</v>
      </c>
      <c r="AT1273" s="24" t="str">
        <f t="shared" si="378"/>
        <v>0-3 months</v>
      </c>
      <c r="AU1273" s="22" t="s">
        <v>3745</v>
      </c>
    </row>
    <row r="1274" spans="1:47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3193</v>
      </c>
      <c r="K1274" s="29" t="s">
        <v>2133</v>
      </c>
      <c r="L1274" s="17" t="s">
        <v>92</v>
      </c>
      <c r="M1274" s="13" t="s">
        <v>60</v>
      </c>
      <c r="N1274" s="22">
        <v>1</v>
      </c>
      <c r="O1274" s="22"/>
      <c r="P1274" s="33" t="str">
        <f t="shared" si="370"/>
        <v>MAIN UNIT</v>
      </c>
      <c r="Q1274" s="13" t="s">
        <v>61</v>
      </c>
      <c r="R1274" s="22" t="s">
        <v>62</v>
      </c>
      <c r="S1274" s="22" t="s">
        <v>49</v>
      </c>
      <c r="T1274" s="22" t="s">
        <v>78</v>
      </c>
      <c r="U1274" s="22" t="s">
        <v>78</v>
      </c>
      <c r="V1274" s="22" t="s">
        <v>2011</v>
      </c>
      <c r="W1274" s="22" t="s">
        <v>109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79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65"/>
        <v>21241742.157380536</v>
      </c>
      <c r="AJ1274" s="27">
        <f t="shared" si="366"/>
        <v>2987081.1613773629</v>
      </c>
      <c r="AK1274" s="28">
        <f t="shared" si="373"/>
        <v>0.14062317201884914</v>
      </c>
      <c r="AL1274" s="24"/>
      <c r="AM1274" s="24"/>
      <c r="AN1274" s="24"/>
      <c r="AO1274" s="24"/>
      <c r="AP1274" s="28" t="str">
        <f t="shared" si="374"/>
        <v>20243</v>
      </c>
      <c r="AQ1274" s="28" t="str">
        <f t="shared" si="375"/>
        <v>20243JPY</v>
      </c>
      <c r="AR1274" s="206" t="str">
        <f t="shared" si="376"/>
        <v>YAMAHA_Mounter</v>
      </c>
      <c r="AS1274" s="22">
        <f t="shared" si="377"/>
        <v>0</v>
      </c>
      <c r="AT1274" s="24" t="str">
        <f t="shared" si="378"/>
        <v>0-3 months</v>
      </c>
      <c r="AU1274" s="22" t="s">
        <v>3240</v>
      </c>
    </row>
    <row r="1275" spans="1:47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3193</v>
      </c>
      <c r="K1275" s="29" t="s">
        <v>2133</v>
      </c>
      <c r="L1275" s="17" t="s">
        <v>67</v>
      </c>
      <c r="M1275" s="13" t="s">
        <v>60</v>
      </c>
      <c r="N1275" s="22">
        <v>1</v>
      </c>
      <c r="O1275" s="22"/>
      <c r="P1275" s="33" t="str">
        <f t="shared" si="370"/>
        <v>MAIN UNIT</v>
      </c>
      <c r="Q1275" s="13" t="s">
        <v>61</v>
      </c>
      <c r="R1275" s="22" t="s">
        <v>62</v>
      </c>
      <c r="S1275" s="22" t="s">
        <v>49</v>
      </c>
      <c r="T1275" s="22" t="s">
        <v>78</v>
      </c>
      <c r="U1275" s="22" t="s">
        <v>78</v>
      </c>
      <c r="V1275" s="22" t="s">
        <v>2011</v>
      </c>
      <c r="W1275" s="22" t="s">
        <v>109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79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65"/>
        <v>21241742.157380536</v>
      </c>
      <c r="AJ1275" s="27">
        <f t="shared" si="366"/>
        <v>2987081.1613773629</v>
      </c>
      <c r="AK1275" s="28">
        <f t="shared" si="373"/>
        <v>0.14062317201884914</v>
      </c>
      <c r="AL1275" s="24"/>
      <c r="AM1275" s="24"/>
      <c r="AN1275" s="24"/>
      <c r="AO1275" s="24"/>
      <c r="AP1275" s="28" t="str">
        <f t="shared" si="374"/>
        <v>20243</v>
      </c>
      <c r="AQ1275" s="28" t="str">
        <f t="shared" si="375"/>
        <v>20243JPY</v>
      </c>
      <c r="AR1275" s="206" t="str">
        <f t="shared" si="376"/>
        <v>YAMAHA_Mounter</v>
      </c>
      <c r="AS1275" s="22">
        <f t="shared" si="377"/>
        <v>0</v>
      </c>
      <c r="AT1275" s="24" t="str">
        <f t="shared" si="378"/>
        <v>0-3 months</v>
      </c>
      <c r="AU1275" s="22" t="s">
        <v>3240</v>
      </c>
    </row>
    <row r="1276" spans="1:47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3172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3383</v>
      </c>
      <c r="K1276" s="29" t="s">
        <v>3384</v>
      </c>
      <c r="L1276" s="17" t="s">
        <v>92</v>
      </c>
      <c r="M1276" s="22" t="s">
        <v>60</v>
      </c>
      <c r="N1276" s="22">
        <v>1</v>
      </c>
      <c r="O1276" s="22"/>
      <c r="P1276" s="33" t="str">
        <f t="shared" si="370"/>
        <v>MAIN UNIT</v>
      </c>
      <c r="Q1276" s="13" t="s">
        <v>68</v>
      </c>
      <c r="R1276" s="22" t="s">
        <v>62</v>
      </c>
      <c r="S1276" s="22" t="s">
        <v>49</v>
      </c>
      <c r="T1276" s="22" t="s">
        <v>78</v>
      </c>
      <c r="U1276" s="22" t="s">
        <v>78</v>
      </c>
      <c r="V1276" s="22" t="s">
        <v>311</v>
      </c>
      <c r="W1276" s="22" t="s">
        <v>109</v>
      </c>
      <c r="X1276" s="30">
        <v>12000000</v>
      </c>
      <c r="Y1276" s="31" t="str">
        <f>IF(W1276="","",IF(W1276="RMB","1.13", "1"))</f>
        <v>1</v>
      </c>
      <c r="Z1276" s="18">
        <f t="shared" ref="Z1276:Z1285" si="382">IF(X1276="","",X1276*MAX(O1276,N1276))</f>
        <v>12000000</v>
      </c>
      <c r="AA1276" s="22">
        <v>5.0999999999999997E-2</v>
      </c>
      <c r="AB1276" s="21">
        <f t="shared" si="379"/>
        <v>612000</v>
      </c>
      <c r="AC1276" s="25">
        <f t="shared" si="371"/>
        <v>50428.800000000003</v>
      </c>
      <c r="AD1276" s="22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65"/>
        <v>11472879.764601771</v>
      </c>
      <c r="AJ1276" s="27">
        <f t="shared" si="366"/>
        <v>2038344.1716106194</v>
      </c>
      <c r="AK1276" s="28">
        <f t="shared" si="373"/>
        <v>0.17766630640544948</v>
      </c>
      <c r="AL1276" s="24"/>
      <c r="AM1276" s="24"/>
      <c r="AN1276" s="24"/>
      <c r="AO1276" s="24"/>
      <c r="AP1276" s="28" t="str">
        <f t="shared" si="374"/>
        <v>20245</v>
      </c>
      <c r="AQ1276" s="28" t="str">
        <f t="shared" si="375"/>
        <v>20245JPY</v>
      </c>
      <c r="AR1276" s="206" t="str">
        <f t="shared" si="376"/>
        <v>YAMAHA_Mounter</v>
      </c>
      <c r="AS1276" s="22">
        <f t="shared" si="377"/>
        <v>1</v>
      </c>
      <c r="AT1276" s="24" t="str">
        <f t="shared" si="378"/>
        <v>0-3 months</v>
      </c>
      <c r="AU1276" s="22" t="s">
        <v>3745</v>
      </c>
    </row>
    <row r="1277" spans="1:47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3172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3383</v>
      </c>
      <c r="K1277" s="29" t="s">
        <v>3384</v>
      </c>
      <c r="L1277" s="17" t="s">
        <v>67</v>
      </c>
      <c r="M1277" s="22" t="s">
        <v>60</v>
      </c>
      <c r="N1277" s="22">
        <v>1</v>
      </c>
      <c r="O1277" s="22"/>
      <c r="P1277" s="33" t="str">
        <f t="shared" si="370"/>
        <v>MAIN UNIT</v>
      </c>
      <c r="Q1277" s="13" t="s">
        <v>68</v>
      </c>
      <c r="R1277" s="22" t="s">
        <v>62</v>
      </c>
      <c r="S1277" s="22" t="s">
        <v>49</v>
      </c>
      <c r="T1277" s="22" t="s">
        <v>78</v>
      </c>
      <c r="U1277" s="22" t="s">
        <v>78</v>
      </c>
      <c r="V1277" s="22" t="s">
        <v>311</v>
      </c>
      <c r="W1277" s="22" t="s">
        <v>109</v>
      </c>
      <c r="X1277" s="30">
        <v>9300000</v>
      </c>
      <c r="Y1277" s="31" t="str">
        <f>IF(W1277="","",IF(W1277="RMB","1.13", "1"))</f>
        <v>1</v>
      </c>
      <c r="Z1277" s="18">
        <f t="shared" si="382"/>
        <v>9300000</v>
      </c>
      <c r="AA1277" s="22">
        <v>5.0999999999999997E-2</v>
      </c>
      <c r="AB1277" s="21">
        <f t="shared" si="379"/>
        <v>474299.99999999994</v>
      </c>
      <c r="AC1277" s="25">
        <f t="shared" si="371"/>
        <v>39082.319999999992</v>
      </c>
      <c r="AD1277" s="22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65"/>
        <v>11472879.764601771</v>
      </c>
      <c r="AJ1277" s="27">
        <f t="shared" si="366"/>
        <v>2038344.1716106194</v>
      </c>
      <c r="AK1277" s="28">
        <f t="shared" si="373"/>
        <v>0.17766630640544948</v>
      </c>
      <c r="AL1277" s="24"/>
      <c r="AM1277" s="24"/>
      <c r="AN1277" s="24"/>
      <c r="AO1277" s="24"/>
      <c r="AP1277" s="28" t="str">
        <f t="shared" si="374"/>
        <v>20245</v>
      </c>
      <c r="AQ1277" s="28" t="str">
        <f t="shared" si="375"/>
        <v>20245JPY</v>
      </c>
      <c r="AR1277" s="206" t="str">
        <f t="shared" si="376"/>
        <v>YAMAHA_Mounter</v>
      </c>
      <c r="AS1277" s="22">
        <f t="shared" si="377"/>
        <v>1</v>
      </c>
      <c r="AT1277" s="24" t="str">
        <f t="shared" si="378"/>
        <v>0-3 months</v>
      </c>
      <c r="AU1277" s="22" t="s">
        <v>3745</v>
      </c>
    </row>
    <row r="1278" spans="1:47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47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982</v>
      </c>
      <c r="K1278" s="155" t="s">
        <v>983</v>
      </c>
      <c r="L1278" s="17" t="s">
        <v>92</v>
      </c>
      <c r="M1278" s="13" t="s">
        <v>60</v>
      </c>
      <c r="N1278" s="13">
        <v>1</v>
      </c>
      <c r="O1278" s="13"/>
      <c r="P1278" s="33" t="str">
        <f t="shared" si="370"/>
        <v>MAIN UNIT</v>
      </c>
      <c r="Q1278" s="13" t="s">
        <v>68</v>
      </c>
      <c r="R1278" s="13" t="s">
        <v>62</v>
      </c>
      <c r="S1278" s="13" t="s">
        <v>49</v>
      </c>
      <c r="T1278" s="13" t="s">
        <v>78</v>
      </c>
      <c r="U1278" s="13" t="s">
        <v>79</v>
      </c>
      <c r="V1278" s="13" t="s">
        <v>112</v>
      </c>
      <c r="W1278" s="13" t="s">
        <v>64</v>
      </c>
      <c r="X1278" s="135">
        <v>1050000</v>
      </c>
      <c r="Y1278" s="156">
        <v>1.1299999999999999</v>
      </c>
      <c r="Z1278" s="18">
        <f t="shared" si="382"/>
        <v>1050000</v>
      </c>
      <c r="AA1278" s="13">
        <v>1.095</v>
      </c>
      <c r="AB1278" s="21">
        <f t="shared" si="379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65"/>
        <v>37599388.802345134</v>
      </c>
      <c r="AJ1278" s="19">
        <f t="shared" si="366"/>
        <v>4866784.3630338367</v>
      </c>
      <c r="AK1278" s="20">
        <f t="shared" si="373"/>
        <v>0.12943785838163113</v>
      </c>
      <c r="AL1278" s="17"/>
      <c r="AM1278" s="17"/>
      <c r="AN1278" s="17"/>
      <c r="AO1278" s="17"/>
      <c r="AP1278" s="28" t="str">
        <f t="shared" si="374"/>
        <v>20199</v>
      </c>
      <c r="AQ1278" s="28" t="str">
        <f t="shared" si="375"/>
        <v>20199RMB</v>
      </c>
      <c r="AR1278" s="206" t="str">
        <f t="shared" si="376"/>
        <v>YAMAHA_Mounter</v>
      </c>
      <c r="AS1278" s="22">
        <f t="shared" si="377"/>
        <v>0</v>
      </c>
      <c r="AT1278" s="24" t="str">
        <f t="shared" si="378"/>
        <v>0-3 months</v>
      </c>
      <c r="AU1278" s="22" t="s">
        <v>3744</v>
      </c>
    </row>
    <row r="1279" spans="1:47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47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982</v>
      </c>
      <c r="K1279" s="155" t="s">
        <v>983</v>
      </c>
      <c r="L1279" s="17" t="s">
        <v>92</v>
      </c>
      <c r="M1279" s="13" t="s">
        <v>60</v>
      </c>
      <c r="N1279" s="13">
        <v>1</v>
      </c>
      <c r="O1279" s="13"/>
      <c r="P1279" s="33" t="str">
        <f t="shared" si="370"/>
        <v>MAIN UNIT</v>
      </c>
      <c r="Q1279" s="13" t="s">
        <v>68</v>
      </c>
      <c r="R1279" s="13" t="s">
        <v>62</v>
      </c>
      <c r="S1279" s="13" t="s">
        <v>49</v>
      </c>
      <c r="T1279" s="13" t="s">
        <v>78</v>
      </c>
      <c r="U1279" s="13" t="s">
        <v>79</v>
      </c>
      <c r="V1279" s="13" t="s">
        <v>112</v>
      </c>
      <c r="W1279" s="13" t="s">
        <v>64</v>
      </c>
      <c r="X1279" s="135">
        <v>1050000</v>
      </c>
      <c r="Y1279" s="156">
        <v>1.1299999999999999</v>
      </c>
      <c r="Z1279" s="18">
        <f t="shared" si="382"/>
        <v>1050000</v>
      </c>
      <c r="AA1279" s="13">
        <v>1.095</v>
      </c>
      <c r="AB1279" s="21">
        <f t="shared" si="379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65"/>
        <v>37599388.802345134</v>
      </c>
      <c r="AJ1279" s="19">
        <f t="shared" si="366"/>
        <v>4866784.3630338367</v>
      </c>
      <c r="AK1279" s="20">
        <f t="shared" si="373"/>
        <v>0.12943785838163113</v>
      </c>
      <c r="AL1279" s="17"/>
      <c r="AM1279" s="17"/>
      <c r="AN1279" s="17"/>
      <c r="AO1279" s="17"/>
      <c r="AP1279" s="28" t="str">
        <f t="shared" si="374"/>
        <v>20199</v>
      </c>
      <c r="AQ1279" s="28" t="str">
        <f t="shared" si="375"/>
        <v>20199RMB</v>
      </c>
      <c r="AR1279" s="206" t="str">
        <f t="shared" si="376"/>
        <v>YAMAHA_Mounter</v>
      </c>
      <c r="AS1279" s="22">
        <f t="shared" si="377"/>
        <v>0</v>
      </c>
      <c r="AT1279" s="24" t="str">
        <f t="shared" si="378"/>
        <v>0-3 months</v>
      </c>
      <c r="AU1279" s="22" t="s">
        <v>3744</v>
      </c>
    </row>
    <row r="1280" spans="1:47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48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1225</v>
      </c>
      <c r="K1280" s="155" t="s">
        <v>983</v>
      </c>
      <c r="L1280" s="17" t="s">
        <v>92</v>
      </c>
      <c r="M1280" s="13" t="s">
        <v>60</v>
      </c>
      <c r="N1280" s="13">
        <v>1</v>
      </c>
      <c r="O1280" s="13"/>
      <c r="P1280" s="33" t="str">
        <f t="shared" si="370"/>
        <v>MAIN UNIT</v>
      </c>
      <c r="Q1280" s="13" t="s">
        <v>61</v>
      </c>
      <c r="R1280" s="13" t="s">
        <v>62</v>
      </c>
      <c r="S1280" s="13" t="s">
        <v>49</v>
      </c>
      <c r="T1280" s="13" t="s">
        <v>78</v>
      </c>
      <c r="U1280" s="13" t="s">
        <v>79</v>
      </c>
      <c r="V1280" s="13" t="s">
        <v>112</v>
      </c>
      <c r="W1280" s="13" t="s">
        <v>64</v>
      </c>
      <c r="X1280" s="135">
        <v>1045000</v>
      </c>
      <c r="Y1280" s="156">
        <v>1.1299999999999999</v>
      </c>
      <c r="Z1280" s="18">
        <f t="shared" si="382"/>
        <v>1045000</v>
      </c>
      <c r="AA1280" s="13">
        <v>1.089</v>
      </c>
      <c r="AB1280" s="21">
        <f t="shared" si="379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65"/>
        <v>29183109.05575221</v>
      </c>
      <c r="AJ1280" s="19">
        <f t="shared" si="366"/>
        <v>3741266.5648721238</v>
      </c>
      <c r="AK1280" s="20">
        <f t="shared" si="373"/>
        <v>0.12819972531798121</v>
      </c>
      <c r="AL1280" s="17"/>
      <c r="AM1280" s="17"/>
      <c r="AN1280" s="17"/>
      <c r="AO1280" s="17"/>
      <c r="AP1280" s="28" t="str">
        <f t="shared" si="374"/>
        <v>20206</v>
      </c>
      <c r="AQ1280" s="28" t="str">
        <f t="shared" si="375"/>
        <v>20206RMB</v>
      </c>
      <c r="AR1280" s="206" t="str">
        <f t="shared" si="376"/>
        <v>YAMAHA_Mounter</v>
      </c>
      <c r="AS1280" s="22">
        <f t="shared" si="377"/>
        <v>1</v>
      </c>
      <c r="AT1280" s="24" t="str">
        <f t="shared" si="378"/>
        <v>0-3 months</v>
      </c>
      <c r="AU1280" s="22" t="s">
        <v>3744</v>
      </c>
    </row>
    <row r="1281" spans="1:47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48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1225</v>
      </c>
      <c r="K1281" s="155" t="s">
        <v>983</v>
      </c>
      <c r="L1281" s="17" t="s">
        <v>92</v>
      </c>
      <c r="M1281" s="13" t="s">
        <v>60</v>
      </c>
      <c r="N1281" s="13">
        <v>1</v>
      </c>
      <c r="O1281" s="13"/>
      <c r="P1281" s="33" t="str">
        <f t="shared" si="370"/>
        <v>MAIN UNIT</v>
      </c>
      <c r="Q1281" s="13" t="s">
        <v>61</v>
      </c>
      <c r="R1281" s="13" t="s">
        <v>62</v>
      </c>
      <c r="S1281" s="13" t="s">
        <v>49</v>
      </c>
      <c r="T1281" s="13" t="s">
        <v>78</v>
      </c>
      <c r="U1281" s="13" t="s">
        <v>79</v>
      </c>
      <c r="V1281" s="13" t="s">
        <v>112</v>
      </c>
      <c r="W1281" s="13" t="s">
        <v>64</v>
      </c>
      <c r="X1281" s="135">
        <v>1045000</v>
      </c>
      <c r="Y1281" s="156">
        <v>1.1299999999999999</v>
      </c>
      <c r="Z1281" s="18">
        <f t="shared" si="382"/>
        <v>1045000</v>
      </c>
      <c r="AA1281" s="13">
        <v>1.089</v>
      </c>
      <c r="AB1281" s="21">
        <f t="shared" si="379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65"/>
        <v>29183109.05575221</v>
      </c>
      <c r="AJ1281" s="19">
        <f t="shared" si="366"/>
        <v>3741266.5648721238</v>
      </c>
      <c r="AK1281" s="20">
        <f t="shared" si="373"/>
        <v>0.12819972531798121</v>
      </c>
      <c r="AL1281" s="17"/>
      <c r="AM1281" s="17"/>
      <c r="AN1281" s="17"/>
      <c r="AO1281" s="17"/>
      <c r="AP1281" s="28" t="str">
        <f t="shared" si="374"/>
        <v>20206</v>
      </c>
      <c r="AQ1281" s="28" t="str">
        <f t="shared" si="375"/>
        <v>20206RMB</v>
      </c>
      <c r="AR1281" s="206" t="str">
        <f t="shared" si="376"/>
        <v>YAMAHA_Mounter</v>
      </c>
      <c r="AS1281" s="22">
        <f t="shared" si="377"/>
        <v>1</v>
      </c>
      <c r="AT1281" s="24" t="str">
        <f t="shared" si="378"/>
        <v>0-3 months</v>
      </c>
      <c r="AU1281" s="22" t="s">
        <v>3744</v>
      </c>
    </row>
    <row r="1282" spans="1:47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3410</v>
      </c>
      <c r="K1282" s="29" t="s">
        <v>193</v>
      </c>
      <c r="L1282" s="17" t="s">
        <v>2620</v>
      </c>
      <c r="M1282" s="22" t="s">
        <v>60</v>
      </c>
      <c r="N1282" s="22">
        <v>1</v>
      </c>
      <c r="O1282" s="22"/>
      <c r="P1282" s="33" t="str">
        <f t="shared" si="370"/>
        <v>MAIN UNIT</v>
      </c>
      <c r="Q1282" s="13" t="s">
        <v>61</v>
      </c>
      <c r="R1282" s="22" t="s">
        <v>2055</v>
      </c>
      <c r="S1282" s="22" t="s">
        <v>50</v>
      </c>
      <c r="T1282" s="22" t="s">
        <v>194</v>
      </c>
      <c r="U1282" s="22" t="s">
        <v>70</v>
      </c>
      <c r="V1282" s="22" t="s">
        <v>94</v>
      </c>
      <c r="W1282" s="22" t="s">
        <v>64</v>
      </c>
      <c r="X1282" s="30">
        <v>332500</v>
      </c>
      <c r="Y1282" s="31" t="str">
        <f>IF(W1282="","",IF(W1282="RMB","1.13", "1"))</f>
        <v>1.13</v>
      </c>
      <c r="Z1282" s="18">
        <f t="shared" si="382"/>
        <v>332500</v>
      </c>
      <c r="AA1282" s="22">
        <v>1.083</v>
      </c>
      <c r="AB1282" s="21">
        <f t="shared" si="379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ref="AI1282:AI1345" si="383">IF(P1282="C66 SERVICE","",SUMIFS(AB:AB,F:F,F1282,G:G,G1282,E:E,E1282))</f>
        <v>11472879.764601771</v>
      </c>
      <c r="AJ1282" s="27">
        <f t="shared" ref="AJ1282:AJ1345" si="384">IF(P1282="C66 SERVICE","",SUMIFS(AC:AC,F:F,F1282,G:G,G1282,E:E,E1282))</f>
        <v>2038344.1716106194</v>
      </c>
      <c r="AK1282" s="28">
        <f t="shared" si="373"/>
        <v>0.17766630640544948</v>
      </c>
      <c r="AL1282" s="24"/>
      <c r="AM1282" s="24"/>
      <c r="AN1282" s="24"/>
      <c r="AO1282" s="24"/>
      <c r="AP1282" s="28" t="str">
        <f t="shared" si="374"/>
        <v>20245</v>
      </c>
      <c r="AQ1282" s="28" t="str">
        <f t="shared" si="375"/>
        <v>20245RMB</v>
      </c>
      <c r="AR1282" s="206" t="str">
        <f t="shared" si="376"/>
        <v>YAMAHA_Non_Mounter</v>
      </c>
      <c r="AS1282" s="22">
        <f t="shared" si="377"/>
        <v>1</v>
      </c>
      <c r="AT1282" s="24" t="str">
        <f t="shared" si="378"/>
        <v>0-3 months</v>
      </c>
      <c r="AU1282" s="22" t="s">
        <v>3240</v>
      </c>
    </row>
    <row r="1283" spans="1:47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3172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3332</v>
      </c>
      <c r="K1283" s="29" t="s">
        <v>1705</v>
      </c>
      <c r="L1283" s="17" t="s">
        <v>92</v>
      </c>
      <c r="M1283" s="22" t="s">
        <v>60</v>
      </c>
      <c r="N1283" s="22">
        <v>1</v>
      </c>
      <c r="O1283" s="22"/>
      <c r="P1283" s="33" t="str">
        <f t="shared" si="370"/>
        <v>MAIN UNIT</v>
      </c>
      <c r="Q1283" s="13" t="s">
        <v>61</v>
      </c>
      <c r="R1283" s="22" t="s">
        <v>62</v>
      </c>
      <c r="S1283" s="22" t="s">
        <v>49</v>
      </c>
      <c r="T1283" s="22" t="s">
        <v>78</v>
      </c>
      <c r="U1283" s="22" t="s">
        <v>78</v>
      </c>
      <c r="V1283" s="22" t="s">
        <v>311</v>
      </c>
      <c r="W1283" s="22" t="s">
        <v>109</v>
      </c>
      <c r="X1283" s="30">
        <v>13000000</v>
      </c>
      <c r="Y1283" s="31" t="str">
        <f>IF(W1283="","",IF(W1283="RMB","1.13", "1"))</f>
        <v>1</v>
      </c>
      <c r="Z1283" s="18">
        <f t="shared" si="382"/>
        <v>13000000</v>
      </c>
      <c r="AA1283" s="13">
        <v>5.0999999999999997E-2</v>
      </c>
      <c r="AB1283" s="21">
        <f t="shared" si="379"/>
        <v>663000</v>
      </c>
      <c r="AC1283" s="25">
        <f t="shared" si="371"/>
        <v>80355.600000000006</v>
      </c>
      <c r="AD1283" s="22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83"/>
        <v>11472879.764601771</v>
      </c>
      <c r="AJ1283" s="27">
        <f t="shared" si="384"/>
        <v>2038344.1716106194</v>
      </c>
      <c r="AK1283" s="28">
        <f t="shared" si="373"/>
        <v>0.17766630640544948</v>
      </c>
      <c r="AL1283" s="24"/>
      <c r="AM1283" s="24"/>
      <c r="AN1283" s="24"/>
      <c r="AO1283" s="24"/>
      <c r="AP1283" s="28" t="str">
        <f t="shared" si="374"/>
        <v>20245</v>
      </c>
      <c r="AQ1283" s="28" t="str">
        <f t="shared" si="375"/>
        <v>20245JPY</v>
      </c>
      <c r="AR1283" s="206" t="str">
        <f t="shared" si="376"/>
        <v>YAMAHA_Mounter</v>
      </c>
      <c r="AS1283" s="22">
        <f t="shared" si="377"/>
        <v>2</v>
      </c>
      <c r="AT1283" s="24" t="str">
        <f t="shared" si="378"/>
        <v>0-3 months</v>
      </c>
      <c r="AU1283" s="22" t="s">
        <v>3745</v>
      </c>
    </row>
    <row r="1284" spans="1:47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3172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3332</v>
      </c>
      <c r="K1284" s="29" t="s">
        <v>1705</v>
      </c>
      <c r="L1284" s="17" t="s">
        <v>67</v>
      </c>
      <c r="M1284" s="22" t="s">
        <v>60</v>
      </c>
      <c r="N1284" s="22">
        <v>1</v>
      </c>
      <c r="O1284" s="22"/>
      <c r="P1284" s="33" t="str">
        <f t="shared" si="370"/>
        <v>MAIN UNIT</v>
      </c>
      <c r="Q1284" s="13" t="s">
        <v>61</v>
      </c>
      <c r="R1284" s="22" t="s">
        <v>62</v>
      </c>
      <c r="S1284" s="22" t="s">
        <v>49</v>
      </c>
      <c r="T1284" s="22" t="s">
        <v>78</v>
      </c>
      <c r="U1284" s="22" t="s">
        <v>78</v>
      </c>
      <c r="V1284" s="22" t="s">
        <v>311</v>
      </c>
      <c r="W1284" s="22" t="s">
        <v>109</v>
      </c>
      <c r="X1284" s="30">
        <v>8600000</v>
      </c>
      <c r="Y1284" s="31" t="str">
        <f>IF(W1284="","",IF(W1284="RMB","1.13", "1"))</f>
        <v>1</v>
      </c>
      <c r="Z1284" s="18">
        <f t="shared" si="382"/>
        <v>8600000</v>
      </c>
      <c r="AA1284" s="13">
        <v>5.0999999999999997E-2</v>
      </c>
      <c r="AB1284" s="21">
        <f t="shared" si="379"/>
        <v>438600</v>
      </c>
      <c r="AC1284" s="25">
        <f t="shared" si="371"/>
        <v>53158.32</v>
      </c>
      <c r="AD1284" s="22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83"/>
        <v>11472879.764601771</v>
      </c>
      <c r="AJ1284" s="27">
        <f t="shared" si="384"/>
        <v>2038344.1716106194</v>
      </c>
      <c r="AK1284" s="28">
        <f t="shared" si="373"/>
        <v>0.17766630640544948</v>
      </c>
      <c r="AL1284" s="24"/>
      <c r="AM1284" s="24"/>
      <c r="AN1284" s="24"/>
      <c r="AO1284" s="24"/>
      <c r="AP1284" s="28" t="str">
        <f t="shared" si="374"/>
        <v>20245</v>
      </c>
      <c r="AQ1284" s="28" t="str">
        <f t="shared" si="375"/>
        <v>20245JPY</v>
      </c>
      <c r="AR1284" s="206" t="str">
        <f t="shared" si="376"/>
        <v>YAMAHA_Mounter</v>
      </c>
      <c r="AS1284" s="22">
        <f t="shared" si="377"/>
        <v>2</v>
      </c>
      <c r="AT1284" s="24" t="str">
        <f t="shared" si="378"/>
        <v>0-3 months</v>
      </c>
      <c r="AU1284" s="22" t="s">
        <v>3745</v>
      </c>
    </row>
    <row r="1285" spans="1:47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41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439</v>
      </c>
      <c r="K1285" s="155" t="s">
        <v>440</v>
      </c>
      <c r="L1285" s="17" t="s">
        <v>67</v>
      </c>
      <c r="M1285" s="13" t="s">
        <v>60</v>
      </c>
      <c r="N1285" s="13">
        <v>1</v>
      </c>
      <c r="O1285" s="13"/>
      <c r="P1285" s="33" t="str">
        <f t="shared" si="370"/>
        <v>MAIN UNIT</v>
      </c>
      <c r="Q1285" s="13" t="s">
        <v>61</v>
      </c>
      <c r="R1285" s="13" t="s">
        <v>62</v>
      </c>
      <c r="S1285" s="13" t="s">
        <v>49</v>
      </c>
      <c r="T1285" s="13" t="s">
        <v>78</v>
      </c>
      <c r="U1285" s="13" t="s">
        <v>79</v>
      </c>
      <c r="V1285" s="13" t="s">
        <v>131</v>
      </c>
      <c r="W1285" s="13" t="s">
        <v>64</v>
      </c>
      <c r="X1285" s="135">
        <v>800000</v>
      </c>
      <c r="Y1285" s="156">
        <v>1.17</v>
      </c>
      <c r="Z1285" s="18">
        <f t="shared" si="382"/>
        <v>800000</v>
      </c>
      <c r="AA1285" s="13">
        <v>1.23</v>
      </c>
      <c r="AB1285" s="21">
        <f t="shared" si="379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83"/>
        <v>29288201.603076916</v>
      </c>
      <c r="AJ1285" s="19">
        <f t="shared" si="384"/>
        <v>3870159.1769246152</v>
      </c>
      <c r="AK1285" s="20">
        <f t="shared" si="373"/>
        <v>0.13214055370740244</v>
      </c>
      <c r="AL1285" s="17" t="s">
        <v>441</v>
      </c>
      <c r="AM1285" s="17">
        <v>800000</v>
      </c>
      <c r="AN1285" s="17"/>
      <c r="AO1285" s="17"/>
      <c r="AP1285" s="28" t="str">
        <f t="shared" si="374"/>
        <v>20184</v>
      </c>
      <c r="AQ1285" s="28" t="str">
        <f t="shared" si="375"/>
        <v>20184RMB</v>
      </c>
      <c r="AR1285" s="206" t="str">
        <f t="shared" si="376"/>
        <v>YAMAHA_Mounter</v>
      </c>
      <c r="AS1285" s="22">
        <f t="shared" si="377"/>
        <v>1</v>
      </c>
      <c r="AT1285" s="24" t="str">
        <f t="shared" si="378"/>
        <v>0-3 months</v>
      </c>
      <c r="AU1285" s="22" t="s">
        <v>3744</v>
      </c>
    </row>
    <row r="1286" spans="1:47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3172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3367</v>
      </c>
      <c r="K1286" s="29" t="s">
        <v>3368</v>
      </c>
      <c r="L1286" s="17" t="s">
        <v>92</v>
      </c>
      <c r="M1286" s="22" t="s">
        <v>60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61</v>
      </c>
      <c r="R1286" s="22" t="s">
        <v>62</v>
      </c>
      <c r="S1286" s="22" t="s">
        <v>49</v>
      </c>
      <c r="T1286" s="22" t="s">
        <v>78</v>
      </c>
      <c r="U1286" s="22" t="s">
        <v>78</v>
      </c>
      <c r="V1286" s="22" t="s">
        <v>112</v>
      </c>
      <c r="W1286" s="22" t="s">
        <v>109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79"/>
        <v>688500</v>
      </c>
      <c r="AC1286" s="25">
        <f t="shared" ref="AC1286:AC1349" si="390">IF(R1286&lt;&gt;"",AB1286*AD1286,"")</f>
        <v>70089.3</v>
      </c>
      <c r="AD1286" s="22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si="383"/>
        <v>11472879.764601771</v>
      </c>
      <c r="AJ1286" s="27">
        <f t="shared" si="384"/>
        <v>2038344.1716106194</v>
      </c>
      <c r="AK1286" s="28">
        <f t="shared" ref="AK1286:AK1349" si="392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3">IF(F1286="","",F1286&amp;G1286)</f>
        <v>20245</v>
      </c>
      <c r="AQ1286" s="28" t="str">
        <f t="shared" ref="AQ1286:AQ1349" si="394">IF(W1286="","",F1286&amp;G1286&amp;W1286)</f>
        <v>20245JPY</v>
      </c>
      <c r="AR1286" s="206" t="str">
        <f t="shared" ref="AR1286:AR1349" si="395">IFERROR(IF(AND(M1286="YAMAHA", R1286="C28"), "YAMAHA_Non_Mounter", IF(AND(M1286="YAMAHA", R1286="C49"), "YAMAHA_Mounter", M1286)),"")</f>
        <v>YAMAHA_Mounter</v>
      </c>
      <c r="AS1286" s="22">
        <f t="shared" ref="AS1286:AS1349" si="396">IFERROR(IF(OR(G1286="TBA", G1286=""), "", DATEDIF(DATE(B1286, C1286, 1), DATE(F1286, G1286, 1), "M")),"")</f>
        <v>2</v>
      </c>
      <c r="AT1286" s="24" t="str">
        <f t="shared" ref="AT1286:AT1349" si="397">IF(ISNUMBER(AS1286), IF(AS1286&gt;=0, IF(AS1286&lt;=3, "0-3 months", IF(AS1286&lt;=6, "4-6 months", "&gt; 6 months"))), "")</f>
        <v>0-3 months</v>
      </c>
      <c r="AU1286" s="22" t="s">
        <v>3240</v>
      </c>
    </row>
    <row r="1287" spans="1:47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3172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3367</v>
      </c>
      <c r="K1287" s="29" t="s">
        <v>3368</v>
      </c>
      <c r="L1287" s="17" t="s">
        <v>92</v>
      </c>
      <c r="M1287" s="22" t="s">
        <v>60</v>
      </c>
      <c r="N1287" s="22">
        <v>1</v>
      </c>
      <c r="O1287" s="22"/>
      <c r="P1287" s="33" t="str">
        <f t="shared" si="388"/>
        <v>MAIN UNIT</v>
      </c>
      <c r="Q1287" s="13" t="s">
        <v>61</v>
      </c>
      <c r="R1287" s="22" t="s">
        <v>62</v>
      </c>
      <c r="S1287" s="22" t="s">
        <v>49</v>
      </c>
      <c r="T1287" s="22" t="s">
        <v>78</v>
      </c>
      <c r="U1287" s="22" t="s">
        <v>78</v>
      </c>
      <c r="V1287" s="22" t="s">
        <v>112</v>
      </c>
      <c r="W1287" s="22" t="s">
        <v>109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79"/>
        <v>688500</v>
      </c>
      <c r="AC1287" s="25">
        <f t="shared" si="390"/>
        <v>70089.3</v>
      </c>
      <c r="AD1287" s="22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83"/>
        <v>11472879.764601771</v>
      </c>
      <c r="AJ1287" s="27">
        <f t="shared" si="384"/>
        <v>2038344.1716106194</v>
      </c>
      <c r="AK1287" s="28">
        <f t="shared" si="392"/>
        <v>0.17766630640544948</v>
      </c>
      <c r="AL1287" s="24"/>
      <c r="AM1287" s="24"/>
      <c r="AN1287" s="24"/>
      <c r="AO1287" s="24"/>
      <c r="AP1287" s="28" t="str">
        <f t="shared" si="393"/>
        <v>20245</v>
      </c>
      <c r="AQ1287" s="28" t="str">
        <f t="shared" si="394"/>
        <v>20245JPY</v>
      </c>
      <c r="AR1287" s="206" t="str">
        <f t="shared" si="395"/>
        <v>YAMAHA_Mounter</v>
      </c>
      <c r="AS1287" s="22">
        <f t="shared" si="396"/>
        <v>2</v>
      </c>
      <c r="AT1287" s="24" t="str">
        <f t="shared" si="397"/>
        <v>0-3 months</v>
      </c>
      <c r="AU1287" s="22" t="s">
        <v>3240</v>
      </c>
    </row>
    <row r="1288" spans="1:47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3172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3367</v>
      </c>
      <c r="K1288" s="29" t="s">
        <v>3368</v>
      </c>
      <c r="L1288" s="17" t="s">
        <v>67</v>
      </c>
      <c r="M1288" s="22" t="s">
        <v>60</v>
      </c>
      <c r="N1288" s="22">
        <v>1</v>
      </c>
      <c r="O1288" s="22"/>
      <c r="P1288" s="33" t="str">
        <f t="shared" si="388"/>
        <v>MAIN UNIT</v>
      </c>
      <c r="Q1288" s="13" t="s">
        <v>61</v>
      </c>
      <c r="R1288" s="22" t="s">
        <v>62</v>
      </c>
      <c r="S1288" s="22" t="s">
        <v>49</v>
      </c>
      <c r="T1288" s="22" t="s">
        <v>78</v>
      </c>
      <c r="U1288" s="22" t="s">
        <v>78</v>
      </c>
      <c r="V1288" s="22" t="s">
        <v>112</v>
      </c>
      <c r="W1288" s="22" t="s">
        <v>109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79"/>
        <v>462059.99999999994</v>
      </c>
      <c r="AC1288" s="25">
        <f t="shared" si="390"/>
        <v>47037.707999999991</v>
      </c>
      <c r="AD1288" s="22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83"/>
        <v>11472879.764601771</v>
      </c>
      <c r="AJ1288" s="27">
        <f t="shared" si="384"/>
        <v>2038344.1716106194</v>
      </c>
      <c r="AK1288" s="28">
        <f t="shared" si="392"/>
        <v>0.17766630640544948</v>
      </c>
      <c r="AL1288" s="24"/>
      <c r="AM1288" s="24"/>
      <c r="AN1288" s="24"/>
      <c r="AO1288" s="24"/>
      <c r="AP1288" s="28" t="str">
        <f t="shared" si="393"/>
        <v>20245</v>
      </c>
      <c r="AQ1288" s="28" t="str">
        <f t="shared" si="394"/>
        <v>20245JPY</v>
      </c>
      <c r="AR1288" s="206" t="str">
        <f t="shared" si="395"/>
        <v>YAMAHA_Mounter</v>
      </c>
      <c r="AS1288" s="22">
        <f t="shared" si="396"/>
        <v>2</v>
      </c>
      <c r="AT1288" s="24" t="str">
        <f t="shared" si="397"/>
        <v>0-3 months</v>
      </c>
      <c r="AU1288" s="22" t="s">
        <v>3240</v>
      </c>
    </row>
    <row r="1289" spans="1:47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3172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3367</v>
      </c>
      <c r="K1289" s="29" t="s">
        <v>3368</v>
      </c>
      <c r="L1289" s="17" t="s">
        <v>67</v>
      </c>
      <c r="M1289" s="22" t="s">
        <v>60</v>
      </c>
      <c r="N1289" s="22">
        <v>1</v>
      </c>
      <c r="O1289" s="22"/>
      <c r="P1289" s="33" t="str">
        <f t="shared" si="388"/>
        <v>MAIN UNIT</v>
      </c>
      <c r="Q1289" s="13" t="s">
        <v>61</v>
      </c>
      <c r="R1289" s="22" t="s">
        <v>62</v>
      </c>
      <c r="S1289" s="22" t="s">
        <v>49</v>
      </c>
      <c r="T1289" s="22" t="s">
        <v>78</v>
      </c>
      <c r="U1289" s="22" t="s">
        <v>78</v>
      </c>
      <c r="V1289" s="22" t="s">
        <v>112</v>
      </c>
      <c r="W1289" s="22" t="s">
        <v>109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79"/>
        <v>462059.99999999994</v>
      </c>
      <c r="AC1289" s="25">
        <f t="shared" si="390"/>
        <v>47037.707999999991</v>
      </c>
      <c r="AD1289" s="22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83"/>
        <v>11472879.764601771</v>
      </c>
      <c r="AJ1289" s="27">
        <f t="shared" si="384"/>
        <v>2038344.1716106194</v>
      </c>
      <c r="AK1289" s="28">
        <f t="shared" si="392"/>
        <v>0.17766630640544948</v>
      </c>
      <c r="AL1289" s="24"/>
      <c r="AM1289" s="24"/>
      <c r="AN1289" s="24"/>
      <c r="AO1289" s="24"/>
      <c r="AP1289" s="28" t="str">
        <f t="shared" si="393"/>
        <v>20245</v>
      </c>
      <c r="AQ1289" s="28" t="str">
        <f t="shared" si="394"/>
        <v>20245JPY</v>
      </c>
      <c r="AR1289" s="206" t="str">
        <f t="shared" si="395"/>
        <v>YAMAHA_Mounter</v>
      </c>
      <c r="AS1289" s="22">
        <f t="shared" si="396"/>
        <v>2</v>
      </c>
      <c r="AT1289" s="24" t="str">
        <f t="shared" si="397"/>
        <v>0-3 months</v>
      </c>
      <c r="AU1289" s="22" t="s">
        <v>3240</v>
      </c>
    </row>
    <row r="1290" spans="1:47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3172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3343</v>
      </c>
      <c r="K1290" s="29" t="s">
        <v>989</v>
      </c>
      <c r="L1290" s="17" t="s">
        <v>67</v>
      </c>
      <c r="M1290" s="22" t="s">
        <v>60</v>
      </c>
      <c r="N1290" s="22">
        <v>1</v>
      </c>
      <c r="O1290" s="22"/>
      <c r="P1290" s="33" t="str">
        <f t="shared" si="388"/>
        <v>MAIN UNIT</v>
      </c>
      <c r="Q1290" s="13" t="s">
        <v>61</v>
      </c>
      <c r="R1290" s="22" t="s">
        <v>62</v>
      </c>
      <c r="S1290" s="22" t="s">
        <v>49</v>
      </c>
      <c r="T1290" s="22" t="s">
        <v>78</v>
      </c>
      <c r="U1290" s="22" t="s">
        <v>246</v>
      </c>
      <c r="V1290" s="22" t="s">
        <v>131</v>
      </c>
      <c r="W1290" s="22" t="s">
        <v>109</v>
      </c>
      <c r="X1290" s="30">
        <v>11180000</v>
      </c>
      <c r="Y1290" s="31" t="str">
        <f t="shared" si="389"/>
        <v>1</v>
      </c>
      <c r="Z1290" s="18">
        <f t="shared" ref="Z1290:Z1353" si="398">IF(X1290="","",X1290*MAX(O1290,N1290))</f>
        <v>11180000</v>
      </c>
      <c r="AA1290" s="13">
        <v>5.0999999999999997E-2</v>
      </c>
      <c r="AB1290" s="21">
        <f t="shared" si="379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83"/>
        <v>11472879.764601771</v>
      </c>
      <c r="AJ1290" s="27">
        <f t="shared" si="384"/>
        <v>2038344.1716106194</v>
      </c>
      <c r="AK1290" s="28">
        <f t="shared" si="392"/>
        <v>0.17766630640544948</v>
      </c>
      <c r="AL1290" s="24"/>
      <c r="AM1290" s="24"/>
      <c r="AN1290" s="24"/>
      <c r="AO1290" s="24"/>
      <c r="AP1290" s="28" t="str">
        <f t="shared" si="393"/>
        <v>20245</v>
      </c>
      <c r="AQ1290" s="28" t="str">
        <f t="shared" si="394"/>
        <v>20245JPY</v>
      </c>
      <c r="AR1290" s="206" t="str">
        <f t="shared" si="395"/>
        <v>YAMAHA_Mounter</v>
      </c>
      <c r="AS1290" s="22">
        <f t="shared" si="396"/>
        <v>2</v>
      </c>
      <c r="AT1290" s="24" t="str">
        <f t="shared" si="397"/>
        <v>0-3 months</v>
      </c>
      <c r="AU1290" s="22" t="s">
        <v>3746</v>
      </c>
    </row>
    <row r="1291" spans="1:47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3172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3343</v>
      </c>
      <c r="K1291" s="29" t="s">
        <v>989</v>
      </c>
      <c r="L1291" s="17" t="s">
        <v>67</v>
      </c>
      <c r="M1291" s="22" t="s">
        <v>60</v>
      </c>
      <c r="N1291" s="22">
        <v>1</v>
      </c>
      <c r="O1291" s="22"/>
      <c r="P1291" s="33" t="str">
        <f t="shared" si="388"/>
        <v>MAIN UNIT</v>
      </c>
      <c r="Q1291" s="13" t="s">
        <v>61</v>
      </c>
      <c r="R1291" s="22" t="s">
        <v>62</v>
      </c>
      <c r="S1291" s="22" t="s">
        <v>49</v>
      </c>
      <c r="T1291" s="22" t="s">
        <v>78</v>
      </c>
      <c r="U1291" s="22" t="s">
        <v>246</v>
      </c>
      <c r="V1291" s="22" t="s">
        <v>131</v>
      </c>
      <c r="W1291" s="22" t="s">
        <v>109</v>
      </c>
      <c r="X1291" s="30">
        <v>11180000</v>
      </c>
      <c r="Y1291" s="31" t="str">
        <f t="shared" si="389"/>
        <v>1</v>
      </c>
      <c r="Z1291" s="18">
        <f t="shared" si="398"/>
        <v>11180000</v>
      </c>
      <c r="AA1291" s="13">
        <v>5.0999999999999997E-2</v>
      </c>
      <c r="AB1291" s="21">
        <f t="shared" si="379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83"/>
        <v>11472879.764601771</v>
      </c>
      <c r="AJ1291" s="27">
        <f t="shared" si="384"/>
        <v>2038344.1716106194</v>
      </c>
      <c r="AK1291" s="28">
        <f t="shared" si="392"/>
        <v>0.17766630640544948</v>
      </c>
      <c r="AL1291" s="24"/>
      <c r="AM1291" s="24"/>
      <c r="AN1291" s="24"/>
      <c r="AO1291" s="24"/>
      <c r="AP1291" s="28" t="str">
        <f t="shared" si="393"/>
        <v>20245</v>
      </c>
      <c r="AQ1291" s="28" t="str">
        <f t="shared" si="394"/>
        <v>20245JPY</v>
      </c>
      <c r="AR1291" s="206" t="str">
        <f t="shared" si="395"/>
        <v>YAMAHA_Mounter</v>
      </c>
      <c r="AS1291" s="22">
        <f t="shared" si="396"/>
        <v>2</v>
      </c>
      <c r="AT1291" s="24" t="str">
        <f t="shared" si="397"/>
        <v>0-3 months</v>
      </c>
      <c r="AU1291" s="22" t="s">
        <v>3746</v>
      </c>
    </row>
    <row r="1292" spans="1:47" s="12" customFormat="1">
      <c r="A1292" s="33" t="str">
        <f t="shared" si="385"/>
        <v>cancel</v>
      </c>
      <c r="B1292" s="152"/>
      <c r="C1292" s="152" t="s">
        <v>185</v>
      </c>
      <c r="D1292" s="33" t="str">
        <f t="shared" si="386"/>
        <v/>
      </c>
      <c r="E1292" s="33" t="s">
        <v>185</v>
      </c>
      <c r="F1292" s="13" t="s">
        <v>185</v>
      </c>
      <c r="G1292" s="152" t="s">
        <v>185</v>
      </c>
      <c r="H1292" s="155"/>
      <c r="I1292" s="33" t="str">
        <f t="shared" si="387"/>
        <v>Cancel</v>
      </c>
      <c r="J1292" s="186" t="s">
        <v>2737</v>
      </c>
      <c r="K1292" s="155" t="s">
        <v>2738</v>
      </c>
      <c r="L1292" s="17" t="s">
        <v>293</v>
      </c>
      <c r="M1292" s="13" t="s">
        <v>60</v>
      </c>
      <c r="N1292" s="13">
        <v>1</v>
      </c>
      <c r="O1292" s="13"/>
      <c r="P1292" s="33" t="str">
        <f t="shared" si="388"/>
        <v>MAIN UNIT</v>
      </c>
      <c r="Q1292" s="13" t="s">
        <v>68</v>
      </c>
      <c r="R1292" s="13" t="s">
        <v>62</v>
      </c>
      <c r="S1292" s="13" t="s">
        <v>49</v>
      </c>
      <c r="T1292" s="13" t="s">
        <v>78</v>
      </c>
      <c r="U1292" s="13" t="s">
        <v>79</v>
      </c>
      <c r="V1292" s="13" t="s">
        <v>311</v>
      </c>
      <c r="W1292" s="13" t="s">
        <v>64</v>
      </c>
      <c r="X1292" s="135">
        <v>1360000</v>
      </c>
      <c r="Y1292" s="157" t="str">
        <f>IF(W1292="RMB","1.13", "1")</f>
        <v>1.13</v>
      </c>
      <c r="Z1292" s="18">
        <f t="shared" si="398"/>
        <v>1360000</v>
      </c>
      <c r="AA1292" s="13">
        <v>1.1100000000000001</v>
      </c>
      <c r="AB1292" s="21">
        <f t="shared" si="379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83"/>
        <v>499582152.5142017</v>
      </c>
      <c r="AJ1292" s="19">
        <f t="shared" si="384"/>
        <v>59520528.679470733</v>
      </c>
      <c r="AK1292" s="20">
        <f t="shared" si="392"/>
        <v>0.11914062257814291</v>
      </c>
      <c r="AL1292" s="17"/>
      <c r="AM1292" s="17"/>
      <c r="AN1292" s="17"/>
      <c r="AO1292" s="17"/>
      <c r="AP1292" s="28" t="str">
        <f t="shared" si="393"/>
        <v>CancelCancel</v>
      </c>
      <c r="AQ1292" s="28" t="str">
        <f t="shared" si="394"/>
        <v>CancelCancelRMB</v>
      </c>
      <c r="AR1292" s="206" t="str">
        <f t="shared" si="395"/>
        <v>YAMAHA_Mounter</v>
      </c>
      <c r="AS1292" s="22" t="str">
        <f t="shared" si="396"/>
        <v/>
      </c>
      <c r="AT1292" s="24" t="str">
        <f t="shared" si="397"/>
        <v/>
      </c>
      <c r="AU1292" s="22" t="s">
        <v>3744</v>
      </c>
    </row>
    <row r="1293" spans="1:47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3155</v>
      </c>
      <c r="K1293" s="29" t="s">
        <v>3156</v>
      </c>
      <c r="L1293" s="17" t="s">
        <v>92</v>
      </c>
      <c r="M1293" s="22" t="s">
        <v>60</v>
      </c>
      <c r="N1293" s="22">
        <v>1</v>
      </c>
      <c r="O1293" s="22"/>
      <c r="P1293" s="33" t="str">
        <f t="shared" si="388"/>
        <v>MAIN UNIT</v>
      </c>
      <c r="Q1293" s="13" t="s">
        <v>68</v>
      </c>
      <c r="R1293" s="22" t="s">
        <v>62</v>
      </c>
      <c r="S1293" s="22" t="s">
        <v>49</v>
      </c>
      <c r="T1293" s="22" t="s">
        <v>78</v>
      </c>
      <c r="U1293" s="22" t="s">
        <v>1038</v>
      </c>
      <c r="V1293" s="22" t="s">
        <v>112</v>
      </c>
      <c r="W1293" s="22" t="s">
        <v>901</v>
      </c>
      <c r="X1293" s="30">
        <v>100000</v>
      </c>
      <c r="Y1293" s="31" t="str">
        <f>IF(W1293="","",IF(W1293="RMB","1.13", "1"))</f>
        <v>1</v>
      </c>
      <c r="Z1293" s="18">
        <f t="shared" si="398"/>
        <v>100000</v>
      </c>
      <c r="AA1293" s="22">
        <v>7.8</v>
      </c>
      <c r="AB1293" s="21">
        <f t="shared" si="379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83"/>
        <v>21241742.157380536</v>
      </c>
      <c r="AJ1293" s="27">
        <f t="shared" si="384"/>
        <v>2987081.1613773629</v>
      </c>
      <c r="AK1293" s="28">
        <f t="shared" si="392"/>
        <v>0.14062317201884914</v>
      </c>
      <c r="AL1293" s="24"/>
      <c r="AM1293" s="24"/>
      <c r="AN1293" s="24"/>
      <c r="AO1293" s="24"/>
      <c r="AP1293" s="28" t="str">
        <f t="shared" si="393"/>
        <v>20243</v>
      </c>
      <c r="AQ1293" s="28" t="str">
        <f t="shared" si="394"/>
        <v>20243USD</v>
      </c>
      <c r="AR1293" s="206" t="str">
        <f t="shared" si="395"/>
        <v>YAMAHA_Mounter</v>
      </c>
      <c r="AS1293" s="22">
        <f t="shared" si="396"/>
        <v>2</v>
      </c>
      <c r="AT1293" s="24" t="str">
        <f t="shared" si="397"/>
        <v>0-3 months</v>
      </c>
      <c r="AU1293" s="22" t="s">
        <v>3746</v>
      </c>
    </row>
    <row r="1294" spans="1:47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3155</v>
      </c>
      <c r="K1294" s="29" t="s">
        <v>3156</v>
      </c>
      <c r="L1294" s="17" t="s">
        <v>67</v>
      </c>
      <c r="M1294" s="22" t="s">
        <v>60</v>
      </c>
      <c r="N1294" s="22">
        <v>1</v>
      </c>
      <c r="O1294" s="22"/>
      <c r="P1294" s="33" t="str">
        <f t="shared" si="388"/>
        <v>MAIN UNIT</v>
      </c>
      <c r="Q1294" s="13" t="s">
        <v>68</v>
      </c>
      <c r="R1294" s="22" t="s">
        <v>62</v>
      </c>
      <c r="S1294" s="22" t="s">
        <v>49</v>
      </c>
      <c r="T1294" s="22" t="s">
        <v>78</v>
      </c>
      <c r="U1294" s="22" t="s">
        <v>1038</v>
      </c>
      <c r="V1294" s="22" t="s">
        <v>112</v>
      </c>
      <c r="W1294" s="22" t="s">
        <v>901</v>
      </c>
      <c r="X1294" s="30">
        <v>88000</v>
      </c>
      <c r="Y1294" s="31" t="str">
        <f>IF(W1294="","",IF(W1294="RMB","1.13", "1"))</f>
        <v>1</v>
      </c>
      <c r="Z1294" s="18">
        <f t="shared" si="398"/>
        <v>88000</v>
      </c>
      <c r="AA1294" s="22">
        <v>7.8</v>
      </c>
      <c r="AB1294" s="21">
        <f t="shared" si="379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83"/>
        <v>21241742.157380536</v>
      </c>
      <c r="AJ1294" s="27">
        <f t="shared" si="384"/>
        <v>2987081.1613773629</v>
      </c>
      <c r="AK1294" s="28">
        <f t="shared" si="392"/>
        <v>0.14062317201884914</v>
      </c>
      <c r="AL1294" s="24"/>
      <c r="AM1294" s="24"/>
      <c r="AN1294" s="24"/>
      <c r="AO1294" s="24"/>
      <c r="AP1294" s="28" t="str">
        <f t="shared" si="393"/>
        <v>20243</v>
      </c>
      <c r="AQ1294" s="28" t="str">
        <f t="shared" si="394"/>
        <v>20243USD</v>
      </c>
      <c r="AR1294" s="206" t="str">
        <f t="shared" si="395"/>
        <v>YAMAHA_Mounter</v>
      </c>
      <c r="AS1294" s="22">
        <f t="shared" si="396"/>
        <v>2</v>
      </c>
      <c r="AT1294" s="24" t="str">
        <f t="shared" si="397"/>
        <v>0-3 months</v>
      </c>
      <c r="AU1294" s="22" t="s">
        <v>3746</v>
      </c>
    </row>
    <row r="1295" spans="1:47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3172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3343</v>
      </c>
      <c r="K1295" s="29" t="s">
        <v>989</v>
      </c>
      <c r="L1295" s="17" t="s">
        <v>67</v>
      </c>
      <c r="M1295" s="22" t="s">
        <v>60</v>
      </c>
      <c r="N1295" s="22">
        <v>1</v>
      </c>
      <c r="O1295" s="22"/>
      <c r="P1295" s="33" t="str">
        <f t="shared" si="388"/>
        <v>MAIN UNIT</v>
      </c>
      <c r="Q1295" s="13" t="s">
        <v>61</v>
      </c>
      <c r="R1295" s="22" t="s">
        <v>62</v>
      </c>
      <c r="S1295" s="22" t="s">
        <v>49</v>
      </c>
      <c r="T1295" s="22" t="s">
        <v>78</v>
      </c>
      <c r="U1295" s="22" t="s">
        <v>246</v>
      </c>
      <c r="V1295" s="22" t="s">
        <v>131</v>
      </c>
      <c r="W1295" s="22" t="s">
        <v>109</v>
      </c>
      <c r="X1295" s="30">
        <v>11180000</v>
      </c>
      <c r="Y1295" s="31" t="str">
        <f>IF(W1295="","",IF(W1295="RMB","1.13", "1"))</f>
        <v>1</v>
      </c>
      <c r="Z1295" s="18">
        <f t="shared" si="398"/>
        <v>11180000</v>
      </c>
      <c r="AA1295" s="13">
        <v>5.0999999999999997E-2</v>
      </c>
      <c r="AB1295" s="21">
        <f t="shared" si="379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83"/>
        <v>11472879.764601771</v>
      </c>
      <c r="AJ1295" s="27">
        <f t="shared" si="384"/>
        <v>2038344.1716106194</v>
      </c>
      <c r="AK1295" s="28">
        <f t="shared" si="392"/>
        <v>0.17766630640544948</v>
      </c>
      <c r="AL1295" s="24"/>
      <c r="AM1295" s="24"/>
      <c r="AN1295" s="24"/>
      <c r="AO1295" s="24"/>
      <c r="AP1295" s="28" t="str">
        <f t="shared" si="393"/>
        <v>20245</v>
      </c>
      <c r="AQ1295" s="28" t="str">
        <f t="shared" si="394"/>
        <v>20245JPY</v>
      </c>
      <c r="AR1295" s="206" t="str">
        <f t="shared" si="395"/>
        <v>YAMAHA_Mounter</v>
      </c>
      <c r="AS1295" s="22">
        <f t="shared" si="396"/>
        <v>2</v>
      </c>
      <c r="AT1295" s="24" t="str">
        <f t="shared" si="397"/>
        <v>0-3 months</v>
      </c>
      <c r="AU1295" s="22" t="s">
        <v>3746</v>
      </c>
    </row>
    <row r="1296" spans="1:47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185</v>
      </c>
      <c r="G1296" s="152" t="s">
        <v>185</v>
      </c>
      <c r="H1296" s="155"/>
      <c r="I1296" s="33" t="str">
        <f t="shared" si="387"/>
        <v>Cancel</v>
      </c>
      <c r="J1296" s="186" t="s">
        <v>3159</v>
      </c>
      <c r="K1296" s="155" t="s">
        <v>3160</v>
      </c>
      <c r="L1296" s="17" t="s">
        <v>92</v>
      </c>
      <c r="M1296" s="13" t="s">
        <v>60</v>
      </c>
      <c r="N1296" s="13">
        <v>1</v>
      </c>
      <c r="O1296" s="13"/>
      <c r="P1296" s="33" t="str">
        <f t="shared" si="388"/>
        <v>MAIN UNIT</v>
      </c>
      <c r="Q1296" s="13" t="s">
        <v>68</v>
      </c>
      <c r="R1296" s="13" t="s">
        <v>62</v>
      </c>
      <c r="S1296" s="13" t="s">
        <v>50</v>
      </c>
      <c r="T1296" s="13" t="s">
        <v>101</v>
      </c>
      <c r="U1296" s="13" t="s">
        <v>70</v>
      </c>
      <c r="V1296" s="13" t="s">
        <v>1010</v>
      </c>
      <c r="W1296" s="13" t="s">
        <v>64</v>
      </c>
      <c r="X1296" s="135">
        <v>1050000</v>
      </c>
      <c r="Y1296" s="157" t="str">
        <f>IF(W1296="RMB","1.13", "1")</f>
        <v>1.13</v>
      </c>
      <c r="Z1296" s="18">
        <f t="shared" si="398"/>
        <v>1050000</v>
      </c>
      <c r="AA1296" s="22">
        <v>1.083</v>
      </c>
      <c r="AB1296" s="21">
        <f t="shared" si="379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83"/>
        <v>499582152.5142017</v>
      </c>
      <c r="AJ1296" s="19">
        <f t="shared" si="384"/>
        <v>59520528.679470733</v>
      </c>
      <c r="AK1296" s="20">
        <f t="shared" si="392"/>
        <v>0.11914062257814291</v>
      </c>
      <c r="AL1296" s="17"/>
      <c r="AM1296" s="17"/>
      <c r="AN1296" s="17"/>
      <c r="AO1296" s="17"/>
      <c r="AP1296" s="28" t="str">
        <f t="shared" si="393"/>
        <v>CancelCancel</v>
      </c>
      <c r="AQ1296" s="28" t="str">
        <f t="shared" si="394"/>
        <v>CancelCancelRMB</v>
      </c>
      <c r="AR1296" s="206" t="str">
        <f t="shared" si="395"/>
        <v>YAMAHA_Mounter</v>
      </c>
      <c r="AS1296" s="22" t="str">
        <f t="shared" si="396"/>
        <v/>
      </c>
      <c r="AT1296" s="24" t="str">
        <f t="shared" si="397"/>
        <v/>
      </c>
      <c r="AU1296" s="22" t="s">
        <v>3240</v>
      </c>
    </row>
    <row r="1297" spans="1:47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55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2498</v>
      </c>
      <c r="K1297" s="155" t="s">
        <v>2499</v>
      </c>
      <c r="L1297" s="17" t="s">
        <v>67</v>
      </c>
      <c r="M1297" s="13" t="s">
        <v>60</v>
      </c>
      <c r="N1297" s="13">
        <v>1</v>
      </c>
      <c r="O1297" s="13"/>
      <c r="P1297" s="33" t="str">
        <f t="shared" si="388"/>
        <v>MAIN UNIT</v>
      </c>
      <c r="Q1297" s="13" t="s">
        <v>68</v>
      </c>
      <c r="R1297" s="13" t="s">
        <v>62</v>
      </c>
      <c r="S1297" s="13" t="s">
        <v>49</v>
      </c>
      <c r="T1297" s="13" t="s">
        <v>78</v>
      </c>
      <c r="U1297" s="13" t="s">
        <v>79</v>
      </c>
      <c r="V1297" s="13" t="s">
        <v>121</v>
      </c>
      <c r="W1297" s="13" t="s">
        <v>64</v>
      </c>
      <c r="X1297" s="135">
        <v>800000</v>
      </c>
      <c r="Y1297" s="157" t="str">
        <f>IF(W1297="RMB","1.13", "1")</f>
        <v>1.13</v>
      </c>
      <c r="Z1297" s="18">
        <f t="shared" si="398"/>
        <v>800000</v>
      </c>
      <c r="AA1297" s="13">
        <v>1.135</v>
      </c>
      <c r="AB1297" s="21">
        <f t="shared" si="379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83"/>
        <v>28177779.013274338</v>
      </c>
      <c r="AJ1297" s="19">
        <f t="shared" si="384"/>
        <v>4727216.6376190251</v>
      </c>
      <c r="AK1297" s="20">
        <f t="shared" si="392"/>
        <v>0.1677639900359808</v>
      </c>
      <c r="AL1297" s="17"/>
      <c r="AM1297" s="17"/>
      <c r="AN1297" s="17"/>
      <c r="AO1297" s="17"/>
      <c r="AP1297" s="28" t="str">
        <f t="shared" si="393"/>
        <v>20235</v>
      </c>
      <c r="AQ1297" s="28" t="str">
        <f t="shared" si="394"/>
        <v>20235RMB</v>
      </c>
      <c r="AR1297" s="206" t="str">
        <f t="shared" si="395"/>
        <v>YAMAHA_Mounter</v>
      </c>
      <c r="AS1297" s="22">
        <f t="shared" si="396"/>
        <v>1</v>
      </c>
      <c r="AT1297" s="24" t="str">
        <f t="shared" si="397"/>
        <v>0-3 months</v>
      </c>
      <c r="AU1297" s="22" t="s">
        <v>3751</v>
      </c>
    </row>
    <row r="1298" spans="1:47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55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2500</v>
      </c>
      <c r="K1298" s="155" t="s">
        <v>2499</v>
      </c>
      <c r="L1298" s="17" t="s">
        <v>92</v>
      </c>
      <c r="M1298" s="13" t="s">
        <v>60</v>
      </c>
      <c r="N1298" s="13">
        <v>1</v>
      </c>
      <c r="O1298" s="13"/>
      <c r="P1298" s="33" t="str">
        <f t="shared" si="388"/>
        <v>MAIN UNIT</v>
      </c>
      <c r="Q1298" s="13" t="s">
        <v>68</v>
      </c>
      <c r="R1298" s="13" t="s">
        <v>62</v>
      </c>
      <c r="S1298" s="13" t="s">
        <v>49</v>
      </c>
      <c r="T1298" s="13" t="s">
        <v>78</v>
      </c>
      <c r="U1298" s="13" t="s">
        <v>79</v>
      </c>
      <c r="V1298" s="13" t="s">
        <v>121</v>
      </c>
      <c r="W1298" s="13" t="s">
        <v>64</v>
      </c>
      <c r="X1298" s="135">
        <v>1120000</v>
      </c>
      <c r="Y1298" s="157" t="str">
        <f>IF(W1298="RMB","1.13", "1")</f>
        <v>1.13</v>
      </c>
      <c r="Z1298" s="18">
        <f t="shared" si="398"/>
        <v>1120000</v>
      </c>
      <c r="AA1298" s="13">
        <v>1.135</v>
      </c>
      <c r="AB1298" s="21">
        <f t="shared" si="379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83"/>
        <v>28177779.013274338</v>
      </c>
      <c r="AJ1298" s="19">
        <f t="shared" si="384"/>
        <v>4727216.6376190251</v>
      </c>
      <c r="AK1298" s="20">
        <f t="shared" si="392"/>
        <v>0.1677639900359808</v>
      </c>
      <c r="AL1298" s="17"/>
      <c r="AM1298" s="17"/>
      <c r="AN1298" s="17"/>
      <c r="AO1298" s="17"/>
      <c r="AP1298" s="28" t="str">
        <f t="shared" si="393"/>
        <v>20235</v>
      </c>
      <c r="AQ1298" s="28" t="str">
        <f t="shared" si="394"/>
        <v>20235RMB</v>
      </c>
      <c r="AR1298" s="206" t="str">
        <f t="shared" si="395"/>
        <v>YAMAHA_Mounter</v>
      </c>
      <c r="AS1298" s="22">
        <f t="shared" si="396"/>
        <v>1</v>
      </c>
      <c r="AT1298" s="24" t="str">
        <f t="shared" si="397"/>
        <v>0-3 months</v>
      </c>
      <c r="AU1298" s="22" t="s">
        <v>3751</v>
      </c>
    </row>
    <row r="1299" spans="1:47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41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403</v>
      </c>
      <c r="K1299" s="155" t="s">
        <v>404</v>
      </c>
      <c r="L1299" s="17" t="s">
        <v>67</v>
      </c>
      <c r="M1299" s="13" t="s">
        <v>60</v>
      </c>
      <c r="N1299" s="13">
        <v>1</v>
      </c>
      <c r="O1299" s="13"/>
      <c r="P1299" s="33" t="str">
        <f t="shared" si="388"/>
        <v>MAIN UNIT</v>
      </c>
      <c r="Q1299" s="13" t="s">
        <v>68</v>
      </c>
      <c r="R1299" s="13" t="s">
        <v>62</v>
      </c>
      <c r="S1299" s="13" t="s">
        <v>49</v>
      </c>
      <c r="T1299" s="13" t="s">
        <v>78</v>
      </c>
      <c r="U1299" s="13" t="s">
        <v>79</v>
      </c>
      <c r="V1299" s="13" t="s">
        <v>112</v>
      </c>
      <c r="W1299" s="13" t="s">
        <v>109</v>
      </c>
      <c r="X1299" s="135">
        <v>9116260</v>
      </c>
      <c r="Y1299" s="156">
        <v>1</v>
      </c>
      <c r="Z1299" s="18">
        <f t="shared" si="398"/>
        <v>9116260</v>
      </c>
      <c r="AA1299" s="13">
        <v>7.22E-2</v>
      </c>
      <c r="AB1299" s="21">
        <f t="shared" si="379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83"/>
        <v>29946107.503386207</v>
      </c>
      <c r="AJ1299" s="19">
        <f t="shared" si="384"/>
        <v>3987206.4954923098</v>
      </c>
      <c r="AK1299" s="20">
        <f t="shared" si="392"/>
        <v>0.13314606898547499</v>
      </c>
      <c r="AL1299" s="17"/>
      <c r="AM1299" s="17"/>
      <c r="AN1299" s="17"/>
      <c r="AO1299" s="17"/>
      <c r="AP1299" s="28" t="str">
        <f t="shared" si="393"/>
        <v>20187</v>
      </c>
      <c r="AQ1299" s="28" t="str">
        <f t="shared" si="394"/>
        <v>20187JPY</v>
      </c>
      <c r="AR1299" s="206" t="str">
        <f t="shared" si="395"/>
        <v>YAMAHA_Mounter</v>
      </c>
      <c r="AS1299" s="22">
        <f t="shared" si="396"/>
        <v>1</v>
      </c>
      <c r="AT1299" s="24" t="str">
        <f t="shared" si="397"/>
        <v>0-3 months</v>
      </c>
      <c r="AU1299" s="22" t="s">
        <v>3745</v>
      </c>
    </row>
    <row r="1300" spans="1:47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47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771</v>
      </c>
      <c r="K1300" s="155" t="s">
        <v>772</v>
      </c>
      <c r="L1300" s="17" t="s">
        <v>92</v>
      </c>
      <c r="M1300" s="13" t="s">
        <v>60</v>
      </c>
      <c r="N1300" s="13">
        <v>1</v>
      </c>
      <c r="O1300" s="13"/>
      <c r="P1300" s="33" t="str">
        <f t="shared" si="388"/>
        <v>MAIN UNIT</v>
      </c>
      <c r="Q1300" s="13" t="s">
        <v>61</v>
      </c>
      <c r="R1300" s="13" t="s">
        <v>701</v>
      </c>
      <c r="S1300" s="13" t="s">
        <v>49</v>
      </c>
      <c r="T1300" s="13" t="s">
        <v>78</v>
      </c>
      <c r="U1300" s="13" t="s">
        <v>79</v>
      </c>
      <c r="V1300" s="13" t="s">
        <v>770</v>
      </c>
      <c r="W1300" s="13" t="s">
        <v>773</v>
      </c>
      <c r="X1300" s="135">
        <v>1000000</v>
      </c>
      <c r="Y1300" s="156">
        <v>1.1299999999999999</v>
      </c>
      <c r="Z1300" s="18">
        <f t="shared" si="398"/>
        <v>1000000</v>
      </c>
      <c r="AA1300" s="13">
        <v>1.135</v>
      </c>
      <c r="AB1300" s="21">
        <f t="shared" si="379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83"/>
        <v>34015877.71150443</v>
      </c>
      <c r="AJ1300" s="19">
        <f t="shared" si="384"/>
        <v>4446292.375441948</v>
      </c>
      <c r="AK1300" s="20">
        <f t="shared" si="392"/>
        <v>0.13071226364205143</v>
      </c>
      <c r="AL1300" s="17"/>
      <c r="AM1300" s="17"/>
      <c r="AN1300" s="17"/>
      <c r="AO1300" s="17"/>
      <c r="AP1300" s="28" t="str">
        <f t="shared" si="393"/>
        <v>20197</v>
      </c>
      <c r="AQ1300" s="28" t="str">
        <f t="shared" si="394"/>
        <v>20197RMB</v>
      </c>
      <c r="AR1300" s="206" t="str">
        <f t="shared" si="395"/>
        <v>YAMAHA_Mounter</v>
      </c>
      <c r="AS1300" s="22">
        <f t="shared" si="396"/>
        <v>1</v>
      </c>
      <c r="AT1300" s="24" t="str">
        <f t="shared" si="397"/>
        <v>0-3 months</v>
      </c>
      <c r="AU1300" s="22" t="s">
        <v>3744</v>
      </c>
    </row>
    <row r="1301" spans="1:47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47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771</v>
      </c>
      <c r="K1301" s="155" t="s">
        <v>772</v>
      </c>
      <c r="L1301" s="17" t="s">
        <v>67</v>
      </c>
      <c r="M1301" s="13" t="s">
        <v>60</v>
      </c>
      <c r="N1301" s="13">
        <v>1</v>
      </c>
      <c r="O1301" s="13"/>
      <c r="P1301" s="33" t="str">
        <f t="shared" si="388"/>
        <v>MAIN UNIT</v>
      </c>
      <c r="Q1301" s="13" t="s">
        <v>61</v>
      </c>
      <c r="R1301" s="13" t="s">
        <v>701</v>
      </c>
      <c r="S1301" s="13" t="s">
        <v>49</v>
      </c>
      <c r="T1301" s="13" t="s">
        <v>78</v>
      </c>
      <c r="U1301" s="13" t="s">
        <v>79</v>
      </c>
      <c r="V1301" s="13" t="s">
        <v>770</v>
      </c>
      <c r="W1301" s="13" t="s">
        <v>773</v>
      </c>
      <c r="X1301" s="135">
        <v>730000</v>
      </c>
      <c r="Y1301" s="156">
        <v>1.1299999999999999</v>
      </c>
      <c r="Z1301" s="18">
        <f t="shared" si="398"/>
        <v>730000</v>
      </c>
      <c r="AA1301" s="13">
        <v>1.135</v>
      </c>
      <c r="AB1301" s="21">
        <f t="shared" si="379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83"/>
        <v>34015877.71150443</v>
      </c>
      <c r="AJ1301" s="19">
        <f t="shared" si="384"/>
        <v>4446292.375441948</v>
      </c>
      <c r="AK1301" s="20">
        <f t="shared" si="392"/>
        <v>0.13071226364205143</v>
      </c>
      <c r="AL1301" s="17"/>
      <c r="AM1301" s="17"/>
      <c r="AN1301" s="17"/>
      <c r="AO1301" s="17"/>
      <c r="AP1301" s="28" t="str">
        <f t="shared" si="393"/>
        <v>20197</v>
      </c>
      <c r="AQ1301" s="28" t="str">
        <f t="shared" si="394"/>
        <v>20197RMB</v>
      </c>
      <c r="AR1301" s="206" t="str">
        <f t="shared" si="395"/>
        <v>YAMAHA_Mounter</v>
      </c>
      <c r="AS1301" s="22">
        <f t="shared" si="396"/>
        <v>1</v>
      </c>
      <c r="AT1301" s="24" t="str">
        <f t="shared" si="397"/>
        <v>0-3 months</v>
      </c>
      <c r="AU1301" s="22" t="s">
        <v>3744</v>
      </c>
    </row>
    <row r="1302" spans="1:47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48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1303</v>
      </c>
      <c r="K1302" s="155" t="s">
        <v>1304</v>
      </c>
      <c r="L1302" s="17" t="s">
        <v>92</v>
      </c>
      <c r="M1302" s="13" t="s">
        <v>60</v>
      </c>
      <c r="N1302" s="13">
        <v>1</v>
      </c>
      <c r="O1302" s="13"/>
      <c r="P1302" s="33" t="str">
        <f t="shared" si="388"/>
        <v>MAIN UNIT</v>
      </c>
      <c r="Q1302" s="13" t="s">
        <v>68</v>
      </c>
      <c r="R1302" s="13" t="s">
        <v>62</v>
      </c>
      <c r="S1302" s="13" t="s">
        <v>49</v>
      </c>
      <c r="T1302" s="13" t="s">
        <v>78</v>
      </c>
      <c r="U1302" s="13" t="s">
        <v>263</v>
      </c>
      <c r="V1302" s="13" t="s">
        <v>80</v>
      </c>
      <c r="W1302" s="13" t="s">
        <v>64</v>
      </c>
      <c r="X1302" s="135">
        <v>950000</v>
      </c>
      <c r="Y1302" s="156">
        <v>1.1299999999999999</v>
      </c>
      <c r="Z1302" s="18">
        <f t="shared" si="398"/>
        <v>950000</v>
      </c>
      <c r="AA1302" s="13">
        <v>1.155</v>
      </c>
      <c r="AB1302" s="21">
        <f t="shared" si="379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83"/>
        <v>44078731.611185849</v>
      </c>
      <c r="AJ1302" s="19">
        <f t="shared" si="384"/>
        <v>5508173.2163771465</v>
      </c>
      <c r="AK1302" s="20">
        <f t="shared" si="392"/>
        <v>0.12496215328889679</v>
      </c>
      <c r="AL1302" s="17"/>
      <c r="AM1302" s="17"/>
      <c r="AN1302" s="17"/>
      <c r="AO1302" s="17"/>
      <c r="AP1302" s="28" t="str">
        <f t="shared" si="393"/>
        <v>202011</v>
      </c>
      <c r="AQ1302" s="28" t="str">
        <f t="shared" si="394"/>
        <v>202011RMB</v>
      </c>
      <c r="AR1302" s="206" t="str">
        <f t="shared" si="395"/>
        <v>YAMAHA_Mounter</v>
      </c>
      <c r="AS1302" s="22">
        <f t="shared" si="396"/>
        <v>3</v>
      </c>
      <c r="AT1302" s="24" t="str">
        <f t="shared" si="397"/>
        <v>0-3 months</v>
      </c>
      <c r="AU1302" s="22" t="s">
        <v>3744</v>
      </c>
    </row>
    <row r="1303" spans="1:47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48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1303</v>
      </c>
      <c r="K1303" s="155" t="s">
        <v>1304</v>
      </c>
      <c r="L1303" s="17" t="s">
        <v>67</v>
      </c>
      <c r="M1303" s="13" t="s">
        <v>60</v>
      </c>
      <c r="N1303" s="13">
        <v>1</v>
      </c>
      <c r="O1303" s="13"/>
      <c r="P1303" s="33" t="str">
        <f t="shared" si="388"/>
        <v>MAIN UNIT</v>
      </c>
      <c r="Q1303" s="13" t="s">
        <v>68</v>
      </c>
      <c r="R1303" s="13" t="s">
        <v>62</v>
      </c>
      <c r="S1303" s="13" t="s">
        <v>49</v>
      </c>
      <c r="T1303" s="13" t="s">
        <v>78</v>
      </c>
      <c r="U1303" s="13" t="s">
        <v>263</v>
      </c>
      <c r="V1303" s="13" t="s">
        <v>80</v>
      </c>
      <c r="W1303" s="13" t="s">
        <v>64</v>
      </c>
      <c r="X1303" s="135">
        <v>650000</v>
      </c>
      <c r="Y1303" s="156">
        <v>1.1299999999999999</v>
      </c>
      <c r="Z1303" s="18">
        <f t="shared" si="398"/>
        <v>650000</v>
      </c>
      <c r="AA1303" s="13">
        <v>1.155</v>
      </c>
      <c r="AB1303" s="21">
        <f t="shared" si="379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83"/>
        <v>44078731.611185849</v>
      </c>
      <c r="AJ1303" s="19">
        <f t="shared" si="384"/>
        <v>5508173.2163771465</v>
      </c>
      <c r="AK1303" s="20">
        <f t="shared" si="392"/>
        <v>0.12496215328889679</v>
      </c>
      <c r="AL1303" s="17"/>
      <c r="AM1303" s="17"/>
      <c r="AN1303" s="17"/>
      <c r="AO1303" s="17"/>
      <c r="AP1303" s="28" t="str">
        <f t="shared" si="393"/>
        <v>202011</v>
      </c>
      <c r="AQ1303" s="28" t="str">
        <f t="shared" si="394"/>
        <v>202011RMB</v>
      </c>
      <c r="AR1303" s="206" t="str">
        <f t="shared" si="395"/>
        <v>YAMAHA_Mounter</v>
      </c>
      <c r="AS1303" s="22">
        <f t="shared" si="396"/>
        <v>3</v>
      </c>
      <c r="AT1303" s="24" t="str">
        <f t="shared" si="397"/>
        <v>0-3 months</v>
      </c>
      <c r="AU1303" s="22" t="s">
        <v>3744</v>
      </c>
    </row>
    <row r="1304" spans="1:47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3172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3344</v>
      </c>
      <c r="K1304" s="29" t="s">
        <v>989</v>
      </c>
      <c r="L1304" s="17" t="s">
        <v>2620</v>
      </c>
      <c r="M1304" s="22" t="s">
        <v>60</v>
      </c>
      <c r="N1304" s="22">
        <v>1</v>
      </c>
      <c r="O1304" s="22"/>
      <c r="P1304" s="33" t="str">
        <f t="shared" si="388"/>
        <v>MAIN UNIT</v>
      </c>
      <c r="Q1304" s="13" t="s">
        <v>61</v>
      </c>
      <c r="R1304" s="22" t="s">
        <v>2055</v>
      </c>
      <c r="S1304" s="22" t="s">
        <v>49</v>
      </c>
      <c r="T1304" s="22" t="s">
        <v>78</v>
      </c>
      <c r="U1304" s="22" t="s">
        <v>246</v>
      </c>
      <c r="V1304" s="22" t="s">
        <v>2057</v>
      </c>
      <c r="W1304" s="22" t="s">
        <v>109</v>
      </c>
      <c r="X1304" s="30">
        <v>11600000</v>
      </c>
      <c r="Y1304" s="31" t="str">
        <f>IF(W1304="","",IF(W1304="RMB","1.13", "1"))</f>
        <v>1</v>
      </c>
      <c r="Z1304" s="18">
        <f t="shared" si="398"/>
        <v>11600000</v>
      </c>
      <c r="AA1304" s="13">
        <v>5.0999999999999997E-2</v>
      </c>
      <c r="AB1304" s="21">
        <f t="shared" si="379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83"/>
        <v>11472879.764601771</v>
      </c>
      <c r="AJ1304" s="27">
        <f t="shared" si="384"/>
        <v>2038344.1716106194</v>
      </c>
      <c r="AK1304" s="28">
        <f t="shared" si="392"/>
        <v>0.17766630640544948</v>
      </c>
      <c r="AL1304" s="24"/>
      <c r="AM1304" s="24"/>
      <c r="AN1304" s="24"/>
      <c r="AO1304" s="24"/>
      <c r="AP1304" s="28" t="str">
        <f t="shared" si="393"/>
        <v>20245</v>
      </c>
      <c r="AQ1304" s="28" t="str">
        <f t="shared" si="394"/>
        <v>20245JPY</v>
      </c>
      <c r="AR1304" s="206" t="str">
        <f t="shared" si="395"/>
        <v>YAMAHA_Non_Mounter</v>
      </c>
      <c r="AS1304" s="22">
        <f t="shared" si="396"/>
        <v>2</v>
      </c>
      <c r="AT1304" s="24" t="str">
        <f t="shared" si="397"/>
        <v>0-3 months</v>
      </c>
      <c r="AU1304" s="22" t="s">
        <v>3746</v>
      </c>
    </row>
    <row r="1305" spans="1:47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3172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3345</v>
      </c>
      <c r="K1305" s="29" t="s">
        <v>989</v>
      </c>
      <c r="L1305" s="17" t="s">
        <v>3359</v>
      </c>
      <c r="M1305" s="22" t="s">
        <v>3356</v>
      </c>
      <c r="N1305" s="22">
        <v>1</v>
      </c>
      <c r="O1305" s="22"/>
      <c r="P1305" s="33" t="str">
        <f t="shared" si="388"/>
        <v>MAIN UNIT</v>
      </c>
      <c r="Q1305" s="13" t="s">
        <v>61</v>
      </c>
      <c r="R1305" s="22" t="s">
        <v>2055</v>
      </c>
      <c r="S1305" s="22" t="s">
        <v>49</v>
      </c>
      <c r="T1305" s="22" t="s">
        <v>78</v>
      </c>
      <c r="U1305" s="22" t="s">
        <v>246</v>
      </c>
      <c r="V1305" s="22" t="s">
        <v>2057</v>
      </c>
      <c r="W1305" s="22" t="s">
        <v>901</v>
      </c>
      <c r="X1305" s="30">
        <v>51000</v>
      </c>
      <c r="Y1305" s="31" t="str">
        <f>IF(W1305="","",IF(W1305="RMB","1.13", "1"))</f>
        <v>1</v>
      </c>
      <c r="Z1305" s="18">
        <f t="shared" si="398"/>
        <v>51000</v>
      </c>
      <c r="AA1305" s="22">
        <v>7.8</v>
      </c>
      <c r="AB1305" s="21">
        <f t="shared" si="379"/>
        <v>397800</v>
      </c>
      <c r="AC1305" s="25">
        <f t="shared" si="390"/>
        <v>87913.8</v>
      </c>
      <c r="AD1305" s="22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83"/>
        <v>11472879.764601771</v>
      </c>
      <c r="AJ1305" s="27">
        <f t="shared" si="384"/>
        <v>2038344.1716106194</v>
      </c>
      <c r="AK1305" s="28">
        <f t="shared" si="392"/>
        <v>0.17766630640544948</v>
      </c>
      <c r="AL1305" s="24"/>
      <c r="AM1305" s="24"/>
      <c r="AN1305" s="24"/>
      <c r="AO1305" s="24"/>
      <c r="AP1305" s="28" t="str">
        <f t="shared" si="393"/>
        <v>20245</v>
      </c>
      <c r="AQ1305" s="28" t="str">
        <f t="shared" si="394"/>
        <v>20245USD</v>
      </c>
      <c r="AR1305" s="206" t="str">
        <f t="shared" si="395"/>
        <v>PEMTRON</v>
      </c>
      <c r="AS1305" s="22">
        <f t="shared" si="396"/>
        <v>2</v>
      </c>
      <c r="AT1305" s="24" t="str">
        <f t="shared" si="397"/>
        <v>0-3 months</v>
      </c>
      <c r="AU1305" s="22" t="s">
        <v>3746</v>
      </c>
    </row>
    <row r="1306" spans="1:47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55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2368</v>
      </c>
      <c r="K1306" s="155" t="s">
        <v>2369</v>
      </c>
      <c r="L1306" s="17" t="s">
        <v>92</v>
      </c>
      <c r="M1306" s="13" t="s">
        <v>60</v>
      </c>
      <c r="N1306" s="13">
        <v>1</v>
      </c>
      <c r="O1306" s="13"/>
      <c r="P1306" s="33" t="str">
        <f t="shared" si="388"/>
        <v>MAIN UNIT</v>
      </c>
      <c r="Q1306" s="13" t="s">
        <v>61</v>
      </c>
      <c r="R1306" s="13" t="s">
        <v>62</v>
      </c>
      <c r="S1306" s="13" t="s">
        <v>49</v>
      </c>
      <c r="T1306" s="13" t="s">
        <v>78</v>
      </c>
      <c r="U1306" s="13" t="s">
        <v>2370</v>
      </c>
      <c r="V1306" s="13" t="s">
        <v>1407</v>
      </c>
      <c r="W1306" s="13" t="s">
        <v>64</v>
      </c>
      <c r="X1306" s="135">
        <v>730000</v>
      </c>
      <c r="Y1306" s="157" t="str">
        <f>IF(W1306="RMB","1.13", "1")</f>
        <v>1.13</v>
      </c>
      <c r="Z1306" s="18">
        <f t="shared" si="398"/>
        <v>730000</v>
      </c>
      <c r="AA1306" s="13">
        <v>1.07</v>
      </c>
      <c r="AB1306" s="21">
        <f t="shared" si="379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83"/>
        <v>5219988.5752212387</v>
      </c>
      <c r="AJ1306" s="19">
        <f t="shared" si="384"/>
        <v>631627.0013460177</v>
      </c>
      <c r="AK1306" s="20">
        <f t="shared" si="392"/>
        <v>0.12100160608478869</v>
      </c>
      <c r="AL1306" s="17"/>
      <c r="AM1306" s="17"/>
      <c r="AN1306" s="17"/>
      <c r="AO1306" s="17"/>
      <c r="AP1306" s="28" t="str">
        <f t="shared" si="393"/>
        <v>202310</v>
      </c>
      <c r="AQ1306" s="28" t="str">
        <f t="shared" si="394"/>
        <v>202310RMB</v>
      </c>
      <c r="AR1306" s="206" t="str">
        <f t="shared" si="395"/>
        <v>YAMAHA_Mounter</v>
      </c>
      <c r="AS1306" s="22">
        <f t="shared" si="396"/>
        <v>1</v>
      </c>
      <c r="AT1306" s="24" t="str">
        <f t="shared" si="397"/>
        <v>0-3 months</v>
      </c>
      <c r="AU1306" s="22" t="s">
        <v>3751</v>
      </c>
    </row>
    <row r="1307" spans="1:47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54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2189</v>
      </c>
      <c r="K1307" s="155" t="s">
        <v>2190</v>
      </c>
      <c r="L1307" s="17" t="s">
        <v>92</v>
      </c>
      <c r="M1307" s="13" t="s">
        <v>60</v>
      </c>
      <c r="N1307" s="13">
        <v>1</v>
      </c>
      <c r="O1307" s="13"/>
      <c r="P1307" s="33" t="str">
        <f t="shared" si="388"/>
        <v>MAIN UNIT</v>
      </c>
      <c r="Q1307" s="13" t="s">
        <v>61</v>
      </c>
      <c r="R1307" s="13" t="s">
        <v>62</v>
      </c>
      <c r="S1307" s="13" t="s">
        <v>49</v>
      </c>
      <c r="T1307" s="13" t="s">
        <v>78</v>
      </c>
      <c r="U1307" s="13" t="s">
        <v>79</v>
      </c>
      <c r="V1307" s="13" t="s">
        <v>126</v>
      </c>
      <c r="W1307" s="13" t="s">
        <v>64</v>
      </c>
      <c r="X1307" s="135">
        <v>850000</v>
      </c>
      <c r="Y1307" s="157" t="str">
        <f>IF(W1307="RMB","1.13", "1")</f>
        <v>1.13</v>
      </c>
      <c r="Z1307" s="18">
        <f t="shared" si="398"/>
        <v>850000</v>
      </c>
      <c r="AA1307" s="13">
        <v>1.175</v>
      </c>
      <c r="AB1307" s="21">
        <f t="shared" ref="AB1307:AB1362" si="399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83"/>
        <v>35682787.057522126</v>
      </c>
      <c r="AJ1307" s="19">
        <f t="shared" si="384"/>
        <v>5833368.3789623892</v>
      </c>
      <c r="AK1307" s="20">
        <f t="shared" si="392"/>
        <v>0.16347849649632912</v>
      </c>
      <c r="AL1307" s="17"/>
      <c r="AM1307" s="17"/>
      <c r="AN1307" s="17"/>
      <c r="AO1307" s="17"/>
      <c r="AP1307" s="28" t="str">
        <f t="shared" si="393"/>
        <v>20226</v>
      </c>
      <c r="AQ1307" s="28" t="str">
        <f t="shared" si="394"/>
        <v>20226RMB</v>
      </c>
      <c r="AR1307" s="206" t="str">
        <f t="shared" si="395"/>
        <v>YAMAHA_Mounter</v>
      </c>
      <c r="AS1307" s="22">
        <f t="shared" si="396"/>
        <v>3</v>
      </c>
      <c r="AT1307" s="24" t="str">
        <f t="shared" si="397"/>
        <v>0-3 months</v>
      </c>
      <c r="AU1307" s="22" t="s">
        <v>3751</v>
      </c>
    </row>
    <row r="1308" spans="1:47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54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2428</v>
      </c>
      <c r="K1308" s="155" t="s">
        <v>2429</v>
      </c>
      <c r="L1308" s="17" t="s">
        <v>67</v>
      </c>
      <c r="M1308" s="13" t="s">
        <v>60</v>
      </c>
      <c r="N1308" s="13">
        <v>1</v>
      </c>
      <c r="O1308" s="13"/>
      <c r="P1308" s="33" t="str">
        <f t="shared" si="388"/>
        <v>MAIN UNIT</v>
      </c>
      <c r="Q1308" s="13" t="s">
        <v>61</v>
      </c>
      <c r="R1308" s="13" t="s">
        <v>62</v>
      </c>
      <c r="S1308" s="13" t="s">
        <v>49</v>
      </c>
      <c r="T1308" s="13" t="s">
        <v>78</v>
      </c>
      <c r="U1308" s="13" t="s">
        <v>79</v>
      </c>
      <c r="V1308" s="13" t="s">
        <v>126</v>
      </c>
      <c r="W1308" s="13" t="s">
        <v>64</v>
      </c>
      <c r="X1308" s="135">
        <v>520000</v>
      </c>
      <c r="Y1308" s="157" t="str">
        <f>IF(W1308="RMB","1.13", "1")</f>
        <v>1.13</v>
      </c>
      <c r="Z1308" s="18">
        <f t="shared" si="398"/>
        <v>520000</v>
      </c>
      <c r="AA1308" s="13">
        <v>1.1299999999999999</v>
      </c>
      <c r="AB1308" s="21">
        <f t="shared" si="399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83"/>
        <v>33543315.897345133</v>
      </c>
      <c r="AJ1308" s="19">
        <f t="shared" si="384"/>
        <v>4706169.3252984071</v>
      </c>
      <c r="AK1308" s="20">
        <f t="shared" si="392"/>
        <v>0.14030125523967318</v>
      </c>
      <c r="AL1308" s="17"/>
      <c r="AM1308" s="17"/>
      <c r="AN1308" s="17"/>
      <c r="AO1308" s="17"/>
      <c r="AP1308" s="28" t="str">
        <f t="shared" si="393"/>
        <v>20233</v>
      </c>
      <c r="AQ1308" s="28" t="str">
        <f t="shared" si="394"/>
        <v>20233RMB</v>
      </c>
      <c r="AR1308" s="206" t="str">
        <f t="shared" si="395"/>
        <v>YAMAHA_Mounter</v>
      </c>
      <c r="AS1308" s="22">
        <f t="shared" si="396"/>
        <v>1</v>
      </c>
      <c r="AT1308" s="24" t="str">
        <f t="shared" si="397"/>
        <v>0-3 months</v>
      </c>
      <c r="AU1308" s="22" t="s">
        <v>3751</v>
      </c>
    </row>
    <row r="1309" spans="1:47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55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2484</v>
      </c>
      <c r="K1309" s="155" t="s">
        <v>2429</v>
      </c>
      <c r="L1309" s="17" t="s">
        <v>67</v>
      </c>
      <c r="M1309" s="13" t="s">
        <v>60</v>
      </c>
      <c r="N1309" s="13">
        <v>1</v>
      </c>
      <c r="O1309" s="13"/>
      <c r="P1309" s="33" t="str">
        <f t="shared" si="388"/>
        <v>MAIN UNIT</v>
      </c>
      <c r="Q1309" s="13" t="s">
        <v>61</v>
      </c>
      <c r="R1309" s="13" t="s">
        <v>62</v>
      </c>
      <c r="S1309" s="13" t="s">
        <v>49</v>
      </c>
      <c r="T1309" s="13" t="s">
        <v>78</v>
      </c>
      <c r="U1309" s="13" t="s">
        <v>79</v>
      </c>
      <c r="V1309" s="13" t="s">
        <v>126</v>
      </c>
      <c r="W1309" s="13" t="s">
        <v>64</v>
      </c>
      <c r="X1309" s="135">
        <v>714000</v>
      </c>
      <c r="Y1309" s="157" t="str">
        <f>IF(W1309="RMB","1.13", "1")</f>
        <v>1.13</v>
      </c>
      <c r="Z1309" s="18">
        <f t="shared" si="398"/>
        <v>714000</v>
      </c>
      <c r="AA1309" s="13">
        <v>1.1399999999999999</v>
      </c>
      <c r="AB1309" s="21">
        <f t="shared" si="399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83"/>
        <v>30573205.452778768</v>
      </c>
      <c r="AJ1309" s="19">
        <f t="shared" si="384"/>
        <v>3790930.1683151261</v>
      </c>
      <c r="AK1309" s="20">
        <f t="shared" si="392"/>
        <v>0.12399518179964254</v>
      </c>
      <c r="AL1309" s="17"/>
      <c r="AM1309" s="17"/>
      <c r="AN1309" s="17"/>
      <c r="AO1309" s="17"/>
      <c r="AP1309" s="28" t="str">
        <f t="shared" si="393"/>
        <v>20234</v>
      </c>
      <c r="AQ1309" s="28" t="str">
        <f t="shared" si="394"/>
        <v>20234RMB</v>
      </c>
      <c r="AR1309" s="206" t="str">
        <f t="shared" si="395"/>
        <v>YAMAHA_Mounter</v>
      </c>
      <c r="AS1309" s="22">
        <f t="shared" si="396"/>
        <v>0</v>
      </c>
      <c r="AT1309" s="24" t="str">
        <f t="shared" si="397"/>
        <v>0-3 months</v>
      </c>
      <c r="AU1309" s="22" t="s">
        <v>3751</v>
      </c>
    </row>
    <row r="1310" spans="1:47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55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2484</v>
      </c>
      <c r="K1310" s="155" t="s">
        <v>2429</v>
      </c>
      <c r="L1310" s="17" t="s">
        <v>67</v>
      </c>
      <c r="M1310" s="13" t="s">
        <v>60</v>
      </c>
      <c r="N1310" s="13">
        <v>1</v>
      </c>
      <c r="O1310" s="13"/>
      <c r="P1310" s="33" t="str">
        <f t="shared" si="388"/>
        <v>MAIN UNIT</v>
      </c>
      <c r="Q1310" s="13" t="s">
        <v>61</v>
      </c>
      <c r="R1310" s="13" t="s">
        <v>62</v>
      </c>
      <c r="S1310" s="13" t="s">
        <v>49</v>
      </c>
      <c r="T1310" s="13" t="s">
        <v>78</v>
      </c>
      <c r="U1310" s="13" t="s">
        <v>79</v>
      </c>
      <c r="V1310" s="13" t="s">
        <v>126</v>
      </c>
      <c r="W1310" s="13" t="s">
        <v>64</v>
      </c>
      <c r="X1310" s="135">
        <v>714000</v>
      </c>
      <c r="Y1310" s="157" t="str">
        <f>IF(W1310="RMB","1.13", "1")</f>
        <v>1.13</v>
      </c>
      <c r="Z1310" s="18">
        <f t="shared" si="398"/>
        <v>714000</v>
      </c>
      <c r="AA1310" s="13">
        <v>1.1399999999999999</v>
      </c>
      <c r="AB1310" s="21">
        <f t="shared" si="399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83"/>
        <v>30573205.452778768</v>
      </c>
      <c r="AJ1310" s="19">
        <f t="shared" si="384"/>
        <v>3790930.1683151261</v>
      </c>
      <c r="AK1310" s="20">
        <f t="shared" si="392"/>
        <v>0.12399518179964254</v>
      </c>
      <c r="AL1310" s="17"/>
      <c r="AM1310" s="17"/>
      <c r="AN1310" s="17"/>
      <c r="AO1310" s="17"/>
      <c r="AP1310" s="28" t="str">
        <f t="shared" si="393"/>
        <v>20234</v>
      </c>
      <c r="AQ1310" s="28" t="str">
        <f t="shared" si="394"/>
        <v>20234RMB</v>
      </c>
      <c r="AR1310" s="206" t="str">
        <f t="shared" si="395"/>
        <v>YAMAHA_Mounter</v>
      </c>
      <c r="AS1310" s="22">
        <f t="shared" si="396"/>
        <v>0</v>
      </c>
      <c r="AT1310" s="24" t="str">
        <f t="shared" si="397"/>
        <v>0-3 months</v>
      </c>
      <c r="AU1310" s="22" t="s">
        <v>3751</v>
      </c>
    </row>
    <row r="1311" spans="1:47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3318</v>
      </c>
      <c r="K1311" s="29" t="s">
        <v>2429</v>
      </c>
      <c r="L1311" s="17" t="s">
        <v>92</v>
      </c>
      <c r="M1311" s="13" t="s">
        <v>60</v>
      </c>
      <c r="N1311" s="22">
        <v>1</v>
      </c>
      <c r="O1311" s="22"/>
      <c r="P1311" s="33" t="str">
        <f t="shared" si="388"/>
        <v>MAIN UNIT</v>
      </c>
      <c r="Q1311" s="13" t="s">
        <v>61</v>
      </c>
      <c r="R1311" s="22" t="s">
        <v>62</v>
      </c>
      <c r="S1311" s="22" t="s">
        <v>49</v>
      </c>
      <c r="T1311" s="22" t="s">
        <v>78</v>
      </c>
      <c r="U1311" s="22" t="s">
        <v>78</v>
      </c>
      <c r="V1311" s="22" t="s">
        <v>126</v>
      </c>
      <c r="W1311" s="22" t="s">
        <v>109</v>
      </c>
      <c r="X1311" s="30">
        <v>11800000</v>
      </c>
      <c r="Y1311" s="31" t="str">
        <f>IF(W1311="","",IF(W1311="RMB","1.13", "1"))</f>
        <v>1</v>
      </c>
      <c r="Z1311" s="18">
        <f t="shared" si="398"/>
        <v>11800000</v>
      </c>
      <c r="AA1311" s="22">
        <v>5.3100000000000001E-2</v>
      </c>
      <c r="AB1311" s="21">
        <f t="shared" si="399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83"/>
        <v>21241742.157380536</v>
      </c>
      <c r="AJ1311" s="27">
        <f t="shared" si="384"/>
        <v>2987081.1613773629</v>
      </c>
      <c r="AK1311" s="28">
        <f t="shared" si="392"/>
        <v>0.14062317201884914</v>
      </c>
      <c r="AL1311" s="24"/>
      <c r="AM1311" s="24"/>
      <c r="AN1311" s="24"/>
      <c r="AO1311" s="24"/>
      <c r="AP1311" s="28" t="str">
        <f t="shared" si="393"/>
        <v>20243</v>
      </c>
      <c r="AQ1311" s="28" t="str">
        <f t="shared" si="394"/>
        <v>20243JPY</v>
      </c>
      <c r="AR1311" s="206" t="str">
        <f t="shared" si="395"/>
        <v>YAMAHA_Mounter</v>
      </c>
      <c r="AS1311" s="22">
        <f t="shared" si="396"/>
        <v>0</v>
      </c>
      <c r="AT1311" s="24" t="str">
        <f t="shared" si="397"/>
        <v>0-3 months</v>
      </c>
      <c r="AU1311" s="22" t="s">
        <v>3745</v>
      </c>
    </row>
    <row r="1312" spans="1:47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48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1084</v>
      </c>
      <c r="K1312" s="155" t="s">
        <v>1085</v>
      </c>
      <c r="L1312" s="17" t="s">
        <v>67</v>
      </c>
      <c r="M1312" s="13" t="s">
        <v>60</v>
      </c>
      <c r="N1312" s="13">
        <v>1</v>
      </c>
      <c r="O1312" s="13"/>
      <c r="P1312" s="33" t="str">
        <f t="shared" si="388"/>
        <v>MAIN UNIT</v>
      </c>
      <c r="Q1312" s="13" t="s">
        <v>61</v>
      </c>
      <c r="R1312" s="13" t="s">
        <v>62</v>
      </c>
      <c r="S1312" s="13" t="s">
        <v>49</v>
      </c>
      <c r="T1312" s="13" t="s">
        <v>78</v>
      </c>
      <c r="U1312" s="13" t="s">
        <v>79</v>
      </c>
      <c r="V1312" s="13" t="s">
        <v>126</v>
      </c>
      <c r="W1312" s="13" t="s">
        <v>64</v>
      </c>
      <c r="X1312" s="135">
        <v>580000</v>
      </c>
      <c r="Y1312" s="156">
        <v>1.1299999999999999</v>
      </c>
      <c r="Z1312" s="18">
        <f t="shared" si="398"/>
        <v>580000</v>
      </c>
      <c r="AA1312" s="13">
        <v>1.105</v>
      </c>
      <c r="AB1312" s="21">
        <f t="shared" si="399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83"/>
        <v>37969334.083628319</v>
      </c>
      <c r="AJ1312" s="19">
        <f t="shared" si="384"/>
        <v>5097226.4551657084</v>
      </c>
      <c r="AK1312" s="20">
        <f t="shared" si="392"/>
        <v>0.13424587441904964</v>
      </c>
      <c r="AL1312" s="17"/>
      <c r="AM1312" s="17"/>
      <c r="AN1312" s="17"/>
      <c r="AO1312" s="17"/>
      <c r="AP1312" s="28" t="str">
        <f t="shared" si="393"/>
        <v>20208</v>
      </c>
      <c r="AQ1312" s="28" t="str">
        <f t="shared" si="394"/>
        <v>20208RMB</v>
      </c>
      <c r="AR1312" s="206" t="str">
        <f t="shared" si="395"/>
        <v>YAMAHA_Mounter</v>
      </c>
      <c r="AS1312" s="22">
        <f t="shared" si="396"/>
        <v>4</v>
      </c>
      <c r="AT1312" s="24" t="str">
        <f t="shared" si="397"/>
        <v>4-6 months</v>
      </c>
      <c r="AU1312" s="22" t="s">
        <v>3744</v>
      </c>
    </row>
    <row r="1313" spans="1:47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54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2166</v>
      </c>
      <c r="K1313" s="155" t="s">
        <v>2167</v>
      </c>
      <c r="L1313" s="17" t="s">
        <v>67</v>
      </c>
      <c r="M1313" s="13" t="s">
        <v>60</v>
      </c>
      <c r="N1313" s="13">
        <v>1</v>
      </c>
      <c r="O1313" s="13"/>
      <c r="P1313" s="33" t="str">
        <f t="shared" si="388"/>
        <v>MAIN UNIT</v>
      </c>
      <c r="Q1313" s="13" t="s">
        <v>68</v>
      </c>
      <c r="R1313" s="13" t="s">
        <v>62</v>
      </c>
      <c r="S1313" s="13" t="s">
        <v>51</v>
      </c>
      <c r="T1313" s="13" t="s">
        <v>2168</v>
      </c>
      <c r="U1313" s="13" t="s">
        <v>149</v>
      </c>
      <c r="V1313" s="13" t="s">
        <v>954</v>
      </c>
      <c r="W1313" s="13" t="s">
        <v>64</v>
      </c>
      <c r="X1313" s="135">
        <v>810000</v>
      </c>
      <c r="Y1313" s="157" t="str">
        <f>IF(W1313="RMB","1.13", "1")</f>
        <v>1.13</v>
      </c>
      <c r="Z1313" s="18">
        <f t="shared" si="398"/>
        <v>810000</v>
      </c>
      <c r="AA1313" s="13">
        <v>1.1950000000000001</v>
      </c>
      <c r="AB1313" s="21">
        <f t="shared" si="399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83"/>
        <v>44014086.982070789</v>
      </c>
      <c r="AJ1313" s="19">
        <f t="shared" si="384"/>
        <v>6419974.0221889298</v>
      </c>
      <c r="AK1313" s="20">
        <f t="shared" si="392"/>
        <v>0.14586180158193709</v>
      </c>
      <c r="AL1313" s="17"/>
      <c r="AM1313" s="17"/>
      <c r="AN1313" s="17"/>
      <c r="AO1313" s="17"/>
      <c r="AP1313" s="28" t="str">
        <f t="shared" si="393"/>
        <v>20225</v>
      </c>
      <c r="AQ1313" s="28" t="str">
        <f t="shared" si="394"/>
        <v>20225RMB</v>
      </c>
      <c r="AR1313" s="206" t="str">
        <f t="shared" si="395"/>
        <v>YAMAHA_Mounter</v>
      </c>
      <c r="AS1313" s="22">
        <f t="shared" si="396"/>
        <v>3</v>
      </c>
      <c r="AT1313" s="24" t="str">
        <f t="shared" si="397"/>
        <v>0-3 months</v>
      </c>
      <c r="AU1313" s="22" t="s">
        <v>3240</v>
      </c>
    </row>
    <row r="1314" spans="1:47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54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2178</v>
      </c>
      <c r="K1314" s="155" t="s">
        <v>2167</v>
      </c>
      <c r="L1314" s="17" t="s">
        <v>92</v>
      </c>
      <c r="M1314" s="13" t="s">
        <v>60</v>
      </c>
      <c r="N1314" s="13">
        <v>1</v>
      </c>
      <c r="O1314" s="13"/>
      <c r="P1314" s="33" t="str">
        <f t="shared" si="388"/>
        <v>MAIN UNIT</v>
      </c>
      <c r="Q1314" s="13" t="s">
        <v>61</v>
      </c>
      <c r="R1314" s="13" t="s">
        <v>62</v>
      </c>
      <c r="S1314" s="13" t="s">
        <v>51</v>
      </c>
      <c r="T1314" s="13" t="s">
        <v>2168</v>
      </c>
      <c r="U1314" s="13" t="s">
        <v>149</v>
      </c>
      <c r="V1314" s="13" t="s">
        <v>954</v>
      </c>
      <c r="W1314" s="13" t="s">
        <v>64</v>
      </c>
      <c r="X1314" s="135">
        <v>750000</v>
      </c>
      <c r="Y1314" s="157" t="str">
        <f>IF(W1314="RMB","1.13", "1")</f>
        <v>1.13</v>
      </c>
      <c r="Z1314" s="18">
        <f t="shared" si="398"/>
        <v>750000</v>
      </c>
      <c r="AA1314" s="13">
        <v>1.1950000000000001</v>
      </c>
      <c r="AB1314" s="21">
        <f t="shared" si="399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83"/>
        <v>44014086.982070789</v>
      </c>
      <c r="AJ1314" s="19">
        <f t="shared" si="384"/>
        <v>6419974.0221889298</v>
      </c>
      <c r="AK1314" s="20">
        <f t="shared" si="392"/>
        <v>0.14586180158193709</v>
      </c>
      <c r="AL1314" s="17"/>
      <c r="AM1314" s="17"/>
      <c r="AN1314" s="17"/>
      <c r="AO1314" s="17"/>
      <c r="AP1314" s="28" t="str">
        <f t="shared" si="393"/>
        <v>20225</v>
      </c>
      <c r="AQ1314" s="28" t="str">
        <f t="shared" si="394"/>
        <v>20225RMB</v>
      </c>
      <c r="AR1314" s="206" t="str">
        <f t="shared" si="395"/>
        <v>YAMAHA_Mounter</v>
      </c>
      <c r="AS1314" s="22">
        <f t="shared" si="396"/>
        <v>0</v>
      </c>
      <c r="AT1314" s="24" t="str">
        <f t="shared" si="397"/>
        <v>0-3 months</v>
      </c>
      <c r="AU1314" s="22" t="s">
        <v>3240</v>
      </c>
    </row>
    <row r="1315" spans="1:47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55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2465</v>
      </c>
      <c r="K1315" s="155" t="s">
        <v>2167</v>
      </c>
      <c r="L1315" s="17" t="s">
        <v>67</v>
      </c>
      <c r="M1315" s="13" t="s">
        <v>60</v>
      </c>
      <c r="N1315" s="13">
        <v>1</v>
      </c>
      <c r="O1315" s="13"/>
      <c r="P1315" s="33" t="str">
        <f t="shared" si="388"/>
        <v>MAIN UNIT</v>
      </c>
      <c r="Q1315" s="13" t="s">
        <v>61</v>
      </c>
      <c r="R1315" s="13" t="s">
        <v>62</v>
      </c>
      <c r="S1315" s="13" t="s">
        <v>51</v>
      </c>
      <c r="T1315" s="13" t="s">
        <v>2168</v>
      </c>
      <c r="U1315" s="13" t="s">
        <v>149</v>
      </c>
      <c r="V1315" s="13" t="s">
        <v>954</v>
      </c>
      <c r="W1315" s="13" t="s">
        <v>64</v>
      </c>
      <c r="X1315" s="135">
        <v>750000</v>
      </c>
      <c r="Y1315" s="157" t="str">
        <f>IF(W1315="RMB","1.13", "1")</f>
        <v>1.13</v>
      </c>
      <c r="Z1315" s="18">
        <f t="shared" si="398"/>
        <v>750000</v>
      </c>
      <c r="AA1315" s="13">
        <v>1.1399999999999999</v>
      </c>
      <c r="AB1315" s="21">
        <f t="shared" si="399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83"/>
        <v>30573205.452778768</v>
      </c>
      <c r="AJ1315" s="19">
        <f t="shared" si="384"/>
        <v>3790930.1683151261</v>
      </c>
      <c r="AK1315" s="20">
        <f t="shared" si="392"/>
        <v>0.12399518179964254</v>
      </c>
      <c r="AL1315" s="17"/>
      <c r="AM1315" s="17"/>
      <c r="AN1315" s="17"/>
      <c r="AO1315" s="17"/>
      <c r="AP1315" s="28" t="str">
        <f t="shared" si="393"/>
        <v>20234</v>
      </c>
      <c r="AQ1315" s="28" t="str">
        <f t="shared" si="394"/>
        <v>20234RMB</v>
      </c>
      <c r="AR1315" s="206" t="str">
        <f t="shared" si="395"/>
        <v>YAMAHA_Mounter</v>
      </c>
      <c r="AS1315" s="22">
        <f t="shared" si="396"/>
        <v>1</v>
      </c>
      <c r="AT1315" s="24" t="str">
        <f t="shared" si="397"/>
        <v>0-3 months</v>
      </c>
      <c r="AU1315" s="22" t="s">
        <v>3240</v>
      </c>
    </row>
    <row r="1316" spans="1:47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53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1981</v>
      </c>
      <c r="K1316" s="155" t="s">
        <v>1982</v>
      </c>
      <c r="L1316" s="17" t="s">
        <v>92</v>
      </c>
      <c r="M1316" s="13" t="s">
        <v>60</v>
      </c>
      <c r="N1316" s="13">
        <v>1</v>
      </c>
      <c r="O1316" s="13"/>
      <c r="P1316" s="33" t="str">
        <f t="shared" si="388"/>
        <v>MAIN UNIT</v>
      </c>
      <c r="Q1316" s="13" t="s">
        <v>61</v>
      </c>
      <c r="R1316" s="13" t="s">
        <v>62</v>
      </c>
      <c r="S1316" s="13" t="s">
        <v>49</v>
      </c>
      <c r="T1316" s="13" t="s">
        <v>78</v>
      </c>
      <c r="U1316" s="13" t="s">
        <v>79</v>
      </c>
      <c r="V1316" s="13" t="s">
        <v>131</v>
      </c>
      <c r="W1316" s="13" t="s">
        <v>109</v>
      </c>
      <c r="X1316" s="135">
        <v>21800000</v>
      </c>
      <c r="Y1316" s="157" t="str">
        <f>IF(W1316="RMB","1.13", "1")</f>
        <v>1</v>
      </c>
      <c r="Z1316" s="18">
        <f t="shared" si="398"/>
        <v>21800000</v>
      </c>
      <c r="AA1316" s="13">
        <v>6.9199999999999998E-2</v>
      </c>
      <c r="AB1316" s="21">
        <f t="shared" si="399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83"/>
        <v>28726768.133805312</v>
      </c>
      <c r="AJ1316" s="19">
        <f t="shared" si="384"/>
        <v>3853638.1988864429</v>
      </c>
      <c r="AK1316" s="20">
        <f t="shared" si="392"/>
        <v>0.1341479898099476</v>
      </c>
      <c r="AL1316" s="17"/>
      <c r="AM1316" s="17"/>
      <c r="AN1316" s="17"/>
      <c r="AO1316" s="17"/>
      <c r="AP1316" s="28" t="str">
        <f t="shared" si="393"/>
        <v>20223</v>
      </c>
      <c r="AQ1316" s="28" t="str">
        <f t="shared" si="394"/>
        <v>20223JPY</v>
      </c>
      <c r="AR1316" s="206" t="str">
        <f t="shared" si="395"/>
        <v>YAMAHA_Mounter</v>
      </c>
      <c r="AS1316" s="22">
        <f t="shared" si="396"/>
        <v>7</v>
      </c>
      <c r="AT1316" s="24" t="str">
        <f t="shared" si="397"/>
        <v>&gt; 6 months</v>
      </c>
      <c r="AU1316" s="22" t="s">
        <v>3745</v>
      </c>
    </row>
    <row r="1317" spans="1:47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53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1981</v>
      </c>
      <c r="K1317" s="155" t="s">
        <v>1982</v>
      </c>
      <c r="L1317" s="17" t="s">
        <v>92</v>
      </c>
      <c r="M1317" s="13" t="s">
        <v>60</v>
      </c>
      <c r="N1317" s="13">
        <v>1</v>
      </c>
      <c r="O1317" s="13"/>
      <c r="P1317" s="33" t="str">
        <f t="shared" si="388"/>
        <v>MAIN UNIT</v>
      </c>
      <c r="Q1317" s="13" t="s">
        <v>61</v>
      </c>
      <c r="R1317" s="13" t="s">
        <v>62</v>
      </c>
      <c r="S1317" s="13" t="s">
        <v>49</v>
      </c>
      <c r="T1317" s="13" t="s">
        <v>78</v>
      </c>
      <c r="U1317" s="13" t="s">
        <v>79</v>
      </c>
      <c r="V1317" s="13" t="s">
        <v>131</v>
      </c>
      <c r="W1317" s="13" t="s">
        <v>109</v>
      </c>
      <c r="X1317" s="135">
        <v>21800000</v>
      </c>
      <c r="Y1317" s="157" t="str">
        <f>IF(W1317="RMB","1.13", "1")</f>
        <v>1</v>
      </c>
      <c r="Z1317" s="18">
        <f t="shared" si="398"/>
        <v>21800000</v>
      </c>
      <c r="AA1317" s="13">
        <v>6.9199999999999998E-2</v>
      </c>
      <c r="AB1317" s="21">
        <f t="shared" si="399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83"/>
        <v>28726768.133805312</v>
      </c>
      <c r="AJ1317" s="19">
        <f t="shared" si="384"/>
        <v>3853638.1988864429</v>
      </c>
      <c r="AK1317" s="20">
        <f t="shared" si="392"/>
        <v>0.1341479898099476</v>
      </c>
      <c r="AL1317" s="17"/>
      <c r="AM1317" s="17"/>
      <c r="AN1317" s="17"/>
      <c r="AO1317" s="17"/>
      <c r="AP1317" s="28" t="str">
        <f t="shared" si="393"/>
        <v>20223</v>
      </c>
      <c r="AQ1317" s="28" t="str">
        <f t="shared" si="394"/>
        <v>20223JPY</v>
      </c>
      <c r="AR1317" s="206" t="str">
        <f t="shared" si="395"/>
        <v>YAMAHA_Mounter</v>
      </c>
      <c r="AS1317" s="22">
        <f t="shared" si="396"/>
        <v>7</v>
      </c>
      <c r="AT1317" s="24" t="str">
        <f t="shared" si="397"/>
        <v>&gt; 6 months</v>
      </c>
      <c r="AU1317" s="22" t="s">
        <v>3745</v>
      </c>
    </row>
    <row r="1318" spans="1:47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3172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3346</v>
      </c>
      <c r="K1318" s="29" t="s">
        <v>989</v>
      </c>
      <c r="L1318" s="17" t="s">
        <v>3347</v>
      </c>
      <c r="M1318" s="22" t="s">
        <v>3357</v>
      </c>
      <c r="N1318" s="22">
        <v>1</v>
      </c>
      <c r="O1318" s="22"/>
      <c r="P1318" s="33" t="str">
        <f t="shared" si="388"/>
        <v>MAIN UNIT</v>
      </c>
      <c r="Q1318" s="13" t="s">
        <v>61</v>
      </c>
      <c r="R1318" s="22" t="s">
        <v>2055</v>
      </c>
      <c r="S1318" s="22" t="s">
        <v>49</v>
      </c>
      <c r="T1318" s="22" t="s">
        <v>78</v>
      </c>
      <c r="U1318" s="22" t="s">
        <v>246</v>
      </c>
      <c r="V1318" s="22" t="s">
        <v>2057</v>
      </c>
      <c r="W1318" s="22" t="s">
        <v>901</v>
      </c>
      <c r="X1318" s="30">
        <v>78000</v>
      </c>
      <c r="Y1318" s="31" t="str">
        <f>IF(W1318="","",IF(W1318="RMB","1.13", "1"))</f>
        <v>1</v>
      </c>
      <c r="Z1318" s="18">
        <f t="shared" si="398"/>
        <v>78000</v>
      </c>
      <c r="AA1318" s="22">
        <v>7.8</v>
      </c>
      <c r="AB1318" s="21">
        <f t="shared" si="399"/>
        <v>608400</v>
      </c>
      <c r="AC1318" s="25">
        <f t="shared" si="390"/>
        <v>193106.16</v>
      </c>
      <c r="AD1318" s="22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83"/>
        <v>11472879.764601771</v>
      </c>
      <c r="AJ1318" s="27">
        <f t="shared" si="384"/>
        <v>2038344.1716106194</v>
      </c>
      <c r="AK1318" s="28">
        <f t="shared" si="392"/>
        <v>0.17766630640544948</v>
      </c>
      <c r="AL1318" s="24"/>
      <c r="AM1318" s="24"/>
      <c r="AN1318" s="24"/>
      <c r="AO1318" s="24"/>
      <c r="AP1318" s="28" t="str">
        <f t="shared" si="393"/>
        <v>20245</v>
      </c>
      <c r="AQ1318" s="28" t="str">
        <f t="shared" si="394"/>
        <v>20245USD</v>
      </c>
      <c r="AR1318" s="206" t="str">
        <f t="shared" si="395"/>
        <v>HELLER</v>
      </c>
      <c r="AS1318" s="22">
        <f t="shared" si="396"/>
        <v>2</v>
      </c>
      <c r="AT1318" s="24" t="str">
        <f t="shared" si="397"/>
        <v>0-3 months</v>
      </c>
      <c r="AU1318" s="22" t="s">
        <v>3746</v>
      </c>
    </row>
    <row r="1319" spans="1:47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48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1583</v>
      </c>
      <c r="K1319" s="155" t="s">
        <v>1584</v>
      </c>
      <c r="L1319" s="17" t="s">
        <v>92</v>
      </c>
      <c r="M1319" s="13" t="s">
        <v>60</v>
      </c>
      <c r="N1319" s="13">
        <v>1</v>
      </c>
      <c r="O1319" s="13"/>
      <c r="P1319" s="33" t="str">
        <f t="shared" si="388"/>
        <v>MAIN UNIT</v>
      </c>
      <c r="Q1319" s="13" t="s">
        <v>68</v>
      </c>
      <c r="R1319" s="13" t="s">
        <v>62</v>
      </c>
      <c r="S1319" s="13" t="s">
        <v>51</v>
      </c>
      <c r="T1319" s="13" t="s">
        <v>349</v>
      </c>
      <c r="U1319" s="13" t="s">
        <v>149</v>
      </c>
      <c r="V1319" s="13" t="s">
        <v>134</v>
      </c>
      <c r="W1319" s="13" t="s">
        <v>64</v>
      </c>
      <c r="X1319" s="135">
        <v>1090000</v>
      </c>
      <c r="Y1319" s="157" t="str">
        <f>IF(W1319="RMB","1.13", "1")</f>
        <v>1.13</v>
      </c>
      <c r="Z1319" s="18">
        <f t="shared" si="398"/>
        <v>1090000</v>
      </c>
      <c r="AA1319" s="13">
        <v>1.2</v>
      </c>
      <c r="AB1319" s="21">
        <f t="shared" si="399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83"/>
        <v>57778307.282035396</v>
      </c>
      <c r="AJ1319" s="19">
        <f t="shared" si="384"/>
        <v>7259860.7225420559</v>
      </c>
      <c r="AK1319" s="20">
        <f t="shared" si="392"/>
        <v>0.12565028406083667</v>
      </c>
      <c r="AL1319" s="17"/>
      <c r="AM1319" s="17"/>
      <c r="AN1319" s="17"/>
      <c r="AO1319" s="17"/>
      <c r="AP1319" s="28" t="str">
        <f t="shared" si="393"/>
        <v>20213</v>
      </c>
      <c r="AQ1319" s="28" t="str">
        <f t="shared" si="394"/>
        <v>20213RMB</v>
      </c>
      <c r="AR1319" s="206" t="str">
        <f t="shared" si="395"/>
        <v>YAMAHA_Mounter</v>
      </c>
      <c r="AS1319" s="22">
        <f t="shared" si="396"/>
        <v>3</v>
      </c>
      <c r="AT1319" s="24" t="str">
        <f t="shared" si="397"/>
        <v>0-3 months</v>
      </c>
      <c r="AU1319" s="22" t="s">
        <v>3240</v>
      </c>
    </row>
    <row r="1320" spans="1:47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48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1583</v>
      </c>
      <c r="K1320" s="155" t="s">
        <v>1584</v>
      </c>
      <c r="L1320" s="17" t="s">
        <v>67</v>
      </c>
      <c r="M1320" s="13" t="s">
        <v>60</v>
      </c>
      <c r="N1320" s="13">
        <v>1</v>
      </c>
      <c r="O1320" s="13"/>
      <c r="P1320" s="33" t="str">
        <f t="shared" si="388"/>
        <v>MAIN UNIT</v>
      </c>
      <c r="Q1320" s="13" t="s">
        <v>68</v>
      </c>
      <c r="R1320" s="13" t="s">
        <v>62</v>
      </c>
      <c r="S1320" s="13" t="s">
        <v>51</v>
      </c>
      <c r="T1320" s="13" t="s">
        <v>349</v>
      </c>
      <c r="U1320" s="13" t="s">
        <v>149</v>
      </c>
      <c r="V1320" s="13" t="s">
        <v>134</v>
      </c>
      <c r="W1320" s="13" t="s">
        <v>64</v>
      </c>
      <c r="X1320" s="135">
        <v>780000</v>
      </c>
      <c r="Y1320" s="157" t="str">
        <f>IF(W1320="RMB","1.13", "1")</f>
        <v>1.13</v>
      </c>
      <c r="Z1320" s="18">
        <f t="shared" si="398"/>
        <v>780000</v>
      </c>
      <c r="AA1320" s="13">
        <v>1.2</v>
      </c>
      <c r="AB1320" s="21">
        <f t="shared" si="399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83"/>
        <v>57778307.282035396</v>
      </c>
      <c r="AJ1320" s="19">
        <f t="shared" si="384"/>
        <v>7259860.7225420559</v>
      </c>
      <c r="AK1320" s="20">
        <f t="shared" si="392"/>
        <v>0.12565028406083667</v>
      </c>
      <c r="AL1320" s="17"/>
      <c r="AM1320" s="17"/>
      <c r="AN1320" s="17"/>
      <c r="AO1320" s="17"/>
      <c r="AP1320" s="28" t="str">
        <f t="shared" si="393"/>
        <v>20213</v>
      </c>
      <c r="AQ1320" s="28" t="str">
        <f t="shared" si="394"/>
        <v>20213RMB</v>
      </c>
      <c r="AR1320" s="206" t="str">
        <f t="shared" si="395"/>
        <v>YAMAHA_Mounter</v>
      </c>
      <c r="AS1320" s="22">
        <f t="shared" si="396"/>
        <v>3</v>
      </c>
      <c r="AT1320" s="24" t="str">
        <f t="shared" si="397"/>
        <v>0-3 months</v>
      </c>
      <c r="AU1320" s="22" t="s">
        <v>3240</v>
      </c>
    </row>
    <row r="1321" spans="1:47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48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1583</v>
      </c>
      <c r="K1321" s="155" t="s">
        <v>1584</v>
      </c>
      <c r="L1321" s="17" t="s">
        <v>67</v>
      </c>
      <c r="M1321" s="13" t="s">
        <v>60</v>
      </c>
      <c r="N1321" s="13">
        <v>1</v>
      </c>
      <c r="O1321" s="13"/>
      <c r="P1321" s="33" t="str">
        <f t="shared" si="388"/>
        <v>MAIN UNIT</v>
      </c>
      <c r="Q1321" s="13" t="s">
        <v>68</v>
      </c>
      <c r="R1321" s="13" t="s">
        <v>62</v>
      </c>
      <c r="S1321" s="13" t="s">
        <v>51</v>
      </c>
      <c r="T1321" s="13" t="s">
        <v>349</v>
      </c>
      <c r="U1321" s="13" t="s">
        <v>149</v>
      </c>
      <c r="V1321" s="13" t="s">
        <v>134</v>
      </c>
      <c r="W1321" s="13" t="s">
        <v>64</v>
      </c>
      <c r="X1321" s="135">
        <v>780000</v>
      </c>
      <c r="Y1321" s="157" t="str">
        <f>IF(W1321="RMB","1.13", "1")</f>
        <v>1.13</v>
      </c>
      <c r="Z1321" s="18">
        <f t="shared" si="398"/>
        <v>780000</v>
      </c>
      <c r="AA1321" s="13">
        <v>1.2</v>
      </c>
      <c r="AB1321" s="21">
        <f t="shared" si="399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83"/>
        <v>57778307.282035396</v>
      </c>
      <c r="AJ1321" s="19">
        <f t="shared" si="384"/>
        <v>7259860.7225420559</v>
      </c>
      <c r="AK1321" s="20">
        <f t="shared" si="392"/>
        <v>0.12565028406083667</v>
      </c>
      <c r="AL1321" s="17"/>
      <c r="AM1321" s="17"/>
      <c r="AN1321" s="17"/>
      <c r="AO1321" s="17"/>
      <c r="AP1321" s="28" t="str">
        <f t="shared" si="393"/>
        <v>20213</v>
      </c>
      <c r="AQ1321" s="28" t="str">
        <f t="shared" si="394"/>
        <v>20213RMB</v>
      </c>
      <c r="AR1321" s="206" t="str">
        <f t="shared" si="395"/>
        <v>YAMAHA_Mounter</v>
      </c>
      <c r="AS1321" s="22">
        <f t="shared" si="396"/>
        <v>3</v>
      </c>
      <c r="AT1321" s="24" t="str">
        <f t="shared" si="397"/>
        <v>0-3 months</v>
      </c>
      <c r="AU1321" s="22" t="s">
        <v>3240</v>
      </c>
    </row>
    <row r="1322" spans="1:47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3172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3348</v>
      </c>
      <c r="K1322" s="29" t="s">
        <v>989</v>
      </c>
      <c r="L1322" s="17" t="s">
        <v>3349</v>
      </c>
      <c r="M1322" s="22" t="s">
        <v>3358</v>
      </c>
      <c r="N1322" s="22">
        <v>1</v>
      </c>
      <c r="O1322" s="22"/>
      <c r="P1322" s="33" t="str">
        <f t="shared" si="388"/>
        <v>MAIN UNIT</v>
      </c>
      <c r="Q1322" s="13" t="s">
        <v>61</v>
      </c>
      <c r="R1322" s="22" t="s">
        <v>2055</v>
      </c>
      <c r="S1322" s="22" t="s">
        <v>49</v>
      </c>
      <c r="T1322" s="22" t="s">
        <v>78</v>
      </c>
      <c r="U1322" s="22" t="s">
        <v>246</v>
      </c>
      <c r="V1322" s="22" t="s">
        <v>2057</v>
      </c>
      <c r="W1322" s="22" t="s">
        <v>2507</v>
      </c>
      <c r="X1322" s="30">
        <v>290000</v>
      </c>
      <c r="Y1322" s="31" t="str">
        <f>IF(W1322="","",IF(W1322="RMB","1.13", "1"))</f>
        <v>1</v>
      </c>
      <c r="Z1322" s="18">
        <f t="shared" si="398"/>
        <v>290000</v>
      </c>
      <c r="AA1322" s="22">
        <v>1</v>
      </c>
      <c r="AB1322" s="21">
        <f t="shared" si="399"/>
        <v>290000</v>
      </c>
      <c r="AC1322" s="25">
        <f t="shared" si="390"/>
        <v>142158</v>
      </c>
      <c r="AD1322" s="22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83"/>
        <v>11472879.764601771</v>
      </c>
      <c r="AJ1322" s="27">
        <f t="shared" si="384"/>
        <v>2038344.1716106194</v>
      </c>
      <c r="AK1322" s="28">
        <f t="shared" si="392"/>
        <v>0.17766630640544948</v>
      </c>
      <c r="AL1322" s="24"/>
      <c r="AM1322" s="24"/>
      <c r="AN1322" s="24"/>
      <c r="AO1322" s="24"/>
      <c r="AP1322" s="28" t="str">
        <f t="shared" si="393"/>
        <v>20245</v>
      </c>
      <c r="AQ1322" s="28" t="str">
        <f t="shared" si="394"/>
        <v>20245HKD</v>
      </c>
      <c r="AR1322" s="206" t="str">
        <f t="shared" si="395"/>
        <v>LOCAL SUPPLIER</v>
      </c>
      <c r="AS1322" s="22">
        <f t="shared" si="396"/>
        <v>2</v>
      </c>
      <c r="AT1322" s="24" t="str">
        <f t="shared" si="397"/>
        <v>0-3 months</v>
      </c>
      <c r="AU1322" s="22" t="s">
        <v>3746</v>
      </c>
    </row>
    <row r="1323" spans="1:47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53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1870</v>
      </c>
      <c r="K1323" s="155" t="s">
        <v>1871</v>
      </c>
      <c r="L1323" s="17" t="s">
        <v>92</v>
      </c>
      <c r="M1323" s="13" t="s">
        <v>60</v>
      </c>
      <c r="N1323" s="13">
        <v>1</v>
      </c>
      <c r="O1323" s="13"/>
      <c r="P1323" s="33" t="str">
        <f t="shared" si="388"/>
        <v>MAIN UNIT</v>
      </c>
      <c r="Q1323" s="13" t="s">
        <v>61</v>
      </c>
      <c r="R1323" s="13" t="s">
        <v>62</v>
      </c>
      <c r="S1323" s="13" t="s">
        <v>49</v>
      </c>
      <c r="T1323" s="13" t="s">
        <v>78</v>
      </c>
      <c r="U1323" s="13" t="s">
        <v>79</v>
      </c>
      <c r="V1323" s="13" t="s">
        <v>126</v>
      </c>
      <c r="W1323" s="13" t="s">
        <v>109</v>
      </c>
      <c r="X1323" s="135">
        <v>11800000</v>
      </c>
      <c r="Y1323" s="157" t="str">
        <f t="shared" ref="Y1323:Y1332" si="400">IF(W1323="RMB","1.13", "1")</f>
        <v>1</v>
      </c>
      <c r="Z1323" s="18">
        <f t="shared" si="398"/>
        <v>11800000</v>
      </c>
      <c r="AA1323" s="13">
        <v>7.0999999999999994E-2</v>
      </c>
      <c r="AB1323" s="21">
        <f t="shared" si="399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83"/>
        <v>15533177.71460177</v>
      </c>
      <c r="AJ1323" s="19">
        <f t="shared" si="384"/>
        <v>1819298.5437526547</v>
      </c>
      <c r="AK1323" s="20">
        <f t="shared" si="392"/>
        <v>0.11712339723265033</v>
      </c>
      <c r="AL1323" s="17"/>
      <c r="AM1323" s="17"/>
      <c r="AN1323" s="17"/>
      <c r="AO1323" s="17"/>
      <c r="AP1323" s="28" t="str">
        <f t="shared" si="393"/>
        <v>202110</v>
      </c>
      <c r="AQ1323" s="28" t="str">
        <f t="shared" si="394"/>
        <v>202110JPY</v>
      </c>
      <c r="AR1323" s="206" t="str">
        <f t="shared" si="395"/>
        <v>YAMAHA_Mounter</v>
      </c>
      <c r="AS1323" s="22">
        <f t="shared" si="396"/>
        <v>7</v>
      </c>
      <c r="AT1323" s="24" t="str">
        <f t="shared" si="397"/>
        <v>&gt; 6 months</v>
      </c>
      <c r="AU1323" s="22" t="s">
        <v>3745</v>
      </c>
    </row>
    <row r="1324" spans="1:47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54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2214</v>
      </c>
      <c r="K1324" s="155" t="s">
        <v>2215</v>
      </c>
      <c r="L1324" s="17" t="s">
        <v>92</v>
      </c>
      <c r="M1324" s="13" t="s">
        <v>60</v>
      </c>
      <c r="N1324" s="13">
        <v>1</v>
      </c>
      <c r="O1324" s="13"/>
      <c r="P1324" s="33" t="str">
        <f t="shared" si="388"/>
        <v>MAIN UNIT</v>
      </c>
      <c r="Q1324" s="13" t="s">
        <v>61</v>
      </c>
      <c r="R1324" s="13" t="s">
        <v>62</v>
      </c>
      <c r="S1324" s="13" t="s">
        <v>49</v>
      </c>
      <c r="T1324" s="13" t="s">
        <v>78</v>
      </c>
      <c r="U1324" s="13" t="s">
        <v>79</v>
      </c>
      <c r="V1324" s="13" t="s">
        <v>80</v>
      </c>
      <c r="W1324" s="13" t="s">
        <v>109</v>
      </c>
      <c r="X1324" s="135">
        <v>13000000</v>
      </c>
      <c r="Y1324" s="157" t="str">
        <f t="shared" si="400"/>
        <v>1</v>
      </c>
      <c r="Z1324" s="18">
        <f t="shared" si="398"/>
        <v>13000000</v>
      </c>
      <c r="AA1324" s="13">
        <v>5.8700000000000002E-2</v>
      </c>
      <c r="AB1324" s="21">
        <f t="shared" si="399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83"/>
        <v>36480247.665929198</v>
      </c>
      <c r="AJ1324" s="19">
        <f t="shared" si="384"/>
        <v>5330996.6372757526</v>
      </c>
      <c r="AK1324" s="20">
        <f t="shared" si="392"/>
        <v>0.14613378412599562</v>
      </c>
      <c r="AL1324" s="17"/>
      <c r="AM1324" s="17"/>
      <c r="AN1324" s="17"/>
      <c r="AO1324" s="17"/>
      <c r="AP1324" s="28" t="str">
        <f t="shared" si="393"/>
        <v>20227</v>
      </c>
      <c r="AQ1324" s="28" t="str">
        <f t="shared" si="394"/>
        <v>20227JPY</v>
      </c>
      <c r="AR1324" s="206" t="str">
        <f t="shared" si="395"/>
        <v>YAMAHA_Mounter</v>
      </c>
      <c r="AS1324" s="22">
        <f t="shared" si="396"/>
        <v>4</v>
      </c>
      <c r="AT1324" s="24" t="str">
        <f t="shared" si="397"/>
        <v>4-6 months</v>
      </c>
      <c r="AU1324" s="22" t="s">
        <v>3746</v>
      </c>
    </row>
    <row r="1325" spans="1:47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54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2214</v>
      </c>
      <c r="K1325" s="155" t="s">
        <v>2215</v>
      </c>
      <c r="L1325" s="17" t="s">
        <v>92</v>
      </c>
      <c r="M1325" s="13" t="s">
        <v>60</v>
      </c>
      <c r="N1325" s="13">
        <v>1</v>
      </c>
      <c r="O1325" s="13"/>
      <c r="P1325" s="33" t="str">
        <f t="shared" si="388"/>
        <v>MAIN UNIT</v>
      </c>
      <c r="Q1325" s="13" t="s">
        <v>61</v>
      </c>
      <c r="R1325" s="13" t="s">
        <v>62</v>
      </c>
      <c r="S1325" s="13" t="s">
        <v>49</v>
      </c>
      <c r="T1325" s="13" t="s">
        <v>78</v>
      </c>
      <c r="U1325" s="13" t="s">
        <v>79</v>
      </c>
      <c r="V1325" s="13" t="s">
        <v>80</v>
      </c>
      <c r="W1325" s="13" t="s">
        <v>109</v>
      </c>
      <c r="X1325" s="135">
        <v>13000000</v>
      </c>
      <c r="Y1325" s="157" t="str">
        <f t="shared" si="400"/>
        <v>1</v>
      </c>
      <c r="Z1325" s="18">
        <f t="shared" si="398"/>
        <v>13000000</v>
      </c>
      <c r="AA1325" s="13">
        <v>5.8700000000000002E-2</v>
      </c>
      <c r="AB1325" s="21">
        <f t="shared" si="399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83"/>
        <v>36480247.665929198</v>
      </c>
      <c r="AJ1325" s="19">
        <f t="shared" si="384"/>
        <v>5330996.6372757526</v>
      </c>
      <c r="AK1325" s="20">
        <f t="shared" si="392"/>
        <v>0.14613378412599562</v>
      </c>
      <c r="AL1325" s="17"/>
      <c r="AM1325" s="17"/>
      <c r="AN1325" s="17"/>
      <c r="AO1325" s="17"/>
      <c r="AP1325" s="28" t="str">
        <f t="shared" si="393"/>
        <v>20227</v>
      </c>
      <c r="AQ1325" s="28" t="str">
        <f t="shared" si="394"/>
        <v>20227JPY</v>
      </c>
      <c r="AR1325" s="206" t="str">
        <f t="shared" si="395"/>
        <v>YAMAHA_Mounter</v>
      </c>
      <c r="AS1325" s="22">
        <f t="shared" si="396"/>
        <v>4</v>
      </c>
      <c r="AT1325" s="24" t="str">
        <f t="shared" si="397"/>
        <v>4-6 months</v>
      </c>
      <c r="AU1325" s="22" t="s">
        <v>3746</v>
      </c>
    </row>
    <row r="1326" spans="1:47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54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2214</v>
      </c>
      <c r="K1326" s="155" t="s">
        <v>2215</v>
      </c>
      <c r="L1326" s="17" t="s">
        <v>92</v>
      </c>
      <c r="M1326" s="13" t="s">
        <v>60</v>
      </c>
      <c r="N1326" s="13">
        <v>1</v>
      </c>
      <c r="O1326" s="13"/>
      <c r="P1326" s="33" t="str">
        <f t="shared" si="388"/>
        <v>MAIN UNIT</v>
      </c>
      <c r="Q1326" s="13" t="s">
        <v>61</v>
      </c>
      <c r="R1326" s="13" t="s">
        <v>62</v>
      </c>
      <c r="S1326" s="13" t="s">
        <v>49</v>
      </c>
      <c r="T1326" s="13" t="s">
        <v>78</v>
      </c>
      <c r="U1326" s="13" t="s">
        <v>79</v>
      </c>
      <c r="V1326" s="13" t="s">
        <v>80</v>
      </c>
      <c r="W1326" s="13" t="s">
        <v>109</v>
      </c>
      <c r="X1326" s="135">
        <v>13000000</v>
      </c>
      <c r="Y1326" s="157" t="str">
        <f t="shared" si="400"/>
        <v>1</v>
      </c>
      <c r="Z1326" s="18">
        <f t="shared" si="398"/>
        <v>13000000</v>
      </c>
      <c r="AA1326" s="13">
        <v>5.8700000000000002E-2</v>
      </c>
      <c r="AB1326" s="21">
        <f t="shared" si="399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83"/>
        <v>36480247.665929198</v>
      </c>
      <c r="AJ1326" s="19">
        <f t="shared" si="384"/>
        <v>5330996.6372757526</v>
      </c>
      <c r="AK1326" s="20">
        <f t="shared" si="392"/>
        <v>0.14613378412599562</v>
      </c>
      <c r="AL1326" s="17"/>
      <c r="AM1326" s="17"/>
      <c r="AN1326" s="17"/>
      <c r="AO1326" s="17"/>
      <c r="AP1326" s="28" t="str">
        <f t="shared" si="393"/>
        <v>20227</v>
      </c>
      <c r="AQ1326" s="28" t="str">
        <f t="shared" si="394"/>
        <v>20227JPY</v>
      </c>
      <c r="AR1326" s="206" t="str">
        <f t="shared" si="395"/>
        <v>YAMAHA_Mounter</v>
      </c>
      <c r="AS1326" s="22">
        <f t="shared" si="396"/>
        <v>4</v>
      </c>
      <c r="AT1326" s="24" t="str">
        <f t="shared" si="397"/>
        <v>4-6 months</v>
      </c>
      <c r="AU1326" s="22" t="s">
        <v>3746</v>
      </c>
    </row>
    <row r="1327" spans="1:47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54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2214</v>
      </c>
      <c r="K1327" s="155" t="s">
        <v>2215</v>
      </c>
      <c r="L1327" s="17" t="s">
        <v>92</v>
      </c>
      <c r="M1327" s="13" t="s">
        <v>60</v>
      </c>
      <c r="N1327" s="13">
        <v>1</v>
      </c>
      <c r="O1327" s="13"/>
      <c r="P1327" s="33" t="str">
        <f t="shared" si="388"/>
        <v>MAIN UNIT</v>
      </c>
      <c r="Q1327" s="13" t="s">
        <v>61</v>
      </c>
      <c r="R1327" s="13" t="s">
        <v>62</v>
      </c>
      <c r="S1327" s="13" t="s">
        <v>49</v>
      </c>
      <c r="T1327" s="13" t="s">
        <v>78</v>
      </c>
      <c r="U1327" s="13" t="s">
        <v>79</v>
      </c>
      <c r="V1327" s="13" t="s">
        <v>80</v>
      </c>
      <c r="W1327" s="13" t="s">
        <v>109</v>
      </c>
      <c r="X1327" s="135">
        <v>13000000</v>
      </c>
      <c r="Y1327" s="157" t="str">
        <f t="shared" si="400"/>
        <v>1</v>
      </c>
      <c r="Z1327" s="18">
        <f t="shared" si="398"/>
        <v>13000000</v>
      </c>
      <c r="AA1327" s="13">
        <v>5.8700000000000002E-2</v>
      </c>
      <c r="AB1327" s="21">
        <f t="shared" si="399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83"/>
        <v>36480247.665929198</v>
      </c>
      <c r="AJ1327" s="19">
        <f t="shared" si="384"/>
        <v>5330996.6372757526</v>
      </c>
      <c r="AK1327" s="20">
        <f t="shared" si="392"/>
        <v>0.14613378412599562</v>
      </c>
      <c r="AL1327" s="17"/>
      <c r="AM1327" s="17"/>
      <c r="AN1327" s="17"/>
      <c r="AO1327" s="17"/>
      <c r="AP1327" s="28" t="str">
        <f t="shared" si="393"/>
        <v>20227</v>
      </c>
      <c r="AQ1327" s="28" t="str">
        <f t="shared" si="394"/>
        <v>20227JPY</v>
      </c>
      <c r="AR1327" s="206" t="str">
        <f t="shared" si="395"/>
        <v>YAMAHA_Mounter</v>
      </c>
      <c r="AS1327" s="22">
        <f t="shared" si="396"/>
        <v>4</v>
      </c>
      <c r="AT1327" s="24" t="str">
        <f t="shared" si="397"/>
        <v>4-6 months</v>
      </c>
      <c r="AU1327" s="22" t="s">
        <v>3746</v>
      </c>
    </row>
    <row r="1328" spans="1:47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54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2214</v>
      </c>
      <c r="K1328" s="155" t="s">
        <v>2215</v>
      </c>
      <c r="L1328" s="17" t="s">
        <v>92</v>
      </c>
      <c r="M1328" s="13" t="s">
        <v>60</v>
      </c>
      <c r="N1328" s="13">
        <v>1</v>
      </c>
      <c r="O1328" s="13"/>
      <c r="P1328" s="33" t="str">
        <f t="shared" si="388"/>
        <v>MAIN UNIT</v>
      </c>
      <c r="Q1328" s="13" t="s">
        <v>61</v>
      </c>
      <c r="R1328" s="13" t="s">
        <v>62</v>
      </c>
      <c r="S1328" s="13" t="s">
        <v>49</v>
      </c>
      <c r="T1328" s="13" t="s">
        <v>78</v>
      </c>
      <c r="U1328" s="13" t="s">
        <v>79</v>
      </c>
      <c r="V1328" s="13" t="s">
        <v>80</v>
      </c>
      <c r="W1328" s="13" t="s">
        <v>109</v>
      </c>
      <c r="X1328" s="135">
        <v>13000000</v>
      </c>
      <c r="Y1328" s="157" t="str">
        <f t="shared" si="400"/>
        <v>1</v>
      </c>
      <c r="Z1328" s="18">
        <f t="shared" si="398"/>
        <v>13000000</v>
      </c>
      <c r="AA1328" s="13">
        <v>5.8700000000000002E-2</v>
      </c>
      <c r="AB1328" s="21">
        <f t="shared" si="399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83"/>
        <v>36480247.665929198</v>
      </c>
      <c r="AJ1328" s="19">
        <f t="shared" si="384"/>
        <v>5330996.6372757526</v>
      </c>
      <c r="AK1328" s="20">
        <f t="shared" si="392"/>
        <v>0.14613378412599562</v>
      </c>
      <c r="AL1328" s="17"/>
      <c r="AM1328" s="17"/>
      <c r="AN1328" s="17"/>
      <c r="AO1328" s="17"/>
      <c r="AP1328" s="28" t="str">
        <f t="shared" si="393"/>
        <v>20227</v>
      </c>
      <c r="AQ1328" s="28" t="str">
        <f t="shared" si="394"/>
        <v>20227JPY</v>
      </c>
      <c r="AR1328" s="206" t="str">
        <f t="shared" si="395"/>
        <v>YAMAHA_Mounter</v>
      </c>
      <c r="AS1328" s="22">
        <f t="shared" si="396"/>
        <v>4</v>
      </c>
      <c r="AT1328" s="24" t="str">
        <f t="shared" si="397"/>
        <v>4-6 months</v>
      </c>
      <c r="AU1328" s="22" t="s">
        <v>3746</v>
      </c>
    </row>
    <row r="1329" spans="1:47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54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2214</v>
      </c>
      <c r="K1329" s="155" t="s">
        <v>2215</v>
      </c>
      <c r="L1329" s="17" t="s">
        <v>67</v>
      </c>
      <c r="M1329" s="13" t="s">
        <v>60</v>
      </c>
      <c r="N1329" s="13">
        <v>1</v>
      </c>
      <c r="O1329" s="13"/>
      <c r="P1329" s="33" t="str">
        <f t="shared" si="388"/>
        <v>MAIN UNIT</v>
      </c>
      <c r="Q1329" s="13" t="s">
        <v>61</v>
      </c>
      <c r="R1329" s="13" t="s">
        <v>62</v>
      </c>
      <c r="S1329" s="13" t="s">
        <v>49</v>
      </c>
      <c r="T1329" s="13" t="s">
        <v>78</v>
      </c>
      <c r="U1329" s="13" t="s">
        <v>79</v>
      </c>
      <c r="V1329" s="13" t="s">
        <v>80</v>
      </c>
      <c r="W1329" s="13" t="s">
        <v>109</v>
      </c>
      <c r="X1329" s="135">
        <v>8000000</v>
      </c>
      <c r="Y1329" s="157" t="str">
        <f t="shared" si="400"/>
        <v>1</v>
      </c>
      <c r="Z1329" s="18">
        <f t="shared" si="398"/>
        <v>8000000</v>
      </c>
      <c r="AA1329" s="13">
        <v>5.8700000000000002E-2</v>
      </c>
      <c r="AB1329" s="21">
        <f t="shared" si="399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83"/>
        <v>36480247.665929198</v>
      </c>
      <c r="AJ1329" s="19">
        <f t="shared" si="384"/>
        <v>5330996.6372757526</v>
      </c>
      <c r="AK1329" s="20">
        <f t="shared" si="392"/>
        <v>0.14613378412599562</v>
      </c>
      <c r="AL1329" s="17"/>
      <c r="AM1329" s="17"/>
      <c r="AN1329" s="17"/>
      <c r="AO1329" s="17"/>
      <c r="AP1329" s="28" t="str">
        <f t="shared" si="393"/>
        <v>20227</v>
      </c>
      <c r="AQ1329" s="28" t="str">
        <f t="shared" si="394"/>
        <v>20227JPY</v>
      </c>
      <c r="AR1329" s="206" t="str">
        <f t="shared" si="395"/>
        <v>YAMAHA_Mounter</v>
      </c>
      <c r="AS1329" s="22">
        <f t="shared" si="396"/>
        <v>4</v>
      </c>
      <c r="AT1329" s="24" t="str">
        <f t="shared" si="397"/>
        <v>4-6 months</v>
      </c>
      <c r="AU1329" s="22" t="s">
        <v>3746</v>
      </c>
    </row>
    <row r="1330" spans="1:47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54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2214</v>
      </c>
      <c r="K1330" s="155" t="s">
        <v>2215</v>
      </c>
      <c r="L1330" s="17" t="s">
        <v>67</v>
      </c>
      <c r="M1330" s="13" t="s">
        <v>60</v>
      </c>
      <c r="N1330" s="13">
        <v>1</v>
      </c>
      <c r="O1330" s="13"/>
      <c r="P1330" s="33" t="str">
        <f t="shared" si="388"/>
        <v>MAIN UNIT</v>
      </c>
      <c r="Q1330" s="13" t="s">
        <v>61</v>
      </c>
      <c r="R1330" s="13" t="s">
        <v>62</v>
      </c>
      <c r="S1330" s="13" t="s">
        <v>49</v>
      </c>
      <c r="T1330" s="13" t="s">
        <v>78</v>
      </c>
      <c r="U1330" s="13" t="s">
        <v>79</v>
      </c>
      <c r="V1330" s="13" t="s">
        <v>80</v>
      </c>
      <c r="W1330" s="13" t="s">
        <v>109</v>
      </c>
      <c r="X1330" s="135">
        <v>8000000</v>
      </c>
      <c r="Y1330" s="157" t="str">
        <f t="shared" si="400"/>
        <v>1</v>
      </c>
      <c r="Z1330" s="18">
        <f t="shared" si="398"/>
        <v>8000000</v>
      </c>
      <c r="AA1330" s="13">
        <v>5.8700000000000002E-2</v>
      </c>
      <c r="AB1330" s="21">
        <f t="shared" si="399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83"/>
        <v>36480247.665929198</v>
      </c>
      <c r="AJ1330" s="19">
        <f t="shared" si="384"/>
        <v>5330996.6372757526</v>
      </c>
      <c r="AK1330" s="20">
        <f t="shared" si="392"/>
        <v>0.14613378412599562</v>
      </c>
      <c r="AL1330" s="17"/>
      <c r="AM1330" s="17"/>
      <c r="AN1330" s="17"/>
      <c r="AO1330" s="17"/>
      <c r="AP1330" s="28" t="str">
        <f t="shared" si="393"/>
        <v>20227</v>
      </c>
      <c r="AQ1330" s="28" t="str">
        <f t="shared" si="394"/>
        <v>20227JPY</v>
      </c>
      <c r="AR1330" s="206" t="str">
        <f t="shared" si="395"/>
        <v>YAMAHA_Mounter</v>
      </c>
      <c r="AS1330" s="22">
        <f t="shared" si="396"/>
        <v>4</v>
      </c>
      <c r="AT1330" s="24" t="str">
        <f t="shared" si="397"/>
        <v>4-6 months</v>
      </c>
      <c r="AU1330" s="22" t="s">
        <v>3746</v>
      </c>
    </row>
    <row r="1331" spans="1:47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54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2214</v>
      </c>
      <c r="K1331" s="155" t="s">
        <v>2215</v>
      </c>
      <c r="L1331" s="17" t="s">
        <v>67</v>
      </c>
      <c r="M1331" s="13" t="s">
        <v>60</v>
      </c>
      <c r="N1331" s="13">
        <v>1</v>
      </c>
      <c r="O1331" s="13"/>
      <c r="P1331" s="33" t="str">
        <f t="shared" si="388"/>
        <v>MAIN UNIT</v>
      </c>
      <c r="Q1331" s="13" t="s">
        <v>61</v>
      </c>
      <c r="R1331" s="13" t="s">
        <v>62</v>
      </c>
      <c r="S1331" s="13" t="s">
        <v>49</v>
      </c>
      <c r="T1331" s="13" t="s">
        <v>78</v>
      </c>
      <c r="U1331" s="13" t="s">
        <v>79</v>
      </c>
      <c r="V1331" s="13" t="s">
        <v>80</v>
      </c>
      <c r="W1331" s="13" t="s">
        <v>109</v>
      </c>
      <c r="X1331" s="135">
        <v>8000000</v>
      </c>
      <c r="Y1331" s="157" t="str">
        <f t="shared" si="400"/>
        <v>1</v>
      </c>
      <c r="Z1331" s="18">
        <f t="shared" si="398"/>
        <v>8000000</v>
      </c>
      <c r="AA1331" s="13">
        <v>5.8700000000000002E-2</v>
      </c>
      <c r="AB1331" s="21">
        <f t="shared" si="399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83"/>
        <v>36480247.665929198</v>
      </c>
      <c r="AJ1331" s="19">
        <f t="shared" si="384"/>
        <v>5330996.6372757526</v>
      </c>
      <c r="AK1331" s="20">
        <f t="shared" si="392"/>
        <v>0.14613378412599562</v>
      </c>
      <c r="AL1331" s="17"/>
      <c r="AM1331" s="17"/>
      <c r="AN1331" s="17"/>
      <c r="AO1331" s="17"/>
      <c r="AP1331" s="28" t="str">
        <f t="shared" si="393"/>
        <v>20227</v>
      </c>
      <c r="AQ1331" s="28" t="str">
        <f t="shared" si="394"/>
        <v>20227JPY</v>
      </c>
      <c r="AR1331" s="206" t="str">
        <f t="shared" si="395"/>
        <v>YAMAHA_Mounter</v>
      </c>
      <c r="AS1331" s="22">
        <f t="shared" si="396"/>
        <v>4</v>
      </c>
      <c r="AT1331" s="24" t="str">
        <f t="shared" si="397"/>
        <v>4-6 months</v>
      </c>
      <c r="AU1331" s="22" t="s">
        <v>3746</v>
      </c>
    </row>
    <row r="1332" spans="1:47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54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2214</v>
      </c>
      <c r="K1332" s="155" t="s">
        <v>2215</v>
      </c>
      <c r="L1332" s="17" t="s">
        <v>67</v>
      </c>
      <c r="M1332" s="13" t="s">
        <v>60</v>
      </c>
      <c r="N1332" s="13">
        <v>1</v>
      </c>
      <c r="O1332" s="13"/>
      <c r="P1332" s="33" t="str">
        <f t="shared" si="388"/>
        <v>MAIN UNIT</v>
      </c>
      <c r="Q1332" s="13" t="s">
        <v>61</v>
      </c>
      <c r="R1332" s="13" t="s">
        <v>62</v>
      </c>
      <c r="S1332" s="13" t="s">
        <v>49</v>
      </c>
      <c r="T1332" s="13" t="s">
        <v>78</v>
      </c>
      <c r="U1332" s="13" t="s">
        <v>79</v>
      </c>
      <c r="V1332" s="13" t="s">
        <v>80</v>
      </c>
      <c r="W1332" s="13" t="s">
        <v>109</v>
      </c>
      <c r="X1332" s="135">
        <v>8000000</v>
      </c>
      <c r="Y1332" s="157" t="str">
        <f t="shared" si="400"/>
        <v>1</v>
      </c>
      <c r="Z1332" s="18">
        <f t="shared" si="398"/>
        <v>8000000</v>
      </c>
      <c r="AA1332" s="13">
        <v>5.8700000000000002E-2</v>
      </c>
      <c r="AB1332" s="21">
        <f t="shared" si="399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83"/>
        <v>36480247.665929198</v>
      </c>
      <c r="AJ1332" s="19">
        <f t="shared" si="384"/>
        <v>5330996.6372757526</v>
      </c>
      <c r="AK1332" s="20">
        <f t="shared" si="392"/>
        <v>0.14613378412599562</v>
      </c>
      <c r="AL1332" s="17"/>
      <c r="AM1332" s="17"/>
      <c r="AN1332" s="17"/>
      <c r="AO1332" s="17"/>
      <c r="AP1332" s="28" t="str">
        <f t="shared" si="393"/>
        <v>20227</v>
      </c>
      <c r="AQ1332" s="28" t="str">
        <f t="shared" si="394"/>
        <v>20227JPY</v>
      </c>
      <c r="AR1332" s="206" t="str">
        <f t="shared" si="395"/>
        <v>YAMAHA_Mounter</v>
      </c>
      <c r="AS1332" s="22">
        <f t="shared" si="396"/>
        <v>4</v>
      </c>
      <c r="AT1332" s="24" t="str">
        <f t="shared" si="397"/>
        <v>4-6 months</v>
      </c>
      <c r="AU1332" s="22" t="s">
        <v>3746</v>
      </c>
    </row>
    <row r="1333" spans="1:47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185</v>
      </c>
      <c r="F1333" s="13" t="s">
        <v>185</v>
      </c>
      <c r="G1333" s="152" t="s">
        <v>185</v>
      </c>
      <c r="H1333" s="155"/>
      <c r="I1333" s="33" t="str">
        <f t="shared" si="387"/>
        <v>Cancel</v>
      </c>
      <c r="J1333" s="186" t="s">
        <v>592</v>
      </c>
      <c r="K1333" s="155" t="s">
        <v>593</v>
      </c>
      <c r="L1333" s="17" t="s">
        <v>293</v>
      </c>
      <c r="M1333" s="13" t="s">
        <v>60</v>
      </c>
      <c r="N1333" s="13">
        <v>1</v>
      </c>
      <c r="O1333" s="13"/>
      <c r="P1333" s="33" t="str">
        <f t="shared" si="388"/>
        <v>MAIN UNIT</v>
      </c>
      <c r="Q1333" s="13" t="s">
        <v>68</v>
      </c>
      <c r="R1333" s="13" t="s">
        <v>62</v>
      </c>
      <c r="S1333" s="13" t="s">
        <v>370</v>
      </c>
      <c r="T1333" s="13" t="s">
        <v>78</v>
      </c>
      <c r="U1333" s="13" t="s">
        <v>79</v>
      </c>
      <c r="V1333" s="13" t="s">
        <v>594</v>
      </c>
      <c r="W1333" s="13" t="s">
        <v>109</v>
      </c>
      <c r="X1333" s="135">
        <v>27923924</v>
      </c>
      <c r="Y1333" s="156">
        <v>1</v>
      </c>
      <c r="Z1333" s="18">
        <f t="shared" si="398"/>
        <v>27923924</v>
      </c>
      <c r="AA1333" s="13">
        <v>7.2099999999999997E-2</v>
      </c>
      <c r="AB1333" s="21">
        <f t="shared" si="399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83"/>
        <v>499582152.5142017</v>
      </c>
      <c r="AJ1333" s="19">
        <f t="shared" si="384"/>
        <v>59520528.679470733</v>
      </c>
      <c r="AK1333" s="20">
        <f t="shared" si="392"/>
        <v>0.11914062257814291</v>
      </c>
      <c r="AL1333" s="17"/>
      <c r="AM1333" s="17"/>
      <c r="AN1333" s="17">
        <v>0</v>
      </c>
      <c r="AO1333" s="17"/>
      <c r="AP1333" s="28" t="str">
        <f t="shared" si="393"/>
        <v>CancelCancel</v>
      </c>
      <c r="AQ1333" s="28" t="str">
        <f t="shared" si="394"/>
        <v>CancelCancelJPY</v>
      </c>
      <c r="AR1333" s="206" t="str">
        <f t="shared" si="395"/>
        <v>YAMAHA_Mounter</v>
      </c>
      <c r="AS1333" s="22" t="str">
        <f t="shared" si="396"/>
        <v/>
      </c>
      <c r="AT1333" s="24" t="str">
        <f t="shared" si="397"/>
        <v/>
      </c>
      <c r="AU1333" s="22" t="s">
        <v>3745</v>
      </c>
    </row>
    <row r="1334" spans="1:47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185</v>
      </c>
      <c r="F1334" s="13" t="s">
        <v>185</v>
      </c>
      <c r="G1334" s="152" t="s">
        <v>185</v>
      </c>
      <c r="H1334" s="155"/>
      <c r="I1334" s="33" t="str">
        <f t="shared" si="387"/>
        <v>Cancel</v>
      </c>
      <c r="J1334" s="186" t="s">
        <v>618</v>
      </c>
      <c r="K1334" s="155" t="s">
        <v>593</v>
      </c>
      <c r="L1334" s="17" t="s">
        <v>293</v>
      </c>
      <c r="M1334" s="13" t="s">
        <v>60</v>
      </c>
      <c r="N1334" s="13">
        <v>1</v>
      </c>
      <c r="O1334" s="13"/>
      <c r="P1334" s="33" t="str">
        <f t="shared" si="388"/>
        <v>MAIN UNIT</v>
      </c>
      <c r="Q1334" s="13" t="s">
        <v>68</v>
      </c>
      <c r="R1334" s="13" t="s">
        <v>62</v>
      </c>
      <c r="S1334" s="13" t="s">
        <v>370</v>
      </c>
      <c r="T1334" s="13" t="s">
        <v>78</v>
      </c>
      <c r="U1334" s="13" t="s">
        <v>79</v>
      </c>
      <c r="V1334" s="13" t="s">
        <v>594</v>
      </c>
      <c r="W1334" s="13" t="s">
        <v>109</v>
      </c>
      <c r="X1334" s="135">
        <v>27923924</v>
      </c>
      <c r="Y1334" s="156">
        <v>1</v>
      </c>
      <c r="Z1334" s="18">
        <f t="shared" si="398"/>
        <v>27923924</v>
      </c>
      <c r="AA1334" s="13">
        <v>7.2099999999999997E-2</v>
      </c>
      <c r="AB1334" s="21">
        <f t="shared" si="399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83"/>
        <v>499582152.5142017</v>
      </c>
      <c r="AJ1334" s="19">
        <f t="shared" si="384"/>
        <v>59520528.679470733</v>
      </c>
      <c r="AK1334" s="20">
        <f t="shared" si="392"/>
        <v>0.11914062257814291</v>
      </c>
      <c r="AL1334" s="17"/>
      <c r="AM1334" s="17"/>
      <c r="AN1334" s="17"/>
      <c r="AO1334" s="17"/>
      <c r="AP1334" s="28" t="str">
        <f t="shared" si="393"/>
        <v>CancelCancel</v>
      </c>
      <c r="AQ1334" s="28" t="str">
        <f t="shared" si="394"/>
        <v>CancelCancelJPY</v>
      </c>
      <c r="AR1334" s="206" t="str">
        <f t="shared" si="395"/>
        <v>YAMAHA_Mounter</v>
      </c>
      <c r="AS1334" s="22" t="str">
        <f t="shared" si="396"/>
        <v/>
      </c>
      <c r="AT1334" s="24" t="str">
        <f t="shared" si="397"/>
        <v/>
      </c>
      <c r="AU1334" s="22" t="s">
        <v>3745</v>
      </c>
    </row>
    <row r="1335" spans="1:47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48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1592</v>
      </c>
      <c r="K1335" s="155" t="s">
        <v>1593</v>
      </c>
      <c r="L1335" s="17" t="s">
        <v>293</v>
      </c>
      <c r="M1335" s="13" t="s">
        <v>60</v>
      </c>
      <c r="N1335" s="13">
        <v>1</v>
      </c>
      <c r="O1335" s="13"/>
      <c r="P1335" s="33" t="str">
        <f t="shared" si="388"/>
        <v>MAIN UNIT</v>
      </c>
      <c r="Q1335" s="13" t="s">
        <v>68</v>
      </c>
      <c r="R1335" s="13" t="s">
        <v>62</v>
      </c>
      <c r="S1335" s="13" t="s">
        <v>49</v>
      </c>
      <c r="T1335" s="13" t="s">
        <v>78</v>
      </c>
      <c r="U1335" s="13" t="s">
        <v>79</v>
      </c>
      <c r="V1335" s="13" t="s">
        <v>112</v>
      </c>
      <c r="W1335" s="13" t="s">
        <v>64</v>
      </c>
      <c r="X1335" s="135">
        <v>1513500</v>
      </c>
      <c r="Y1335" s="157" t="str">
        <f t="shared" ref="Y1335:Y1341" si="401">IF(W1335="RMB","1.13", "1")</f>
        <v>1.13</v>
      </c>
      <c r="Z1335" s="18">
        <f t="shared" si="398"/>
        <v>1513500</v>
      </c>
      <c r="AA1335" s="13">
        <v>1.2</v>
      </c>
      <c r="AB1335" s="21">
        <f t="shared" si="399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83"/>
        <v>31097187.02948761</v>
      </c>
      <c r="AJ1335" s="19">
        <f t="shared" si="384"/>
        <v>3892353.6644401965</v>
      </c>
      <c r="AK1335" s="20">
        <f t="shared" si="392"/>
        <v>0.12516738767237401</v>
      </c>
      <c r="AL1335" s="17"/>
      <c r="AM1335" s="17"/>
      <c r="AN1335" s="17"/>
      <c r="AO1335" s="17"/>
      <c r="AP1335" s="28" t="str">
        <f t="shared" si="393"/>
        <v>20212</v>
      </c>
      <c r="AQ1335" s="28" t="str">
        <f t="shared" si="394"/>
        <v>20212RMB</v>
      </c>
      <c r="AR1335" s="206" t="str">
        <f t="shared" si="395"/>
        <v>YAMAHA_Mounter</v>
      </c>
      <c r="AS1335" s="22">
        <f t="shared" si="396"/>
        <v>2</v>
      </c>
      <c r="AT1335" s="24" t="str">
        <f t="shared" si="397"/>
        <v>0-3 months</v>
      </c>
      <c r="AU1335" s="22" t="s">
        <v>3744</v>
      </c>
    </row>
    <row r="1336" spans="1:47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48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1592</v>
      </c>
      <c r="K1336" s="155" t="s">
        <v>1593</v>
      </c>
      <c r="L1336" s="17" t="s">
        <v>293</v>
      </c>
      <c r="M1336" s="13" t="s">
        <v>60</v>
      </c>
      <c r="N1336" s="13">
        <v>1</v>
      </c>
      <c r="O1336" s="13"/>
      <c r="P1336" s="33" t="str">
        <f t="shared" si="388"/>
        <v>MAIN UNIT</v>
      </c>
      <c r="Q1336" s="13" t="s">
        <v>68</v>
      </c>
      <c r="R1336" s="13" t="s">
        <v>62</v>
      </c>
      <c r="S1336" s="13" t="s">
        <v>49</v>
      </c>
      <c r="T1336" s="13" t="s">
        <v>78</v>
      </c>
      <c r="U1336" s="13" t="s">
        <v>79</v>
      </c>
      <c r="V1336" s="13" t="s">
        <v>112</v>
      </c>
      <c r="W1336" s="13" t="s">
        <v>64</v>
      </c>
      <c r="X1336" s="135">
        <v>1513500</v>
      </c>
      <c r="Y1336" s="157" t="str">
        <f t="shared" si="401"/>
        <v>1.13</v>
      </c>
      <c r="Z1336" s="18">
        <f t="shared" si="398"/>
        <v>1513500</v>
      </c>
      <c r="AA1336" s="13">
        <v>1.2</v>
      </c>
      <c r="AB1336" s="21">
        <f t="shared" si="399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83"/>
        <v>31097187.02948761</v>
      </c>
      <c r="AJ1336" s="19">
        <f t="shared" si="384"/>
        <v>3892353.6644401965</v>
      </c>
      <c r="AK1336" s="20">
        <f t="shared" si="392"/>
        <v>0.12516738767237401</v>
      </c>
      <c r="AL1336" s="17"/>
      <c r="AM1336" s="17"/>
      <c r="AN1336" s="17"/>
      <c r="AO1336" s="17"/>
      <c r="AP1336" s="28" t="str">
        <f t="shared" si="393"/>
        <v>20212</v>
      </c>
      <c r="AQ1336" s="28" t="str">
        <f t="shared" si="394"/>
        <v>20212RMB</v>
      </c>
      <c r="AR1336" s="206" t="str">
        <f t="shared" si="395"/>
        <v>YAMAHA_Mounter</v>
      </c>
      <c r="AS1336" s="22">
        <f t="shared" si="396"/>
        <v>2</v>
      </c>
      <c r="AT1336" s="24" t="str">
        <f t="shared" si="397"/>
        <v>0-3 months</v>
      </c>
      <c r="AU1336" s="22" t="s">
        <v>3744</v>
      </c>
    </row>
    <row r="1337" spans="1:47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53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1861</v>
      </c>
      <c r="K1337" s="155" t="s">
        <v>1593</v>
      </c>
      <c r="L1337" s="17" t="s">
        <v>293</v>
      </c>
      <c r="M1337" s="13" t="s">
        <v>60</v>
      </c>
      <c r="N1337" s="13">
        <v>1</v>
      </c>
      <c r="O1337" s="13"/>
      <c r="P1337" s="33" t="str">
        <f t="shared" si="388"/>
        <v>MAIN UNIT</v>
      </c>
      <c r="Q1337" s="13" t="s">
        <v>61</v>
      </c>
      <c r="R1337" s="13" t="s">
        <v>62</v>
      </c>
      <c r="S1337" s="13" t="s">
        <v>49</v>
      </c>
      <c r="T1337" s="13" t="s">
        <v>78</v>
      </c>
      <c r="U1337" s="13" t="s">
        <v>79</v>
      </c>
      <c r="V1337" s="13" t="s">
        <v>112</v>
      </c>
      <c r="W1337" s="13" t="s">
        <v>64</v>
      </c>
      <c r="X1337" s="135">
        <v>1244000</v>
      </c>
      <c r="Y1337" s="157" t="str">
        <f t="shared" si="401"/>
        <v>1.13</v>
      </c>
      <c r="Z1337" s="18">
        <f t="shared" si="398"/>
        <v>1244000</v>
      </c>
      <c r="AA1337" s="13">
        <v>1.2</v>
      </c>
      <c r="AB1337" s="21">
        <f t="shared" si="399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83"/>
        <v>47458373.787610628</v>
      </c>
      <c r="AJ1337" s="19">
        <f t="shared" si="384"/>
        <v>7436880.1411522133</v>
      </c>
      <c r="AK1337" s="20">
        <f t="shared" si="392"/>
        <v>0.15670322321692506</v>
      </c>
      <c r="AL1337" s="17"/>
      <c r="AM1337" s="17"/>
      <c r="AN1337" s="17"/>
      <c r="AO1337" s="17"/>
      <c r="AP1337" s="28" t="str">
        <f t="shared" si="393"/>
        <v>20218</v>
      </c>
      <c r="AQ1337" s="28" t="str">
        <f t="shared" si="394"/>
        <v>20218RMB</v>
      </c>
      <c r="AR1337" s="206" t="str">
        <f t="shared" si="395"/>
        <v>YAMAHA_Mounter</v>
      </c>
      <c r="AS1337" s="22">
        <f t="shared" si="396"/>
        <v>2</v>
      </c>
      <c r="AT1337" s="24" t="str">
        <f t="shared" si="397"/>
        <v>0-3 months</v>
      </c>
      <c r="AU1337" s="22" t="s">
        <v>3751</v>
      </c>
    </row>
    <row r="1338" spans="1:47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53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1861</v>
      </c>
      <c r="K1338" s="155" t="s">
        <v>1593</v>
      </c>
      <c r="L1338" s="17" t="s">
        <v>293</v>
      </c>
      <c r="M1338" s="13" t="s">
        <v>60</v>
      </c>
      <c r="N1338" s="13">
        <v>1</v>
      </c>
      <c r="O1338" s="13"/>
      <c r="P1338" s="33" t="str">
        <f t="shared" si="388"/>
        <v>MAIN UNIT</v>
      </c>
      <c r="Q1338" s="13" t="s">
        <v>61</v>
      </c>
      <c r="R1338" s="13" t="s">
        <v>62</v>
      </c>
      <c r="S1338" s="13" t="s">
        <v>49</v>
      </c>
      <c r="T1338" s="13" t="s">
        <v>78</v>
      </c>
      <c r="U1338" s="13" t="s">
        <v>79</v>
      </c>
      <c r="V1338" s="13" t="s">
        <v>112</v>
      </c>
      <c r="W1338" s="13" t="s">
        <v>64</v>
      </c>
      <c r="X1338" s="135">
        <v>1244000</v>
      </c>
      <c r="Y1338" s="157" t="str">
        <f t="shared" si="401"/>
        <v>1.13</v>
      </c>
      <c r="Z1338" s="18">
        <f t="shared" si="398"/>
        <v>1244000</v>
      </c>
      <c r="AA1338" s="13">
        <v>1.2</v>
      </c>
      <c r="AB1338" s="21">
        <f t="shared" si="399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83"/>
        <v>47458373.787610628</v>
      </c>
      <c r="AJ1338" s="19">
        <f t="shared" si="384"/>
        <v>7436880.1411522133</v>
      </c>
      <c r="AK1338" s="20">
        <f t="shared" si="392"/>
        <v>0.15670322321692506</v>
      </c>
      <c r="AL1338" s="17"/>
      <c r="AM1338" s="17"/>
      <c r="AN1338" s="17"/>
      <c r="AO1338" s="17"/>
      <c r="AP1338" s="28" t="str">
        <f t="shared" si="393"/>
        <v>20218</v>
      </c>
      <c r="AQ1338" s="28" t="str">
        <f t="shared" si="394"/>
        <v>20218RMB</v>
      </c>
      <c r="AR1338" s="206" t="str">
        <f t="shared" si="395"/>
        <v>YAMAHA_Mounter</v>
      </c>
      <c r="AS1338" s="22">
        <f t="shared" si="396"/>
        <v>2</v>
      </c>
      <c r="AT1338" s="24" t="str">
        <f t="shared" si="397"/>
        <v>0-3 months</v>
      </c>
      <c r="AU1338" s="22" t="s">
        <v>3751</v>
      </c>
    </row>
    <row r="1339" spans="1:47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53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1861</v>
      </c>
      <c r="K1339" s="155" t="s">
        <v>1593</v>
      </c>
      <c r="L1339" s="17" t="s">
        <v>293</v>
      </c>
      <c r="M1339" s="13" t="s">
        <v>60</v>
      </c>
      <c r="N1339" s="13">
        <v>1</v>
      </c>
      <c r="O1339" s="13"/>
      <c r="P1339" s="33" t="str">
        <f t="shared" si="388"/>
        <v>MAIN UNIT</v>
      </c>
      <c r="Q1339" s="13" t="s">
        <v>61</v>
      </c>
      <c r="R1339" s="13" t="s">
        <v>62</v>
      </c>
      <c r="S1339" s="13" t="s">
        <v>49</v>
      </c>
      <c r="T1339" s="13" t="s">
        <v>78</v>
      </c>
      <c r="U1339" s="13" t="s">
        <v>79</v>
      </c>
      <c r="V1339" s="13" t="s">
        <v>112</v>
      </c>
      <c r="W1339" s="13" t="s">
        <v>64</v>
      </c>
      <c r="X1339" s="135">
        <v>1244000</v>
      </c>
      <c r="Y1339" s="157" t="str">
        <f t="shared" si="401"/>
        <v>1.13</v>
      </c>
      <c r="Z1339" s="18">
        <f t="shared" si="398"/>
        <v>1244000</v>
      </c>
      <c r="AA1339" s="13">
        <v>1.2</v>
      </c>
      <c r="AB1339" s="21">
        <f t="shared" si="399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83"/>
        <v>47458373.787610628</v>
      </c>
      <c r="AJ1339" s="19">
        <f t="shared" si="384"/>
        <v>7436880.1411522133</v>
      </c>
      <c r="AK1339" s="20">
        <f t="shared" si="392"/>
        <v>0.15670322321692506</v>
      </c>
      <c r="AL1339" s="17"/>
      <c r="AM1339" s="17"/>
      <c r="AN1339" s="17"/>
      <c r="AO1339" s="17"/>
      <c r="AP1339" s="28" t="str">
        <f t="shared" si="393"/>
        <v>20218</v>
      </c>
      <c r="AQ1339" s="28" t="str">
        <f t="shared" si="394"/>
        <v>20218RMB</v>
      </c>
      <c r="AR1339" s="206" t="str">
        <f t="shared" si="395"/>
        <v>YAMAHA_Mounter</v>
      </c>
      <c r="AS1339" s="22">
        <f t="shared" si="396"/>
        <v>2</v>
      </c>
      <c r="AT1339" s="24" t="str">
        <f t="shared" si="397"/>
        <v>0-3 months</v>
      </c>
      <c r="AU1339" s="22" t="s">
        <v>3751</v>
      </c>
    </row>
    <row r="1340" spans="1:47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53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2141</v>
      </c>
      <c r="K1340" s="155" t="s">
        <v>1593</v>
      </c>
      <c r="L1340" s="17" t="s">
        <v>92</v>
      </c>
      <c r="M1340" s="13" t="s">
        <v>60</v>
      </c>
      <c r="N1340" s="13">
        <v>1</v>
      </c>
      <c r="O1340" s="13"/>
      <c r="P1340" s="33" t="str">
        <f t="shared" si="388"/>
        <v>MAIN UNIT</v>
      </c>
      <c r="Q1340" s="13" t="s">
        <v>61</v>
      </c>
      <c r="R1340" s="13" t="s">
        <v>62</v>
      </c>
      <c r="S1340" s="13" t="s">
        <v>49</v>
      </c>
      <c r="T1340" s="13" t="s">
        <v>78</v>
      </c>
      <c r="U1340" s="13" t="s">
        <v>79</v>
      </c>
      <c r="V1340" s="13" t="s">
        <v>112</v>
      </c>
      <c r="W1340" s="13" t="s">
        <v>64</v>
      </c>
      <c r="X1340" s="135">
        <v>967200</v>
      </c>
      <c r="Y1340" s="157" t="str">
        <f t="shared" si="401"/>
        <v>1.13</v>
      </c>
      <c r="Z1340" s="18">
        <f t="shared" si="398"/>
        <v>967200</v>
      </c>
      <c r="AA1340" s="13">
        <v>1.22</v>
      </c>
      <c r="AB1340" s="21">
        <f t="shared" si="399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83"/>
        <v>28726768.133805312</v>
      </c>
      <c r="AJ1340" s="19">
        <f t="shared" si="384"/>
        <v>3853638.1988864429</v>
      </c>
      <c r="AK1340" s="20">
        <f t="shared" si="392"/>
        <v>0.1341479898099476</v>
      </c>
      <c r="AL1340" s="17"/>
      <c r="AM1340" s="17"/>
      <c r="AN1340" s="17"/>
      <c r="AO1340" s="17"/>
      <c r="AP1340" s="28" t="str">
        <f t="shared" si="393"/>
        <v>20223</v>
      </c>
      <c r="AQ1340" s="28" t="str">
        <f t="shared" si="394"/>
        <v>20223RMB</v>
      </c>
      <c r="AR1340" s="206" t="str">
        <f t="shared" si="395"/>
        <v>YAMAHA_Mounter</v>
      </c>
      <c r="AS1340" s="22">
        <f t="shared" si="396"/>
        <v>1</v>
      </c>
      <c r="AT1340" s="24" t="str">
        <f t="shared" si="397"/>
        <v>0-3 months</v>
      </c>
      <c r="AU1340" s="22" t="s">
        <v>3751</v>
      </c>
    </row>
    <row r="1341" spans="1:47" s="12" customFormat="1">
      <c r="A1341" s="33" t="str">
        <f t="shared" si="385"/>
        <v>cancel</v>
      </c>
      <c r="B1341" s="152"/>
      <c r="C1341" s="152" t="s">
        <v>185</v>
      </c>
      <c r="D1341" s="33" t="str">
        <f t="shared" si="386"/>
        <v/>
      </c>
      <c r="E1341" s="33" t="s">
        <v>185</v>
      </c>
      <c r="F1341" s="13" t="s">
        <v>185</v>
      </c>
      <c r="G1341" s="152" t="s">
        <v>185</v>
      </c>
      <c r="H1341" s="155" t="s">
        <v>2758</v>
      </c>
      <c r="I1341" s="33" t="str">
        <f t="shared" si="387"/>
        <v>Cancel</v>
      </c>
      <c r="J1341" s="186" t="s">
        <v>2761</v>
      </c>
      <c r="K1341" s="155" t="s">
        <v>2762</v>
      </c>
      <c r="L1341" s="17" t="s">
        <v>92</v>
      </c>
      <c r="M1341" s="13" t="s">
        <v>60</v>
      </c>
      <c r="N1341" s="13">
        <v>1</v>
      </c>
      <c r="O1341" s="13"/>
      <c r="P1341" s="33" t="str">
        <f t="shared" si="388"/>
        <v>MAIN UNIT</v>
      </c>
      <c r="Q1341" s="13" t="s">
        <v>68</v>
      </c>
      <c r="R1341" s="13" t="s">
        <v>62</v>
      </c>
      <c r="S1341" s="13" t="s">
        <v>49</v>
      </c>
      <c r="T1341" s="13" t="s">
        <v>78</v>
      </c>
      <c r="U1341" s="13" t="s">
        <v>79</v>
      </c>
      <c r="V1341" s="13" t="s">
        <v>112</v>
      </c>
      <c r="W1341" s="13" t="s">
        <v>109</v>
      </c>
      <c r="X1341" s="135">
        <v>13200000</v>
      </c>
      <c r="Y1341" s="157" t="str">
        <f t="shared" si="401"/>
        <v>1</v>
      </c>
      <c r="Z1341" s="18">
        <f t="shared" si="398"/>
        <v>13200000</v>
      </c>
      <c r="AA1341" s="13">
        <v>6.25E-2</v>
      </c>
      <c r="AB1341" s="21">
        <f t="shared" si="399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83"/>
        <v>499582152.5142017</v>
      </c>
      <c r="AJ1341" s="19">
        <f t="shared" si="384"/>
        <v>59520528.679470733</v>
      </c>
      <c r="AK1341" s="20">
        <f t="shared" si="392"/>
        <v>0.11914062257814291</v>
      </c>
      <c r="AL1341" s="17"/>
      <c r="AM1341" s="17"/>
      <c r="AN1341" s="17"/>
      <c r="AO1341" s="17"/>
      <c r="AP1341" s="28" t="str">
        <f t="shared" si="393"/>
        <v>CancelCancel</v>
      </c>
      <c r="AQ1341" s="28" t="str">
        <f t="shared" si="394"/>
        <v>CancelCancelJPY</v>
      </c>
      <c r="AR1341" s="206" t="str">
        <f t="shared" si="395"/>
        <v>YAMAHA_Mounter</v>
      </c>
      <c r="AS1341" s="22" t="str">
        <f t="shared" si="396"/>
        <v/>
      </c>
      <c r="AT1341" s="24" t="str">
        <f t="shared" si="397"/>
        <v/>
      </c>
      <c r="AU1341" s="22" t="s">
        <v>3745</v>
      </c>
    </row>
    <row r="1342" spans="1:47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41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514</v>
      </c>
      <c r="K1342" s="155" t="s">
        <v>515</v>
      </c>
      <c r="L1342" s="17" t="s">
        <v>516</v>
      </c>
      <c r="M1342" s="13" t="s">
        <v>60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61</v>
      </c>
      <c r="R1342" s="13" t="s">
        <v>62</v>
      </c>
      <c r="S1342" s="13" t="s">
        <v>50</v>
      </c>
      <c r="T1342" s="13" t="s">
        <v>101</v>
      </c>
      <c r="U1342" s="13" t="s">
        <v>70</v>
      </c>
      <c r="V1342" s="13" t="s">
        <v>102</v>
      </c>
      <c r="W1342" s="13" t="s">
        <v>64</v>
      </c>
      <c r="X1342" s="135">
        <v>25600</v>
      </c>
      <c r="Y1342" s="156">
        <v>1.1599999999999999</v>
      </c>
      <c r="Z1342" s="18">
        <f t="shared" si="398"/>
        <v>204800</v>
      </c>
      <c r="AA1342" s="13">
        <v>1.125</v>
      </c>
      <c r="AB1342" s="21">
        <f t="shared" si="399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83"/>
        <v>10785027.603448275</v>
      </c>
      <c r="AJ1342" s="19">
        <f t="shared" si="384"/>
        <v>1540894.1297982759</v>
      </c>
      <c r="AK1342" s="20">
        <f t="shared" si="392"/>
        <v>0.1428734525728621</v>
      </c>
      <c r="AL1342" s="17"/>
      <c r="AM1342" s="17"/>
      <c r="AN1342" s="17"/>
      <c r="AO1342" s="17"/>
      <c r="AP1342" s="28" t="str">
        <f t="shared" si="393"/>
        <v>201811</v>
      </c>
      <c r="AQ1342" s="28" t="str">
        <f t="shared" si="394"/>
        <v>201811RMB</v>
      </c>
      <c r="AR1342" s="206" t="str">
        <f t="shared" si="395"/>
        <v>YAMAHA_Mounter</v>
      </c>
      <c r="AS1342" s="22">
        <f t="shared" si="396"/>
        <v>1</v>
      </c>
      <c r="AT1342" s="24" t="str">
        <f t="shared" si="397"/>
        <v>0-3 months</v>
      </c>
      <c r="AU1342" s="22" t="s">
        <v>3240</v>
      </c>
    </row>
    <row r="1343" spans="1:47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41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522</v>
      </c>
      <c r="K1343" s="155" t="s">
        <v>523</v>
      </c>
      <c r="L1343" s="17" t="s">
        <v>67</v>
      </c>
      <c r="M1343" s="13" t="s">
        <v>60</v>
      </c>
      <c r="N1343" s="13">
        <v>1</v>
      </c>
      <c r="O1343" s="13"/>
      <c r="P1343" s="33" t="str">
        <f t="shared" si="388"/>
        <v>MAIN UNIT</v>
      </c>
      <c r="Q1343" s="13" t="s">
        <v>61</v>
      </c>
      <c r="R1343" s="13" t="s">
        <v>62</v>
      </c>
      <c r="S1343" s="13" t="s">
        <v>50</v>
      </c>
      <c r="T1343" s="13" t="s">
        <v>101</v>
      </c>
      <c r="U1343" s="13" t="s">
        <v>70</v>
      </c>
      <c r="V1343" s="13" t="s">
        <v>102</v>
      </c>
      <c r="W1343" s="13" t="s">
        <v>64</v>
      </c>
      <c r="X1343" s="135">
        <v>586000</v>
      </c>
      <c r="Y1343" s="156">
        <v>1.1599999999999999</v>
      </c>
      <c r="Z1343" s="18">
        <f t="shared" si="398"/>
        <v>586000</v>
      </c>
      <c r="AA1343" s="13">
        <v>1.1499999999999999</v>
      </c>
      <c r="AB1343" s="21">
        <f t="shared" si="399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83"/>
        <v>26492741.106427077</v>
      </c>
      <c r="AJ1343" s="19">
        <f t="shared" si="384"/>
        <v>3348032.1325698122</v>
      </c>
      <c r="AK1343" s="20">
        <f t="shared" si="392"/>
        <v>0.12637545201985867</v>
      </c>
      <c r="AL1343" s="17"/>
      <c r="AM1343" s="17"/>
      <c r="AN1343" s="17" t="s">
        <v>524</v>
      </c>
      <c r="AO1343" s="17"/>
      <c r="AP1343" s="28" t="str">
        <f t="shared" si="393"/>
        <v>20189</v>
      </c>
      <c r="AQ1343" s="28" t="str">
        <f t="shared" si="394"/>
        <v>20189RMB</v>
      </c>
      <c r="AR1343" s="206" t="str">
        <f t="shared" si="395"/>
        <v>YAMAHA_Mounter</v>
      </c>
      <c r="AS1343" s="22">
        <f t="shared" si="396"/>
        <v>0</v>
      </c>
      <c r="AT1343" s="24" t="str">
        <f t="shared" si="397"/>
        <v>0-3 months</v>
      </c>
      <c r="AU1343" s="22" t="s">
        <v>3240</v>
      </c>
    </row>
    <row r="1344" spans="1:47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53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1769</v>
      </c>
      <c r="K1344" s="155" t="s">
        <v>1770</v>
      </c>
      <c r="L1344" s="17" t="s">
        <v>92</v>
      </c>
      <c r="M1344" s="13" t="s">
        <v>60</v>
      </c>
      <c r="N1344" s="13">
        <v>1</v>
      </c>
      <c r="O1344" s="13"/>
      <c r="P1344" s="33" t="str">
        <f t="shared" si="388"/>
        <v>MAIN UNIT</v>
      </c>
      <c r="Q1344" s="13" t="s">
        <v>61</v>
      </c>
      <c r="R1344" s="13" t="s">
        <v>62</v>
      </c>
      <c r="S1344" s="13" t="s">
        <v>50</v>
      </c>
      <c r="T1344" s="13" t="s">
        <v>987</v>
      </c>
      <c r="U1344" s="13" t="s">
        <v>70</v>
      </c>
      <c r="V1344" s="13" t="s">
        <v>102</v>
      </c>
      <c r="W1344" s="13" t="s">
        <v>64</v>
      </c>
      <c r="X1344" s="135">
        <v>934574</v>
      </c>
      <c r="Y1344" s="157" t="str">
        <f>IF(W1344="RMB","1.13", "1")</f>
        <v>1.13</v>
      </c>
      <c r="Z1344" s="18">
        <f t="shared" si="398"/>
        <v>934574</v>
      </c>
      <c r="AA1344" s="13">
        <v>1.2150000000000001</v>
      </c>
      <c r="AB1344" s="21">
        <f t="shared" si="399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83"/>
        <v>54700260.692079648</v>
      </c>
      <c r="AJ1344" s="19">
        <f t="shared" si="384"/>
        <v>7482899.5749188727</v>
      </c>
      <c r="AK1344" s="20">
        <f t="shared" si="392"/>
        <v>0.13679824337660537</v>
      </c>
      <c r="AL1344" s="17"/>
      <c r="AM1344" s="17"/>
      <c r="AN1344" s="17"/>
      <c r="AO1344" s="17"/>
      <c r="AP1344" s="28" t="str">
        <f t="shared" si="393"/>
        <v>20216</v>
      </c>
      <c r="AQ1344" s="28" t="str">
        <f t="shared" si="394"/>
        <v>20216RMB</v>
      </c>
      <c r="AR1344" s="206" t="str">
        <f t="shared" si="395"/>
        <v>YAMAHA_Mounter</v>
      </c>
      <c r="AS1344" s="22">
        <f t="shared" si="396"/>
        <v>2</v>
      </c>
      <c r="AT1344" s="24" t="str">
        <f t="shared" si="397"/>
        <v>0-3 months</v>
      </c>
      <c r="AU1344" s="22" t="s">
        <v>3240</v>
      </c>
    </row>
    <row r="1345" spans="1:47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47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985</v>
      </c>
      <c r="K1345" s="155" t="s">
        <v>986</v>
      </c>
      <c r="L1345" s="17" t="s">
        <v>67</v>
      </c>
      <c r="M1345" s="13" t="s">
        <v>60</v>
      </c>
      <c r="N1345" s="13">
        <v>1</v>
      </c>
      <c r="O1345" s="13"/>
      <c r="P1345" s="33" t="str">
        <f t="shared" si="388"/>
        <v>MAIN UNIT</v>
      </c>
      <c r="Q1345" s="13" t="s">
        <v>61</v>
      </c>
      <c r="R1345" s="13" t="s">
        <v>701</v>
      </c>
      <c r="S1345" s="13" t="s">
        <v>50</v>
      </c>
      <c r="T1345" s="13" t="s">
        <v>987</v>
      </c>
      <c r="U1345" s="13" t="s">
        <v>70</v>
      </c>
      <c r="V1345" s="13" t="s">
        <v>702</v>
      </c>
      <c r="W1345" s="13" t="s">
        <v>703</v>
      </c>
      <c r="X1345" s="135">
        <v>599653</v>
      </c>
      <c r="Y1345" s="157" t="str">
        <f>IF(W1345="RMB","1.13", "1")</f>
        <v>1.13</v>
      </c>
      <c r="Z1345" s="18">
        <f t="shared" si="398"/>
        <v>599653</v>
      </c>
      <c r="AA1345" s="13">
        <v>1.135</v>
      </c>
      <c r="AB1345" s="21">
        <f t="shared" si="399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83"/>
        <v>31296887.037898075</v>
      </c>
      <c r="AJ1345" s="19">
        <f t="shared" si="384"/>
        <v>3588873.9502021763</v>
      </c>
      <c r="AK1345" s="20">
        <f t="shared" si="392"/>
        <v>0.11467191436184473</v>
      </c>
      <c r="AL1345" s="17"/>
      <c r="AM1345" s="17"/>
      <c r="AN1345" s="17"/>
      <c r="AO1345" s="17"/>
      <c r="AP1345" s="28" t="str">
        <f t="shared" si="393"/>
        <v>20196</v>
      </c>
      <c r="AQ1345" s="28" t="str">
        <f t="shared" si="394"/>
        <v>20196RMB</v>
      </c>
      <c r="AR1345" s="206" t="str">
        <f t="shared" si="395"/>
        <v>YAMAHA_Mounter</v>
      </c>
      <c r="AS1345" s="22">
        <f t="shared" si="396"/>
        <v>0</v>
      </c>
      <c r="AT1345" s="24" t="str">
        <f t="shared" si="397"/>
        <v>0-3 months</v>
      </c>
      <c r="AU1345" s="22" t="s">
        <v>3240</v>
      </c>
    </row>
    <row r="1346" spans="1:47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48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1106</v>
      </c>
      <c r="K1346" s="155" t="s">
        <v>1107</v>
      </c>
      <c r="L1346" s="17" t="s">
        <v>67</v>
      </c>
      <c r="M1346" s="13" t="s">
        <v>60</v>
      </c>
      <c r="N1346" s="13">
        <v>1</v>
      </c>
      <c r="O1346" s="13"/>
      <c r="P1346" s="33" t="str">
        <f t="shared" si="388"/>
        <v>MAIN UNIT</v>
      </c>
      <c r="Q1346" s="13" t="s">
        <v>61</v>
      </c>
      <c r="R1346" s="13" t="s">
        <v>62</v>
      </c>
      <c r="S1346" s="13" t="s">
        <v>50</v>
      </c>
      <c r="T1346" s="13" t="s">
        <v>987</v>
      </c>
      <c r="U1346" s="13" t="s">
        <v>70</v>
      </c>
      <c r="V1346" s="13" t="s">
        <v>102</v>
      </c>
      <c r="W1346" s="13" t="s">
        <v>64</v>
      </c>
      <c r="X1346" s="135">
        <v>755000</v>
      </c>
      <c r="Y1346" s="156">
        <v>1.1299999999999999</v>
      </c>
      <c r="Z1346" s="18">
        <f t="shared" si="398"/>
        <v>755000</v>
      </c>
      <c r="AA1346" s="13">
        <v>1.105</v>
      </c>
      <c r="AB1346" s="21">
        <f t="shared" si="399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ref="AI1346:AI1409" si="402">IF(P1346="C66 SERVICE","",SUMIFS(AB:AB,F:F,F1346,G:G,G1346,E:E,E1346))</f>
        <v>37969334.083628319</v>
      </c>
      <c r="AJ1346" s="19">
        <f t="shared" ref="AJ1346:AJ1409" si="403">IF(P1346="C66 SERVICE","",SUMIFS(AC:AC,F:F,F1346,G:G,G1346,E:E,E1346))</f>
        <v>5097226.4551657084</v>
      </c>
      <c r="AK1346" s="20">
        <f t="shared" si="392"/>
        <v>0.13424587441904964</v>
      </c>
      <c r="AL1346" s="17"/>
      <c r="AM1346" s="17"/>
      <c r="AN1346" s="17"/>
      <c r="AO1346" s="17"/>
      <c r="AP1346" s="28" t="str">
        <f t="shared" si="393"/>
        <v>20208</v>
      </c>
      <c r="AQ1346" s="28" t="str">
        <f t="shared" si="394"/>
        <v>20208RMB</v>
      </c>
      <c r="AR1346" s="206" t="str">
        <f t="shared" si="395"/>
        <v>YAMAHA_Mounter</v>
      </c>
      <c r="AS1346" s="22">
        <f t="shared" si="396"/>
        <v>1</v>
      </c>
      <c r="AT1346" s="24" t="str">
        <f t="shared" si="397"/>
        <v>0-3 months</v>
      </c>
      <c r="AU1346" s="22" t="s">
        <v>3240</v>
      </c>
    </row>
    <row r="1347" spans="1:47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47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573</v>
      </c>
      <c r="K1347" s="155" t="s">
        <v>574</v>
      </c>
      <c r="L1347" s="17" t="s">
        <v>77</v>
      </c>
      <c r="M1347" s="13" t="s">
        <v>60</v>
      </c>
      <c r="N1347" s="13">
        <v>1</v>
      </c>
      <c r="O1347" s="13"/>
      <c r="P1347" s="33" t="str">
        <f t="shared" si="388"/>
        <v>MAIN UNIT</v>
      </c>
      <c r="Q1347" s="13" t="s">
        <v>68</v>
      </c>
      <c r="R1347" s="13" t="s">
        <v>62</v>
      </c>
      <c r="S1347" s="13" t="s">
        <v>50</v>
      </c>
      <c r="T1347" s="13" t="s">
        <v>101</v>
      </c>
      <c r="U1347" s="13" t="s">
        <v>70</v>
      </c>
      <c r="V1347" s="13" t="s">
        <v>102</v>
      </c>
      <c r="W1347" s="13" t="s">
        <v>64</v>
      </c>
      <c r="X1347" s="135">
        <v>1070000</v>
      </c>
      <c r="Y1347" s="156">
        <v>1.1599999999999999</v>
      </c>
      <c r="Z1347" s="18">
        <f t="shared" si="398"/>
        <v>1070000</v>
      </c>
      <c r="AA1347" s="13">
        <v>1.135</v>
      </c>
      <c r="AB1347" s="21">
        <f t="shared" si="399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402"/>
        <v>31296887.037898075</v>
      </c>
      <c r="AJ1347" s="19">
        <f t="shared" si="403"/>
        <v>3588873.9502021763</v>
      </c>
      <c r="AK1347" s="20">
        <f t="shared" si="392"/>
        <v>0.11467191436184473</v>
      </c>
      <c r="AL1347" s="17"/>
      <c r="AM1347" s="17"/>
      <c r="AN1347" s="17"/>
      <c r="AO1347" s="17"/>
      <c r="AP1347" s="28" t="str">
        <f t="shared" si="393"/>
        <v>20196</v>
      </c>
      <c r="AQ1347" s="28" t="str">
        <f t="shared" si="394"/>
        <v>20196RMB</v>
      </c>
      <c r="AR1347" s="206" t="str">
        <f t="shared" si="395"/>
        <v>YAMAHA_Mounter</v>
      </c>
      <c r="AS1347" s="22">
        <f t="shared" si="396"/>
        <v>8</v>
      </c>
      <c r="AT1347" s="24" t="str">
        <f t="shared" si="397"/>
        <v>&gt; 6 months</v>
      </c>
      <c r="AU1347" s="22" t="s">
        <v>3240</v>
      </c>
    </row>
    <row r="1348" spans="1:47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48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1433</v>
      </c>
      <c r="K1348" s="155" t="s">
        <v>1434</v>
      </c>
      <c r="L1348" s="17" t="s">
        <v>67</v>
      </c>
      <c r="M1348" s="13" t="s">
        <v>60</v>
      </c>
      <c r="N1348" s="13">
        <v>1</v>
      </c>
      <c r="O1348" s="13"/>
      <c r="P1348" s="33" t="str">
        <f t="shared" si="388"/>
        <v>MAIN UNIT</v>
      </c>
      <c r="Q1348" s="13" t="s">
        <v>61</v>
      </c>
      <c r="R1348" s="13" t="s">
        <v>62</v>
      </c>
      <c r="S1348" s="13" t="s">
        <v>49</v>
      </c>
      <c r="T1348" s="13" t="s">
        <v>78</v>
      </c>
      <c r="U1348" s="13" t="s">
        <v>79</v>
      </c>
      <c r="V1348" s="13" t="s">
        <v>126</v>
      </c>
      <c r="W1348" s="13" t="s">
        <v>109</v>
      </c>
      <c r="X1348" s="135">
        <v>6600000</v>
      </c>
      <c r="Y1348" s="156">
        <v>1</v>
      </c>
      <c r="Z1348" s="18">
        <f t="shared" si="398"/>
        <v>6600000</v>
      </c>
      <c r="AA1348" s="13">
        <v>7.6100000000000001E-2</v>
      </c>
      <c r="AB1348" s="21">
        <f t="shared" si="399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402"/>
        <v>44078731.611185849</v>
      </c>
      <c r="AJ1348" s="19">
        <f t="shared" si="403"/>
        <v>5508173.2163771465</v>
      </c>
      <c r="AK1348" s="20">
        <f t="shared" si="392"/>
        <v>0.12496215328889679</v>
      </c>
      <c r="AL1348" s="17"/>
      <c r="AM1348" s="17"/>
      <c r="AN1348" s="17"/>
      <c r="AO1348" s="17"/>
      <c r="AP1348" s="28" t="str">
        <f t="shared" si="393"/>
        <v>202011</v>
      </c>
      <c r="AQ1348" s="28" t="str">
        <f t="shared" si="394"/>
        <v>202011JPY</v>
      </c>
      <c r="AR1348" s="206" t="str">
        <f t="shared" si="395"/>
        <v>YAMAHA_Mounter</v>
      </c>
      <c r="AS1348" s="22">
        <f t="shared" si="396"/>
        <v>2</v>
      </c>
      <c r="AT1348" s="24" t="str">
        <f t="shared" si="397"/>
        <v>0-3 months</v>
      </c>
      <c r="AU1348" s="22" t="s">
        <v>3745</v>
      </c>
    </row>
    <row r="1349" spans="1:47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48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1595</v>
      </c>
      <c r="K1349" s="155" t="s">
        <v>1434</v>
      </c>
      <c r="L1349" s="17" t="s">
        <v>67</v>
      </c>
      <c r="M1349" s="13" t="s">
        <v>60</v>
      </c>
      <c r="N1349" s="13">
        <v>1</v>
      </c>
      <c r="O1349" s="13"/>
      <c r="P1349" s="33" t="str">
        <f t="shared" si="388"/>
        <v>MAIN UNIT</v>
      </c>
      <c r="Q1349" s="13" t="s">
        <v>61</v>
      </c>
      <c r="R1349" s="13" t="s">
        <v>62</v>
      </c>
      <c r="S1349" s="13" t="s">
        <v>49</v>
      </c>
      <c r="T1349" s="13" t="s">
        <v>78</v>
      </c>
      <c r="U1349" s="13" t="s">
        <v>79</v>
      </c>
      <c r="V1349" s="13" t="s">
        <v>126</v>
      </c>
      <c r="W1349" s="13" t="s">
        <v>109</v>
      </c>
      <c r="X1349" s="135">
        <v>8900000</v>
      </c>
      <c r="Y1349" s="157" t="str">
        <f>IF(W1349="RMB","1.13", "1")</f>
        <v>1</v>
      </c>
      <c r="Z1349" s="18">
        <f t="shared" si="398"/>
        <v>8900000</v>
      </c>
      <c r="AA1349" s="13">
        <v>7.6799999999999993E-2</v>
      </c>
      <c r="AB1349" s="21">
        <f t="shared" si="399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402"/>
        <v>45803245.025628321</v>
      </c>
      <c r="AJ1349" s="19">
        <f t="shared" si="403"/>
        <v>5664636.2584379362</v>
      </c>
      <c r="AK1349" s="20">
        <f t="shared" si="392"/>
        <v>0.12367325186825515</v>
      </c>
      <c r="AL1349" s="17"/>
      <c r="AM1349" s="17"/>
      <c r="AN1349" s="17"/>
      <c r="AO1349" s="17"/>
      <c r="AP1349" s="28" t="str">
        <f t="shared" si="393"/>
        <v>20211</v>
      </c>
      <c r="AQ1349" s="28" t="str">
        <f t="shared" si="394"/>
        <v>20211JPY</v>
      </c>
      <c r="AR1349" s="206" t="str">
        <f t="shared" si="395"/>
        <v>YAMAHA_Mounter</v>
      </c>
      <c r="AS1349" s="22">
        <f t="shared" si="396"/>
        <v>1</v>
      </c>
      <c r="AT1349" s="24" t="str">
        <f t="shared" si="397"/>
        <v>0-3 months</v>
      </c>
      <c r="AU1349" s="22" t="s">
        <v>3745</v>
      </c>
    </row>
    <row r="1350" spans="1:47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48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1372</v>
      </c>
      <c r="K1350" s="155" t="s">
        <v>1373</v>
      </c>
      <c r="L1350" s="17" t="s">
        <v>67</v>
      </c>
      <c r="M1350" s="13" t="s">
        <v>60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68</v>
      </c>
      <c r="R1350" s="13" t="s">
        <v>62</v>
      </c>
      <c r="S1350" s="13" t="s">
        <v>49</v>
      </c>
      <c r="T1350" s="13" t="s">
        <v>78</v>
      </c>
      <c r="U1350" s="13" t="s">
        <v>79</v>
      </c>
      <c r="V1350" s="13" t="s">
        <v>1186</v>
      </c>
      <c r="W1350" s="13" t="s">
        <v>109</v>
      </c>
      <c r="X1350" s="135">
        <v>7771400</v>
      </c>
      <c r="Y1350" s="156">
        <v>1</v>
      </c>
      <c r="Z1350" s="18">
        <f t="shared" si="398"/>
        <v>7771400</v>
      </c>
      <c r="AA1350" s="13">
        <v>7.4899999999999994E-2</v>
      </c>
      <c r="AB1350" s="21">
        <f t="shared" si="399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si="402"/>
        <v>47907808.356810622</v>
      </c>
      <c r="AJ1350" s="19">
        <f t="shared" si="403"/>
        <v>6027384.8806384448</v>
      </c>
      <c r="AK1350" s="20">
        <f t="shared" ref="AK1350:AK1413" si="410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1">IF(F1350="","",F1350&amp;G1350)</f>
        <v>20209</v>
      </c>
      <c r="AQ1350" s="28" t="str">
        <f t="shared" ref="AQ1350:AQ1413" si="412">IF(W1350="","",F1350&amp;G1350&amp;W1350)</f>
        <v>20209JPY</v>
      </c>
      <c r="AR1350" s="206" t="str">
        <f t="shared" ref="AR1350:AR1413" si="413">IFERROR(IF(AND(M1350="YAMAHA", R1350="C28"), "YAMAHA_Non_Mounter", IF(AND(M1350="YAMAHA", R1350="C49"), "YAMAHA_Mounter", M1350)),"")</f>
        <v>YAMAHA_Mounter</v>
      </c>
      <c r="AS1350" s="22">
        <f t="shared" ref="AS1350:AS1413" si="414">IFERROR(IF(OR(G1350="TBA", G1350=""), "", DATEDIF(DATE(B1350, C1350, 1), DATE(F1350, G1350, 1), "M")),"")</f>
        <v>2</v>
      </c>
      <c r="AT1350" s="24" t="str">
        <f t="shared" ref="AT1350:AT1413" si="415">IF(ISNUMBER(AS1350), IF(AS1350&gt;=0, IF(AS1350&lt;=3, "0-3 months", IF(AS1350&lt;=6, "4-6 months", "&gt; 6 months"))), "")</f>
        <v>0-3 months</v>
      </c>
      <c r="AU1350" s="22" t="s">
        <v>3745</v>
      </c>
    </row>
    <row r="1351" spans="1:47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54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2149</v>
      </c>
      <c r="K1351" s="155" t="s">
        <v>2150</v>
      </c>
      <c r="L1351" s="17" t="s">
        <v>67</v>
      </c>
      <c r="M1351" s="13" t="s">
        <v>60</v>
      </c>
      <c r="N1351" s="13">
        <v>1</v>
      </c>
      <c r="O1351" s="13"/>
      <c r="P1351" s="33" t="str">
        <f t="shared" si="407"/>
        <v>MAIN UNIT</v>
      </c>
      <c r="Q1351" s="13" t="s">
        <v>68</v>
      </c>
      <c r="R1351" s="13" t="s">
        <v>62</v>
      </c>
      <c r="S1351" s="13" t="s">
        <v>49</v>
      </c>
      <c r="T1351" s="13" t="s">
        <v>78</v>
      </c>
      <c r="U1351" s="13" t="s">
        <v>79</v>
      </c>
      <c r="V1351" s="13" t="s">
        <v>131</v>
      </c>
      <c r="W1351" s="13" t="s">
        <v>64</v>
      </c>
      <c r="X1351" s="135">
        <v>600000</v>
      </c>
      <c r="Y1351" s="157" t="str">
        <f>IF(W1351="RMB","1.13", "1")</f>
        <v>1.13</v>
      </c>
      <c r="Z1351" s="18">
        <f t="shared" si="398"/>
        <v>600000</v>
      </c>
      <c r="AA1351" s="13">
        <v>1.22</v>
      </c>
      <c r="AB1351" s="21">
        <f t="shared" si="399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02"/>
        <v>46600814.041769907</v>
      </c>
      <c r="AJ1351" s="19">
        <f t="shared" si="403"/>
        <v>5956366.3435927071</v>
      </c>
      <c r="AK1351" s="20">
        <f t="shared" si="410"/>
        <v>0.1278167874546958</v>
      </c>
      <c r="AL1351" s="17"/>
      <c r="AM1351" s="17"/>
      <c r="AN1351" s="17"/>
      <c r="AO1351" s="17"/>
      <c r="AP1351" s="28" t="str">
        <f t="shared" si="411"/>
        <v>20224</v>
      </c>
      <c r="AQ1351" s="28" t="str">
        <f t="shared" si="412"/>
        <v>20224RMB</v>
      </c>
      <c r="AR1351" s="206" t="str">
        <f t="shared" si="413"/>
        <v>YAMAHA_Mounter</v>
      </c>
      <c r="AS1351" s="22">
        <f t="shared" si="414"/>
        <v>3</v>
      </c>
      <c r="AT1351" s="24" t="str">
        <f t="shared" si="415"/>
        <v>0-3 months</v>
      </c>
      <c r="AU1351" s="22" t="s">
        <v>3751</v>
      </c>
    </row>
    <row r="1352" spans="1:47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54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2007</v>
      </c>
      <c r="K1352" s="155" t="s">
        <v>2008</v>
      </c>
      <c r="L1352" s="17" t="s">
        <v>67</v>
      </c>
      <c r="M1352" s="13" t="s">
        <v>60</v>
      </c>
      <c r="N1352" s="13">
        <v>1</v>
      </c>
      <c r="O1352" s="13"/>
      <c r="P1352" s="33" t="str">
        <f t="shared" si="407"/>
        <v>MAIN UNIT</v>
      </c>
      <c r="Q1352" s="13" t="s">
        <v>68</v>
      </c>
      <c r="R1352" s="13" t="s">
        <v>62</v>
      </c>
      <c r="S1352" s="13" t="s">
        <v>50</v>
      </c>
      <c r="T1352" s="13" t="s">
        <v>238</v>
      </c>
      <c r="U1352" s="13" t="s">
        <v>70</v>
      </c>
      <c r="V1352" s="13" t="s">
        <v>71</v>
      </c>
      <c r="W1352" s="13" t="s">
        <v>64</v>
      </c>
      <c r="X1352" s="135">
        <v>700000</v>
      </c>
      <c r="Y1352" s="157" t="str">
        <f>IF(W1352="RMB","1.13", "1")</f>
        <v>1.13</v>
      </c>
      <c r="Z1352" s="18">
        <f t="shared" si="398"/>
        <v>700000</v>
      </c>
      <c r="AA1352" s="13">
        <v>1.22</v>
      </c>
      <c r="AB1352" s="21">
        <f t="shared" si="399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02"/>
        <v>46600814.041769907</v>
      </c>
      <c r="AJ1352" s="19">
        <f t="shared" si="403"/>
        <v>5956366.3435927071</v>
      </c>
      <c r="AK1352" s="20">
        <f t="shared" si="410"/>
        <v>0.1278167874546958</v>
      </c>
      <c r="AL1352" s="17"/>
      <c r="AM1352" s="17"/>
      <c r="AN1352" s="17"/>
      <c r="AO1352" s="17"/>
      <c r="AP1352" s="28" t="str">
        <f t="shared" si="411"/>
        <v>20224</v>
      </c>
      <c r="AQ1352" s="28" t="str">
        <f t="shared" si="412"/>
        <v>20224RMB</v>
      </c>
      <c r="AR1352" s="206" t="str">
        <f t="shared" si="413"/>
        <v>YAMAHA_Mounter</v>
      </c>
      <c r="AS1352" s="22">
        <f t="shared" si="414"/>
        <v>5</v>
      </c>
      <c r="AT1352" s="24" t="str">
        <f t="shared" si="415"/>
        <v>4-6 months</v>
      </c>
      <c r="AU1352" s="22" t="s">
        <v>3240</v>
      </c>
    </row>
    <row r="1353" spans="1:47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54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2007</v>
      </c>
      <c r="K1353" s="155" t="s">
        <v>2008</v>
      </c>
      <c r="L1353" s="17" t="s">
        <v>92</v>
      </c>
      <c r="M1353" s="13" t="s">
        <v>60</v>
      </c>
      <c r="N1353" s="13">
        <v>1</v>
      </c>
      <c r="O1353" s="13"/>
      <c r="P1353" s="33" t="str">
        <f t="shared" si="407"/>
        <v>MAIN UNIT</v>
      </c>
      <c r="Q1353" s="13" t="s">
        <v>68</v>
      </c>
      <c r="R1353" s="13" t="s">
        <v>62</v>
      </c>
      <c r="S1353" s="13" t="s">
        <v>50</v>
      </c>
      <c r="T1353" s="13" t="s">
        <v>238</v>
      </c>
      <c r="U1353" s="13" t="s">
        <v>70</v>
      </c>
      <c r="V1353" s="13" t="s">
        <v>71</v>
      </c>
      <c r="W1353" s="13" t="s">
        <v>64</v>
      </c>
      <c r="X1353" s="135">
        <v>900000</v>
      </c>
      <c r="Y1353" s="157" t="str">
        <f>IF(W1353="RMB","1.13", "1")</f>
        <v>1.13</v>
      </c>
      <c r="Z1353" s="18">
        <f t="shared" si="398"/>
        <v>900000</v>
      </c>
      <c r="AA1353" s="13">
        <v>1.22</v>
      </c>
      <c r="AB1353" s="21">
        <f t="shared" si="399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02"/>
        <v>46600814.041769907</v>
      </c>
      <c r="AJ1353" s="19">
        <f t="shared" si="403"/>
        <v>5956366.3435927071</v>
      </c>
      <c r="AK1353" s="20">
        <f t="shared" si="410"/>
        <v>0.1278167874546958</v>
      </c>
      <c r="AL1353" s="17"/>
      <c r="AM1353" s="17"/>
      <c r="AN1353" s="17"/>
      <c r="AO1353" s="17"/>
      <c r="AP1353" s="28" t="str">
        <f t="shared" si="411"/>
        <v>20224</v>
      </c>
      <c r="AQ1353" s="28" t="str">
        <f t="shared" si="412"/>
        <v>20224RMB</v>
      </c>
      <c r="AR1353" s="206" t="str">
        <f t="shared" si="413"/>
        <v>YAMAHA_Mounter</v>
      </c>
      <c r="AS1353" s="22">
        <f t="shared" si="414"/>
        <v>5</v>
      </c>
      <c r="AT1353" s="24" t="str">
        <f t="shared" si="415"/>
        <v>4-6 months</v>
      </c>
      <c r="AU1353" s="22" t="s">
        <v>3240</v>
      </c>
    </row>
    <row r="1354" spans="1:47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48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1220</v>
      </c>
      <c r="K1354" s="155" t="s">
        <v>1221</v>
      </c>
      <c r="L1354" s="17" t="s">
        <v>293</v>
      </c>
      <c r="M1354" s="13" t="s">
        <v>60</v>
      </c>
      <c r="N1354" s="13">
        <v>1</v>
      </c>
      <c r="O1354" s="13"/>
      <c r="P1354" s="33" t="str">
        <f t="shared" si="407"/>
        <v>MAIN UNIT</v>
      </c>
      <c r="Q1354" s="13" t="s">
        <v>61</v>
      </c>
      <c r="R1354" s="13" t="s">
        <v>62</v>
      </c>
      <c r="S1354" s="13" t="s">
        <v>49</v>
      </c>
      <c r="T1354" s="13" t="s">
        <v>78</v>
      </c>
      <c r="U1354" s="13" t="s">
        <v>79</v>
      </c>
      <c r="V1354" s="13" t="s">
        <v>311</v>
      </c>
      <c r="W1354" s="13" t="s">
        <v>64</v>
      </c>
      <c r="X1354" s="135">
        <v>1400000</v>
      </c>
      <c r="Y1354" s="156">
        <v>1.1299999999999999</v>
      </c>
      <c r="Z1354" s="18">
        <f t="shared" ref="Z1354:Z1417" si="416">IF(X1354="","",X1354*MAX(O1354,N1354))</f>
        <v>1400000</v>
      </c>
      <c r="AA1354" s="13">
        <v>1.089</v>
      </c>
      <c r="AB1354" s="21">
        <f t="shared" si="399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02"/>
        <v>29183109.05575221</v>
      </c>
      <c r="AJ1354" s="19">
        <f t="shared" si="403"/>
        <v>3741266.5648721238</v>
      </c>
      <c r="AK1354" s="20">
        <f t="shared" si="410"/>
        <v>0.12819972531798121</v>
      </c>
      <c r="AL1354" s="17"/>
      <c r="AM1354" s="17"/>
      <c r="AN1354" s="17"/>
      <c r="AO1354" s="17"/>
      <c r="AP1354" s="28" t="str">
        <f t="shared" si="411"/>
        <v>20206</v>
      </c>
      <c r="AQ1354" s="28" t="str">
        <f t="shared" si="412"/>
        <v>20206RMB</v>
      </c>
      <c r="AR1354" s="206" t="str">
        <f t="shared" si="413"/>
        <v>YAMAHA_Mounter</v>
      </c>
      <c r="AS1354" s="22">
        <f t="shared" si="414"/>
        <v>5</v>
      </c>
      <c r="AT1354" s="24" t="str">
        <f t="shared" si="415"/>
        <v>4-6 months</v>
      </c>
      <c r="AU1354" s="22" t="s">
        <v>3744</v>
      </c>
    </row>
    <row r="1355" spans="1:47" s="12" customFormat="1">
      <c r="A1355" s="33" t="str">
        <f t="shared" si="404"/>
        <v>cancel</v>
      </c>
      <c r="B1355" s="152"/>
      <c r="C1355" s="152" t="s">
        <v>185</v>
      </c>
      <c r="D1355" s="33" t="str">
        <f t="shared" si="405"/>
        <v/>
      </c>
      <c r="E1355" s="33" t="s">
        <v>185</v>
      </c>
      <c r="F1355" s="13" t="s">
        <v>185</v>
      </c>
      <c r="G1355" s="152" t="s">
        <v>185</v>
      </c>
      <c r="H1355" s="155"/>
      <c r="I1355" s="33" t="str">
        <f t="shared" si="406"/>
        <v>Cancel</v>
      </c>
      <c r="J1355" s="186" t="s">
        <v>2721</v>
      </c>
      <c r="K1355" s="155" t="s">
        <v>2722</v>
      </c>
      <c r="L1355" s="17" t="s">
        <v>67</v>
      </c>
      <c r="M1355" s="13" t="s">
        <v>60</v>
      </c>
      <c r="N1355" s="13">
        <v>1</v>
      </c>
      <c r="O1355" s="13"/>
      <c r="P1355" s="33" t="str">
        <f t="shared" si="407"/>
        <v>MAIN UNIT</v>
      </c>
      <c r="Q1355" s="13" t="s">
        <v>61</v>
      </c>
      <c r="R1355" s="13" t="s">
        <v>62</v>
      </c>
      <c r="S1355" s="13" t="s">
        <v>49</v>
      </c>
      <c r="T1355" s="13" t="s">
        <v>78</v>
      </c>
      <c r="U1355" s="13" t="s">
        <v>79</v>
      </c>
      <c r="V1355" s="13" t="s">
        <v>121</v>
      </c>
      <c r="W1355" s="13" t="s">
        <v>109</v>
      </c>
      <c r="X1355" s="135">
        <v>9225000</v>
      </c>
      <c r="Y1355" s="156">
        <v>1</v>
      </c>
      <c r="Z1355" s="18">
        <f t="shared" si="416"/>
        <v>9225000</v>
      </c>
      <c r="AA1355" s="13">
        <v>7.4899999999999994E-2</v>
      </c>
      <c r="AB1355" s="21">
        <f t="shared" si="399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02"/>
        <v>499582152.5142017</v>
      </c>
      <c r="AJ1355" s="19">
        <f t="shared" si="403"/>
        <v>59520528.679470733</v>
      </c>
      <c r="AK1355" s="20">
        <f t="shared" si="410"/>
        <v>0.11914062257814291</v>
      </c>
      <c r="AL1355" s="17"/>
      <c r="AM1355" s="17"/>
      <c r="AN1355" s="17"/>
      <c r="AO1355" s="17"/>
      <c r="AP1355" s="28" t="str">
        <f t="shared" si="411"/>
        <v>CancelCancel</v>
      </c>
      <c r="AQ1355" s="28" t="str">
        <f t="shared" si="412"/>
        <v>CancelCancelJPY</v>
      </c>
      <c r="AR1355" s="206" t="str">
        <f t="shared" si="413"/>
        <v>YAMAHA_Mounter</v>
      </c>
      <c r="AS1355" s="22" t="str">
        <f t="shared" si="414"/>
        <v/>
      </c>
      <c r="AT1355" s="24" t="str">
        <f t="shared" si="415"/>
        <v/>
      </c>
      <c r="AU1355" s="22" t="s">
        <v>3746</v>
      </c>
    </row>
    <row r="1356" spans="1:47" s="12" customFormat="1">
      <c r="A1356" s="33" t="str">
        <f t="shared" si="404"/>
        <v>cancel</v>
      </c>
      <c r="B1356" s="152"/>
      <c r="C1356" s="152" t="s">
        <v>185</v>
      </c>
      <c r="D1356" s="33" t="str">
        <f t="shared" si="405"/>
        <v/>
      </c>
      <c r="E1356" s="33" t="s">
        <v>185</v>
      </c>
      <c r="F1356" s="13" t="s">
        <v>185</v>
      </c>
      <c r="G1356" s="152" t="s">
        <v>185</v>
      </c>
      <c r="H1356" s="155"/>
      <c r="I1356" s="33" t="str">
        <f t="shared" si="406"/>
        <v>Cancel</v>
      </c>
      <c r="J1356" s="186" t="s">
        <v>2721</v>
      </c>
      <c r="K1356" s="155" t="s">
        <v>2722</v>
      </c>
      <c r="L1356" s="17" t="s">
        <v>67</v>
      </c>
      <c r="M1356" s="13" t="s">
        <v>60</v>
      </c>
      <c r="N1356" s="13">
        <v>1</v>
      </c>
      <c r="O1356" s="13"/>
      <c r="P1356" s="33" t="str">
        <f t="shared" si="407"/>
        <v>MAIN UNIT</v>
      </c>
      <c r="Q1356" s="13" t="s">
        <v>61</v>
      </c>
      <c r="R1356" s="13" t="s">
        <v>62</v>
      </c>
      <c r="S1356" s="13" t="s">
        <v>49</v>
      </c>
      <c r="T1356" s="13" t="s">
        <v>78</v>
      </c>
      <c r="U1356" s="13" t="s">
        <v>79</v>
      </c>
      <c r="V1356" s="13" t="s">
        <v>121</v>
      </c>
      <c r="W1356" s="13" t="s">
        <v>109</v>
      </c>
      <c r="X1356" s="135">
        <v>9225000</v>
      </c>
      <c r="Y1356" s="156">
        <v>1</v>
      </c>
      <c r="Z1356" s="18">
        <f t="shared" si="416"/>
        <v>9225000</v>
      </c>
      <c r="AA1356" s="13">
        <v>7.4899999999999994E-2</v>
      </c>
      <c r="AB1356" s="21">
        <f t="shared" si="399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02"/>
        <v>499582152.5142017</v>
      </c>
      <c r="AJ1356" s="19">
        <f t="shared" si="403"/>
        <v>59520528.679470733</v>
      </c>
      <c r="AK1356" s="20">
        <f t="shared" si="410"/>
        <v>0.11914062257814291</v>
      </c>
      <c r="AL1356" s="17"/>
      <c r="AM1356" s="17"/>
      <c r="AN1356" s="17"/>
      <c r="AO1356" s="17"/>
      <c r="AP1356" s="28" t="str">
        <f t="shared" si="411"/>
        <v>CancelCancel</v>
      </c>
      <c r="AQ1356" s="28" t="str">
        <f t="shared" si="412"/>
        <v>CancelCancelJPY</v>
      </c>
      <c r="AR1356" s="206" t="str">
        <f t="shared" si="413"/>
        <v>YAMAHA_Mounter</v>
      </c>
      <c r="AS1356" s="22" t="str">
        <f t="shared" si="414"/>
        <v/>
      </c>
      <c r="AT1356" s="24" t="str">
        <f t="shared" si="415"/>
        <v/>
      </c>
      <c r="AU1356" s="22" t="s">
        <v>3746</v>
      </c>
    </row>
    <row r="1357" spans="1:47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185</v>
      </c>
      <c r="F1357" s="13" t="s">
        <v>185</v>
      </c>
      <c r="G1357" s="152" t="s">
        <v>185</v>
      </c>
      <c r="H1357" s="155"/>
      <c r="I1357" s="33" t="str">
        <f t="shared" si="406"/>
        <v>Cancel</v>
      </c>
      <c r="J1357" s="186" t="s">
        <v>186</v>
      </c>
      <c r="K1357" s="155" t="s">
        <v>187</v>
      </c>
      <c r="L1357" s="17" t="s">
        <v>67</v>
      </c>
      <c r="M1357" s="13" t="s">
        <v>60</v>
      </c>
      <c r="N1357" s="13">
        <v>3</v>
      </c>
      <c r="O1357" s="13"/>
      <c r="P1357" s="33" t="str">
        <f t="shared" si="407"/>
        <v>MAIN UNIT</v>
      </c>
      <c r="Q1357" s="13" t="s">
        <v>68</v>
      </c>
      <c r="R1357" s="13" t="s">
        <v>62</v>
      </c>
      <c r="S1357" s="13" t="s">
        <v>49</v>
      </c>
      <c r="T1357" s="13"/>
      <c r="U1357" s="13" t="s">
        <v>79</v>
      </c>
      <c r="V1357" s="13" t="s">
        <v>134</v>
      </c>
      <c r="W1357" s="13" t="s">
        <v>109</v>
      </c>
      <c r="X1357" s="135">
        <v>9666667</v>
      </c>
      <c r="Y1357" s="156">
        <v>1</v>
      </c>
      <c r="Z1357" s="18">
        <f t="shared" si="416"/>
        <v>29000001</v>
      </c>
      <c r="AA1357" s="13">
        <v>7.0300000000000001E-2</v>
      </c>
      <c r="AB1357" s="21">
        <f t="shared" si="399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02"/>
        <v>499582152.5142017</v>
      </c>
      <c r="AJ1357" s="19">
        <f t="shared" si="403"/>
        <v>59520528.679470733</v>
      </c>
      <c r="AK1357" s="20">
        <f t="shared" si="410"/>
        <v>0.11914062257814291</v>
      </c>
      <c r="AL1357" s="17"/>
      <c r="AM1357" s="17"/>
      <c r="AN1357" s="17"/>
      <c r="AO1357" s="17"/>
      <c r="AP1357" s="28" t="str">
        <f t="shared" si="411"/>
        <v>CancelCancel</v>
      </c>
      <c r="AQ1357" s="28" t="str">
        <f t="shared" si="412"/>
        <v>CancelCancelJPY</v>
      </c>
      <c r="AR1357" s="206" t="str">
        <f t="shared" si="413"/>
        <v>YAMAHA_Mounter</v>
      </c>
      <c r="AS1357" s="22" t="str">
        <f t="shared" si="414"/>
        <v/>
      </c>
      <c r="AT1357" s="24" t="str">
        <f t="shared" si="415"/>
        <v/>
      </c>
      <c r="AU1357" s="22">
        <v>0</v>
      </c>
    </row>
    <row r="1358" spans="1:47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41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394</v>
      </c>
      <c r="K1358" s="155" t="s">
        <v>395</v>
      </c>
      <c r="L1358" s="17" t="s">
        <v>92</v>
      </c>
      <c r="M1358" s="13" t="s">
        <v>60</v>
      </c>
      <c r="N1358" s="13">
        <v>2</v>
      </c>
      <c r="O1358" s="13"/>
      <c r="P1358" s="33" t="str">
        <f t="shared" si="407"/>
        <v>MAIN UNIT</v>
      </c>
      <c r="Q1358" s="13" t="s">
        <v>68</v>
      </c>
      <c r="R1358" s="13" t="s">
        <v>62</v>
      </c>
      <c r="S1358" s="13" t="s">
        <v>49</v>
      </c>
      <c r="T1358" s="13" t="s">
        <v>396</v>
      </c>
      <c r="U1358" s="13" t="s">
        <v>79</v>
      </c>
      <c r="V1358" s="13" t="s">
        <v>80</v>
      </c>
      <c r="W1358" s="13" t="s">
        <v>109</v>
      </c>
      <c r="X1358" s="135">
        <v>14670000</v>
      </c>
      <c r="Y1358" s="156">
        <v>1</v>
      </c>
      <c r="Z1358" s="18">
        <f t="shared" si="416"/>
        <v>29340000</v>
      </c>
      <c r="AA1358" s="13">
        <v>7.0400000000000004E-2</v>
      </c>
      <c r="AB1358" s="21">
        <f t="shared" si="399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02"/>
        <v>29840797.698275864</v>
      </c>
      <c r="AJ1358" s="19">
        <f t="shared" si="403"/>
        <v>3940167.6555448272</v>
      </c>
      <c r="AK1358" s="20">
        <f t="shared" si="410"/>
        <v>0.13203962224416277</v>
      </c>
      <c r="AL1358" s="17"/>
      <c r="AM1358" s="17"/>
      <c r="AN1358" s="17"/>
      <c r="AO1358" s="17"/>
      <c r="AP1358" s="28" t="str">
        <f t="shared" si="411"/>
        <v>201812</v>
      </c>
      <c r="AQ1358" s="28" t="str">
        <f t="shared" si="412"/>
        <v>201812JPY</v>
      </c>
      <c r="AR1358" s="206" t="str">
        <f t="shared" si="413"/>
        <v>YAMAHA_Mounter</v>
      </c>
      <c r="AS1358" s="22">
        <f t="shared" si="414"/>
        <v>6</v>
      </c>
      <c r="AT1358" s="24" t="str">
        <f t="shared" si="415"/>
        <v>4-6 months</v>
      </c>
      <c r="AU1358" s="22" t="s">
        <v>3745</v>
      </c>
    </row>
    <row r="1359" spans="1:47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41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418</v>
      </c>
      <c r="K1359" s="155" t="s">
        <v>395</v>
      </c>
      <c r="L1359" s="17" t="s">
        <v>92</v>
      </c>
      <c r="M1359" s="13" t="s">
        <v>60</v>
      </c>
      <c r="N1359" s="13">
        <v>2</v>
      </c>
      <c r="O1359" s="13"/>
      <c r="P1359" s="33" t="str">
        <f t="shared" si="407"/>
        <v>MAIN UNIT</v>
      </c>
      <c r="Q1359" s="13" t="s">
        <v>68</v>
      </c>
      <c r="R1359" s="13" t="s">
        <v>62</v>
      </c>
      <c r="S1359" s="13" t="s">
        <v>49</v>
      </c>
      <c r="T1359" s="13" t="s">
        <v>396</v>
      </c>
      <c r="U1359" s="13" t="s">
        <v>79</v>
      </c>
      <c r="V1359" s="13" t="s">
        <v>80</v>
      </c>
      <c r="W1359" s="13" t="s">
        <v>109</v>
      </c>
      <c r="X1359" s="135">
        <v>15200000</v>
      </c>
      <c r="Y1359" s="156">
        <v>1</v>
      </c>
      <c r="Z1359" s="18">
        <f t="shared" si="416"/>
        <v>30400000</v>
      </c>
      <c r="AA1359" s="13">
        <v>7.0199999999999999E-2</v>
      </c>
      <c r="AB1359" s="21">
        <f t="shared" si="399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02"/>
        <v>10786543.370020689</v>
      </c>
      <c r="AJ1359" s="19">
        <f t="shared" si="403"/>
        <v>1330367.5841569281</v>
      </c>
      <c r="AK1359" s="20">
        <f t="shared" si="410"/>
        <v>0.123335858255987</v>
      </c>
      <c r="AL1359" s="17"/>
      <c r="AM1359" s="17"/>
      <c r="AN1359" s="17"/>
      <c r="AO1359" s="17"/>
      <c r="AP1359" s="28" t="str">
        <f t="shared" si="411"/>
        <v>201810</v>
      </c>
      <c r="AQ1359" s="28" t="str">
        <f t="shared" si="412"/>
        <v>201810JPY</v>
      </c>
      <c r="AR1359" s="206" t="str">
        <f t="shared" si="413"/>
        <v>YAMAHA_Mounter</v>
      </c>
      <c r="AS1359" s="22">
        <f t="shared" si="414"/>
        <v>4</v>
      </c>
      <c r="AT1359" s="24" t="str">
        <f t="shared" si="415"/>
        <v>4-6 months</v>
      </c>
      <c r="AU1359" s="22" t="s">
        <v>3745</v>
      </c>
    </row>
    <row r="1360" spans="1:47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48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1524</v>
      </c>
      <c r="K1360" s="155" t="s">
        <v>395</v>
      </c>
      <c r="L1360" s="17" t="s">
        <v>92</v>
      </c>
      <c r="M1360" s="13" t="s">
        <v>60</v>
      </c>
      <c r="N1360" s="13">
        <v>1</v>
      </c>
      <c r="O1360" s="13"/>
      <c r="P1360" s="33" t="str">
        <f t="shared" si="407"/>
        <v>MAIN UNIT</v>
      </c>
      <c r="Q1360" s="13" t="s">
        <v>61</v>
      </c>
      <c r="R1360" s="13" t="s">
        <v>62</v>
      </c>
      <c r="S1360" s="13" t="s">
        <v>49</v>
      </c>
      <c r="T1360" s="13" t="s">
        <v>78</v>
      </c>
      <c r="U1360" s="13" t="s">
        <v>79</v>
      </c>
      <c r="V1360" s="13" t="s">
        <v>80</v>
      </c>
      <c r="W1360" s="13" t="s">
        <v>109</v>
      </c>
      <c r="X1360" s="135">
        <v>15081320</v>
      </c>
      <c r="Y1360" s="157" t="str">
        <f>IF(W1360="RMB","1.13", "1")</f>
        <v>1</v>
      </c>
      <c r="Z1360" s="18">
        <f t="shared" si="416"/>
        <v>15081320</v>
      </c>
      <c r="AA1360" s="13">
        <v>7.6799999999999993E-2</v>
      </c>
      <c r="AB1360" s="21">
        <f t="shared" si="399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02"/>
        <v>45803245.025628321</v>
      </c>
      <c r="AJ1360" s="19">
        <f t="shared" si="403"/>
        <v>5664636.2584379362</v>
      </c>
      <c r="AK1360" s="20">
        <f t="shared" si="410"/>
        <v>0.12367325186825515</v>
      </c>
      <c r="AL1360" s="17"/>
      <c r="AM1360" s="17"/>
      <c r="AN1360" s="17"/>
      <c r="AO1360" s="17"/>
      <c r="AP1360" s="28" t="str">
        <f t="shared" si="411"/>
        <v>20211</v>
      </c>
      <c r="AQ1360" s="28" t="str">
        <f t="shared" si="412"/>
        <v>20211JPY</v>
      </c>
      <c r="AR1360" s="206" t="str">
        <f t="shared" si="413"/>
        <v>YAMAHA_Mounter</v>
      </c>
      <c r="AS1360" s="22">
        <f t="shared" si="414"/>
        <v>2</v>
      </c>
      <c r="AT1360" s="24" t="str">
        <f t="shared" si="415"/>
        <v>0-3 months</v>
      </c>
      <c r="AU1360" s="22" t="s">
        <v>3745</v>
      </c>
    </row>
    <row r="1361" spans="1:47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48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1524</v>
      </c>
      <c r="K1361" s="155" t="s">
        <v>395</v>
      </c>
      <c r="L1361" s="17" t="s">
        <v>92</v>
      </c>
      <c r="M1361" s="13" t="s">
        <v>60</v>
      </c>
      <c r="N1361" s="13">
        <v>1</v>
      </c>
      <c r="O1361" s="13"/>
      <c r="P1361" s="33" t="str">
        <f t="shared" si="407"/>
        <v>MAIN UNIT</v>
      </c>
      <c r="Q1361" s="13" t="s">
        <v>61</v>
      </c>
      <c r="R1361" s="13" t="s">
        <v>62</v>
      </c>
      <c r="S1361" s="13" t="s">
        <v>49</v>
      </c>
      <c r="T1361" s="13" t="s">
        <v>78</v>
      </c>
      <c r="U1361" s="13" t="s">
        <v>79</v>
      </c>
      <c r="V1361" s="13" t="s">
        <v>80</v>
      </c>
      <c r="W1361" s="13" t="s">
        <v>109</v>
      </c>
      <c r="X1361" s="135">
        <v>15081320</v>
      </c>
      <c r="Y1361" s="157" t="str">
        <f>IF(W1361="RMB","1.13", "1")</f>
        <v>1</v>
      </c>
      <c r="Z1361" s="18">
        <f t="shared" si="416"/>
        <v>15081320</v>
      </c>
      <c r="AA1361" s="13">
        <v>7.6799999999999993E-2</v>
      </c>
      <c r="AB1361" s="21">
        <f t="shared" si="399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02"/>
        <v>45803245.025628321</v>
      </c>
      <c r="AJ1361" s="19">
        <f t="shared" si="403"/>
        <v>5664636.2584379362</v>
      </c>
      <c r="AK1361" s="20">
        <f t="shared" si="410"/>
        <v>0.12367325186825515</v>
      </c>
      <c r="AL1361" s="17"/>
      <c r="AM1361" s="17"/>
      <c r="AN1361" s="17"/>
      <c r="AO1361" s="17"/>
      <c r="AP1361" s="28" t="str">
        <f t="shared" si="411"/>
        <v>20211</v>
      </c>
      <c r="AQ1361" s="28" t="str">
        <f t="shared" si="412"/>
        <v>20211JPY</v>
      </c>
      <c r="AR1361" s="206" t="str">
        <f t="shared" si="413"/>
        <v>YAMAHA_Mounter</v>
      </c>
      <c r="AS1361" s="22">
        <f t="shared" si="414"/>
        <v>2</v>
      </c>
      <c r="AT1361" s="24" t="str">
        <f t="shared" si="415"/>
        <v>0-3 months</v>
      </c>
      <c r="AU1361" s="22" t="s">
        <v>3745</v>
      </c>
    </row>
    <row r="1362" spans="1:47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3172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3350</v>
      </c>
      <c r="K1362" s="29" t="s">
        <v>989</v>
      </c>
      <c r="L1362" s="17" t="s">
        <v>3351</v>
      </c>
      <c r="M1362" s="22" t="s">
        <v>60</v>
      </c>
      <c r="N1362" s="22">
        <v>1</v>
      </c>
      <c r="O1362" s="22"/>
      <c r="P1362" s="33" t="str">
        <f t="shared" si="407"/>
        <v>MAIN UNIT</v>
      </c>
      <c r="Q1362" s="13" t="s">
        <v>61</v>
      </c>
      <c r="R1362" s="22" t="s">
        <v>2055</v>
      </c>
      <c r="S1362" s="22" t="s">
        <v>49</v>
      </c>
      <c r="T1362" s="22" t="s">
        <v>78</v>
      </c>
      <c r="U1362" s="22" t="s">
        <v>246</v>
      </c>
      <c r="V1362" s="22" t="s">
        <v>2057</v>
      </c>
      <c r="W1362" s="22" t="s">
        <v>2507</v>
      </c>
      <c r="X1362" s="30">
        <v>240000</v>
      </c>
      <c r="Y1362" s="31" t="str">
        <f>IF(W1362="","",IF(W1362="RMB","1.13", "1"))</f>
        <v>1</v>
      </c>
      <c r="Z1362" s="18">
        <f t="shared" si="416"/>
        <v>240000</v>
      </c>
      <c r="AA1362" s="22">
        <v>1</v>
      </c>
      <c r="AB1362" s="21">
        <f t="shared" si="399"/>
        <v>240000</v>
      </c>
      <c r="AC1362" s="25">
        <f t="shared" si="408"/>
        <v>80592</v>
      </c>
      <c r="AD1362" s="22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02"/>
        <v>11472879.764601771</v>
      </c>
      <c r="AJ1362" s="27">
        <f t="shared" si="403"/>
        <v>2038344.1716106194</v>
      </c>
      <c r="AK1362" s="28">
        <f t="shared" si="410"/>
        <v>0.17766630640544948</v>
      </c>
      <c r="AL1362" s="24"/>
      <c r="AM1362" s="24"/>
      <c r="AN1362" s="24"/>
      <c r="AO1362" s="24"/>
      <c r="AP1362" s="28" t="str">
        <f t="shared" si="411"/>
        <v>20245</v>
      </c>
      <c r="AQ1362" s="28" t="str">
        <f t="shared" si="412"/>
        <v>20245HKD</v>
      </c>
      <c r="AR1362" s="206" t="str">
        <f t="shared" si="413"/>
        <v>YAMAHA_Non_Mounter</v>
      </c>
      <c r="AS1362" s="22">
        <f t="shared" si="414"/>
        <v>2</v>
      </c>
      <c r="AT1362" s="24" t="str">
        <f t="shared" si="415"/>
        <v>0-3 months</v>
      </c>
      <c r="AU1362" s="22" t="s">
        <v>3746</v>
      </c>
    </row>
    <row r="1363" spans="1:47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43</v>
      </c>
      <c r="M1363" s="22" t="s">
        <v>43</v>
      </c>
      <c r="N1363" s="22">
        <v>0</v>
      </c>
      <c r="O1363" s="22"/>
      <c r="P1363" s="33" t="str">
        <f t="shared" si="407"/>
        <v>C66 SERVICE/OTHERS</v>
      </c>
      <c r="Q1363" s="22" t="s">
        <v>45</v>
      </c>
      <c r="R1363" s="22" t="s">
        <v>45</v>
      </c>
      <c r="S1363" s="22" t="s">
        <v>52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6"/>
        <v/>
      </c>
      <c r="AA1363" s="22"/>
      <c r="AB1363" s="197">
        <v>15000</v>
      </c>
      <c r="AC1363" s="198">
        <f t="shared" si="408"/>
        <v>4500</v>
      </c>
      <c r="AD1363" s="227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02"/>
        <v>11472879.764601771</v>
      </c>
      <c r="AJ1363" s="200">
        <f t="shared" si="403"/>
        <v>2038344.1716106194</v>
      </c>
      <c r="AK1363" s="201">
        <f t="shared" si="410"/>
        <v>0.17766630640544948</v>
      </c>
      <c r="AL1363" s="24"/>
      <c r="AM1363" s="24"/>
      <c r="AN1363" s="24"/>
      <c r="AO1363" s="24"/>
      <c r="AP1363" s="105" t="str">
        <f t="shared" si="411"/>
        <v>20245</v>
      </c>
      <c r="AQ1363" s="28" t="str">
        <f t="shared" si="412"/>
        <v/>
      </c>
      <c r="AR1363" s="206" t="str">
        <f t="shared" si="413"/>
        <v>C66 SERVICE</v>
      </c>
      <c r="AS1363" s="22" t="str">
        <f t="shared" si="414"/>
        <v/>
      </c>
      <c r="AT1363" s="24" t="str">
        <f t="shared" si="415"/>
        <v/>
      </c>
      <c r="AU1363" s="22">
        <v>0</v>
      </c>
    </row>
    <row r="1364" spans="1:47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185</v>
      </c>
      <c r="F1364" s="13" t="s">
        <v>185</v>
      </c>
      <c r="G1364" s="152" t="s">
        <v>185</v>
      </c>
      <c r="H1364" s="155"/>
      <c r="I1364" s="33" t="str">
        <f t="shared" si="406"/>
        <v>Cancel</v>
      </c>
      <c r="J1364" s="186" t="s">
        <v>602</v>
      </c>
      <c r="K1364" s="155" t="s">
        <v>603</v>
      </c>
      <c r="L1364" s="17" t="s">
        <v>293</v>
      </c>
      <c r="M1364" s="13" t="s">
        <v>60</v>
      </c>
      <c r="N1364" s="13">
        <v>4</v>
      </c>
      <c r="O1364" s="13"/>
      <c r="P1364" s="33" t="str">
        <f t="shared" si="407"/>
        <v>MAIN UNIT</v>
      </c>
      <c r="Q1364" s="13" t="s">
        <v>61</v>
      </c>
      <c r="R1364" s="13" t="s">
        <v>62</v>
      </c>
      <c r="S1364" s="13" t="s">
        <v>49</v>
      </c>
      <c r="T1364" s="13" t="s">
        <v>78</v>
      </c>
      <c r="U1364" s="13" t="s">
        <v>79</v>
      </c>
      <c r="V1364" s="13" t="s">
        <v>131</v>
      </c>
      <c r="W1364" s="13" t="s">
        <v>109</v>
      </c>
      <c r="X1364" s="135">
        <v>26642000</v>
      </c>
      <c r="Y1364" s="156">
        <v>1</v>
      </c>
      <c r="Z1364" s="18">
        <f t="shared" si="416"/>
        <v>106568000</v>
      </c>
      <c r="AA1364" s="13">
        <v>7.0699999999999999E-2</v>
      </c>
      <c r="AB1364" s="21">
        <f t="shared" ref="AB1364:AB1389" si="417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02"/>
        <v>499582152.5142017</v>
      </c>
      <c r="AJ1364" s="19">
        <f t="shared" si="403"/>
        <v>59520528.679470733</v>
      </c>
      <c r="AK1364" s="20">
        <f t="shared" si="410"/>
        <v>0.11914062257814291</v>
      </c>
      <c r="AL1364" s="17"/>
      <c r="AM1364" s="17"/>
      <c r="AN1364" s="17"/>
      <c r="AO1364" s="17"/>
      <c r="AP1364" s="28" t="str">
        <f t="shared" si="411"/>
        <v>CancelCancel</v>
      </c>
      <c r="AQ1364" s="28" t="str">
        <f t="shared" si="412"/>
        <v>CancelCancelJPY</v>
      </c>
      <c r="AR1364" s="206" t="str">
        <f t="shared" si="413"/>
        <v>YAMAHA_Mounter</v>
      </c>
      <c r="AS1364" s="22" t="str">
        <f t="shared" si="414"/>
        <v/>
      </c>
      <c r="AT1364" s="24" t="str">
        <f t="shared" si="415"/>
        <v/>
      </c>
      <c r="AU1364" s="22" t="s">
        <v>3745</v>
      </c>
    </row>
    <row r="1365" spans="1:47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55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2581</v>
      </c>
      <c r="K1365" s="155" t="s">
        <v>2582</v>
      </c>
      <c r="L1365" s="17" t="s">
        <v>67</v>
      </c>
      <c r="M1365" s="13" t="s">
        <v>60</v>
      </c>
      <c r="N1365" s="13">
        <v>1</v>
      </c>
      <c r="O1365" s="13"/>
      <c r="P1365" s="33" t="str">
        <f t="shared" si="407"/>
        <v>MAIN UNIT</v>
      </c>
      <c r="Q1365" s="13" t="s">
        <v>61</v>
      </c>
      <c r="R1365" s="13" t="s">
        <v>62</v>
      </c>
      <c r="S1365" s="13" t="s">
        <v>49</v>
      </c>
      <c r="T1365" s="13" t="s">
        <v>78</v>
      </c>
      <c r="U1365" s="13" t="s">
        <v>79</v>
      </c>
      <c r="V1365" s="13" t="s">
        <v>311</v>
      </c>
      <c r="W1365" s="13" t="s">
        <v>64</v>
      </c>
      <c r="X1365" s="135">
        <v>430000</v>
      </c>
      <c r="Y1365" s="157" t="str">
        <f>IF(W1365="","",IF(W1365="RMB","1.13", "1"))</f>
        <v>1.13</v>
      </c>
      <c r="Z1365" s="18">
        <f t="shared" si="416"/>
        <v>430000</v>
      </c>
      <c r="AA1365" s="13">
        <v>1.07</v>
      </c>
      <c r="AB1365" s="21">
        <f t="shared" si="417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02"/>
        <v>11730565.00042478</v>
      </c>
      <c r="AJ1365" s="19">
        <f t="shared" si="403"/>
        <v>1439625.5685810833</v>
      </c>
      <c r="AK1365" s="20">
        <f t="shared" si="410"/>
        <v>0.12272431622253084</v>
      </c>
      <c r="AL1365" s="17"/>
      <c r="AM1365" s="17"/>
      <c r="AN1365" s="17"/>
      <c r="AO1365" s="17"/>
      <c r="AP1365" s="28" t="str">
        <f t="shared" si="411"/>
        <v>202311</v>
      </c>
      <c r="AQ1365" s="28" t="str">
        <f t="shared" si="412"/>
        <v>202311RMB</v>
      </c>
      <c r="AR1365" s="206" t="str">
        <f t="shared" si="413"/>
        <v>YAMAHA_Mounter</v>
      </c>
      <c r="AS1365" s="22">
        <f t="shared" si="414"/>
        <v>0</v>
      </c>
      <c r="AT1365" s="24" t="str">
        <f t="shared" si="415"/>
        <v>0-3 months</v>
      </c>
      <c r="AU1365" s="22" t="s">
        <v>3751</v>
      </c>
    </row>
    <row r="1366" spans="1:47" s="12" customFormat="1">
      <c r="A1366" s="33" t="str">
        <f t="shared" si="404"/>
        <v>cancel</v>
      </c>
      <c r="B1366" s="152"/>
      <c r="C1366" s="152" t="s">
        <v>185</v>
      </c>
      <c r="D1366" s="33" t="str">
        <f t="shared" si="405"/>
        <v/>
      </c>
      <c r="E1366" s="33" t="s">
        <v>185</v>
      </c>
      <c r="F1366" s="13" t="s">
        <v>185</v>
      </c>
      <c r="G1366" s="152" t="s">
        <v>1616</v>
      </c>
      <c r="H1366" s="155"/>
      <c r="I1366" s="33" t="str">
        <f t="shared" si="406"/>
        <v>Cancel</v>
      </c>
      <c r="J1366" s="186" t="s">
        <v>2767</v>
      </c>
      <c r="K1366" s="155" t="s">
        <v>2582</v>
      </c>
      <c r="L1366" s="17" t="s">
        <v>67</v>
      </c>
      <c r="M1366" s="13" t="s">
        <v>60</v>
      </c>
      <c r="N1366" s="13">
        <v>1</v>
      </c>
      <c r="O1366" s="13"/>
      <c r="P1366" s="33" t="str">
        <f t="shared" si="407"/>
        <v>MAIN UNIT</v>
      </c>
      <c r="Q1366" s="13" t="s">
        <v>68</v>
      </c>
      <c r="R1366" s="13" t="s">
        <v>62</v>
      </c>
      <c r="S1366" s="13" t="s">
        <v>49</v>
      </c>
      <c r="T1366" s="13" t="s">
        <v>78</v>
      </c>
      <c r="U1366" s="13" t="s">
        <v>79</v>
      </c>
      <c r="V1366" s="13" t="s">
        <v>1885</v>
      </c>
      <c r="W1366" s="13" t="s">
        <v>64</v>
      </c>
      <c r="X1366" s="135">
        <v>515000</v>
      </c>
      <c r="Y1366" s="157" t="str">
        <f>IF(W1366="RMB","1.13", "1")</f>
        <v>1.13</v>
      </c>
      <c r="Z1366" s="18">
        <f t="shared" si="416"/>
        <v>515000</v>
      </c>
      <c r="AA1366" s="13">
        <v>1.2</v>
      </c>
      <c r="AB1366" s="21">
        <f t="shared" si="417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02"/>
        <v>499582152.5142017</v>
      </c>
      <c r="AJ1366" s="19">
        <f t="shared" si="403"/>
        <v>59520528.679470733</v>
      </c>
      <c r="AK1366" s="20">
        <f t="shared" si="410"/>
        <v>0.11914062257814291</v>
      </c>
      <c r="AL1366" s="17"/>
      <c r="AM1366" s="17"/>
      <c r="AN1366" s="17"/>
      <c r="AO1366" s="17"/>
      <c r="AP1366" s="28" t="str">
        <f t="shared" si="411"/>
        <v>CancelCANCEL</v>
      </c>
      <c r="AQ1366" s="28" t="str">
        <f t="shared" si="412"/>
        <v>CancelCANCELRMB</v>
      </c>
      <c r="AR1366" s="206" t="str">
        <f t="shared" si="413"/>
        <v>YAMAHA_Mounter</v>
      </c>
      <c r="AS1366" s="22" t="str">
        <f t="shared" si="414"/>
        <v/>
      </c>
      <c r="AT1366" s="24" t="str">
        <f t="shared" si="415"/>
        <v/>
      </c>
      <c r="AU1366" s="22" t="s">
        <v>3240</v>
      </c>
    </row>
    <row r="1367" spans="1:47" s="12" customFormat="1">
      <c r="A1367" s="33" t="str">
        <f t="shared" si="404"/>
        <v>cancel</v>
      </c>
      <c r="B1367" s="152"/>
      <c r="C1367" s="152" t="s">
        <v>185</v>
      </c>
      <c r="D1367" s="33" t="str">
        <f t="shared" si="405"/>
        <v/>
      </c>
      <c r="E1367" s="33" t="s">
        <v>185</v>
      </c>
      <c r="F1367" s="13" t="s">
        <v>185</v>
      </c>
      <c r="G1367" s="152" t="s">
        <v>185</v>
      </c>
      <c r="H1367" s="155" t="s">
        <v>2758</v>
      </c>
      <c r="I1367" s="33" t="str">
        <f t="shared" si="406"/>
        <v>Cancel</v>
      </c>
      <c r="J1367" s="186" t="s">
        <v>2768</v>
      </c>
      <c r="K1367" s="155" t="s">
        <v>2582</v>
      </c>
      <c r="L1367" s="17" t="s">
        <v>92</v>
      </c>
      <c r="M1367" s="13" t="s">
        <v>60</v>
      </c>
      <c r="N1367" s="13">
        <v>1</v>
      </c>
      <c r="O1367" s="13"/>
      <c r="P1367" s="33" t="str">
        <f t="shared" si="407"/>
        <v>MAIN UNIT</v>
      </c>
      <c r="Q1367" s="13" t="s">
        <v>68</v>
      </c>
      <c r="R1367" s="13" t="s">
        <v>62</v>
      </c>
      <c r="S1367" s="13" t="s">
        <v>49</v>
      </c>
      <c r="T1367" s="13" t="s">
        <v>78</v>
      </c>
      <c r="U1367" s="13" t="s">
        <v>79</v>
      </c>
      <c r="V1367" s="13" t="s">
        <v>1885</v>
      </c>
      <c r="W1367" s="13" t="s">
        <v>109</v>
      </c>
      <c r="X1367" s="135">
        <v>13600000</v>
      </c>
      <c r="Y1367" s="157" t="str">
        <f>IF(W1367="RMB","1.13", "1")</f>
        <v>1</v>
      </c>
      <c r="Z1367" s="18">
        <f t="shared" si="416"/>
        <v>13600000</v>
      </c>
      <c r="AA1367" s="13">
        <v>6.25E-2</v>
      </c>
      <c r="AB1367" s="21">
        <f t="shared" si="417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02"/>
        <v>499582152.5142017</v>
      </c>
      <c r="AJ1367" s="19">
        <f t="shared" si="403"/>
        <v>59520528.679470733</v>
      </c>
      <c r="AK1367" s="20">
        <f t="shared" si="410"/>
        <v>0.11914062257814291</v>
      </c>
      <c r="AL1367" s="17"/>
      <c r="AM1367" s="17"/>
      <c r="AN1367" s="17"/>
      <c r="AO1367" s="17"/>
      <c r="AP1367" s="28" t="str">
        <f t="shared" si="411"/>
        <v>CancelCancel</v>
      </c>
      <c r="AQ1367" s="28" t="str">
        <f t="shared" si="412"/>
        <v>CancelCancelJPY</v>
      </c>
      <c r="AR1367" s="206" t="str">
        <f t="shared" si="413"/>
        <v>YAMAHA_Mounter</v>
      </c>
      <c r="AS1367" s="22" t="str">
        <f t="shared" si="414"/>
        <v/>
      </c>
      <c r="AT1367" s="24" t="str">
        <f t="shared" si="415"/>
        <v/>
      </c>
      <c r="AU1367" s="22" t="s">
        <v>3745</v>
      </c>
    </row>
    <row r="1368" spans="1:47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41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458</v>
      </c>
      <c r="K1368" s="155" t="s">
        <v>459</v>
      </c>
      <c r="L1368" s="17" t="s">
        <v>77</v>
      </c>
      <c r="M1368" s="13" t="s">
        <v>60</v>
      </c>
      <c r="N1368" s="13">
        <v>1</v>
      </c>
      <c r="O1368" s="13"/>
      <c r="P1368" s="33" t="str">
        <f t="shared" si="407"/>
        <v>MAIN UNIT</v>
      </c>
      <c r="Q1368" s="13" t="s">
        <v>61</v>
      </c>
      <c r="R1368" s="13" t="s">
        <v>62</v>
      </c>
      <c r="S1368" s="13" t="s">
        <v>50</v>
      </c>
      <c r="T1368" s="13" t="s">
        <v>168</v>
      </c>
      <c r="U1368" s="13" t="s">
        <v>89</v>
      </c>
      <c r="V1368" s="13" t="s">
        <v>84</v>
      </c>
      <c r="W1368" s="13" t="s">
        <v>64</v>
      </c>
      <c r="X1368" s="135">
        <v>843000</v>
      </c>
      <c r="Y1368" s="156">
        <v>1.1599999999999999</v>
      </c>
      <c r="Z1368" s="18">
        <f t="shared" si="416"/>
        <v>843000</v>
      </c>
      <c r="AA1368" s="13">
        <v>1.1499999999999999</v>
      </c>
      <c r="AB1368" s="21">
        <f t="shared" si="417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02"/>
        <v>26754147.763010349</v>
      </c>
      <c r="AJ1368" s="19">
        <f t="shared" si="403"/>
        <v>3429137.9965357962</v>
      </c>
      <c r="AK1368" s="20">
        <f t="shared" si="410"/>
        <v>0.12817220069617921</v>
      </c>
      <c r="AL1368" s="17"/>
      <c r="AM1368" s="17"/>
      <c r="AN1368" s="17"/>
      <c r="AO1368" s="17"/>
      <c r="AP1368" s="28" t="str">
        <f t="shared" si="411"/>
        <v>20188</v>
      </c>
      <c r="AQ1368" s="28" t="str">
        <f t="shared" si="412"/>
        <v>20188RMB</v>
      </c>
      <c r="AR1368" s="206" t="str">
        <f t="shared" si="413"/>
        <v>YAMAHA_Mounter</v>
      </c>
      <c r="AS1368" s="22">
        <f t="shared" si="414"/>
        <v>3</v>
      </c>
      <c r="AT1368" s="24" t="str">
        <f t="shared" si="415"/>
        <v>0-3 months</v>
      </c>
      <c r="AU1368" s="22" t="s">
        <v>3240</v>
      </c>
    </row>
    <row r="1369" spans="1:47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48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1449</v>
      </c>
      <c r="K1369" s="155" t="s">
        <v>1450</v>
      </c>
      <c r="L1369" s="17" t="s">
        <v>92</v>
      </c>
      <c r="M1369" s="13" t="s">
        <v>60</v>
      </c>
      <c r="N1369" s="13">
        <v>1</v>
      </c>
      <c r="O1369" s="13"/>
      <c r="P1369" s="33" t="str">
        <f t="shared" si="407"/>
        <v>MAIN UNIT</v>
      </c>
      <c r="Q1369" s="13" t="s">
        <v>61</v>
      </c>
      <c r="R1369" s="13" t="s">
        <v>62</v>
      </c>
      <c r="S1369" s="13" t="s">
        <v>50</v>
      </c>
      <c r="T1369" s="13" t="s">
        <v>168</v>
      </c>
      <c r="U1369" s="13" t="s">
        <v>89</v>
      </c>
      <c r="V1369" s="13" t="s">
        <v>84</v>
      </c>
      <c r="W1369" s="13" t="s">
        <v>64</v>
      </c>
      <c r="X1369" s="135">
        <v>900000</v>
      </c>
      <c r="Y1369" s="157" t="str">
        <f>IF(W1369="RMB","1.13", "1")</f>
        <v>1.13</v>
      </c>
      <c r="Z1369" s="18">
        <f t="shared" si="416"/>
        <v>900000</v>
      </c>
      <c r="AA1369" s="13">
        <v>1.175</v>
      </c>
      <c r="AB1369" s="21">
        <f t="shared" si="417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02"/>
        <v>48763143.537654862</v>
      </c>
      <c r="AJ1369" s="19">
        <f t="shared" si="403"/>
        <v>5924029.9702154724</v>
      </c>
      <c r="AK1369" s="20">
        <f t="shared" si="410"/>
        <v>0.1214858095774925</v>
      </c>
      <c r="AL1369" s="17"/>
      <c r="AM1369" s="17"/>
      <c r="AN1369" s="17"/>
      <c r="AO1369" s="17"/>
      <c r="AP1369" s="28" t="str">
        <f t="shared" si="411"/>
        <v>202012</v>
      </c>
      <c r="AQ1369" s="28" t="str">
        <f t="shared" si="412"/>
        <v>202012RMB</v>
      </c>
      <c r="AR1369" s="206" t="str">
        <f t="shared" si="413"/>
        <v>YAMAHA_Mounter</v>
      </c>
      <c r="AS1369" s="22">
        <f t="shared" si="414"/>
        <v>2</v>
      </c>
      <c r="AT1369" s="24" t="str">
        <f t="shared" si="415"/>
        <v>0-3 months</v>
      </c>
      <c r="AU1369" s="22" t="s">
        <v>3240</v>
      </c>
    </row>
    <row r="1370" spans="1:47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48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1449</v>
      </c>
      <c r="K1370" s="155" t="s">
        <v>1450</v>
      </c>
      <c r="L1370" s="17" t="s">
        <v>67</v>
      </c>
      <c r="M1370" s="13" t="s">
        <v>60</v>
      </c>
      <c r="N1370" s="13">
        <v>1</v>
      </c>
      <c r="O1370" s="13"/>
      <c r="P1370" s="33" t="str">
        <f t="shared" si="407"/>
        <v>MAIN UNIT</v>
      </c>
      <c r="Q1370" s="13" t="s">
        <v>61</v>
      </c>
      <c r="R1370" s="13" t="s">
        <v>62</v>
      </c>
      <c r="S1370" s="13" t="s">
        <v>50</v>
      </c>
      <c r="T1370" s="13" t="s">
        <v>168</v>
      </c>
      <c r="U1370" s="13" t="s">
        <v>89</v>
      </c>
      <c r="V1370" s="13" t="s">
        <v>84</v>
      </c>
      <c r="W1370" s="13" t="s">
        <v>64</v>
      </c>
      <c r="X1370" s="135">
        <v>620000</v>
      </c>
      <c r="Y1370" s="157" t="str">
        <f>IF(W1370="RMB","1.13", "1")</f>
        <v>1.13</v>
      </c>
      <c r="Z1370" s="18">
        <f t="shared" si="416"/>
        <v>620000</v>
      </c>
      <c r="AA1370" s="13">
        <v>1.1850000000000001</v>
      </c>
      <c r="AB1370" s="21">
        <f t="shared" si="417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02"/>
        <v>45803245.025628321</v>
      </c>
      <c r="AJ1370" s="19">
        <f t="shared" si="403"/>
        <v>5664636.2584379362</v>
      </c>
      <c r="AK1370" s="20">
        <f t="shared" si="410"/>
        <v>0.12367325186825515</v>
      </c>
      <c r="AL1370" s="17"/>
      <c r="AM1370" s="17"/>
      <c r="AN1370" s="17"/>
      <c r="AO1370" s="17"/>
      <c r="AP1370" s="28" t="str">
        <f t="shared" si="411"/>
        <v>20211</v>
      </c>
      <c r="AQ1370" s="28" t="str">
        <f t="shared" si="412"/>
        <v>20211RMB</v>
      </c>
      <c r="AR1370" s="206" t="str">
        <f t="shared" si="413"/>
        <v>YAMAHA_Mounter</v>
      </c>
      <c r="AS1370" s="22">
        <f t="shared" si="414"/>
        <v>3</v>
      </c>
      <c r="AT1370" s="24" t="str">
        <f t="shared" si="415"/>
        <v>0-3 months</v>
      </c>
      <c r="AU1370" s="22" t="s">
        <v>3240</v>
      </c>
    </row>
    <row r="1371" spans="1:47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48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1320</v>
      </c>
      <c r="K1371" s="155" t="s">
        <v>1321</v>
      </c>
      <c r="L1371" s="17" t="s">
        <v>92</v>
      </c>
      <c r="M1371" s="13" t="s">
        <v>60</v>
      </c>
      <c r="N1371" s="13">
        <v>1</v>
      </c>
      <c r="O1371" s="13"/>
      <c r="P1371" s="33" t="str">
        <f t="shared" si="407"/>
        <v>MAIN UNIT</v>
      </c>
      <c r="Q1371" s="13" t="s">
        <v>68</v>
      </c>
      <c r="R1371" s="13" t="s">
        <v>62</v>
      </c>
      <c r="S1371" s="13" t="s">
        <v>50</v>
      </c>
      <c r="T1371" s="13" t="s">
        <v>88</v>
      </c>
      <c r="U1371" s="13" t="s">
        <v>70</v>
      </c>
      <c r="V1371" s="13" t="s">
        <v>1010</v>
      </c>
      <c r="W1371" s="13" t="s">
        <v>64</v>
      </c>
      <c r="X1371" s="135">
        <v>875000</v>
      </c>
      <c r="Y1371" s="156" t="s">
        <v>1058</v>
      </c>
      <c r="Z1371" s="18">
        <f t="shared" si="416"/>
        <v>875000</v>
      </c>
      <c r="AA1371" s="13">
        <v>1.175</v>
      </c>
      <c r="AB1371" s="21">
        <f t="shared" si="417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02"/>
        <v>48763143.537654862</v>
      </c>
      <c r="AJ1371" s="19">
        <f t="shared" si="403"/>
        <v>5924029.9702154724</v>
      </c>
      <c r="AK1371" s="20">
        <f t="shared" si="410"/>
        <v>0.1214858095774925</v>
      </c>
      <c r="AL1371" s="17"/>
      <c r="AM1371" s="17"/>
      <c r="AN1371" s="17"/>
      <c r="AO1371" s="17"/>
      <c r="AP1371" s="28" t="str">
        <f t="shared" si="411"/>
        <v>202012</v>
      </c>
      <c r="AQ1371" s="28" t="str">
        <f t="shared" si="412"/>
        <v>202012RMB</v>
      </c>
      <c r="AR1371" s="206" t="str">
        <f t="shared" si="413"/>
        <v>YAMAHA_Mounter</v>
      </c>
      <c r="AS1371" s="22">
        <f t="shared" si="414"/>
        <v>8</v>
      </c>
      <c r="AT1371" s="24" t="str">
        <f t="shared" si="415"/>
        <v>&gt; 6 months</v>
      </c>
      <c r="AU1371" s="22" t="s">
        <v>3240</v>
      </c>
    </row>
    <row r="1372" spans="1:47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48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1320</v>
      </c>
      <c r="K1372" s="155" t="s">
        <v>1321</v>
      </c>
      <c r="L1372" s="17" t="s">
        <v>67</v>
      </c>
      <c r="M1372" s="13" t="s">
        <v>60</v>
      </c>
      <c r="N1372" s="13">
        <v>1</v>
      </c>
      <c r="O1372" s="13"/>
      <c r="P1372" s="33" t="str">
        <f t="shared" si="407"/>
        <v>MAIN UNIT</v>
      </c>
      <c r="Q1372" s="13" t="s">
        <v>68</v>
      </c>
      <c r="R1372" s="13" t="s">
        <v>62</v>
      </c>
      <c r="S1372" s="13" t="s">
        <v>50</v>
      </c>
      <c r="T1372" s="13" t="s">
        <v>88</v>
      </c>
      <c r="U1372" s="13" t="s">
        <v>70</v>
      </c>
      <c r="V1372" s="13" t="s">
        <v>1010</v>
      </c>
      <c r="W1372" s="13" t="s">
        <v>64</v>
      </c>
      <c r="X1372" s="135">
        <v>875000</v>
      </c>
      <c r="Y1372" s="156" t="s">
        <v>1058</v>
      </c>
      <c r="Z1372" s="18">
        <f t="shared" si="416"/>
        <v>875000</v>
      </c>
      <c r="AA1372" s="13">
        <v>1.175</v>
      </c>
      <c r="AB1372" s="21">
        <f t="shared" si="417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02"/>
        <v>48763143.537654862</v>
      </c>
      <c r="AJ1372" s="19">
        <f t="shared" si="403"/>
        <v>5924029.9702154724</v>
      </c>
      <c r="AK1372" s="20">
        <f t="shared" si="410"/>
        <v>0.1214858095774925</v>
      </c>
      <c r="AL1372" s="17"/>
      <c r="AM1372" s="17"/>
      <c r="AN1372" s="17"/>
      <c r="AO1372" s="17"/>
      <c r="AP1372" s="28" t="str">
        <f t="shared" si="411"/>
        <v>202012</v>
      </c>
      <c r="AQ1372" s="28" t="str">
        <f t="shared" si="412"/>
        <v>202012RMB</v>
      </c>
      <c r="AR1372" s="206" t="str">
        <f t="shared" si="413"/>
        <v>YAMAHA_Mounter</v>
      </c>
      <c r="AS1372" s="22">
        <f t="shared" si="414"/>
        <v>8</v>
      </c>
      <c r="AT1372" s="24" t="str">
        <f t="shared" si="415"/>
        <v>&gt; 6 months</v>
      </c>
      <c r="AU1372" s="22" t="s">
        <v>3240</v>
      </c>
    </row>
    <row r="1373" spans="1:47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48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1398</v>
      </c>
      <c r="K1373" s="155" t="s">
        <v>1399</v>
      </c>
      <c r="L1373" s="17" t="s">
        <v>293</v>
      </c>
      <c r="M1373" s="13" t="s">
        <v>60</v>
      </c>
      <c r="N1373" s="13">
        <v>1</v>
      </c>
      <c r="O1373" s="13"/>
      <c r="P1373" s="33" t="str">
        <f t="shared" si="407"/>
        <v>MAIN UNIT</v>
      </c>
      <c r="Q1373" s="13" t="s">
        <v>68</v>
      </c>
      <c r="R1373" s="13" t="s">
        <v>62</v>
      </c>
      <c r="S1373" s="13" t="s">
        <v>50</v>
      </c>
      <c r="T1373" s="13" t="s">
        <v>88</v>
      </c>
      <c r="U1373" s="13" t="s">
        <v>70</v>
      </c>
      <c r="V1373" s="13" t="s">
        <v>1400</v>
      </c>
      <c r="W1373" s="13" t="s">
        <v>64</v>
      </c>
      <c r="X1373" s="135">
        <v>927000</v>
      </c>
      <c r="Y1373" s="157" t="str">
        <f t="shared" ref="Y1373:Y1389" si="418">IF(W1373="RMB","1.13", "1")</f>
        <v>1.13</v>
      </c>
      <c r="Z1373" s="18">
        <f t="shared" si="416"/>
        <v>927000</v>
      </c>
      <c r="AA1373" s="13">
        <v>1.155</v>
      </c>
      <c r="AB1373" s="21">
        <f t="shared" si="417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02"/>
        <v>44078731.611185849</v>
      </c>
      <c r="AJ1373" s="19">
        <f t="shared" si="403"/>
        <v>5508173.2163771465</v>
      </c>
      <c r="AK1373" s="20">
        <f t="shared" si="410"/>
        <v>0.12496215328889679</v>
      </c>
      <c r="AL1373" s="17"/>
      <c r="AM1373" s="17"/>
      <c r="AN1373" s="17"/>
      <c r="AO1373" s="17"/>
      <c r="AP1373" s="28" t="str">
        <f t="shared" si="411"/>
        <v>202011</v>
      </c>
      <c r="AQ1373" s="28" t="str">
        <f t="shared" si="412"/>
        <v>202011RMB</v>
      </c>
      <c r="AR1373" s="206" t="str">
        <f t="shared" si="413"/>
        <v>YAMAHA_Mounter</v>
      </c>
      <c r="AS1373" s="22">
        <f t="shared" si="414"/>
        <v>2</v>
      </c>
      <c r="AT1373" s="24" t="str">
        <f t="shared" si="415"/>
        <v>0-3 months</v>
      </c>
      <c r="AU1373" s="22" t="s">
        <v>3240</v>
      </c>
    </row>
    <row r="1374" spans="1:47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48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1398</v>
      </c>
      <c r="K1374" s="155" t="s">
        <v>1399</v>
      </c>
      <c r="L1374" s="17" t="s">
        <v>92</v>
      </c>
      <c r="M1374" s="13" t="s">
        <v>60</v>
      </c>
      <c r="N1374" s="13">
        <v>1</v>
      </c>
      <c r="O1374" s="13"/>
      <c r="P1374" s="33" t="str">
        <f t="shared" si="407"/>
        <v>MAIN UNIT</v>
      </c>
      <c r="Q1374" s="13" t="s">
        <v>68</v>
      </c>
      <c r="R1374" s="13" t="s">
        <v>62</v>
      </c>
      <c r="S1374" s="13" t="s">
        <v>50</v>
      </c>
      <c r="T1374" s="13" t="s">
        <v>88</v>
      </c>
      <c r="U1374" s="13" t="s">
        <v>70</v>
      </c>
      <c r="V1374" s="13" t="s">
        <v>1400</v>
      </c>
      <c r="W1374" s="13" t="s">
        <v>64</v>
      </c>
      <c r="X1374" s="135">
        <v>927000</v>
      </c>
      <c r="Y1374" s="157" t="str">
        <f t="shared" si="418"/>
        <v>1.13</v>
      </c>
      <c r="Z1374" s="18">
        <f t="shared" si="416"/>
        <v>927000</v>
      </c>
      <c r="AA1374" s="13">
        <v>1.155</v>
      </c>
      <c r="AB1374" s="21">
        <f t="shared" si="417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02"/>
        <v>44078731.611185849</v>
      </c>
      <c r="AJ1374" s="19">
        <f t="shared" si="403"/>
        <v>5508173.2163771465</v>
      </c>
      <c r="AK1374" s="20">
        <f t="shared" si="410"/>
        <v>0.12496215328889679</v>
      </c>
      <c r="AL1374" s="17"/>
      <c r="AM1374" s="17"/>
      <c r="AN1374" s="17"/>
      <c r="AO1374" s="17"/>
      <c r="AP1374" s="28" t="str">
        <f t="shared" si="411"/>
        <v>202011</v>
      </c>
      <c r="AQ1374" s="28" t="str">
        <f t="shared" si="412"/>
        <v>202011RMB</v>
      </c>
      <c r="AR1374" s="206" t="str">
        <f t="shared" si="413"/>
        <v>YAMAHA_Mounter</v>
      </c>
      <c r="AS1374" s="22">
        <f t="shared" si="414"/>
        <v>2</v>
      </c>
      <c r="AT1374" s="24" t="str">
        <f t="shared" si="415"/>
        <v>0-3 months</v>
      </c>
      <c r="AU1374" s="22" t="s">
        <v>3240</v>
      </c>
    </row>
    <row r="1375" spans="1:47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48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1398</v>
      </c>
      <c r="K1375" s="155" t="s">
        <v>1399</v>
      </c>
      <c r="L1375" s="17" t="s">
        <v>92</v>
      </c>
      <c r="M1375" s="13" t="s">
        <v>60</v>
      </c>
      <c r="N1375" s="13">
        <v>1</v>
      </c>
      <c r="O1375" s="13"/>
      <c r="P1375" s="33" t="str">
        <f t="shared" si="407"/>
        <v>MAIN UNIT</v>
      </c>
      <c r="Q1375" s="13" t="s">
        <v>68</v>
      </c>
      <c r="R1375" s="13" t="s">
        <v>62</v>
      </c>
      <c r="S1375" s="13" t="s">
        <v>50</v>
      </c>
      <c r="T1375" s="13" t="s">
        <v>88</v>
      </c>
      <c r="U1375" s="13" t="s">
        <v>70</v>
      </c>
      <c r="V1375" s="13" t="s">
        <v>1400</v>
      </c>
      <c r="W1375" s="13" t="s">
        <v>64</v>
      </c>
      <c r="X1375" s="135">
        <v>927000</v>
      </c>
      <c r="Y1375" s="157" t="str">
        <f t="shared" si="418"/>
        <v>1.13</v>
      </c>
      <c r="Z1375" s="18">
        <f t="shared" si="416"/>
        <v>927000</v>
      </c>
      <c r="AA1375" s="13">
        <v>1.155</v>
      </c>
      <c r="AB1375" s="21">
        <f t="shared" si="417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02"/>
        <v>44078731.611185849</v>
      </c>
      <c r="AJ1375" s="19">
        <f t="shared" si="403"/>
        <v>5508173.2163771465</v>
      </c>
      <c r="AK1375" s="20">
        <f t="shared" si="410"/>
        <v>0.12496215328889679</v>
      </c>
      <c r="AL1375" s="17"/>
      <c r="AM1375" s="17"/>
      <c r="AN1375" s="17"/>
      <c r="AO1375" s="17"/>
      <c r="AP1375" s="28" t="str">
        <f t="shared" si="411"/>
        <v>202011</v>
      </c>
      <c r="AQ1375" s="28" t="str">
        <f t="shared" si="412"/>
        <v>202011RMB</v>
      </c>
      <c r="AR1375" s="206" t="str">
        <f t="shared" si="413"/>
        <v>YAMAHA_Mounter</v>
      </c>
      <c r="AS1375" s="22">
        <f t="shared" si="414"/>
        <v>2</v>
      </c>
      <c r="AT1375" s="24" t="str">
        <f t="shared" si="415"/>
        <v>0-3 months</v>
      </c>
      <c r="AU1375" s="22" t="s">
        <v>3240</v>
      </c>
    </row>
    <row r="1376" spans="1:47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48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1398</v>
      </c>
      <c r="K1376" s="155" t="s">
        <v>1399</v>
      </c>
      <c r="L1376" s="17" t="s">
        <v>92</v>
      </c>
      <c r="M1376" s="13" t="s">
        <v>60</v>
      </c>
      <c r="N1376" s="13">
        <v>1</v>
      </c>
      <c r="O1376" s="13"/>
      <c r="P1376" s="33" t="str">
        <f t="shared" si="407"/>
        <v>MAIN UNIT</v>
      </c>
      <c r="Q1376" s="13" t="s">
        <v>68</v>
      </c>
      <c r="R1376" s="13" t="s">
        <v>62</v>
      </c>
      <c r="S1376" s="13" t="s">
        <v>50</v>
      </c>
      <c r="T1376" s="13" t="s">
        <v>88</v>
      </c>
      <c r="U1376" s="13" t="s">
        <v>70</v>
      </c>
      <c r="V1376" s="13" t="s">
        <v>1400</v>
      </c>
      <c r="W1376" s="13" t="s">
        <v>64</v>
      </c>
      <c r="X1376" s="135">
        <v>927000</v>
      </c>
      <c r="Y1376" s="157" t="str">
        <f t="shared" si="418"/>
        <v>1.13</v>
      </c>
      <c r="Z1376" s="18">
        <f t="shared" si="416"/>
        <v>927000</v>
      </c>
      <c r="AA1376" s="13">
        <v>1.155</v>
      </c>
      <c r="AB1376" s="21">
        <f t="shared" si="417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02"/>
        <v>44078731.611185849</v>
      </c>
      <c r="AJ1376" s="19">
        <f t="shared" si="403"/>
        <v>5508173.2163771465</v>
      </c>
      <c r="AK1376" s="20">
        <f t="shared" si="410"/>
        <v>0.12496215328889679</v>
      </c>
      <c r="AL1376" s="17"/>
      <c r="AM1376" s="17"/>
      <c r="AN1376" s="17"/>
      <c r="AO1376" s="17"/>
      <c r="AP1376" s="28" t="str">
        <f t="shared" si="411"/>
        <v>202011</v>
      </c>
      <c r="AQ1376" s="28" t="str">
        <f t="shared" si="412"/>
        <v>202011RMB</v>
      </c>
      <c r="AR1376" s="206" t="str">
        <f t="shared" si="413"/>
        <v>YAMAHA_Mounter</v>
      </c>
      <c r="AS1376" s="22">
        <f t="shared" si="414"/>
        <v>2</v>
      </c>
      <c r="AT1376" s="24" t="str">
        <f t="shared" si="415"/>
        <v>0-3 months</v>
      </c>
      <c r="AU1376" s="22" t="s">
        <v>3240</v>
      </c>
    </row>
    <row r="1377" spans="1:47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48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1398</v>
      </c>
      <c r="K1377" s="155" t="s">
        <v>1399</v>
      </c>
      <c r="L1377" s="17" t="s">
        <v>67</v>
      </c>
      <c r="M1377" s="13" t="s">
        <v>60</v>
      </c>
      <c r="N1377" s="13">
        <v>1</v>
      </c>
      <c r="O1377" s="13"/>
      <c r="P1377" s="33" t="str">
        <f t="shared" si="407"/>
        <v>MAIN UNIT</v>
      </c>
      <c r="Q1377" s="13" t="s">
        <v>68</v>
      </c>
      <c r="R1377" s="13" t="s">
        <v>62</v>
      </c>
      <c r="S1377" s="13" t="s">
        <v>50</v>
      </c>
      <c r="T1377" s="13" t="s">
        <v>88</v>
      </c>
      <c r="U1377" s="13" t="s">
        <v>70</v>
      </c>
      <c r="V1377" s="13" t="s">
        <v>1400</v>
      </c>
      <c r="W1377" s="13" t="s">
        <v>64</v>
      </c>
      <c r="X1377" s="135">
        <v>927000</v>
      </c>
      <c r="Y1377" s="157" t="str">
        <f t="shared" si="418"/>
        <v>1.13</v>
      </c>
      <c r="Z1377" s="18">
        <f t="shared" si="416"/>
        <v>927000</v>
      </c>
      <c r="AA1377" s="13">
        <v>1.155</v>
      </c>
      <c r="AB1377" s="21">
        <f t="shared" si="417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02"/>
        <v>44078731.611185849</v>
      </c>
      <c r="AJ1377" s="19">
        <f t="shared" si="403"/>
        <v>5508173.2163771465</v>
      </c>
      <c r="AK1377" s="20">
        <f t="shared" si="410"/>
        <v>0.12496215328889679</v>
      </c>
      <c r="AL1377" s="17"/>
      <c r="AM1377" s="17"/>
      <c r="AN1377" s="17"/>
      <c r="AO1377" s="17"/>
      <c r="AP1377" s="28" t="str">
        <f t="shared" si="411"/>
        <v>202011</v>
      </c>
      <c r="AQ1377" s="28" t="str">
        <f t="shared" si="412"/>
        <v>202011RMB</v>
      </c>
      <c r="AR1377" s="206" t="str">
        <f t="shared" si="413"/>
        <v>YAMAHA_Mounter</v>
      </c>
      <c r="AS1377" s="22">
        <f t="shared" si="414"/>
        <v>2</v>
      </c>
      <c r="AT1377" s="24" t="str">
        <f t="shared" si="415"/>
        <v>0-3 months</v>
      </c>
      <c r="AU1377" s="22" t="s">
        <v>3240</v>
      </c>
    </row>
    <row r="1378" spans="1:47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48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1475</v>
      </c>
      <c r="K1378" s="155" t="s">
        <v>1399</v>
      </c>
      <c r="L1378" s="17" t="s">
        <v>67</v>
      </c>
      <c r="M1378" s="13" t="s">
        <v>60</v>
      </c>
      <c r="N1378" s="13">
        <v>1</v>
      </c>
      <c r="O1378" s="13"/>
      <c r="P1378" s="33" t="str">
        <f t="shared" si="407"/>
        <v>MAIN UNIT</v>
      </c>
      <c r="Q1378" s="13" t="s">
        <v>61</v>
      </c>
      <c r="R1378" s="13" t="s">
        <v>62</v>
      </c>
      <c r="S1378" s="13" t="s">
        <v>50</v>
      </c>
      <c r="T1378" s="13" t="s">
        <v>88</v>
      </c>
      <c r="U1378" s="13" t="s">
        <v>70</v>
      </c>
      <c r="V1378" s="13" t="s">
        <v>1400</v>
      </c>
      <c r="W1378" s="13" t="s">
        <v>64</v>
      </c>
      <c r="X1378" s="135">
        <v>526000</v>
      </c>
      <c r="Y1378" s="157" t="str">
        <f t="shared" si="418"/>
        <v>1.13</v>
      </c>
      <c r="Z1378" s="18">
        <f t="shared" si="416"/>
        <v>526000</v>
      </c>
      <c r="AA1378" s="13">
        <v>1.155</v>
      </c>
      <c r="AB1378" s="21">
        <f t="shared" si="417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02"/>
        <v>44078731.611185849</v>
      </c>
      <c r="AJ1378" s="19">
        <f t="shared" si="403"/>
        <v>5508173.2163771465</v>
      </c>
      <c r="AK1378" s="20">
        <f t="shared" si="410"/>
        <v>0.12496215328889679</v>
      </c>
      <c r="AL1378" s="17"/>
      <c r="AM1378" s="17"/>
      <c r="AN1378" s="17"/>
      <c r="AO1378" s="17"/>
      <c r="AP1378" s="28" t="str">
        <f t="shared" si="411"/>
        <v>202011</v>
      </c>
      <c r="AQ1378" s="28" t="str">
        <f t="shared" si="412"/>
        <v>202011RMB</v>
      </c>
      <c r="AR1378" s="206" t="str">
        <f t="shared" si="413"/>
        <v>YAMAHA_Mounter</v>
      </c>
      <c r="AS1378" s="22">
        <f t="shared" si="414"/>
        <v>0</v>
      </c>
      <c r="AT1378" s="24" t="str">
        <f t="shared" si="415"/>
        <v>0-3 months</v>
      </c>
      <c r="AU1378" s="22" t="s">
        <v>3240</v>
      </c>
    </row>
    <row r="1379" spans="1:47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53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1794</v>
      </c>
      <c r="K1379" s="155" t="s">
        <v>1399</v>
      </c>
      <c r="L1379" s="17" t="s">
        <v>67</v>
      </c>
      <c r="M1379" s="13" t="s">
        <v>60</v>
      </c>
      <c r="N1379" s="13">
        <v>1</v>
      </c>
      <c r="O1379" s="13"/>
      <c r="P1379" s="33" t="str">
        <f t="shared" si="407"/>
        <v>MAIN UNIT</v>
      </c>
      <c r="Q1379" s="13" t="s">
        <v>61</v>
      </c>
      <c r="R1379" s="13" t="s">
        <v>62</v>
      </c>
      <c r="S1379" s="13" t="s">
        <v>50</v>
      </c>
      <c r="T1379" s="13" t="s">
        <v>88</v>
      </c>
      <c r="U1379" s="13" t="s">
        <v>70</v>
      </c>
      <c r="V1379" s="13" t="s">
        <v>1400</v>
      </c>
      <c r="W1379" s="13" t="s">
        <v>64</v>
      </c>
      <c r="X1379" s="135">
        <v>624800</v>
      </c>
      <c r="Y1379" s="157" t="str">
        <f t="shared" si="418"/>
        <v>1.13</v>
      </c>
      <c r="Z1379" s="18">
        <f t="shared" si="416"/>
        <v>624800</v>
      </c>
      <c r="AA1379" s="13">
        <v>1.2150000000000001</v>
      </c>
      <c r="AB1379" s="21">
        <f t="shared" si="417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02"/>
        <v>54700260.692079648</v>
      </c>
      <c r="AJ1379" s="19">
        <f t="shared" si="403"/>
        <v>7482899.5749188727</v>
      </c>
      <c r="AK1379" s="20">
        <f t="shared" si="410"/>
        <v>0.13679824337660537</v>
      </c>
      <c r="AL1379" s="17"/>
      <c r="AM1379" s="17"/>
      <c r="AN1379" s="17"/>
      <c r="AO1379" s="17"/>
      <c r="AP1379" s="28" t="str">
        <f t="shared" si="411"/>
        <v>20216</v>
      </c>
      <c r="AQ1379" s="28" t="str">
        <f t="shared" si="412"/>
        <v>20216RMB</v>
      </c>
      <c r="AR1379" s="206" t="str">
        <f t="shared" si="413"/>
        <v>YAMAHA_Mounter</v>
      </c>
      <c r="AS1379" s="22">
        <f t="shared" si="414"/>
        <v>2</v>
      </c>
      <c r="AT1379" s="24" t="str">
        <f t="shared" si="415"/>
        <v>0-3 months</v>
      </c>
      <c r="AU1379" s="22" t="s">
        <v>3240</v>
      </c>
    </row>
    <row r="1380" spans="1:47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53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1794</v>
      </c>
      <c r="K1380" s="155" t="s">
        <v>1399</v>
      </c>
      <c r="L1380" s="17" t="s">
        <v>67</v>
      </c>
      <c r="M1380" s="13" t="s">
        <v>60</v>
      </c>
      <c r="N1380" s="13">
        <v>1</v>
      </c>
      <c r="O1380" s="13"/>
      <c r="P1380" s="33" t="str">
        <f t="shared" si="407"/>
        <v>MAIN UNIT</v>
      </c>
      <c r="Q1380" s="13" t="s">
        <v>61</v>
      </c>
      <c r="R1380" s="13" t="s">
        <v>62</v>
      </c>
      <c r="S1380" s="13" t="s">
        <v>50</v>
      </c>
      <c r="T1380" s="13" t="s">
        <v>88</v>
      </c>
      <c r="U1380" s="13" t="s">
        <v>70</v>
      </c>
      <c r="V1380" s="13" t="s">
        <v>1400</v>
      </c>
      <c r="W1380" s="13" t="s">
        <v>64</v>
      </c>
      <c r="X1380" s="135">
        <v>624800</v>
      </c>
      <c r="Y1380" s="157" t="str">
        <f t="shared" si="418"/>
        <v>1.13</v>
      </c>
      <c r="Z1380" s="18">
        <f t="shared" si="416"/>
        <v>624800</v>
      </c>
      <c r="AA1380" s="13">
        <v>1.2150000000000001</v>
      </c>
      <c r="AB1380" s="21">
        <f t="shared" si="417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02"/>
        <v>54700260.692079648</v>
      </c>
      <c r="AJ1380" s="19">
        <f t="shared" si="403"/>
        <v>7482899.5749188727</v>
      </c>
      <c r="AK1380" s="20">
        <f t="shared" si="410"/>
        <v>0.13679824337660537</v>
      </c>
      <c r="AL1380" s="17"/>
      <c r="AM1380" s="17"/>
      <c r="AN1380" s="17"/>
      <c r="AO1380" s="17"/>
      <c r="AP1380" s="28" t="str">
        <f t="shared" si="411"/>
        <v>20216</v>
      </c>
      <c r="AQ1380" s="28" t="str">
        <f t="shared" si="412"/>
        <v>20216RMB</v>
      </c>
      <c r="AR1380" s="206" t="str">
        <f t="shared" si="413"/>
        <v>YAMAHA_Mounter</v>
      </c>
      <c r="AS1380" s="22">
        <f t="shared" si="414"/>
        <v>2</v>
      </c>
      <c r="AT1380" s="24" t="str">
        <f t="shared" si="415"/>
        <v>0-3 months</v>
      </c>
      <c r="AU1380" s="22" t="s">
        <v>3240</v>
      </c>
    </row>
    <row r="1381" spans="1:47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53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1794</v>
      </c>
      <c r="K1381" s="155" t="s">
        <v>1399</v>
      </c>
      <c r="L1381" s="17" t="s">
        <v>67</v>
      </c>
      <c r="M1381" s="13" t="s">
        <v>60</v>
      </c>
      <c r="N1381" s="13">
        <v>1</v>
      </c>
      <c r="O1381" s="13"/>
      <c r="P1381" s="33" t="str">
        <f t="shared" si="407"/>
        <v>MAIN UNIT</v>
      </c>
      <c r="Q1381" s="13" t="s">
        <v>61</v>
      </c>
      <c r="R1381" s="13" t="s">
        <v>62</v>
      </c>
      <c r="S1381" s="13" t="s">
        <v>50</v>
      </c>
      <c r="T1381" s="13" t="s">
        <v>88</v>
      </c>
      <c r="U1381" s="13" t="s">
        <v>70</v>
      </c>
      <c r="V1381" s="13" t="s">
        <v>1400</v>
      </c>
      <c r="W1381" s="13" t="s">
        <v>64</v>
      </c>
      <c r="X1381" s="135">
        <v>624800</v>
      </c>
      <c r="Y1381" s="157" t="str">
        <f t="shared" si="418"/>
        <v>1.13</v>
      </c>
      <c r="Z1381" s="18">
        <f t="shared" si="416"/>
        <v>624800</v>
      </c>
      <c r="AA1381" s="13">
        <v>1.2150000000000001</v>
      </c>
      <c r="AB1381" s="21">
        <f t="shared" si="417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02"/>
        <v>54700260.692079648</v>
      </c>
      <c r="AJ1381" s="19">
        <f t="shared" si="403"/>
        <v>7482899.5749188727</v>
      </c>
      <c r="AK1381" s="20">
        <f t="shared" si="410"/>
        <v>0.13679824337660537</v>
      </c>
      <c r="AL1381" s="17"/>
      <c r="AM1381" s="17"/>
      <c r="AN1381" s="17"/>
      <c r="AO1381" s="17"/>
      <c r="AP1381" s="28" t="str">
        <f t="shared" si="411"/>
        <v>20216</v>
      </c>
      <c r="AQ1381" s="28" t="str">
        <f t="shared" si="412"/>
        <v>20216RMB</v>
      </c>
      <c r="AR1381" s="206" t="str">
        <f t="shared" si="413"/>
        <v>YAMAHA_Mounter</v>
      </c>
      <c r="AS1381" s="22">
        <f t="shared" si="414"/>
        <v>2</v>
      </c>
      <c r="AT1381" s="24" t="str">
        <f t="shared" si="415"/>
        <v>0-3 months</v>
      </c>
      <c r="AU1381" s="22" t="s">
        <v>3240</v>
      </c>
    </row>
    <row r="1382" spans="1:47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53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1794</v>
      </c>
      <c r="K1382" s="155" t="s">
        <v>1399</v>
      </c>
      <c r="L1382" s="17" t="s">
        <v>67</v>
      </c>
      <c r="M1382" s="13" t="s">
        <v>60</v>
      </c>
      <c r="N1382" s="13">
        <v>1</v>
      </c>
      <c r="O1382" s="13"/>
      <c r="P1382" s="33" t="str">
        <f t="shared" si="407"/>
        <v>MAIN UNIT</v>
      </c>
      <c r="Q1382" s="13" t="s">
        <v>61</v>
      </c>
      <c r="R1382" s="13" t="s">
        <v>62</v>
      </c>
      <c r="S1382" s="13" t="s">
        <v>50</v>
      </c>
      <c r="T1382" s="13" t="s">
        <v>88</v>
      </c>
      <c r="U1382" s="13" t="s">
        <v>70</v>
      </c>
      <c r="V1382" s="13" t="s">
        <v>1400</v>
      </c>
      <c r="W1382" s="13" t="s">
        <v>64</v>
      </c>
      <c r="X1382" s="135">
        <v>624800</v>
      </c>
      <c r="Y1382" s="157" t="str">
        <f t="shared" si="418"/>
        <v>1.13</v>
      </c>
      <c r="Z1382" s="18">
        <f t="shared" si="416"/>
        <v>624800</v>
      </c>
      <c r="AA1382" s="13">
        <v>1.2150000000000001</v>
      </c>
      <c r="AB1382" s="21">
        <f t="shared" si="417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02"/>
        <v>54700260.692079648</v>
      </c>
      <c r="AJ1382" s="19">
        <f t="shared" si="403"/>
        <v>7482899.5749188727</v>
      </c>
      <c r="AK1382" s="20">
        <f t="shared" si="410"/>
        <v>0.13679824337660537</v>
      </c>
      <c r="AL1382" s="17"/>
      <c r="AM1382" s="17"/>
      <c r="AN1382" s="17"/>
      <c r="AO1382" s="17"/>
      <c r="AP1382" s="28" t="str">
        <f t="shared" si="411"/>
        <v>20216</v>
      </c>
      <c r="AQ1382" s="28" t="str">
        <f t="shared" si="412"/>
        <v>20216RMB</v>
      </c>
      <c r="AR1382" s="206" t="str">
        <f t="shared" si="413"/>
        <v>YAMAHA_Mounter</v>
      </c>
      <c r="AS1382" s="22">
        <f t="shared" si="414"/>
        <v>2</v>
      </c>
      <c r="AT1382" s="24" t="str">
        <f t="shared" si="415"/>
        <v>0-3 months</v>
      </c>
      <c r="AU1382" s="22" t="s">
        <v>3240</v>
      </c>
    </row>
    <row r="1383" spans="1:47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53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1794</v>
      </c>
      <c r="K1383" s="155" t="s">
        <v>1399</v>
      </c>
      <c r="L1383" s="17" t="s">
        <v>92</v>
      </c>
      <c r="M1383" s="13" t="s">
        <v>60</v>
      </c>
      <c r="N1383" s="13">
        <v>1</v>
      </c>
      <c r="O1383" s="13"/>
      <c r="P1383" s="33" t="str">
        <f t="shared" si="407"/>
        <v>MAIN UNIT</v>
      </c>
      <c r="Q1383" s="13" t="s">
        <v>61</v>
      </c>
      <c r="R1383" s="13" t="s">
        <v>62</v>
      </c>
      <c r="S1383" s="13" t="s">
        <v>50</v>
      </c>
      <c r="T1383" s="13" t="s">
        <v>88</v>
      </c>
      <c r="U1383" s="13" t="s">
        <v>70</v>
      </c>
      <c r="V1383" s="13" t="s">
        <v>1400</v>
      </c>
      <c r="W1383" s="13" t="s">
        <v>64</v>
      </c>
      <c r="X1383" s="135">
        <v>624800</v>
      </c>
      <c r="Y1383" s="157" t="str">
        <f t="shared" si="418"/>
        <v>1.13</v>
      </c>
      <c r="Z1383" s="18">
        <f t="shared" si="416"/>
        <v>624800</v>
      </c>
      <c r="AA1383" s="13">
        <v>1.2150000000000001</v>
      </c>
      <c r="AB1383" s="21">
        <f t="shared" si="417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02"/>
        <v>54700260.692079648</v>
      </c>
      <c r="AJ1383" s="19">
        <f t="shared" si="403"/>
        <v>7482899.5749188727</v>
      </c>
      <c r="AK1383" s="20">
        <f t="shared" si="410"/>
        <v>0.13679824337660537</v>
      </c>
      <c r="AL1383" s="17"/>
      <c r="AM1383" s="17"/>
      <c r="AN1383" s="17"/>
      <c r="AO1383" s="17"/>
      <c r="AP1383" s="28" t="str">
        <f t="shared" si="411"/>
        <v>20216</v>
      </c>
      <c r="AQ1383" s="28" t="str">
        <f t="shared" si="412"/>
        <v>20216RMB</v>
      </c>
      <c r="AR1383" s="206" t="str">
        <f t="shared" si="413"/>
        <v>YAMAHA_Mounter</v>
      </c>
      <c r="AS1383" s="22">
        <f t="shared" si="414"/>
        <v>2</v>
      </c>
      <c r="AT1383" s="24" t="str">
        <f t="shared" si="415"/>
        <v>0-3 months</v>
      </c>
      <c r="AU1383" s="22" t="s">
        <v>3240</v>
      </c>
    </row>
    <row r="1384" spans="1:47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53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2136</v>
      </c>
      <c r="K1384" s="155" t="s">
        <v>1399</v>
      </c>
      <c r="L1384" s="17" t="s">
        <v>516</v>
      </c>
      <c r="M1384" s="13" t="s">
        <v>60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61</v>
      </c>
      <c r="R1384" s="13" t="s">
        <v>62</v>
      </c>
      <c r="S1384" s="13" t="s">
        <v>50</v>
      </c>
      <c r="T1384" s="13" t="s">
        <v>88</v>
      </c>
      <c r="U1384" s="13" t="s">
        <v>70</v>
      </c>
      <c r="V1384" s="13" t="s">
        <v>1400</v>
      </c>
      <c r="W1384" s="13" t="s">
        <v>64</v>
      </c>
      <c r="X1384" s="135">
        <v>8000</v>
      </c>
      <c r="Y1384" s="157" t="str">
        <f t="shared" si="418"/>
        <v>1.13</v>
      </c>
      <c r="Z1384" s="18">
        <f t="shared" si="416"/>
        <v>8000</v>
      </c>
      <c r="AA1384" s="13">
        <v>1.22</v>
      </c>
      <c r="AB1384" s="21">
        <f t="shared" si="417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02"/>
        <v>28726768.133805312</v>
      </c>
      <c r="AJ1384" s="19">
        <f t="shared" si="403"/>
        <v>3853638.1988864429</v>
      </c>
      <c r="AK1384" s="20">
        <f t="shared" si="410"/>
        <v>0.1341479898099476</v>
      </c>
      <c r="AL1384" s="17"/>
      <c r="AM1384" s="17"/>
      <c r="AN1384" s="17"/>
      <c r="AO1384" s="17"/>
      <c r="AP1384" s="28" t="str">
        <f t="shared" si="411"/>
        <v>20223</v>
      </c>
      <c r="AQ1384" s="28" t="str">
        <f t="shared" si="412"/>
        <v>20223RMB</v>
      </c>
      <c r="AR1384" s="206" t="str">
        <f t="shared" si="413"/>
        <v>YAMAHA_Mounter</v>
      </c>
      <c r="AS1384" s="22">
        <f t="shared" si="414"/>
        <v>0</v>
      </c>
      <c r="AT1384" s="24" t="str">
        <f t="shared" si="415"/>
        <v>0-3 months</v>
      </c>
      <c r="AU1384" s="22" t="s">
        <v>3240</v>
      </c>
    </row>
    <row r="1385" spans="1:47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54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2164</v>
      </c>
      <c r="K1385" s="155" t="s">
        <v>1399</v>
      </c>
      <c r="L1385" s="17" t="s">
        <v>67</v>
      </c>
      <c r="M1385" s="13" t="s">
        <v>60</v>
      </c>
      <c r="N1385" s="13">
        <v>1</v>
      </c>
      <c r="O1385" s="13"/>
      <c r="P1385" s="33" t="str">
        <f t="shared" si="407"/>
        <v>MAIN UNIT</v>
      </c>
      <c r="Q1385" s="13" t="s">
        <v>61</v>
      </c>
      <c r="R1385" s="13" t="s">
        <v>2135</v>
      </c>
      <c r="S1385" s="13" t="s">
        <v>50</v>
      </c>
      <c r="T1385" s="13" t="s">
        <v>88</v>
      </c>
      <c r="U1385" s="13" t="s">
        <v>70</v>
      </c>
      <c r="V1385" s="13" t="s">
        <v>1400</v>
      </c>
      <c r="W1385" s="13" t="s">
        <v>64</v>
      </c>
      <c r="X1385" s="135">
        <v>561000</v>
      </c>
      <c r="Y1385" s="157" t="str">
        <f t="shared" si="418"/>
        <v>1.13</v>
      </c>
      <c r="Z1385" s="18">
        <f t="shared" si="416"/>
        <v>561000</v>
      </c>
      <c r="AA1385" s="13">
        <v>1.1950000000000001</v>
      </c>
      <c r="AB1385" s="21">
        <f t="shared" si="417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02"/>
        <v>44014086.982070789</v>
      </c>
      <c r="AJ1385" s="19">
        <f t="shared" si="403"/>
        <v>6419974.0221889298</v>
      </c>
      <c r="AK1385" s="20">
        <f t="shared" si="410"/>
        <v>0.14586180158193709</v>
      </c>
      <c r="AL1385" s="17"/>
      <c r="AM1385" s="17"/>
      <c r="AN1385" s="17"/>
      <c r="AO1385" s="17"/>
      <c r="AP1385" s="28" t="str">
        <f t="shared" si="411"/>
        <v>20225</v>
      </c>
      <c r="AQ1385" s="28" t="str">
        <f t="shared" si="412"/>
        <v>20225RMB</v>
      </c>
      <c r="AR1385" s="206" t="str">
        <f t="shared" si="413"/>
        <v>YAMAHA_Mounter</v>
      </c>
      <c r="AS1385" s="22">
        <f t="shared" si="414"/>
        <v>3</v>
      </c>
      <c r="AT1385" s="24" t="str">
        <f t="shared" si="415"/>
        <v>0-3 months</v>
      </c>
      <c r="AU1385" s="22" t="s">
        <v>3240</v>
      </c>
    </row>
    <row r="1386" spans="1:47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54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2371</v>
      </c>
      <c r="K1386" s="155" t="s">
        <v>1399</v>
      </c>
      <c r="L1386" s="17" t="s">
        <v>516</v>
      </c>
      <c r="M1386" s="13" t="s">
        <v>60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61</v>
      </c>
      <c r="R1386" s="13" t="s">
        <v>62</v>
      </c>
      <c r="S1386" s="13" t="s">
        <v>50</v>
      </c>
      <c r="T1386" s="13" t="s">
        <v>88</v>
      </c>
      <c r="U1386" s="13" t="s">
        <v>70</v>
      </c>
      <c r="V1386" s="13" t="s">
        <v>1400</v>
      </c>
      <c r="W1386" s="13" t="s">
        <v>64</v>
      </c>
      <c r="X1386" s="135">
        <v>5600</v>
      </c>
      <c r="Y1386" s="157" t="str">
        <f t="shared" si="418"/>
        <v>1.13</v>
      </c>
      <c r="Z1386" s="18">
        <f t="shared" si="416"/>
        <v>5600</v>
      </c>
      <c r="AA1386" s="13">
        <v>1.105</v>
      </c>
      <c r="AB1386" s="21">
        <f t="shared" si="417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02"/>
        <v>35682787.057522126</v>
      </c>
      <c r="AJ1386" s="19">
        <f t="shared" si="403"/>
        <v>5833368.3789623892</v>
      </c>
      <c r="AK1386" s="20">
        <f t="shared" si="410"/>
        <v>0.16347849649632912</v>
      </c>
      <c r="AL1386" s="17"/>
      <c r="AM1386" s="17"/>
      <c r="AN1386" s="17"/>
      <c r="AO1386" s="17"/>
      <c r="AP1386" s="28" t="str">
        <f t="shared" si="411"/>
        <v>20226</v>
      </c>
      <c r="AQ1386" s="28" t="str">
        <f t="shared" si="412"/>
        <v>20226RMB</v>
      </c>
      <c r="AR1386" s="206" t="str">
        <f t="shared" si="413"/>
        <v>YAMAHA_Mounter</v>
      </c>
      <c r="AS1386" s="22">
        <f t="shared" si="414"/>
        <v>0</v>
      </c>
      <c r="AT1386" s="24" t="str">
        <f t="shared" si="415"/>
        <v>0-3 months</v>
      </c>
      <c r="AU1386" s="22" t="s">
        <v>3240</v>
      </c>
    </row>
    <row r="1387" spans="1:47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55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2528</v>
      </c>
      <c r="K1387" s="155" t="s">
        <v>1399</v>
      </c>
      <c r="L1387" s="17" t="s">
        <v>67</v>
      </c>
      <c r="M1387" s="13" t="s">
        <v>60</v>
      </c>
      <c r="N1387" s="13">
        <v>1</v>
      </c>
      <c r="O1387" s="13"/>
      <c r="P1387" s="33" t="str">
        <f t="shared" si="407"/>
        <v>MAIN UNIT</v>
      </c>
      <c r="Q1387" s="13" t="s">
        <v>61</v>
      </c>
      <c r="R1387" s="13" t="s">
        <v>62</v>
      </c>
      <c r="S1387" s="13" t="s">
        <v>50</v>
      </c>
      <c r="T1387" s="13" t="s">
        <v>88</v>
      </c>
      <c r="U1387" s="13" t="s">
        <v>70</v>
      </c>
      <c r="V1387" s="13" t="s">
        <v>1400</v>
      </c>
      <c r="W1387" s="13" t="s">
        <v>64</v>
      </c>
      <c r="X1387" s="135">
        <v>420000</v>
      </c>
      <c r="Y1387" s="157" t="str">
        <f t="shared" si="418"/>
        <v>1.13</v>
      </c>
      <c r="Z1387" s="18">
        <f t="shared" si="416"/>
        <v>420000</v>
      </c>
      <c r="AA1387" s="13">
        <v>1.081</v>
      </c>
      <c r="AB1387" s="21">
        <f t="shared" si="417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02"/>
        <v>15951056.41591504</v>
      </c>
      <c r="AJ1387" s="19">
        <f t="shared" si="403"/>
        <v>1966354.6022462982</v>
      </c>
      <c r="AK1387" s="20">
        <f t="shared" si="410"/>
        <v>0.12327425538313459</v>
      </c>
      <c r="AL1387" s="17"/>
      <c r="AM1387" s="17"/>
      <c r="AN1387" s="17"/>
      <c r="AO1387" s="17"/>
      <c r="AP1387" s="28" t="str">
        <f t="shared" si="411"/>
        <v>20237</v>
      </c>
      <c r="AQ1387" s="28" t="str">
        <f t="shared" si="412"/>
        <v>20237RMB</v>
      </c>
      <c r="AR1387" s="206" t="str">
        <f t="shared" si="413"/>
        <v>YAMAHA_Mounter</v>
      </c>
      <c r="AS1387" s="22">
        <f t="shared" si="414"/>
        <v>2</v>
      </c>
      <c r="AT1387" s="24" t="str">
        <f t="shared" si="415"/>
        <v>0-3 months</v>
      </c>
      <c r="AU1387" s="22" t="s">
        <v>3240</v>
      </c>
    </row>
    <row r="1388" spans="1:47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55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2528</v>
      </c>
      <c r="K1388" s="155" t="s">
        <v>1399</v>
      </c>
      <c r="L1388" s="17" t="s">
        <v>67</v>
      </c>
      <c r="M1388" s="13" t="s">
        <v>60</v>
      </c>
      <c r="N1388" s="13">
        <v>1</v>
      </c>
      <c r="O1388" s="13"/>
      <c r="P1388" s="33" t="str">
        <f t="shared" si="407"/>
        <v>MAIN UNIT</v>
      </c>
      <c r="Q1388" s="13" t="s">
        <v>61</v>
      </c>
      <c r="R1388" s="13" t="s">
        <v>62</v>
      </c>
      <c r="S1388" s="13" t="s">
        <v>50</v>
      </c>
      <c r="T1388" s="13" t="s">
        <v>88</v>
      </c>
      <c r="U1388" s="13" t="s">
        <v>70</v>
      </c>
      <c r="V1388" s="13" t="s">
        <v>1400</v>
      </c>
      <c r="W1388" s="13" t="s">
        <v>64</v>
      </c>
      <c r="X1388" s="135">
        <v>420000</v>
      </c>
      <c r="Y1388" s="157" t="str">
        <f t="shared" si="418"/>
        <v>1.13</v>
      </c>
      <c r="Z1388" s="18">
        <f t="shared" si="416"/>
        <v>420000</v>
      </c>
      <c r="AA1388" s="13">
        <v>1.081</v>
      </c>
      <c r="AB1388" s="21">
        <f t="shared" si="417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02"/>
        <v>15951056.41591504</v>
      </c>
      <c r="AJ1388" s="19">
        <f t="shared" si="403"/>
        <v>1966354.6022462982</v>
      </c>
      <c r="AK1388" s="20">
        <f t="shared" si="410"/>
        <v>0.12327425538313459</v>
      </c>
      <c r="AL1388" s="17"/>
      <c r="AM1388" s="17"/>
      <c r="AN1388" s="17"/>
      <c r="AO1388" s="17"/>
      <c r="AP1388" s="28" t="str">
        <f t="shared" si="411"/>
        <v>20237</v>
      </c>
      <c r="AQ1388" s="28" t="str">
        <f t="shared" si="412"/>
        <v>20237RMB</v>
      </c>
      <c r="AR1388" s="206" t="str">
        <f t="shared" si="413"/>
        <v>YAMAHA_Mounter</v>
      </c>
      <c r="AS1388" s="22">
        <f t="shared" si="414"/>
        <v>2</v>
      </c>
      <c r="AT1388" s="24" t="str">
        <f t="shared" si="415"/>
        <v>0-3 months</v>
      </c>
      <c r="AU1388" s="22" t="s">
        <v>3240</v>
      </c>
    </row>
    <row r="1389" spans="1:47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55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2570</v>
      </c>
      <c r="K1389" s="155" t="s">
        <v>1399</v>
      </c>
      <c r="L1389" s="17" t="s">
        <v>92</v>
      </c>
      <c r="M1389" s="13" t="s">
        <v>60</v>
      </c>
      <c r="N1389" s="13">
        <v>1</v>
      </c>
      <c r="O1389" s="13"/>
      <c r="P1389" s="33" t="str">
        <f t="shared" si="407"/>
        <v>MAIN UNIT</v>
      </c>
      <c r="Q1389" s="13" t="s">
        <v>68</v>
      </c>
      <c r="R1389" s="13" t="s">
        <v>62</v>
      </c>
      <c r="S1389" s="13" t="s">
        <v>50</v>
      </c>
      <c r="T1389" s="13" t="s">
        <v>88</v>
      </c>
      <c r="U1389" s="13" t="s">
        <v>70</v>
      </c>
      <c r="V1389" s="13" t="s">
        <v>1400</v>
      </c>
      <c r="W1389" s="13" t="s">
        <v>64</v>
      </c>
      <c r="X1389" s="135">
        <v>670000</v>
      </c>
      <c r="Y1389" s="157" t="str">
        <f t="shared" si="418"/>
        <v>1.13</v>
      </c>
      <c r="Z1389" s="18">
        <f t="shared" si="416"/>
        <v>670000</v>
      </c>
      <c r="AA1389" s="13">
        <v>1.077</v>
      </c>
      <c r="AB1389" s="21">
        <f t="shared" si="417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02"/>
        <v>26078226.463097349</v>
      </c>
      <c r="AJ1389" s="19">
        <f t="shared" si="403"/>
        <v>3137870.4427774516</v>
      </c>
      <c r="AK1389" s="20">
        <f t="shared" si="410"/>
        <v>0.12032530077218917</v>
      </c>
      <c r="AL1389" s="17"/>
      <c r="AM1389" s="17"/>
      <c r="AN1389" s="17"/>
      <c r="AO1389" s="17"/>
      <c r="AP1389" s="28" t="str">
        <f t="shared" si="411"/>
        <v>20239</v>
      </c>
      <c r="AQ1389" s="28" t="str">
        <f t="shared" si="412"/>
        <v>20239RMB</v>
      </c>
      <c r="AR1389" s="206" t="str">
        <f t="shared" si="413"/>
        <v>YAMAHA_Mounter</v>
      </c>
      <c r="AS1389" s="22">
        <f t="shared" si="414"/>
        <v>1</v>
      </c>
      <c r="AT1389" s="24" t="str">
        <f t="shared" si="415"/>
        <v>0-3 months</v>
      </c>
      <c r="AU1389" s="22" t="s">
        <v>3240</v>
      </c>
    </row>
    <row r="1390" spans="1:47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43</v>
      </c>
      <c r="M1390" s="22" t="s">
        <v>43</v>
      </c>
      <c r="N1390" s="22">
        <v>0</v>
      </c>
      <c r="O1390" s="22"/>
      <c r="P1390" s="33" t="str">
        <f t="shared" si="407"/>
        <v>C66 SERVICE/OTHERS</v>
      </c>
      <c r="Q1390" s="22" t="s">
        <v>45</v>
      </c>
      <c r="R1390" s="22" t="s">
        <v>45</v>
      </c>
      <c r="S1390" s="22" t="s">
        <v>51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6"/>
        <v/>
      </c>
      <c r="AA1390" s="22"/>
      <c r="AB1390" s="197">
        <v>46000</v>
      </c>
      <c r="AC1390" s="198">
        <f t="shared" si="408"/>
        <v>13800</v>
      </c>
      <c r="AD1390" s="227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02"/>
        <v>11472879.764601771</v>
      </c>
      <c r="AJ1390" s="200">
        <f t="shared" si="403"/>
        <v>2038344.1716106194</v>
      </c>
      <c r="AK1390" s="201">
        <f t="shared" si="410"/>
        <v>0.17766630640544948</v>
      </c>
      <c r="AL1390" s="24"/>
      <c r="AM1390" s="24"/>
      <c r="AN1390" s="24"/>
      <c r="AO1390" s="24"/>
      <c r="AP1390" s="105" t="str">
        <f t="shared" si="411"/>
        <v>20245</v>
      </c>
      <c r="AQ1390" s="28" t="str">
        <f t="shared" si="412"/>
        <v/>
      </c>
      <c r="AR1390" s="206" t="str">
        <f t="shared" si="413"/>
        <v>C66 SERVICE</v>
      </c>
      <c r="AS1390" s="22" t="str">
        <f t="shared" si="414"/>
        <v/>
      </c>
      <c r="AT1390" s="24" t="str">
        <f t="shared" si="415"/>
        <v/>
      </c>
      <c r="AU1390" s="22">
        <v>0</v>
      </c>
    </row>
    <row r="1391" spans="1:47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55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2111</v>
      </c>
      <c r="K1391" s="160" t="s">
        <v>2112</v>
      </c>
      <c r="L1391" s="17" t="s">
        <v>67</v>
      </c>
      <c r="M1391" s="158" t="s">
        <v>60</v>
      </c>
      <c r="N1391" s="158">
        <v>1</v>
      </c>
      <c r="O1391" s="13"/>
      <c r="P1391" s="33" t="str">
        <f t="shared" si="407"/>
        <v>MAIN UNIT</v>
      </c>
      <c r="Q1391" s="13" t="s">
        <v>68</v>
      </c>
      <c r="R1391" s="13" t="s">
        <v>62</v>
      </c>
      <c r="S1391" s="158" t="s">
        <v>50</v>
      </c>
      <c r="T1391" s="158" t="s">
        <v>88</v>
      </c>
      <c r="U1391" s="158" t="s">
        <v>70</v>
      </c>
      <c r="V1391" s="158" t="s">
        <v>1400</v>
      </c>
      <c r="W1391" s="158" t="s">
        <v>64</v>
      </c>
      <c r="X1391" s="138">
        <v>510000</v>
      </c>
      <c r="Y1391" s="157" t="str">
        <f>IF(W1391="RMB","1.13", "1")</f>
        <v>1.13</v>
      </c>
      <c r="Z1391" s="18">
        <f t="shared" si="416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02"/>
        <v>5219988.5752212387</v>
      </c>
      <c r="AJ1391" s="19">
        <f t="shared" si="403"/>
        <v>631627.0013460177</v>
      </c>
      <c r="AK1391" s="96">
        <f t="shared" si="410"/>
        <v>0.12100160608478869</v>
      </c>
      <c r="AL1391" s="17"/>
      <c r="AM1391" s="17"/>
      <c r="AN1391" s="17"/>
      <c r="AO1391" s="17"/>
      <c r="AP1391" s="28" t="str">
        <f t="shared" si="411"/>
        <v>202310</v>
      </c>
      <c r="AQ1391" s="28" t="str">
        <f t="shared" si="412"/>
        <v>202310RMB</v>
      </c>
      <c r="AR1391" s="206" t="str">
        <f t="shared" si="413"/>
        <v>YAMAHA_Mounter</v>
      </c>
      <c r="AS1391" s="22">
        <f t="shared" si="414"/>
        <v>3</v>
      </c>
      <c r="AT1391" s="24" t="str">
        <f t="shared" si="415"/>
        <v>0-3 months</v>
      </c>
      <c r="AU1391" s="22" t="s">
        <v>3240</v>
      </c>
    </row>
    <row r="1392" spans="1:47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43</v>
      </c>
      <c r="M1392" s="22" t="s">
        <v>43</v>
      </c>
      <c r="N1392" s="22">
        <v>0</v>
      </c>
      <c r="O1392" s="22"/>
      <c r="P1392" s="33" t="str">
        <f t="shared" si="407"/>
        <v>C66 SERVICE/OTHERS</v>
      </c>
      <c r="Q1392" s="22" t="s">
        <v>45</v>
      </c>
      <c r="R1392" s="22" t="s">
        <v>45</v>
      </c>
      <c r="S1392" s="22" t="s">
        <v>50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6"/>
        <v/>
      </c>
      <c r="AA1392" s="22"/>
      <c r="AB1392" s="197">
        <v>100000</v>
      </c>
      <c r="AC1392" s="198">
        <f t="shared" si="408"/>
        <v>30000</v>
      </c>
      <c r="AD1392" s="227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02"/>
        <v>11472879.764601771</v>
      </c>
      <c r="AJ1392" s="200">
        <f t="shared" si="403"/>
        <v>2038344.1716106194</v>
      </c>
      <c r="AK1392" s="201">
        <f t="shared" si="410"/>
        <v>0.17766630640544948</v>
      </c>
      <c r="AL1392" s="24"/>
      <c r="AM1392" s="24"/>
      <c r="AN1392" s="24"/>
      <c r="AO1392" s="24"/>
      <c r="AP1392" s="105" t="str">
        <f t="shared" si="411"/>
        <v>20245</v>
      </c>
      <c r="AQ1392" s="28" t="str">
        <f t="shared" si="412"/>
        <v/>
      </c>
      <c r="AR1392" s="206" t="str">
        <f t="shared" si="413"/>
        <v>C66 SERVICE</v>
      </c>
      <c r="AS1392" s="22" t="str">
        <f t="shared" si="414"/>
        <v/>
      </c>
      <c r="AT1392" s="24" t="str">
        <f t="shared" si="415"/>
        <v/>
      </c>
      <c r="AU1392" s="22">
        <v>0</v>
      </c>
    </row>
    <row r="1393" spans="1:47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53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1977</v>
      </c>
      <c r="K1393" s="155" t="s">
        <v>1978</v>
      </c>
      <c r="L1393" s="17" t="s">
        <v>67</v>
      </c>
      <c r="M1393" s="13" t="s">
        <v>60</v>
      </c>
      <c r="N1393" s="13">
        <v>1</v>
      </c>
      <c r="O1393" s="13"/>
      <c r="P1393" s="33" t="str">
        <f t="shared" si="407"/>
        <v>MAIN UNIT</v>
      </c>
      <c r="Q1393" s="13" t="s">
        <v>68</v>
      </c>
      <c r="R1393" s="13" t="s">
        <v>62</v>
      </c>
      <c r="S1393" s="13" t="s">
        <v>50</v>
      </c>
      <c r="T1393" s="13" t="s">
        <v>88</v>
      </c>
      <c r="U1393" s="13" t="s">
        <v>70</v>
      </c>
      <c r="V1393" s="13" t="s">
        <v>1400</v>
      </c>
      <c r="W1393" s="13" t="s">
        <v>64</v>
      </c>
      <c r="X1393" s="135">
        <v>1090000</v>
      </c>
      <c r="Y1393" s="157" t="str">
        <f>IF(W1393="RMB","1.13", "1")</f>
        <v>1.13</v>
      </c>
      <c r="Z1393" s="18">
        <f t="shared" si="416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02"/>
        <v>28726768.133805312</v>
      </c>
      <c r="AJ1393" s="19">
        <f t="shared" si="403"/>
        <v>3853638.1988864429</v>
      </c>
      <c r="AK1393" s="20">
        <f t="shared" si="410"/>
        <v>0.1341479898099476</v>
      </c>
      <c r="AL1393" s="17"/>
      <c r="AM1393" s="17"/>
      <c r="AN1393" s="17"/>
      <c r="AO1393" s="17"/>
      <c r="AP1393" s="28" t="str">
        <f t="shared" si="411"/>
        <v>20223</v>
      </c>
      <c r="AQ1393" s="28" t="str">
        <f t="shared" si="412"/>
        <v>20223RMB</v>
      </c>
      <c r="AR1393" s="206" t="str">
        <f t="shared" si="413"/>
        <v>YAMAHA_Mounter</v>
      </c>
      <c r="AS1393" s="22">
        <f t="shared" si="414"/>
        <v>8</v>
      </c>
      <c r="AT1393" s="24" t="str">
        <f t="shared" si="415"/>
        <v>&gt; 6 months</v>
      </c>
      <c r="AU1393" s="22" t="s">
        <v>3240</v>
      </c>
    </row>
    <row r="1394" spans="1:47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53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1977</v>
      </c>
      <c r="K1394" s="155" t="s">
        <v>1978</v>
      </c>
      <c r="L1394" s="17" t="s">
        <v>92</v>
      </c>
      <c r="M1394" s="13" t="s">
        <v>60</v>
      </c>
      <c r="N1394" s="13">
        <v>1</v>
      </c>
      <c r="O1394" s="13"/>
      <c r="P1394" s="33" t="str">
        <f t="shared" si="407"/>
        <v>MAIN UNIT</v>
      </c>
      <c r="Q1394" s="13" t="s">
        <v>68</v>
      </c>
      <c r="R1394" s="13" t="s">
        <v>62</v>
      </c>
      <c r="S1394" s="13" t="s">
        <v>50</v>
      </c>
      <c r="T1394" s="13" t="s">
        <v>88</v>
      </c>
      <c r="U1394" s="13" t="s">
        <v>70</v>
      </c>
      <c r="V1394" s="13" t="s">
        <v>1400</v>
      </c>
      <c r="W1394" s="13" t="s">
        <v>64</v>
      </c>
      <c r="X1394" s="135">
        <v>1090000</v>
      </c>
      <c r="Y1394" s="157" t="str">
        <f>IF(W1394="RMB","1.13", "1")</f>
        <v>1.13</v>
      </c>
      <c r="Z1394" s="18">
        <f t="shared" si="416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02"/>
        <v>28726768.133805312</v>
      </c>
      <c r="AJ1394" s="19">
        <f t="shared" si="403"/>
        <v>3853638.1988864429</v>
      </c>
      <c r="AK1394" s="20">
        <f t="shared" si="410"/>
        <v>0.1341479898099476</v>
      </c>
      <c r="AL1394" s="17"/>
      <c r="AM1394" s="17"/>
      <c r="AN1394" s="17"/>
      <c r="AO1394" s="17"/>
      <c r="AP1394" s="28" t="str">
        <f t="shared" si="411"/>
        <v>20223</v>
      </c>
      <c r="AQ1394" s="28" t="str">
        <f t="shared" si="412"/>
        <v>20223RMB</v>
      </c>
      <c r="AR1394" s="206" t="str">
        <f t="shared" si="413"/>
        <v>YAMAHA_Mounter</v>
      </c>
      <c r="AS1394" s="22">
        <f t="shared" si="414"/>
        <v>8</v>
      </c>
      <c r="AT1394" s="24" t="str">
        <f t="shared" si="415"/>
        <v>&gt; 6 months</v>
      </c>
      <c r="AU1394" s="22" t="s">
        <v>3240</v>
      </c>
    </row>
    <row r="1395" spans="1:47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185</v>
      </c>
      <c r="G1395" s="152" t="s">
        <v>185</v>
      </c>
      <c r="H1395" s="155"/>
      <c r="I1395" s="33" t="str">
        <f t="shared" si="406"/>
        <v>Cancel</v>
      </c>
      <c r="J1395" s="186" t="s">
        <v>3166</v>
      </c>
      <c r="K1395" s="155" t="s">
        <v>3167</v>
      </c>
      <c r="L1395" s="17" t="s">
        <v>67</v>
      </c>
      <c r="M1395" s="13" t="s">
        <v>60</v>
      </c>
      <c r="N1395" s="13">
        <v>1</v>
      </c>
      <c r="O1395" s="13"/>
      <c r="P1395" s="33" t="str">
        <f t="shared" si="407"/>
        <v>MAIN UNIT</v>
      </c>
      <c r="Q1395" s="13" t="s">
        <v>68</v>
      </c>
      <c r="R1395" s="13" t="s">
        <v>62</v>
      </c>
      <c r="S1395" s="13" t="s">
        <v>50</v>
      </c>
      <c r="T1395" s="13" t="s">
        <v>88</v>
      </c>
      <c r="U1395" s="13" t="s">
        <v>70</v>
      </c>
      <c r="V1395" s="13" t="s">
        <v>1400</v>
      </c>
      <c r="W1395" s="13" t="s">
        <v>64</v>
      </c>
      <c r="X1395" s="135">
        <v>623600</v>
      </c>
      <c r="Y1395" s="157" t="str">
        <f>IF(W1395="","",IF(W1395="RMB","1.13", "1"))</f>
        <v>1.13</v>
      </c>
      <c r="Z1395" s="18">
        <f t="shared" si="416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02"/>
        <v>499582152.5142017</v>
      </c>
      <c r="AJ1395" s="19">
        <f t="shared" si="403"/>
        <v>59520528.679470733</v>
      </c>
      <c r="AK1395" s="20">
        <f t="shared" si="410"/>
        <v>0.11914062257814291</v>
      </c>
      <c r="AL1395" s="17"/>
      <c r="AM1395" s="17"/>
      <c r="AN1395" s="17"/>
      <c r="AO1395" s="17"/>
      <c r="AP1395" s="28" t="str">
        <f t="shared" si="411"/>
        <v>CancelCancel</v>
      </c>
      <c r="AQ1395" s="28" t="str">
        <f t="shared" si="412"/>
        <v>CancelCancelRMB</v>
      </c>
      <c r="AR1395" s="206" t="str">
        <f t="shared" si="413"/>
        <v>YAMAHA_Mounter</v>
      </c>
      <c r="AS1395" s="22" t="str">
        <f t="shared" si="414"/>
        <v/>
      </c>
      <c r="AT1395" s="24" t="str">
        <f t="shared" si="415"/>
        <v/>
      </c>
      <c r="AU1395" s="22" t="s">
        <v>3240</v>
      </c>
    </row>
    <row r="1396" spans="1:47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185</v>
      </c>
      <c r="G1396" s="152" t="s">
        <v>185</v>
      </c>
      <c r="H1396" s="155"/>
      <c r="I1396" s="33" t="str">
        <f t="shared" si="406"/>
        <v>Cancel</v>
      </c>
      <c r="J1396" s="186" t="s">
        <v>3166</v>
      </c>
      <c r="K1396" s="155" t="s">
        <v>3167</v>
      </c>
      <c r="L1396" s="17" t="s">
        <v>67</v>
      </c>
      <c r="M1396" s="13" t="s">
        <v>60</v>
      </c>
      <c r="N1396" s="13">
        <v>1</v>
      </c>
      <c r="O1396" s="13"/>
      <c r="P1396" s="33" t="str">
        <f t="shared" si="407"/>
        <v>MAIN UNIT</v>
      </c>
      <c r="Q1396" s="13" t="s">
        <v>68</v>
      </c>
      <c r="R1396" s="13" t="s">
        <v>62</v>
      </c>
      <c r="S1396" s="13" t="s">
        <v>50</v>
      </c>
      <c r="T1396" s="13" t="s">
        <v>88</v>
      </c>
      <c r="U1396" s="13" t="s">
        <v>70</v>
      </c>
      <c r="V1396" s="13" t="s">
        <v>1400</v>
      </c>
      <c r="W1396" s="13" t="s">
        <v>64</v>
      </c>
      <c r="X1396" s="135">
        <v>623600</v>
      </c>
      <c r="Y1396" s="157" t="str">
        <f>IF(W1396="","",IF(W1396="RMB","1.13", "1"))</f>
        <v>1.13</v>
      </c>
      <c r="Z1396" s="18">
        <f t="shared" si="416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02"/>
        <v>499582152.5142017</v>
      </c>
      <c r="AJ1396" s="19">
        <f t="shared" si="403"/>
        <v>59520528.679470733</v>
      </c>
      <c r="AK1396" s="20">
        <f t="shared" si="410"/>
        <v>0.11914062257814291</v>
      </c>
      <c r="AL1396" s="17"/>
      <c r="AM1396" s="17"/>
      <c r="AN1396" s="17"/>
      <c r="AO1396" s="17"/>
      <c r="AP1396" s="28" t="str">
        <f t="shared" si="411"/>
        <v>CancelCancel</v>
      </c>
      <c r="AQ1396" s="28" t="str">
        <f t="shared" si="412"/>
        <v>CancelCancelRMB</v>
      </c>
      <c r="AR1396" s="206" t="str">
        <f t="shared" si="413"/>
        <v>YAMAHA_Mounter</v>
      </c>
      <c r="AS1396" s="22" t="str">
        <f t="shared" si="414"/>
        <v/>
      </c>
      <c r="AT1396" s="24" t="str">
        <f t="shared" si="415"/>
        <v/>
      </c>
      <c r="AU1396" s="22" t="s">
        <v>3240</v>
      </c>
    </row>
    <row r="1397" spans="1:47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43</v>
      </c>
      <c r="M1397" s="22" t="s">
        <v>43</v>
      </c>
      <c r="N1397" s="22">
        <v>0</v>
      </c>
      <c r="O1397" s="22"/>
      <c r="P1397" s="33" t="str">
        <f t="shared" si="407"/>
        <v>C66 SERVICE/OTHERS</v>
      </c>
      <c r="Q1397" s="22" t="s">
        <v>45</v>
      </c>
      <c r="R1397" s="22" t="s">
        <v>45</v>
      </c>
      <c r="S1397" s="22" t="s">
        <v>49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6"/>
        <v/>
      </c>
      <c r="AA1397" s="22"/>
      <c r="AB1397" s="197">
        <v>266000</v>
      </c>
      <c r="AC1397" s="198">
        <f t="shared" si="408"/>
        <v>79800</v>
      </c>
      <c r="AD1397" s="227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02"/>
        <v>11472879.764601771</v>
      </c>
      <c r="AJ1397" s="200">
        <f t="shared" si="403"/>
        <v>2038344.1716106194</v>
      </c>
      <c r="AK1397" s="201">
        <f t="shared" si="410"/>
        <v>0.17766630640544948</v>
      </c>
      <c r="AL1397" s="24"/>
      <c r="AM1397" s="24"/>
      <c r="AN1397" s="24"/>
      <c r="AO1397" s="24"/>
      <c r="AP1397" s="105" t="str">
        <f t="shared" si="411"/>
        <v>20245</v>
      </c>
      <c r="AQ1397" s="28" t="str">
        <f t="shared" si="412"/>
        <v/>
      </c>
      <c r="AR1397" s="206" t="str">
        <f t="shared" si="413"/>
        <v>C66 SERVICE</v>
      </c>
      <c r="AS1397" s="22" t="str">
        <f t="shared" si="414"/>
        <v/>
      </c>
      <c r="AT1397" s="24" t="str">
        <f t="shared" si="415"/>
        <v/>
      </c>
      <c r="AU1397" s="22">
        <v>0</v>
      </c>
    </row>
    <row r="1398" spans="1:47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3406</v>
      </c>
      <c r="K1398" s="29" t="s">
        <v>414</v>
      </c>
      <c r="L1398" s="17" t="s">
        <v>3407</v>
      </c>
      <c r="M1398" s="22" t="s">
        <v>377</v>
      </c>
      <c r="N1398" s="22">
        <v>2</v>
      </c>
      <c r="O1398" s="22"/>
      <c r="P1398" s="33" t="str">
        <f t="shared" si="407"/>
        <v>MAIN UNIT</v>
      </c>
      <c r="Q1398" s="13" t="s">
        <v>61</v>
      </c>
      <c r="R1398" s="22" t="s">
        <v>2055</v>
      </c>
      <c r="S1398" s="22" t="s">
        <v>50</v>
      </c>
      <c r="T1398" s="22" t="s">
        <v>101</v>
      </c>
      <c r="U1398" s="22" t="s">
        <v>70</v>
      </c>
      <c r="V1398" s="22" t="s">
        <v>84</v>
      </c>
      <c r="W1398" s="22" t="s">
        <v>64</v>
      </c>
      <c r="X1398" s="30">
        <v>45275</v>
      </c>
      <c r="Y1398" s="31" t="str">
        <f>IF(W1398="","",IF(W1398="RMB","1.13", "1"))</f>
        <v>1.13</v>
      </c>
      <c r="Z1398" s="18">
        <f t="shared" si="416"/>
        <v>90550</v>
      </c>
      <c r="AA1398" s="22">
        <v>1.08</v>
      </c>
      <c r="AB1398" s="21">
        <f t="shared" ref="AB1398:AB1461" si="419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02"/>
        <v>27308925.887079656</v>
      </c>
      <c r="AJ1398" s="27">
        <f t="shared" si="403"/>
        <v>3319273.860338124</v>
      </c>
      <c r="AK1398" s="28">
        <f t="shared" si="410"/>
        <v>0.12154538314919709</v>
      </c>
      <c r="AL1398" s="24"/>
      <c r="AM1398" s="24"/>
      <c r="AN1398" s="24"/>
      <c r="AO1398" s="24"/>
      <c r="AP1398" s="28" t="str">
        <f t="shared" si="411"/>
        <v>20246</v>
      </c>
      <c r="AQ1398" s="28" t="str">
        <f t="shared" si="412"/>
        <v>20246RMB</v>
      </c>
      <c r="AR1398" s="206" t="str">
        <f t="shared" si="413"/>
        <v>LOCAL SUPPLIER</v>
      </c>
      <c r="AS1398" s="22">
        <f t="shared" si="414"/>
        <v>2</v>
      </c>
      <c r="AT1398" s="24" t="str">
        <f t="shared" si="415"/>
        <v>0-3 months</v>
      </c>
      <c r="AU1398" s="22" t="s">
        <v>3240</v>
      </c>
    </row>
    <row r="1399" spans="1:47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53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1952</v>
      </c>
      <c r="K1399" s="155" t="s">
        <v>1953</v>
      </c>
      <c r="L1399" s="17" t="s">
        <v>92</v>
      </c>
      <c r="M1399" s="13" t="s">
        <v>60</v>
      </c>
      <c r="N1399" s="13">
        <v>1</v>
      </c>
      <c r="O1399" s="13"/>
      <c r="P1399" s="33" t="str">
        <f t="shared" si="407"/>
        <v>MAIN UNIT</v>
      </c>
      <c r="Q1399" s="13" t="s">
        <v>68</v>
      </c>
      <c r="R1399" s="13" t="s">
        <v>62</v>
      </c>
      <c r="S1399" s="13" t="s">
        <v>50</v>
      </c>
      <c r="T1399" s="13" t="s">
        <v>88</v>
      </c>
      <c r="U1399" s="13" t="s">
        <v>70</v>
      </c>
      <c r="V1399" s="13" t="s">
        <v>1400</v>
      </c>
      <c r="W1399" s="13" t="s">
        <v>64</v>
      </c>
      <c r="X1399" s="135">
        <v>993800</v>
      </c>
      <c r="Y1399" s="157" t="str">
        <f>IF(W1399="RMB","1.13", "1")</f>
        <v>1.13</v>
      </c>
      <c r="Z1399" s="18">
        <f t="shared" si="416"/>
        <v>993800</v>
      </c>
      <c r="AA1399" s="13">
        <v>1.22</v>
      </c>
      <c r="AB1399" s="21">
        <f t="shared" si="419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02"/>
        <v>26407088.359292038</v>
      </c>
      <c r="AJ1399" s="19">
        <f t="shared" si="403"/>
        <v>3424510.6998470789</v>
      </c>
      <c r="AK1399" s="20">
        <f t="shared" si="410"/>
        <v>0.12968149510667554</v>
      </c>
      <c r="AL1399" s="17"/>
      <c r="AM1399" s="17"/>
      <c r="AN1399" s="17"/>
      <c r="AO1399" s="17"/>
      <c r="AP1399" s="28" t="str">
        <f t="shared" si="411"/>
        <v>20221</v>
      </c>
      <c r="AQ1399" s="28" t="str">
        <f t="shared" si="412"/>
        <v>20221RMB</v>
      </c>
      <c r="AR1399" s="206" t="str">
        <f t="shared" si="413"/>
        <v>YAMAHA_Mounter</v>
      </c>
      <c r="AS1399" s="22">
        <f t="shared" si="414"/>
        <v>2</v>
      </c>
      <c r="AT1399" s="24" t="str">
        <f t="shared" si="415"/>
        <v>0-3 months</v>
      </c>
      <c r="AU1399" s="22" t="s">
        <v>3240</v>
      </c>
    </row>
    <row r="1400" spans="1:47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53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1989</v>
      </c>
      <c r="K1400" s="155" t="s">
        <v>1953</v>
      </c>
      <c r="L1400" s="17" t="s">
        <v>67</v>
      </c>
      <c r="M1400" s="13" t="s">
        <v>60</v>
      </c>
      <c r="N1400" s="13">
        <v>1</v>
      </c>
      <c r="O1400" s="13"/>
      <c r="P1400" s="33" t="str">
        <f t="shared" si="407"/>
        <v>MAIN UNIT</v>
      </c>
      <c r="Q1400" s="13" t="s">
        <v>61</v>
      </c>
      <c r="R1400" s="13" t="s">
        <v>62</v>
      </c>
      <c r="S1400" s="13" t="s">
        <v>50</v>
      </c>
      <c r="T1400" s="13" t="s">
        <v>88</v>
      </c>
      <c r="U1400" s="13" t="s">
        <v>70</v>
      </c>
      <c r="V1400" s="13" t="s">
        <v>1400</v>
      </c>
      <c r="W1400" s="13" t="s">
        <v>64</v>
      </c>
      <c r="X1400" s="135">
        <v>706050</v>
      </c>
      <c r="Y1400" s="157" t="str">
        <f>IF(W1400="RMB","1.13", "1")</f>
        <v>1.13</v>
      </c>
      <c r="Z1400" s="18">
        <f t="shared" si="416"/>
        <v>706050</v>
      </c>
      <c r="AA1400" s="13">
        <v>1.22</v>
      </c>
      <c r="AB1400" s="21">
        <f t="shared" si="419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02"/>
        <v>28726768.133805312</v>
      </c>
      <c r="AJ1400" s="19">
        <f t="shared" si="403"/>
        <v>3853638.1988864429</v>
      </c>
      <c r="AK1400" s="20">
        <f t="shared" si="410"/>
        <v>0.1341479898099476</v>
      </c>
      <c r="AL1400" s="17"/>
      <c r="AM1400" s="17"/>
      <c r="AN1400" s="17"/>
      <c r="AO1400" s="17"/>
      <c r="AP1400" s="28" t="str">
        <f t="shared" si="411"/>
        <v>20223</v>
      </c>
      <c r="AQ1400" s="28" t="str">
        <f t="shared" si="412"/>
        <v>20223RMB</v>
      </c>
      <c r="AR1400" s="206" t="str">
        <f t="shared" si="413"/>
        <v>YAMAHA_Mounter</v>
      </c>
      <c r="AS1400" s="22">
        <f t="shared" si="414"/>
        <v>3</v>
      </c>
      <c r="AT1400" s="24" t="str">
        <f t="shared" si="415"/>
        <v>0-3 months</v>
      </c>
      <c r="AU1400" s="22" t="s">
        <v>3240</v>
      </c>
    </row>
    <row r="1401" spans="1:47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53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1952</v>
      </c>
      <c r="K1401" s="155" t="s">
        <v>1953</v>
      </c>
      <c r="L1401" s="17" t="s">
        <v>92</v>
      </c>
      <c r="M1401" s="13" t="s">
        <v>60</v>
      </c>
      <c r="N1401" s="13">
        <v>1</v>
      </c>
      <c r="O1401" s="13"/>
      <c r="P1401" s="33" t="str">
        <f t="shared" si="407"/>
        <v>MAIN UNIT</v>
      </c>
      <c r="Q1401" s="13" t="s">
        <v>68</v>
      </c>
      <c r="R1401" s="13" t="s">
        <v>62</v>
      </c>
      <c r="S1401" s="13" t="s">
        <v>50</v>
      </c>
      <c r="T1401" s="13" t="s">
        <v>88</v>
      </c>
      <c r="U1401" s="13" t="s">
        <v>70</v>
      </c>
      <c r="V1401" s="13" t="s">
        <v>1400</v>
      </c>
      <c r="W1401" s="13" t="s">
        <v>64</v>
      </c>
      <c r="X1401" s="135">
        <v>993800</v>
      </c>
      <c r="Y1401" s="157" t="str">
        <f>IF(W1401="RMB","1.13", "1")</f>
        <v>1.13</v>
      </c>
      <c r="Z1401" s="18">
        <f t="shared" si="416"/>
        <v>993800</v>
      </c>
      <c r="AA1401" s="13">
        <v>1.22</v>
      </c>
      <c r="AB1401" s="21">
        <f t="shared" si="419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02"/>
        <v>28726768.133805312</v>
      </c>
      <c r="AJ1401" s="19">
        <f t="shared" si="403"/>
        <v>3853638.1988864429</v>
      </c>
      <c r="AK1401" s="20">
        <f t="shared" si="410"/>
        <v>0.1341479898099476</v>
      </c>
      <c r="AL1401" s="17"/>
      <c r="AM1401" s="17"/>
      <c r="AN1401" s="17"/>
      <c r="AO1401" s="17"/>
      <c r="AP1401" s="28" t="str">
        <f t="shared" si="411"/>
        <v>20223</v>
      </c>
      <c r="AQ1401" s="28" t="str">
        <f t="shared" si="412"/>
        <v>20223RMB</v>
      </c>
      <c r="AR1401" s="206" t="str">
        <f t="shared" si="413"/>
        <v>YAMAHA_Mounter</v>
      </c>
      <c r="AS1401" s="22">
        <f t="shared" si="414"/>
        <v>4</v>
      </c>
      <c r="AT1401" s="24" t="str">
        <f t="shared" si="415"/>
        <v>4-6 months</v>
      </c>
      <c r="AU1401" s="22" t="s">
        <v>3240</v>
      </c>
    </row>
    <row r="1402" spans="1:47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54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1989</v>
      </c>
      <c r="K1402" s="155" t="s">
        <v>1953</v>
      </c>
      <c r="L1402" s="17" t="s">
        <v>67</v>
      </c>
      <c r="M1402" s="13" t="s">
        <v>60</v>
      </c>
      <c r="N1402" s="13">
        <v>1</v>
      </c>
      <c r="O1402" s="13"/>
      <c r="P1402" s="33" t="str">
        <f t="shared" si="407"/>
        <v>MAIN UNIT</v>
      </c>
      <c r="Q1402" s="13" t="s">
        <v>61</v>
      </c>
      <c r="R1402" s="13" t="s">
        <v>62</v>
      </c>
      <c r="S1402" s="13" t="s">
        <v>50</v>
      </c>
      <c r="T1402" s="13" t="s">
        <v>88</v>
      </c>
      <c r="U1402" s="13" t="s">
        <v>70</v>
      </c>
      <c r="V1402" s="13" t="s">
        <v>1400</v>
      </c>
      <c r="W1402" s="13" t="s">
        <v>64</v>
      </c>
      <c r="X1402" s="135">
        <v>706050</v>
      </c>
      <c r="Y1402" s="157" t="str">
        <f>IF(W1402="RMB","1.13", "1")</f>
        <v>1.13</v>
      </c>
      <c r="Z1402" s="18">
        <f t="shared" si="416"/>
        <v>706050</v>
      </c>
      <c r="AA1402" s="13">
        <v>1.175</v>
      </c>
      <c r="AB1402" s="21">
        <f t="shared" si="419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02"/>
        <v>35682787.057522126</v>
      </c>
      <c r="AJ1402" s="19">
        <f t="shared" si="403"/>
        <v>5833368.3789623892</v>
      </c>
      <c r="AK1402" s="20">
        <f t="shared" si="410"/>
        <v>0.16347849649632912</v>
      </c>
      <c r="AL1402" s="17"/>
      <c r="AM1402" s="17"/>
      <c r="AN1402" s="17"/>
      <c r="AO1402" s="17"/>
      <c r="AP1402" s="28" t="str">
        <f t="shared" si="411"/>
        <v>20226</v>
      </c>
      <c r="AQ1402" s="28" t="str">
        <f t="shared" si="412"/>
        <v>20226RMB</v>
      </c>
      <c r="AR1402" s="206" t="str">
        <f t="shared" si="413"/>
        <v>YAMAHA_Mounter</v>
      </c>
      <c r="AS1402" s="22">
        <f t="shared" si="414"/>
        <v>6</v>
      </c>
      <c r="AT1402" s="24" t="str">
        <f t="shared" si="415"/>
        <v>4-6 months</v>
      </c>
      <c r="AU1402" s="22" t="s">
        <v>3240</v>
      </c>
    </row>
    <row r="1403" spans="1:47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185</v>
      </c>
      <c r="G1403" s="152" t="s">
        <v>185</v>
      </c>
      <c r="H1403" s="155"/>
      <c r="I1403" s="33" t="str">
        <f t="shared" si="406"/>
        <v>Cancel</v>
      </c>
      <c r="J1403" s="186" t="s">
        <v>3365</v>
      </c>
      <c r="K1403" s="155" t="s">
        <v>3165</v>
      </c>
      <c r="L1403" s="17" t="s">
        <v>92</v>
      </c>
      <c r="M1403" s="13" t="s">
        <v>60</v>
      </c>
      <c r="N1403" s="13">
        <v>1</v>
      </c>
      <c r="O1403" s="13"/>
      <c r="P1403" s="33" t="str">
        <f t="shared" si="407"/>
        <v>MAIN UNIT</v>
      </c>
      <c r="Q1403" s="13" t="s">
        <v>68</v>
      </c>
      <c r="R1403" s="13" t="s">
        <v>62</v>
      </c>
      <c r="S1403" s="13" t="s">
        <v>50</v>
      </c>
      <c r="T1403" s="13" t="s">
        <v>88</v>
      </c>
      <c r="U1403" s="13" t="s">
        <v>70</v>
      </c>
      <c r="V1403" s="13" t="s">
        <v>1010</v>
      </c>
      <c r="W1403" s="13" t="s">
        <v>64</v>
      </c>
      <c r="X1403" s="135">
        <v>790000</v>
      </c>
      <c r="Y1403" s="157" t="str">
        <f>IF(W1403="","",IF(W1403="RMB","1.13", "1"))</f>
        <v>1.13</v>
      </c>
      <c r="Z1403" s="18">
        <f t="shared" si="416"/>
        <v>790000</v>
      </c>
      <c r="AA1403" s="13">
        <v>1.0900000000000001</v>
      </c>
      <c r="AB1403" s="21">
        <f t="shared" si="419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02"/>
        <v>499582152.5142017</v>
      </c>
      <c r="AJ1403" s="19">
        <f t="shared" si="403"/>
        <v>59520528.679470733</v>
      </c>
      <c r="AK1403" s="20">
        <f t="shared" si="410"/>
        <v>0.11914062257814291</v>
      </c>
      <c r="AL1403" s="17"/>
      <c r="AM1403" s="17"/>
      <c r="AN1403" s="17"/>
      <c r="AO1403" s="17" t="s">
        <v>3366</v>
      </c>
      <c r="AP1403" s="28" t="str">
        <f t="shared" si="411"/>
        <v>CancelCancel</v>
      </c>
      <c r="AQ1403" s="28" t="str">
        <f t="shared" si="412"/>
        <v>CancelCancelRMB</v>
      </c>
      <c r="AR1403" s="206" t="str">
        <f t="shared" si="413"/>
        <v>YAMAHA_Mounter</v>
      </c>
      <c r="AS1403" s="22" t="str">
        <f t="shared" si="414"/>
        <v/>
      </c>
      <c r="AT1403" s="24" t="str">
        <f t="shared" si="415"/>
        <v/>
      </c>
      <c r="AU1403" s="22" t="s">
        <v>3240</v>
      </c>
    </row>
    <row r="1404" spans="1:47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3406</v>
      </c>
      <c r="K1404" s="29" t="s">
        <v>414</v>
      </c>
      <c r="L1404" s="17" t="s">
        <v>3408</v>
      </c>
      <c r="M1404" s="22" t="s">
        <v>377</v>
      </c>
      <c r="N1404" s="22">
        <v>3</v>
      </c>
      <c r="O1404" s="22"/>
      <c r="P1404" s="33" t="str">
        <f t="shared" si="407"/>
        <v>MAIN UNIT</v>
      </c>
      <c r="Q1404" s="13" t="s">
        <v>61</v>
      </c>
      <c r="R1404" s="22" t="s">
        <v>2055</v>
      </c>
      <c r="S1404" s="22" t="s">
        <v>50</v>
      </c>
      <c r="T1404" s="22" t="s">
        <v>101</v>
      </c>
      <c r="U1404" s="22" t="s">
        <v>70</v>
      </c>
      <c r="V1404" s="22" t="s">
        <v>84</v>
      </c>
      <c r="W1404" s="22" t="s">
        <v>64</v>
      </c>
      <c r="X1404" s="30">
        <v>6566</v>
      </c>
      <c r="Y1404" s="31" t="str">
        <f>IF(W1404="","",IF(W1404="RMB","1.13", "1"))</f>
        <v>1.13</v>
      </c>
      <c r="Z1404" s="18">
        <f t="shared" si="416"/>
        <v>19698</v>
      </c>
      <c r="AA1404" s="22">
        <v>1.08</v>
      </c>
      <c r="AB1404" s="21">
        <f t="shared" si="419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02"/>
        <v>27308925.887079656</v>
      </c>
      <c r="AJ1404" s="27">
        <f t="shared" si="403"/>
        <v>3319273.860338124</v>
      </c>
      <c r="AK1404" s="28">
        <f t="shared" si="410"/>
        <v>0.12154538314919709</v>
      </c>
      <c r="AL1404" s="24"/>
      <c r="AM1404" s="24"/>
      <c r="AN1404" s="24"/>
      <c r="AO1404" s="24"/>
      <c r="AP1404" s="28" t="str">
        <f t="shared" si="411"/>
        <v>20246</v>
      </c>
      <c r="AQ1404" s="28" t="str">
        <f t="shared" si="412"/>
        <v>20246RMB</v>
      </c>
      <c r="AR1404" s="206" t="str">
        <f t="shared" si="413"/>
        <v>LOCAL SUPPLIER</v>
      </c>
      <c r="AS1404" s="22">
        <f t="shared" si="414"/>
        <v>2</v>
      </c>
      <c r="AT1404" s="24" t="str">
        <f t="shared" si="415"/>
        <v>0-3 months</v>
      </c>
      <c r="AU1404" s="22" t="s">
        <v>3240</v>
      </c>
    </row>
    <row r="1405" spans="1:47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3406</v>
      </c>
      <c r="K1405" s="29" t="s">
        <v>414</v>
      </c>
      <c r="L1405" s="17" t="s">
        <v>3409</v>
      </c>
      <c r="M1405" s="22" t="s">
        <v>377</v>
      </c>
      <c r="N1405" s="22">
        <v>2</v>
      </c>
      <c r="O1405" s="22"/>
      <c r="P1405" s="33" t="str">
        <f t="shared" si="407"/>
        <v>MAIN UNIT</v>
      </c>
      <c r="Q1405" s="13" t="s">
        <v>61</v>
      </c>
      <c r="R1405" s="22" t="s">
        <v>2055</v>
      </c>
      <c r="S1405" s="22" t="s">
        <v>50</v>
      </c>
      <c r="T1405" s="22" t="s">
        <v>101</v>
      </c>
      <c r="U1405" s="22" t="s">
        <v>70</v>
      </c>
      <c r="V1405" s="22" t="s">
        <v>84</v>
      </c>
      <c r="W1405" s="22" t="s">
        <v>64</v>
      </c>
      <c r="X1405" s="30">
        <v>9800</v>
      </c>
      <c r="Y1405" s="31" t="str">
        <f>IF(W1405="","",IF(W1405="RMB","1.13", "1"))</f>
        <v>1.13</v>
      </c>
      <c r="Z1405" s="18">
        <f t="shared" si="416"/>
        <v>19600</v>
      </c>
      <c r="AA1405" s="22">
        <v>1.08</v>
      </c>
      <c r="AB1405" s="21">
        <f t="shared" si="419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02"/>
        <v>27308925.887079656</v>
      </c>
      <c r="AJ1405" s="27">
        <f t="shared" si="403"/>
        <v>3319273.860338124</v>
      </c>
      <c r="AK1405" s="28">
        <f t="shared" si="410"/>
        <v>0.12154538314919709</v>
      </c>
      <c r="AL1405" s="24"/>
      <c r="AM1405" s="24"/>
      <c r="AN1405" s="24"/>
      <c r="AO1405" s="24"/>
      <c r="AP1405" s="28" t="str">
        <f t="shared" si="411"/>
        <v>20246</v>
      </c>
      <c r="AQ1405" s="28" t="str">
        <f t="shared" si="412"/>
        <v>20246RMB</v>
      </c>
      <c r="AR1405" s="206" t="str">
        <f t="shared" si="413"/>
        <v>LOCAL SUPPLIER</v>
      </c>
      <c r="AS1405" s="22">
        <f t="shared" si="414"/>
        <v>2</v>
      </c>
      <c r="AT1405" s="24" t="str">
        <f t="shared" si="415"/>
        <v>0-3 months</v>
      </c>
      <c r="AU1405" s="22" t="s">
        <v>3240</v>
      </c>
    </row>
    <row r="1406" spans="1:47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3392</v>
      </c>
      <c r="K1406" s="29" t="s">
        <v>501</v>
      </c>
      <c r="L1406" s="17" t="s">
        <v>67</v>
      </c>
      <c r="M1406" s="22" t="s">
        <v>60</v>
      </c>
      <c r="N1406" s="22">
        <v>1</v>
      </c>
      <c r="O1406" s="22"/>
      <c r="P1406" s="33" t="str">
        <f t="shared" si="407"/>
        <v>MAIN UNIT</v>
      </c>
      <c r="Q1406" s="13" t="s">
        <v>61</v>
      </c>
      <c r="R1406" s="22" t="s">
        <v>62</v>
      </c>
      <c r="S1406" s="22" t="s">
        <v>49</v>
      </c>
      <c r="T1406" s="22" t="s">
        <v>78</v>
      </c>
      <c r="U1406" s="22" t="s">
        <v>78</v>
      </c>
      <c r="V1406" s="22" t="s">
        <v>311</v>
      </c>
      <c r="W1406" s="22" t="s">
        <v>109</v>
      </c>
      <c r="X1406" s="30">
        <v>8000000</v>
      </c>
      <c r="Y1406" s="31" t="str">
        <f>IF(W1406="","",IF(W1406="RMB","1.13", "1"))</f>
        <v>1</v>
      </c>
      <c r="Z1406" s="18">
        <f t="shared" si="416"/>
        <v>8000000</v>
      </c>
      <c r="AA1406" s="22">
        <v>5.0999999999999997E-2</v>
      </c>
      <c r="AB1406" s="21">
        <f t="shared" si="419"/>
        <v>408000</v>
      </c>
      <c r="AC1406" s="25">
        <f t="shared" si="408"/>
        <v>46838.400000000001</v>
      </c>
      <c r="AD1406" s="228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02"/>
        <v>27308925.887079656</v>
      </c>
      <c r="AJ1406" s="27">
        <f t="shared" si="403"/>
        <v>3319273.860338124</v>
      </c>
      <c r="AK1406" s="28">
        <f t="shared" si="410"/>
        <v>0.12154538314919709</v>
      </c>
      <c r="AL1406" s="24"/>
      <c r="AM1406" s="24"/>
      <c r="AN1406" s="24"/>
      <c r="AO1406" s="24"/>
      <c r="AP1406" s="28" t="str">
        <f t="shared" si="411"/>
        <v>20246</v>
      </c>
      <c r="AQ1406" s="28" t="str">
        <f t="shared" si="412"/>
        <v>20246JPY</v>
      </c>
      <c r="AR1406" s="206" t="str">
        <f t="shared" si="413"/>
        <v>YAMAHA_Mounter</v>
      </c>
      <c r="AS1406" s="22">
        <f t="shared" si="414"/>
        <v>2</v>
      </c>
      <c r="AT1406" s="24" t="str">
        <f t="shared" si="415"/>
        <v>0-3 months</v>
      </c>
      <c r="AU1406" s="22" t="s">
        <v>3745</v>
      </c>
    </row>
    <row r="1407" spans="1:47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53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1700</v>
      </c>
      <c r="K1407" s="155" t="s">
        <v>1701</v>
      </c>
      <c r="L1407" s="17" t="s">
        <v>92</v>
      </c>
      <c r="M1407" s="13" t="s">
        <v>60</v>
      </c>
      <c r="N1407" s="13">
        <v>1</v>
      </c>
      <c r="O1407" s="13"/>
      <c r="P1407" s="33" t="str">
        <f t="shared" si="407"/>
        <v>MAIN UNIT</v>
      </c>
      <c r="Q1407" s="13" t="s">
        <v>68</v>
      </c>
      <c r="R1407" s="13" t="s">
        <v>62</v>
      </c>
      <c r="S1407" s="13" t="s">
        <v>50</v>
      </c>
      <c r="T1407" s="13" t="s">
        <v>88</v>
      </c>
      <c r="U1407" s="13" t="s">
        <v>70</v>
      </c>
      <c r="V1407" s="13" t="s">
        <v>169</v>
      </c>
      <c r="W1407" s="13" t="s">
        <v>64</v>
      </c>
      <c r="X1407" s="135">
        <v>930000</v>
      </c>
      <c r="Y1407" s="157" t="str">
        <f t="shared" ref="Y1407:Y1413" si="420">IF(W1407="RMB","1.13", "1")</f>
        <v>1.13</v>
      </c>
      <c r="Z1407" s="18">
        <f t="shared" si="416"/>
        <v>930000</v>
      </c>
      <c r="AA1407" s="13">
        <v>1.18</v>
      </c>
      <c r="AB1407" s="21">
        <f t="shared" si="419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02"/>
        <v>43684091.636631854</v>
      </c>
      <c r="AJ1407" s="19">
        <f t="shared" si="403"/>
        <v>6483951.8242071122</v>
      </c>
      <c r="AK1407" s="20">
        <f t="shared" si="410"/>
        <v>0.14842821680123736</v>
      </c>
      <c r="AL1407" s="17"/>
      <c r="AM1407" s="17"/>
      <c r="AN1407" s="17"/>
      <c r="AO1407" s="17"/>
      <c r="AP1407" s="28" t="str">
        <f t="shared" si="411"/>
        <v>20214</v>
      </c>
      <c r="AQ1407" s="28" t="str">
        <f t="shared" si="412"/>
        <v>20214RMB</v>
      </c>
      <c r="AR1407" s="206" t="str">
        <f t="shared" si="413"/>
        <v>YAMAHA_Mounter</v>
      </c>
      <c r="AS1407" s="22">
        <f t="shared" si="414"/>
        <v>0</v>
      </c>
      <c r="AT1407" s="24" t="str">
        <f t="shared" si="415"/>
        <v>0-3 months</v>
      </c>
      <c r="AU1407" s="22" t="s">
        <v>3240</v>
      </c>
    </row>
    <row r="1408" spans="1:47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53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1700</v>
      </c>
      <c r="K1408" s="155" t="s">
        <v>1701</v>
      </c>
      <c r="L1408" s="17" t="s">
        <v>92</v>
      </c>
      <c r="M1408" s="13" t="s">
        <v>60</v>
      </c>
      <c r="N1408" s="13">
        <v>1</v>
      </c>
      <c r="O1408" s="13"/>
      <c r="P1408" s="33" t="str">
        <f t="shared" si="407"/>
        <v>MAIN UNIT</v>
      </c>
      <c r="Q1408" s="13" t="s">
        <v>68</v>
      </c>
      <c r="R1408" s="13" t="s">
        <v>62</v>
      </c>
      <c r="S1408" s="13" t="s">
        <v>50</v>
      </c>
      <c r="T1408" s="13" t="s">
        <v>88</v>
      </c>
      <c r="U1408" s="13" t="s">
        <v>70</v>
      </c>
      <c r="V1408" s="13" t="s">
        <v>169</v>
      </c>
      <c r="W1408" s="13" t="s">
        <v>64</v>
      </c>
      <c r="X1408" s="135">
        <v>930000</v>
      </c>
      <c r="Y1408" s="157" t="str">
        <f t="shared" si="420"/>
        <v>1.13</v>
      </c>
      <c r="Z1408" s="18">
        <f t="shared" si="416"/>
        <v>930000</v>
      </c>
      <c r="AA1408" s="13">
        <v>1.18</v>
      </c>
      <c r="AB1408" s="21">
        <f t="shared" si="419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02"/>
        <v>43684091.636631854</v>
      </c>
      <c r="AJ1408" s="19">
        <f t="shared" si="403"/>
        <v>6483951.8242071122</v>
      </c>
      <c r="AK1408" s="20">
        <f t="shared" si="410"/>
        <v>0.14842821680123736</v>
      </c>
      <c r="AL1408" s="17"/>
      <c r="AM1408" s="17"/>
      <c r="AN1408" s="17"/>
      <c r="AO1408" s="17"/>
      <c r="AP1408" s="28" t="str">
        <f t="shared" si="411"/>
        <v>20214</v>
      </c>
      <c r="AQ1408" s="28" t="str">
        <f t="shared" si="412"/>
        <v>20214RMB</v>
      </c>
      <c r="AR1408" s="206" t="str">
        <f t="shared" si="413"/>
        <v>YAMAHA_Mounter</v>
      </c>
      <c r="AS1408" s="22">
        <f t="shared" si="414"/>
        <v>0</v>
      </c>
      <c r="AT1408" s="24" t="str">
        <f t="shared" si="415"/>
        <v>0-3 months</v>
      </c>
      <c r="AU1408" s="22" t="s">
        <v>3240</v>
      </c>
    </row>
    <row r="1409" spans="1:47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54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1700</v>
      </c>
      <c r="K1409" s="155" t="s">
        <v>1701</v>
      </c>
      <c r="L1409" s="17" t="s">
        <v>67</v>
      </c>
      <c r="M1409" s="13" t="s">
        <v>60</v>
      </c>
      <c r="N1409" s="13">
        <v>1</v>
      </c>
      <c r="O1409" s="13"/>
      <c r="P1409" s="33" t="str">
        <f t="shared" si="407"/>
        <v>MAIN UNIT</v>
      </c>
      <c r="Q1409" s="13" t="s">
        <v>68</v>
      </c>
      <c r="R1409" s="13" t="s">
        <v>62</v>
      </c>
      <c r="S1409" s="13" t="s">
        <v>50</v>
      </c>
      <c r="T1409" s="13" t="s">
        <v>88</v>
      </c>
      <c r="U1409" s="13" t="s">
        <v>70</v>
      </c>
      <c r="V1409" s="13" t="s">
        <v>169</v>
      </c>
      <c r="W1409" s="13" t="s">
        <v>64</v>
      </c>
      <c r="X1409" s="135">
        <v>500000</v>
      </c>
      <c r="Y1409" s="157" t="str">
        <f t="shared" si="420"/>
        <v>1.13</v>
      </c>
      <c r="Z1409" s="18">
        <f t="shared" si="416"/>
        <v>500000</v>
      </c>
      <c r="AA1409" s="13">
        <v>1.175</v>
      </c>
      <c r="AB1409" s="21">
        <f t="shared" si="419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02"/>
        <v>35682787.057522126</v>
      </c>
      <c r="AJ1409" s="19">
        <f t="shared" si="403"/>
        <v>5833368.3789623892</v>
      </c>
      <c r="AK1409" s="20">
        <f t="shared" si="410"/>
        <v>0.16347849649632912</v>
      </c>
      <c r="AL1409" s="17"/>
      <c r="AM1409" s="17"/>
      <c r="AN1409" s="17"/>
      <c r="AO1409" s="17"/>
      <c r="AP1409" s="28" t="str">
        <f t="shared" si="411"/>
        <v>20226</v>
      </c>
      <c r="AQ1409" s="28" t="str">
        <f t="shared" si="412"/>
        <v>20226RMB</v>
      </c>
      <c r="AR1409" s="206" t="str">
        <f t="shared" si="413"/>
        <v>YAMAHA_Mounter</v>
      </c>
      <c r="AS1409" s="22">
        <f t="shared" si="414"/>
        <v>14</v>
      </c>
      <c r="AT1409" s="24" t="str">
        <f t="shared" si="415"/>
        <v>&gt; 6 months</v>
      </c>
      <c r="AU1409" s="22" t="s">
        <v>3240</v>
      </c>
    </row>
    <row r="1410" spans="1:47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54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1700</v>
      </c>
      <c r="K1410" s="155" t="s">
        <v>1701</v>
      </c>
      <c r="L1410" s="17" t="s">
        <v>67</v>
      </c>
      <c r="M1410" s="13" t="s">
        <v>60</v>
      </c>
      <c r="N1410" s="13">
        <v>1</v>
      </c>
      <c r="O1410" s="13"/>
      <c r="P1410" s="33" t="str">
        <f t="shared" si="407"/>
        <v>MAIN UNIT</v>
      </c>
      <c r="Q1410" s="13" t="s">
        <v>68</v>
      </c>
      <c r="R1410" s="13" t="s">
        <v>62</v>
      </c>
      <c r="S1410" s="13" t="s">
        <v>50</v>
      </c>
      <c r="T1410" s="13" t="s">
        <v>88</v>
      </c>
      <c r="U1410" s="13" t="s">
        <v>70</v>
      </c>
      <c r="V1410" s="13" t="s">
        <v>169</v>
      </c>
      <c r="W1410" s="13" t="s">
        <v>64</v>
      </c>
      <c r="X1410" s="135">
        <v>500000</v>
      </c>
      <c r="Y1410" s="157" t="str">
        <f t="shared" si="420"/>
        <v>1.13</v>
      </c>
      <c r="Z1410" s="18">
        <f t="shared" si="416"/>
        <v>500000</v>
      </c>
      <c r="AA1410" s="13">
        <v>1.175</v>
      </c>
      <c r="AB1410" s="21">
        <f t="shared" si="419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ref="AI1410:AI1473" si="421">IF(P1410="C66 SERVICE","",SUMIFS(AB:AB,F:F,F1410,G:G,G1410,E:E,E1410))</f>
        <v>35682787.057522126</v>
      </c>
      <c r="AJ1410" s="19">
        <f t="shared" ref="AJ1410:AJ1473" si="422">IF(P1410="C66 SERVICE","",SUMIFS(AC:AC,F:F,F1410,G:G,G1410,E:E,E1410))</f>
        <v>5833368.3789623892</v>
      </c>
      <c r="AK1410" s="20">
        <f t="shared" si="410"/>
        <v>0.16347849649632912</v>
      </c>
      <c r="AL1410" s="17"/>
      <c r="AM1410" s="17"/>
      <c r="AN1410" s="17"/>
      <c r="AO1410" s="17"/>
      <c r="AP1410" s="28" t="str">
        <f t="shared" si="411"/>
        <v>20226</v>
      </c>
      <c r="AQ1410" s="28" t="str">
        <f t="shared" si="412"/>
        <v>20226RMB</v>
      </c>
      <c r="AR1410" s="206" t="str">
        <f t="shared" si="413"/>
        <v>YAMAHA_Mounter</v>
      </c>
      <c r="AS1410" s="22">
        <f t="shared" si="414"/>
        <v>14</v>
      </c>
      <c r="AT1410" s="24" t="str">
        <f t="shared" si="415"/>
        <v>&gt; 6 months</v>
      </c>
      <c r="AU1410" s="22" t="s">
        <v>3240</v>
      </c>
    </row>
    <row r="1411" spans="1:47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185</v>
      </c>
      <c r="F1411" s="13" t="s">
        <v>185</v>
      </c>
      <c r="G1411" s="152" t="s">
        <v>1616</v>
      </c>
      <c r="H1411" s="155" t="s">
        <v>2070</v>
      </c>
      <c r="I1411" s="33" t="str">
        <f t="shared" si="406"/>
        <v>Cancel</v>
      </c>
      <c r="J1411" s="186" t="s">
        <v>2097</v>
      </c>
      <c r="K1411" s="155" t="s">
        <v>2098</v>
      </c>
      <c r="L1411" s="17" t="s">
        <v>67</v>
      </c>
      <c r="M1411" s="13" t="s">
        <v>60</v>
      </c>
      <c r="N1411" s="13">
        <v>1</v>
      </c>
      <c r="O1411" s="13"/>
      <c r="P1411" s="33" t="str">
        <f t="shared" si="407"/>
        <v>MAIN UNIT</v>
      </c>
      <c r="Q1411" s="13" t="s">
        <v>68</v>
      </c>
      <c r="R1411" s="13" t="s">
        <v>62</v>
      </c>
      <c r="S1411" s="13" t="s">
        <v>50</v>
      </c>
      <c r="T1411" s="13" t="s">
        <v>88</v>
      </c>
      <c r="U1411" s="13" t="s">
        <v>70</v>
      </c>
      <c r="V1411" s="13" t="s">
        <v>1010</v>
      </c>
      <c r="W1411" s="13" t="s">
        <v>64</v>
      </c>
      <c r="X1411" s="135">
        <v>585200</v>
      </c>
      <c r="Y1411" s="157" t="str">
        <f t="shared" si="420"/>
        <v>1.13</v>
      </c>
      <c r="Z1411" s="18">
        <f t="shared" si="416"/>
        <v>585200</v>
      </c>
      <c r="AA1411" s="13">
        <v>1.2</v>
      </c>
      <c r="AB1411" s="21">
        <f t="shared" si="419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21"/>
        <v>499582152.5142017</v>
      </c>
      <c r="AJ1411" s="19">
        <f t="shared" si="422"/>
        <v>59520528.679470733</v>
      </c>
      <c r="AK1411" s="20">
        <f t="shared" si="410"/>
        <v>0.11914062257814291</v>
      </c>
      <c r="AL1411" s="17"/>
      <c r="AM1411" s="17"/>
      <c r="AN1411" s="17"/>
      <c r="AO1411" s="17"/>
      <c r="AP1411" s="28" t="str">
        <f t="shared" si="411"/>
        <v>CancelCANCEL</v>
      </c>
      <c r="AQ1411" s="28" t="str">
        <f t="shared" si="412"/>
        <v>CancelCANCELRMB</v>
      </c>
      <c r="AR1411" s="206" t="str">
        <f t="shared" si="413"/>
        <v>YAMAHA_Mounter</v>
      </c>
      <c r="AS1411" s="22" t="str">
        <f t="shared" si="414"/>
        <v/>
      </c>
      <c r="AT1411" s="24" t="str">
        <f t="shared" si="415"/>
        <v/>
      </c>
      <c r="AU1411" s="22" t="s">
        <v>3240</v>
      </c>
    </row>
    <row r="1412" spans="1:47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185</v>
      </c>
      <c r="F1412" s="13" t="s">
        <v>185</v>
      </c>
      <c r="G1412" s="152" t="s">
        <v>1616</v>
      </c>
      <c r="H1412" s="155" t="s">
        <v>2070</v>
      </c>
      <c r="I1412" s="33" t="str">
        <f t="shared" si="406"/>
        <v>Cancel</v>
      </c>
      <c r="J1412" s="186" t="s">
        <v>2097</v>
      </c>
      <c r="K1412" s="155" t="s">
        <v>2098</v>
      </c>
      <c r="L1412" s="17" t="s">
        <v>67</v>
      </c>
      <c r="M1412" s="13" t="s">
        <v>60</v>
      </c>
      <c r="N1412" s="13">
        <v>1</v>
      </c>
      <c r="O1412" s="13"/>
      <c r="P1412" s="33" t="str">
        <f t="shared" si="407"/>
        <v>MAIN UNIT</v>
      </c>
      <c r="Q1412" s="13" t="s">
        <v>68</v>
      </c>
      <c r="R1412" s="13" t="s">
        <v>62</v>
      </c>
      <c r="S1412" s="13" t="s">
        <v>50</v>
      </c>
      <c r="T1412" s="13" t="s">
        <v>88</v>
      </c>
      <c r="U1412" s="13" t="s">
        <v>70</v>
      </c>
      <c r="V1412" s="13" t="s">
        <v>1010</v>
      </c>
      <c r="W1412" s="13" t="s">
        <v>64</v>
      </c>
      <c r="X1412" s="135">
        <v>585200</v>
      </c>
      <c r="Y1412" s="157" t="str">
        <f t="shared" si="420"/>
        <v>1.13</v>
      </c>
      <c r="Z1412" s="18">
        <f t="shared" si="416"/>
        <v>585200</v>
      </c>
      <c r="AA1412" s="13">
        <v>1.2</v>
      </c>
      <c r="AB1412" s="21">
        <f t="shared" si="419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21"/>
        <v>499582152.5142017</v>
      </c>
      <c r="AJ1412" s="19">
        <f t="shared" si="422"/>
        <v>59520528.679470733</v>
      </c>
      <c r="AK1412" s="20">
        <f t="shared" si="410"/>
        <v>0.11914062257814291</v>
      </c>
      <c r="AL1412" s="17"/>
      <c r="AM1412" s="17"/>
      <c r="AN1412" s="17"/>
      <c r="AO1412" s="17"/>
      <c r="AP1412" s="28" t="str">
        <f t="shared" si="411"/>
        <v>CancelCANCEL</v>
      </c>
      <c r="AQ1412" s="28" t="str">
        <f t="shared" si="412"/>
        <v>CancelCANCELRMB</v>
      </c>
      <c r="AR1412" s="206" t="str">
        <f t="shared" si="413"/>
        <v>YAMAHA_Mounter</v>
      </c>
      <c r="AS1412" s="22" t="str">
        <f t="shared" si="414"/>
        <v/>
      </c>
      <c r="AT1412" s="24" t="str">
        <f t="shared" si="415"/>
        <v/>
      </c>
      <c r="AU1412" s="22" t="s">
        <v>3240</v>
      </c>
    </row>
    <row r="1413" spans="1:47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54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3004</v>
      </c>
      <c r="K1413" s="155" t="s">
        <v>3005</v>
      </c>
      <c r="L1413" s="17" t="s">
        <v>3006</v>
      </c>
      <c r="M1413" s="13" t="s">
        <v>2054</v>
      </c>
      <c r="N1413" s="13">
        <v>1</v>
      </c>
      <c r="O1413" s="13"/>
      <c r="P1413" s="33" t="str">
        <f t="shared" si="407"/>
        <v>MAIN UNIT</v>
      </c>
      <c r="Q1413" s="13" t="s">
        <v>68</v>
      </c>
      <c r="R1413" s="13" t="s">
        <v>2055</v>
      </c>
      <c r="S1413" s="13" t="s">
        <v>50</v>
      </c>
      <c r="T1413" s="13" t="s">
        <v>101</v>
      </c>
      <c r="U1413" s="13" t="s">
        <v>79</v>
      </c>
      <c r="V1413" s="13" t="s">
        <v>3007</v>
      </c>
      <c r="W1413" s="13" t="s">
        <v>64</v>
      </c>
      <c r="X1413" s="135">
        <v>53744</v>
      </c>
      <c r="Y1413" s="157" t="str">
        <f t="shared" si="420"/>
        <v>1.13</v>
      </c>
      <c r="Z1413" s="18">
        <f t="shared" si="416"/>
        <v>53744</v>
      </c>
      <c r="AA1413" s="13">
        <v>1.17</v>
      </c>
      <c r="AB1413" s="21">
        <f t="shared" si="419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21"/>
        <v>36480247.665929198</v>
      </c>
      <c r="AJ1413" s="19">
        <f t="shared" si="422"/>
        <v>5330996.6372757526</v>
      </c>
      <c r="AK1413" s="20">
        <f t="shared" si="410"/>
        <v>0.14613378412599562</v>
      </c>
      <c r="AL1413" s="17"/>
      <c r="AM1413" s="17"/>
      <c r="AN1413" s="17"/>
      <c r="AO1413" s="17" t="s">
        <v>3008</v>
      </c>
      <c r="AP1413" s="28" t="str">
        <f t="shared" si="411"/>
        <v>20227</v>
      </c>
      <c r="AQ1413" s="28" t="str">
        <f t="shared" si="412"/>
        <v>20227RMB</v>
      </c>
      <c r="AR1413" s="206" t="str">
        <f t="shared" si="413"/>
        <v>SOLDERSTAR</v>
      </c>
      <c r="AS1413" s="22">
        <f t="shared" si="414"/>
        <v>1</v>
      </c>
      <c r="AT1413" s="24" t="str">
        <f t="shared" si="415"/>
        <v>0-3 months</v>
      </c>
      <c r="AU1413" s="22" t="s">
        <v>3751</v>
      </c>
    </row>
    <row r="1414" spans="1:47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47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713</v>
      </c>
      <c r="K1414" s="155" t="s">
        <v>714</v>
      </c>
      <c r="L1414" s="17" t="s">
        <v>92</v>
      </c>
      <c r="M1414" s="13" t="s">
        <v>60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68</v>
      </c>
      <c r="R1414" s="13" t="s">
        <v>62</v>
      </c>
      <c r="S1414" s="13" t="s">
        <v>49</v>
      </c>
      <c r="T1414" s="13" t="s">
        <v>78</v>
      </c>
      <c r="U1414" s="13" t="s">
        <v>79</v>
      </c>
      <c r="V1414" s="13" t="s">
        <v>715</v>
      </c>
      <c r="W1414" s="13" t="s">
        <v>64</v>
      </c>
      <c r="X1414" s="135">
        <v>1090000</v>
      </c>
      <c r="Y1414" s="156">
        <v>1.1299999999999999</v>
      </c>
      <c r="Z1414" s="18">
        <f t="shared" si="416"/>
        <v>1090000</v>
      </c>
      <c r="AA1414" s="13">
        <v>1.1100000000000001</v>
      </c>
      <c r="AB1414" s="21">
        <f t="shared" si="419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si="421"/>
        <v>27318180.088495575</v>
      </c>
      <c r="AJ1414" s="19">
        <f t="shared" si="422"/>
        <v>3014099.212353982</v>
      </c>
      <c r="AK1414" s="20">
        <f t="shared" ref="AK1414:AK1477" si="429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0">IF(F1414="","",F1414&amp;G1414)</f>
        <v>201912</v>
      </c>
      <c r="AQ1414" s="28" t="str">
        <f t="shared" ref="AQ1414:AQ1477" si="431">IF(W1414="","",F1414&amp;G1414&amp;W1414)</f>
        <v>201912RMB</v>
      </c>
      <c r="AR1414" s="206" t="str">
        <f t="shared" ref="AR1414:AR1477" si="432">IFERROR(IF(AND(M1414="YAMAHA", R1414="C28"), "YAMAHA_Non_Mounter", IF(AND(M1414="YAMAHA", R1414="C49"), "YAMAHA_Mounter", M1414)),"")</f>
        <v>YAMAHA_Mounter</v>
      </c>
      <c r="AS1414" s="22">
        <f t="shared" ref="AS1414:AS1477" si="433">IFERROR(IF(OR(G1414="TBA", G1414=""), "", DATEDIF(DATE(B1414, C1414, 1), DATE(F1414, G1414, 1), "M")),"")</f>
        <v>0</v>
      </c>
      <c r="AT1414" s="24" t="str">
        <f t="shared" ref="AT1414:AT1477" si="434">IF(ISNUMBER(AS1414), IF(AS1414&gt;=0, IF(AS1414&lt;=3, "0-3 months", IF(AS1414&lt;=6, "4-6 months", "&gt; 6 months"))), "")</f>
        <v>0-3 months</v>
      </c>
      <c r="AU1414" s="22" t="s">
        <v>3751</v>
      </c>
    </row>
    <row r="1415" spans="1:47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47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716</v>
      </c>
      <c r="K1415" s="155" t="s">
        <v>714</v>
      </c>
      <c r="L1415" s="17" t="s">
        <v>67</v>
      </c>
      <c r="M1415" s="13" t="s">
        <v>60</v>
      </c>
      <c r="N1415" s="13">
        <v>1</v>
      </c>
      <c r="O1415" s="13"/>
      <c r="P1415" s="33" t="str">
        <f t="shared" si="426"/>
        <v>MAIN UNIT</v>
      </c>
      <c r="Q1415" s="13" t="s">
        <v>61</v>
      </c>
      <c r="R1415" s="13" t="s">
        <v>62</v>
      </c>
      <c r="S1415" s="13" t="s">
        <v>49</v>
      </c>
      <c r="T1415" s="13" t="s">
        <v>78</v>
      </c>
      <c r="U1415" s="13" t="s">
        <v>79</v>
      </c>
      <c r="V1415" s="13" t="s">
        <v>715</v>
      </c>
      <c r="W1415" s="13" t="s">
        <v>64</v>
      </c>
      <c r="X1415" s="135">
        <v>600000</v>
      </c>
      <c r="Y1415" s="156">
        <v>1.1299999999999999</v>
      </c>
      <c r="Z1415" s="18">
        <f t="shared" si="416"/>
        <v>600000</v>
      </c>
      <c r="AA1415" s="13">
        <v>1.1100000000000001</v>
      </c>
      <c r="AB1415" s="21">
        <f t="shared" si="419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1"/>
        <v>27318180.088495575</v>
      </c>
      <c r="AJ1415" s="19">
        <f t="shared" si="422"/>
        <v>3014099.212353982</v>
      </c>
      <c r="AK1415" s="20">
        <f t="shared" si="429"/>
        <v>0.11033308963444827</v>
      </c>
      <c r="AL1415" s="17"/>
      <c r="AM1415" s="17"/>
      <c r="AN1415" s="17"/>
      <c r="AO1415" s="17"/>
      <c r="AP1415" s="28" t="str">
        <f t="shared" si="430"/>
        <v>201912</v>
      </c>
      <c r="AQ1415" s="28" t="str">
        <f t="shared" si="431"/>
        <v>201912RMB</v>
      </c>
      <c r="AR1415" s="206" t="str">
        <f t="shared" si="432"/>
        <v>YAMAHA_Mounter</v>
      </c>
      <c r="AS1415" s="22">
        <f t="shared" si="433"/>
        <v>0</v>
      </c>
      <c r="AT1415" s="24" t="str">
        <f t="shared" si="434"/>
        <v>0-3 months</v>
      </c>
      <c r="AU1415" s="22" t="s">
        <v>3744</v>
      </c>
    </row>
    <row r="1416" spans="1:47" s="12" customFormat="1">
      <c r="A1416" s="33" t="str">
        <f t="shared" si="423"/>
        <v>cancel</v>
      </c>
      <c r="B1416" s="152"/>
      <c r="C1416" s="152" t="s">
        <v>185</v>
      </c>
      <c r="D1416" s="33" t="str">
        <f t="shared" si="424"/>
        <v/>
      </c>
      <c r="E1416" s="33" t="s">
        <v>185</v>
      </c>
      <c r="F1416" s="13" t="s">
        <v>185</v>
      </c>
      <c r="G1416" s="152" t="s">
        <v>185</v>
      </c>
      <c r="H1416" s="155"/>
      <c r="I1416" s="33" t="str">
        <f t="shared" si="425"/>
        <v>Cancel</v>
      </c>
      <c r="J1416" s="186" t="s">
        <v>2712</v>
      </c>
      <c r="K1416" s="155" t="s">
        <v>2713</v>
      </c>
      <c r="L1416" s="17" t="s">
        <v>92</v>
      </c>
      <c r="M1416" s="13" t="s">
        <v>60</v>
      </c>
      <c r="N1416" s="13">
        <v>1</v>
      </c>
      <c r="O1416" s="13"/>
      <c r="P1416" s="33" t="str">
        <f t="shared" si="426"/>
        <v>MAIN UNIT</v>
      </c>
      <c r="Q1416" s="13" t="s">
        <v>68</v>
      </c>
      <c r="R1416" s="13" t="s">
        <v>62</v>
      </c>
      <c r="S1416" s="13" t="s">
        <v>49</v>
      </c>
      <c r="T1416" s="13" t="s">
        <v>78</v>
      </c>
      <c r="U1416" s="13" t="s">
        <v>79</v>
      </c>
      <c r="V1416" s="13" t="s">
        <v>106</v>
      </c>
      <c r="W1416" s="13" t="s">
        <v>109</v>
      </c>
      <c r="X1416" s="135">
        <v>13360000</v>
      </c>
      <c r="Y1416" s="156">
        <v>1</v>
      </c>
      <c r="Z1416" s="18">
        <f t="shared" si="416"/>
        <v>13360000</v>
      </c>
      <c r="AA1416" s="13">
        <v>7.4300000000000005E-2</v>
      </c>
      <c r="AB1416" s="21">
        <f t="shared" si="419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1"/>
        <v>499582152.5142017</v>
      </c>
      <c r="AJ1416" s="19">
        <f t="shared" si="422"/>
        <v>59520528.679470733</v>
      </c>
      <c r="AK1416" s="20">
        <f t="shared" si="429"/>
        <v>0.11914062257814291</v>
      </c>
      <c r="AL1416" s="17"/>
      <c r="AM1416" s="17"/>
      <c r="AN1416" s="17"/>
      <c r="AO1416" s="17"/>
      <c r="AP1416" s="28" t="str">
        <f t="shared" si="430"/>
        <v>CancelCancel</v>
      </c>
      <c r="AQ1416" s="28" t="str">
        <f t="shared" si="431"/>
        <v>CancelCancelJPY</v>
      </c>
      <c r="AR1416" s="206" t="str">
        <f t="shared" si="432"/>
        <v>YAMAHA_Mounter</v>
      </c>
      <c r="AS1416" s="22" t="str">
        <f t="shared" si="433"/>
        <v/>
      </c>
      <c r="AT1416" s="24" t="str">
        <f t="shared" si="434"/>
        <v/>
      </c>
      <c r="AU1416" s="22" t="s">
        <v>3745</v>
      </c>
    </row>
    <row r="1417" spans="1:47" s="12" customFormat="1">
      <c r="A1417" s="33" t="str">
        <f t="shared" si="423"/>
        <v>cancel</v>
      </c>
      <c r="B1417" s="152"/>
      <c r="C1417" s="152" t="s">
        <v>185</v>
      </c>
      <c r="D1417" s="33" t="str">
        <f t="shared" si="424"/>
        <v/>
      </c>
      <c r="E1417" s="33" t="s">
        <v>185</v>
      </c>
      <c r="F1417" s="13" t="s">
        <v>185</v>
      </c>
      <c r="G1417" s="152" t="s">
        <v>185</v>
      </c>
      <c r="H1417" s="155"/>
      <c r="I1417" s="33" t="str">
        <f t="shared" si="425"/>
        <v>Cancel</v>
      </c>
      <c r="J1417" s="186" t="s">
        <v>2712</v>
      </c>
      <c r="K1417" s="155" t="s">
        <v>2713</v>
      </c>
      <c r="L1417" s="17" t="s">
        <v>67</v>
      </c>
      <c r="M1417" s="13" t="s">
        <v>60</v>
      </c>
      <c r="N1417" s="13">
        <v>1</v>
      </c>
      <c r="O1417" s="13"/>
      <c r="P1417" s="33" t="str">
        <f t="shared" si="426"/>
        <v>MAIN UNIT</v>
      </c>
      <c r="Q1417" s="13" t="s">
        <v>68</v>
      </c>
      <c r="R1417" s="13" t="s">
        <v>62</v>
      </c>
      <c r="S1417" s="13" t="s">
        <v>49</v>
      </c>
      <c r="T1417" s="13" t="s">
        <v>78</v>
      </c>
      <c r="U1417" s="13" t="s">
        <v>79</v>
      </c>
      <c r="V1417" s="13" t="s">
        <v>106</v>
      </c>
      <c r="W1417" s="13" t="s">
        <v>109</v>
      </c>
      <c r="X1417" s="135">
        <v>8500000</v>
      </c>
      <c r="Y1417" s="156">
        <v>1</v>
      </c>
      <c r="Z1417" s="18">
        <f t="shared" si="416"/>
        <v>8500000</v>
      </c>
      <c r="AA1417" s="13">
        <v>7.4300000000000005E-2</v>
      </c>
      <c r="AB1417" s="21">
        <f t="shared" si="419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1"/>
        <v>499582152.5142017</v>
      </c>
      <c r="AJ1417" s="19">
        <f t="shared" si="422"/>
        <v>59520528.679470733</v>
      </c>
      <c r="AK1417" s="20">
        <f t="shared" si="429"/>
        <v>0.11914062257814291</v>
      </c>
      <c r="AL1417" s="17"/>
      <c r="AM1417" s="17"/>
      <c r="AN1417" s="17"/>
      <c r="AO1417" s="17"/>
      <c r="AP1417" s="28" t="str">
        <f t="shared" si="430"/>
        <v>CancelCancel</v>
      </c>
      <c r="AQ1417" s="28" t="str">
        <f t="shared" si="431"/>
        <v>CancelCancelJPY</v>
      </c>
      <c r="AR1417" s="206" t="str">
        <f t="shared" si="432"/>
        <v>YAMAHA_Mounter</v>
      </c>
      <c r="AS1417" s="22" t="str">
        <f t="shared" si="433"/>
        <v/>
      </c>
      <c r="AT1417" s="24" t="str">
        <f t="shared" si="434"/>
        <v/>
      </c>
      <c r="AU1417" s="22" t="s">
        <v>3745</v>
      </c>
    </row>
    <row r="1418" spans="1:47" s="12" customFormat="1">
      <c r="A1418" s="33" t="str">
        <f t="shared" si="423"/>
        <v>cancel</v>
      </c>
      <c r="B1418" s="152"/>
      <c r="C1418" s="152" t="s">
        <v>185</v>
      </c>
      <c r="D1418" s="33" t="str">
        <f t="shared" si="424"/>
        <v/>
      </c>
      <c r="E1418" s="33" t="s">
        <v>185</v>
      </c>
      <c r="F1418" s="13" t="s">
        <v>185</v>
      </c>
      <c r="G1418" s="152" t="s">
        <v>185</v>
      </c>
      <c r="H1418" s="155" t="s">
        <v>2758</v>
      </c>
      <c r="I1418" s="33" t="str">
        <f t="shared" si="425"/>
        <v>Cancel</v>
      </c>
      <c r="J1418" s="186" t="s">
        <v>2771</v>
      </c>
      <c r="K1418" s="155" t="s">
        <v>2713</v>
      </c>
      <c r="L1418" s="17" t="s">
        <v>67</v>
      </c>
      <c r="M1418" s="13" t="s">
        <v>60</v>
      </c>
      <c r="N1418" s="13">
        <v>1</v>
      </c>
      <c r="O1418" s="13"/>
      <c r="P1418" s="33" t="str">
        <f t="shared" si="426"/>
        <v>MAIN UNIT</v>
      </c>
      <c r="Q1418" s="13" t="s">
        <v>61</v>
      </c>
      <c r="R1418" s="13" t="s">
        <v>62</v>
      </c>
      <c r="S1418" s="13" t="s">
        <v>49</v>
      </c>
      <c r="T1418" s="13" t="s">
        <v>78</v>
      </c>
      <c r="U1418" s="13" t="s">
        <v>79</v>
      </c>
      <c r="V1418" s="13" t="s">
        <v>672</v>
      </c>
      <c r="W1418" s="13" t="s">
        <v>109</v>
      </c>
      <c r="X1418" s="135">
        <v>10000000</v>
      </c>
      <c r="Y1418" s="157" t="str">
        <f>IF(W1418="RMB","1.13", "1")</f>
        <v>1</v>
      </c>
      <c r="Z1418" s="18">
        <f t="shared" ref="Z1418:Z1481" si="435">IF(X1418="","",X1418*MAX(O1418,N1418))</f>
        <v>10000000</v>
      </c>
      <c r="AA1418" s="13">
        <v>5.8799999999999998E-2</v>
      </c>
      <c r="AB1418" s="21">
        <f t="shared" si="419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1"/>
        <v>499582152.5142017</v>
      </c>
      <c r="AJ1418" s="19">
        <f t="shared" si="422"/>
        <v>59520528.679470733</v>
      </c>
      <c r="AK1418" s="20">
        <f t="shared" si="429"/>
        <v>0.11914062257814291</v>
      </c>
      <c r="AL1418" s="17"/>
      <c r="AM1418" s="17"/>
      <c r="AN1418" s="17"/>
      <c r="AO1418" s="17"/>
      <c r="AP1418" s="28" t="str">
        <f t="shared" si="430"/>
        <v>CancelCancel</v>
      </c>
      <c r="AQ1418" s="28" t="str">
        <f t="shared" si="431"/>
        <v>CancelCancelJPY</v>
      </c>
      <c r="AR1418" s="206" t="str">
        <f t="shared" si="432"/>
        <v>YAMAHA_Mounter</v>
      </c>
      <c r="AS1418" s="22" t="str">
        <f t="shared" si="433"/>
        <v/>
      </c>
      <c r="AT1418" s="24" t="str">
        <f t="shared" si="434"/>
        <v/>
      </c>
      <c r="AU1418" s="22" t="s">
        <v>3745</v>
      </c>
    </row>
    <row r="1419" spans="1:47" s="12" customFormat="1">
      <c r="A1419" s="33" t="str">
        <f t="shared" si="423"/>
        <v>cancel</v>
      </c>
      <c r="B1419" s="152"/>
      <c r="C1419" s="152" t="s">
        <v>185</v>
      </c>
      <c r="D1419" s="33" t="str">
        <f t="shared" si="424"/>
        <v/>
      </c>
      <c r="E1419" s="33" t="s">
        <v>185</v>
      </c>
      <c r="F1419" s="13" t="s">
        <v>185</v>
      </c>
      <c r="G1419" s="152" t="s">
        <v>185</v>
      </c>
      <c r="H1419" s="155" t="s">
        <v>2758</v>
      </c>
      <c r="I1419" s="33" t="str">
        <f t="shared" si="425"/>
        <v>Cancel</v>
      </c>
      <c r="J1419" s="186" t="s">
        <v>2771</v>
      </c>
      <c r="K1419" s="155" t="s">
        <v>2713</v>
      </c>
      <c r="L1419" s="17" t="s">
        <v>92</v>
      </c>
      <c r="M1419" s="13" t="s">
        <v>60</v>
      </c>
      <c r="N1419" s="13">
        <v>1</v>
      </c>
      <c r="O1419" s="13"/>
      <c r="P1419" s="33" t="str">
        <f t="shared" si="426"/>
        <v>MAIN UNIT</v>
      </c>
      <c r="Q1419" s="13" t="s">
        <v>61</v>
      </c>
      <c r="R1419" s="13" t="s">
        <v>62</v>
      </c>
      <c r="S1419" s="13" t="s">
        <v>49</v>
      </c>
      <c r="T1419" s="13" t="s">
        <v>78</v>
      </c>
      <c r="U1419" s="13" t="s">
        <v>79</v>
      </c>
      <c r="V1419" s="13" t="s">
        <v>672</v>
      </c>
      <c r="W1419" s="13" t="s">
        <v>109</v>
      </c>
      <c r="X1419" s="135">
        <v>13000000</v>
      </c>
      <c r="Y1419" s="157" t="str">
        <f>IF(W1419="RMB","1.13", "1")</f>
        <v>1</v>
      </c>
      <c r="Z1419" s="18">
        <f t="shared" si="435"/>
        <v>13000000</v>
      </c>
      <c r="AA1419" s="13">
        <v>5.8799999999999998E-2</v>
      </c>
      <c r="AB1419" s="21">
        <f t="shared" si="419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1"/>
        <v>499582152.5142017</v>
      </c>
      <c r="AJ1419" s="19">
        <f t="shared" si="422"/>
        <v>59520528.679470733</v>
      </c>
      <c r="AK1419" s="20">
        <f t="shared" si="429"/>
        <v>0.11914062257814291</v>
      </c>
      <c r="AL1419" s="17"/>
      <c r="AM1419" s="17"/>
      <c r="AN1419" s="17"/>
      <c r="AO1419" s="17"/>
      <c r="AP1419" s="28" t="str">
        <f t="shared" si="430"/>
        <v>CancelCancel</v>
      </c>
      <c r="AQ1419" s="28" t="str">
        <f t="shared" si="431"/>
        <v>CancelCancelJPY</v>
      </c>
      <c r="AR1419" s="206" t="str">
        <f t="shared" si="432"/>
        <v>YAMAHA_Mounter</v>
      </c>
      <c r="AS1419" s="22" t="str">
        <f t="shared" si="433"/>
        <v/>
      </c>
      <c r="AT1419" s="24" t="str">
        <f t="shared" si="434"/>
        <v/>
      </c>
      <c r="AU1419" s="22" t="s">
        <v>3745</v>
      </c>
    </row>
    <row r="1420" spans="1:47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53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1787</v>
      </c>
      <c r="K1420" s="155" t="s">
        <v>1788</v>
      </c>
      <c r="L1420" s="17" t="s">
        <v>67</v>
      </c>
      <c r="M1420" s="13" t="s">
        <v>60</v>
      </c>
      <c r="N1420" s="13">
        <v>1</v>
      </c>
      <c r="O1420" s="13"/>
      <c r="P1420" s="33" t="str">
        <f t="shared" si="426"/>
        <v>MAIN UNIT</v>
      </c>
      <c r="Q1420" s="13" t="s">
        <v>61</v>
      </c>
      <c r="R1420" s="13" t="s">
        <v>62</v>
      </c>
      <c r="S1420" s="13" t="s">
        <v>49</v>
      </c>
      <c r="T1420" s="13" t="s">
        <v>78</v>
      </c>
      <c r="U1420" s="13" t="s">
        <v>79</v>
      </c>
      <c r="V1420" s="13" t="s">
        <v>80</v>
      </c>
      <c r="W1420" s="13" t="s">
        <v>64</v>
      </c>
      <c r="X1420" s="135">
        <v>611000</v>
      </c>
      <c r="Y1420" s="157" t="str">
        <f>IF(W1420="RMB","1.13", "1")</f>
        <v>1.13</v>
      </c>
      <c r="Z1420" s="18">
        <f t="shared" si="435"/>
        <v>611000</v>
      </c>
      <c r="AA1420" s="13">
        <v>1.2150000000000001</v>
      </c>
      <c r="AB1420" s="21">
        <f t="shared" si="419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1"/>
        <v>54700260.692079648</v>
      </c>
      <c r="AJ1420" s="19">
        <f t="shared" si="422"/>
        <v>7482899.5749188727</v>
      </c>
      <c r="AK1420" s="20">
        <f t="shared" si="429"/>
        <v>0.13679824337660537</v>
      </c>
      <c r="AL1420" s="17"/>
      <c r="AM1420" s="17"/>
      <c r="AN1420" s="17"/>
      <c r="AO1420" s="17"/>
      <c r="AP1420" s="28" t="str">
        <f t="shared" si="430"/>
        <v>20216</v>
      </c>
      <c r="AQ1420" s="28" t="str">
        <f t="shared" si="431"/>
        <v>20216RMB</v>
      </c>
      <c r="AR1420" s="206" t="str">
        <f t="shared" si="432"/>
        <v>YAMAHA_Mounter</v>
      </c>
      <c r="AS1420" s="22">
        <f t="shared" si="433"/>
        <v>3</v>
      </c>
      <c r="AT1420" s="24" t="str">
        <f t="shared" si="434"/>
        <v>0-3 months</v>
      </c>
      <c r="AU1420" s="22" t="s">
        <v>3751</v>
      </c>
    </row>
    <row r="1421" spans="1:47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55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2379</v>
      </c>
      <c r="K1421" s="155" t="s">
        <v>2380</v>
      </c>
      <c r="L1421" s="17" t="s">
        <v>516</v>
      </c>
      <c r="M1421" s="13" t="s">
        <v>60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61</v>
      </c>
      <c r="R1421" s="13" t="s">
        <v>62</v>
      </c>
      <c r="S1421" s="13" t="s">
        <v>51</v>
      </c>
      <c r="T1421" s="13" t="s">
        <v>1915</v>
      </c>
      <c r="U1421" s="13" t="s">
        <v>149</v>
      </c>
      <c r="V1421" s="13" t="s">
        <v>134</v>
      </c>
      <c r="W1421" s="13" t="s">
        <v>64</v>
      </c>
      <c r="X1421" s="135">
        <v>101250</v>
      </c>
      <c r="Y1421" s="157" t="str">
        <f>IF(W1421="","",IF(W1421="RMB","1.13", "1"))</f>
        <v>1.13</v>
      </c>
      <c r="Z1421" s="18">
        <f t="shared" si="435"/>
        <v>101250</v>
      </c>
      <c r="AA1421" s="13">
        <v>1.07</v>
      </c>
      <c r="AB1421" s="21">
        <f t="shared" si="419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1"/>
        <v>5219988.5752212387</v>
      </c>
      <c r="AJ1421" s="19">
        <f t="shared" si="422"/>
        <v>631627.0013460177</v>
      </c>
      <c r="AK1421" s="20">
        <f t="shared" si="429"/>
        <v>0.12100160608478869</v>
      </c>
      <c r="AL1421" s="17"/>
      <c r="AM1421" s="17"/>
      <c r="AN1421" s="17"/>
      <c r="AO1421" s="17"/>
      <c r="AP1421" s="28" t="str">
        <f t="shared" si="430"/>
        <v>202310</v>
      </c>
      <c r="AQ1421" s="28" t="str">
        <f t="shared" si="431"/>
        <v>202310RMB</v>
      </c>
      <c r="AR1421" s="206" t="str">
        <f t="shared" si="432"/>
        <v>YAMAHA_Mounter</v>
      </c>
      <c r="AS1421" s="22">
        <f t="shared" si="433"/>
        <v>2</v>
      </c>
      <c r="AT1421" s="24" t="str">
        <f t="shared" si="434"/>
        <v>0-3 months</v>
      </c>
      <c r="AU1421" s="22" t="s">
        <v>3240</v>
      </c>
    </row>
    <row r="1422" spans="1:47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54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3042</v>
      </c>
      <c r="K1422" s="155" t="s">
        <v>3043</v>
      </c>
      <c r="L1422" s="17" t="s">
        <v>2906</v>
      </c>
      <c r="M1422" s="13" t="s">
        <v>2054</v>
      </c>
      <c r="N1422" s="13">
        <v>1</v>
      </c>
      <c r="O1422" s="13"/>
      <c r="P1422" s="33" t="str">
        <f t="shared" si="426"/>
        <v>MAIN UNIT</v>
      </c>
      <c r="Q1422" s="13" t="s">
        <v>68</v>
      </c>
      <c r="R1422" s="13" t="s">
        <v>2055</v>
      </c>
      <c r="S1422" s="13" t="s">
        <v>50</v>
      </c>
      <c r="T1422" s="13" t="s">
        <v>101</v>
      </c>
      <c r="U1422" s="13" t="s">
        <v>70</v>
      </c>
      <c r="V1422" s="13" t="s">
        <v>102</v>
      </c>
      <c r="W1422" s="13" t="s">
        <v>64</v>
      </c>
      <c r="X1422" s="135">
        <v>62000</v>
      </c>
      <c r="Y1422" s="157" t="str">
        <f>IF(W1422="","",IF(W1422="RMB","1.13", "1"))</f>
        <v>1.13</v>
      </c>
      <c r="Z1422" s="18">
        <f t="shared" si="435"/>
        <v>62000</v>
      </c>
      <c r="AA1422" s="13">
        <v>1.1599999999999999</v>
      </c>
      <c r="AB1422" s="21">
        <f t="shared" si="419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1"/>
        <v>21045012.884955753</v>
      </c>
      <c r="AJ1422" s="19">
        <f t="shared" si="422"/>
        <v>2650260.9603327443</v>
      </c>
      <c r="AK1422" s="20">
        <f t="shared" si="429"/>
        <v>0.12593296924172048</v>
      </c>
      <c r="AL1422" s="17"/>
      <c r="AM1422" s="17"/>
      <c r="AN1422" s="17"/>
      <c r="AO1422" s="17"/>
      <c r="AP1422" s="28" t="str">
        <f t="shared" si="430"/>
        <v>20232</v>
      </c>
      <c r="AQ1422" s="28" t="str">
        <f t="shared" si="431"/>
        <v>20232RMB</v>
      </c>
      <c r="AR1422" s="206" t="str">
        <f t="shared" si="432"/>
        <v>SOLDERSTAR</v>
      </c>
      <c r="AS1422" s="22">
        <f t="shared" si="433"/>
        <v>1</v>
      </c>
      <c r="AT1422" s="24" t="str">
        <f t="shared" si="434"/>
        <v>0-3 months</v>
      </c>
      <c r="AU1422" s="22" t="s">
        <v>3240</v>
      </c>
    </row>
    <row r="1423" spans="1:47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53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1913</v>
      </c>
      <c r="K1423" s="155" t="s">
        <v>1914</v>
      </c>
      <c r="L1423" s="17" t="s">
        <v>67</v>
      </c>
      <c r="M1423" s="13" t="s">
        <v>60</v>
      </c>
      <c r="N1423" s="13">
        <v>1</v>
      </c>
      <c r="O1423" s="13"/>
      <c r="P1423" s="33" t="str">
        <f t="shared" si="426"/>
        <v>MAIN UNIT</v>
      </c>
      <c r="Q1423" s="13" t="s">
        <v>68</v>
      </c>
      <c r="R1423" s="13" t="s">
        <v>62</v>
      </c>
      <c r="S1423" s="13" t="s">
        <v>50</v>
      </c>
      <c r="T1423" s="13" t="s">
        <v>1915</v>
      </c>
      <c r="U1423" s="13" t="s">
        <v>70</v>
      </c>
      <c r="V1423" s="13" t="s">
        <v>94</v>
      </c>
      <c r="W1423" s="13" t="s">
        <v>64</v>
      </c>
      <c r="X1423" s="135">
        <v>776666</v>
      </c>
      <c r="Y1423" s="157" t="str">
        <f t="shared" ref="Y1423:Y1433" si="436">IF(W1423="RMB","1.13", "1")</f>
        <v>1.13</v>
      </c>
      <c r="Z1423" s="18">
        <f t="shared" si="435"/>
        <v>776666</v>
      </c>
      <c r="AA1423" s="13">
        <v>1.2150000000000001</v>
      </c>
      <c r="AB1423" s="21">
        <f t="shared" si="419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1"/>
        <v>25380121.402654871</v>
      </c>
      <c r="AJ1423" s="19">
        <f t="shared" si="422"/>
        <v>3850343.1237796471</v>
      </c>
      <c r="AK1423" s="20">
        <f t="shared" si="429"/>
        <v>0.1517070412191521</v>
      </c>
      <c r="AL1423" s="17"/>
      <c r="AM1423" s="17"/>
      <c r="AN1423" s="17"/>
      <c r="AO1423" s="17"/>
      <c r="AP1423" s="28" t="str">
        <f t="shared" si="430"/>
        <v>202112</v>
      </c>
      <c r="AQ1423" s="28" t="str">
        <f t="shared" si="431"/>
        <v>202112RMB</v>
      </c>
      <c r="AR1423" s="206" t="str">
        <f t="shared" si="432"/>
        <v>YAMAHA_Mounter</v>
      </c>
      <c r="AS1423" s="22">
        <f t="shared" si="433"/>
        <v>3</v>
      </c>
      <c r="AT1423" s="24" t="str">
        <f t="shared" si="434"/>
        <v>0-3 months</v>
      </c>
      <c r="AU1423" s="22" t="s">
        <v>3240</v>
      </c>
    </row>
    <row r="1424" spans="1:47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53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1913</v>
      </c>
      <c r="K1424" s="155" t="s">
        <v>1914</v>
      </c>
      <c r="L1424" s="17" t="s">
        <v>92</v>
      </c>
      <c r="M1424" s="13" t="s">
        <v>60</v>
      </c>
      <c r="N1424" s="13">
        <v>1</v>
      </c>
      <c r="O1424" s="13"/>
      <c r="P1424" s="33" t="str">
        <f t="shared" si="426"/>
        <v>MAIN UNIT</v>
      </c>
      <c r="Q1424" s="13" t="s">
        <v>68</v>
      </c>
      <c r="R1424" s="13" t="s">
        <v>62</v>
      </c>
      <c r="S1424" s="13" t="s">
        <v>50</v>
      </c>
      <c r="T1424" s="13" t="s">
        <v>1915</v>
      </c>
      <c r="U1424" s="13" t="s">
        <v>70</v>
      </c>
      <c r="V1424" s="13" t="s">
        <v>94</v>
      </c>
      <c r="W1424" s="13" t="s">
        <v>64</v>
      </c>
      <c r="X1424" s="135">
        <v>1000000</v>
      </c>
      <c r="Y1424" s="157" t="str">
        <f t="shared" si="436"/>
        <v>1.13</v>
      </c>
      <c r="Z1424" s="18">
        <f t="shared" si="435"/>
        <v>1000000</v>
      </c>
      <c r="AA1424" s="13">
        <v>1.2150000000000001</v>
      </c>
      <c r="AB1424" s="21">
        <f t="shared" si="419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1"/>
        <v>25380121.402654871</v>
      </c>
      <c r="AJ1424" s="19">
        <f t="shared" si="422"/>
        <v>3850343.1237796471</v>
      </c>
      <c r="AK1424" s="20">
        <f t="shared" si="429"/>
        <v>0.1517070412191521</v>
      </c>
      <c r="AL1424" s="17"/>
      <c r="AM1424" s="17"/>
      <c r="AN1424" s="17"/>
      <c r="AO1424" s="17"/>
      <c r="AP1424" s="28" t="str">
        <f t="shared" si="430"/>
        <v>202112</v>
      </c>
      <c r="AQ1424" s="28" t="str">
        <f t="shared" si="431"/>
        <v>202112RMB</v>
      </c>
      <c r="AR1424" s="206" t="str">
        <f t="shared" si="432"/>
        <v>YAMAHA_Mounter</v>
      </c>
      <c r="AS1424" s="22">
        <f t="shared" si="433"/>
        <v>3</v>
      </c>
      <c r="AT1424" s="24" t="str">
        <f t="shared" si="434"/>
        <v>0-3 months</v>
      </c>
      <c r="AU1424" s="22" t="s">
        <v>3240</v>
      </c>
    </row>
    <row r="1425" spans="1:47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53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1913</v>
      </c>
      <c r="K1425" s="155" t="s">
        <v>1914</v>
      </c>
      <c r="L1425" s="17" t="s">
        <v>92</v>
      </c>
      <c r="M1425" s="13" t="s">
        <v>60</v>
      </c>
      <c r="N1425" s="13">
        <v>1</v>
      </c>
      <c r="O1425" s="13"/>
      <c r="P1425" s="33" t="str">
        <f t="shared" si="426"/>
        <v>MAIN UNIT</v>
      </c>
      <c r="Q1425" s="13" t="s">
        <v>68</v>
      </c>
      <c r="R1425" s="13" t="s">
        <v>62</v>
      </c>
      <c r="S1425" s="13" t="s">
        <v>50</v>
      </c>
      <c r="T1425" s="13" t="s">
        <v>1915</v>
      </c>
      <c r="U1425" s="13" t="s">
        <v>70</v>
      </c>
      <c r="V1425" s="13" t="s">
        <v>94</v>
      </c>
      <c r="W1425" s="13" t="s">
        <v>64</v>
      </c>
      <c r="X1425" s="135">
        <v>1000000</v>
      </c>
      <c r="Y1425" s="157" t="str">
        <f t="shared" si="436"/>
        <v>1.13</v>
      </c>
      <c r="Z1425" s="18">
        <f t="shared" si="435"/>
        <v>1000000</v>
      </c>
      <c r="AA1425" s="13">
        <v>1.2150000000000001</v>
      </c>
      <c r="AB1425" s="21">
        <f t="shared" si="419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1"/>
        <v>25380121.402654871</v>
      </c>
      <c r="AJ1425" s="19">
        <f t="shared" si="422"/>
        <v>3850343.1237796471</v>
      </c>
      <c r="AK1425" s="20">
        <f t="shared" si="429"/>
        <v>0.1517070412191521</v>
      </c>
      <c r="AL1425" s="17"/>
      <c r="AM1425" s="17"/>
      <c r="AN1425" s="17"/>
      <c r="AO1425" s="17"/>
      <c r="AP1425" s="28" t="str">
        <f t="shared" si="430"/>
        <v>202112</v>
      </c>
      <c r="AQ1425" s="28" t="str">
        <f t="shared" si="431"/>
        <v>202112RMB</v>
      </c>
      <c r="AR1425" s="206" t="str">
        <f t="shared" si="432"/>
        <v>YAMAHA_Mounter</v>
      </c>
      <c r="AS1425" s="22">
        <f t="shared" si="433"/>
        <v>3</v>
      </c>
      <c r="AT1425" s="24" t="str">
        <f t="shared" si="434"/>
        <v>0-3 months</v>
      </c>
      <c r="AU1425" s="22" t="s">
        <v>3240</v>
      </c>
    </row>
    <row r="1426" spans="1:47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53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1913</v>
      </c>
      <c r="K1426" s="155" t="s">
        <v>1914</v>
      </c>
      <c r="L1426" s="17" t="s">
        <v>67</v>
      </c>
      <c r="M1426" s="13" t="s">
        <v>60</v>
      </c>
      <c r="N1426" s="13">
        <v>1</v>
      </c>
      <c r="O1426" s="13"/>
      <c r="P1426" s="33" t="str">
        <f t="shared" si="426"/>
        <v>MAIN UNIT</v>
      </c>
      <c r="Q1426" s="13" t="s">
        <v>68</v>
      </c>
      <c r="R1426" s="13" t="s">
        <v>62</v>
      </c>
      <c r="S1426" s="13" t="s">
        <v>50</v>
      </c>
      <c r="T1426" s="13" t="s">
        <v>1915</v>
      </c>
      <c r="U1426" s="13" t="s">
        <v>70</v>
      </c>
      <c r="V1426" s="13" t="s">
        <v>94</v>
      </c>
      <c r="W1426" s="13" t="s">
        <v>64</v>
      </c>
      <c r="X1426" s="135">
        <v>776666</v>
      </c>
      <c r="Y1426" s="157" t="str">
        <f t="shared" si="436"/>
        <v>1.13</v>
      </c>
      <c r="Z1426" s="18">
        <f t="shared" si="435"/>
        <v>776666</v>
      </c>
      <c r="AA1426" s="13">
        <v>1.22</v>
      </c>
      <c r="AB1426" s="21">
        <f t="shared" si="419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1"/>
        <v>26407088.359292038</v>
      </c>
      <c r="AJ1426" s="19">
        <f t="shared" si="422"/>
        <v>3424510.6998470789</v>
      </c>
      <c r="AK1426" s="20">
        <f t="shared" si="429"/>
        <v>0.12968149510667554</v>
      </c>
      <c r="AL1426" s="17"/>
      <c r="AM1426" s="17"/>
      <c r="AN1426" s="17"/>
      <c r="AO1426" s="17"/>
      <c r="AP1426" s="28" t="str">
        <f t="shared" si="430"/>
        <v>20221</v>
      </c>
      <c r="AQ1426" s="28" t="str">
        <f t="shared" si="431"/>
        <v>20221RMB</v>
      </c>
      <c r="AR1426" s="206" t="str">
        <f t="shared" si="432"/>
        <v>YAMAHA_Mounter</v>
      </c>
      <c r="AS1426" s="22">
        <f t="shared" si="433"/>
        <v>4</v>
      </c>
      <c r="AT1426" s="24" t="str">
        <f t="shared" si="434"/>
        <v>4-6 months</v>
      </c>
      <c r="AU1426" s="22" t="s">
        <v>3240</v>
      </c>
    </row>
    <row r="1427" spans="1:47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53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1913</v>
      </c>
      <c r="K1427" s="155" t="s">
        <v>1914</v>
      </c>
      <c r="L1427" s="17" t="s">
        <v>67</v>
      </c>
      <c r="M1427" s="13" t="s">
        <v>60</v>
      </c>
      <c r="N1427" s="13">
        <v>1</v>
      </c>
      <c r="O1427" s="13"/>
      <c r="P1427" s="33" t="str">
        <f t="shared" si="426"/>
        <v>MAIN UNIT</v>
      </c>
      <c r="Q1427" s="13" t="s">
        <v>68</v>
      </c>
      <c r="R1427" s="13" t="s">
        <v>62</v>
      </c>
      <c r="S1427" s="13" t="s">
        <v>50</v>
      </c>
      <c r="T1427" s="13" t="s">
        <v>1915</v>
      </c>
      <c r="U1427" s="13" t="s">
        <v>70</v>
      </c>
      <c r="V1427" s="13" t="s">
        <v>94</v>
      </c>
      <c r="W1427" s="13" t="s">
        <v>64</v>
      </c>
      <c r="X1427" s="135">
        <v>776666</v>
      </c>
      <c r="Y1427" s="157" t="str">
        <f t="shared" si="436"/>
        <v>1.13</v>
      </c>
      <c r="Z1427" s="18">
        <f t="shared" si="435"/>
        <v>776666</v>
      </c>
      <c r="AA1427" s="13">
        <v>1.22</v>
      </c>
      <c r="AB1427" s="21">
        <f t="shared" si="419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1"/>
        <v>26407088.359292038</v>
      </c>
      <c r="AJ1427" s="19">
        <f t="shared" si="422"/>
        <v>3424510.6998470789</v>
      </c>
      <c r="AK1427" s="20">
        <f t="shared" si="429"/>
        <v>0.12968149510667554</v>
      </c>
      <c r="AL1427" s="17"/>
      <c r="AM1427" s="17"/>
      <c r="AN1427" s="17"/>
      <c r="AO1427" s="17"/>
      <c r="AP1427" s="28" t="str">
        <f t="shared" si="430"/>
        <v>20221</v>
      </c>
      <c r="AQ1427" s="28" t="str">
        <f t="shared" si="431"/>
        <v>20221RMB</v>
      </c>
      <c r="AR1427" s="206" t="str">
        <f t="shared" si="432"/>
        <v>YAMAHA_Mounter</v>
      </c>
      <c r="AS1427" s="22">
        <f t="shared" si="433"/>
        <v>4</v>
      </c>
      <c r="AT1427" s="24" t="str">
        <f t="shared" si="434"/>
        <v>4-6 months</v>
      </c>
      <c r="AU1427" s="22" t="s">
        <v>3240</v>
      </c>
    </row>
    <row r="1428" spans="1:47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53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1913</v>
      </c>
      <c r="K1428" s="155" t="s">
        <v>1914</v>
      </c>
      <c r="L1428" s="17" t="s">
        <v>92</v>
      </c>
      <c r="M1428" s="13" t="s">
        <v>60</v>
      </c>
      <c r="N1428" s="13">
        <v>1</v>
      </c>
      <c r="O1428" s="13"/>
      <c r="P1428" s="33" t="str">
        <f t="shared" si="426"/>
        <v>MAIN UNIT</v>
      </c>
      <c r="Q1428" s="13" t="s">
        <v>68</v>
      </c>
      <c r="R1428" s="13" t="s">
        <v>62</v>
      </c>
      <c r="S1428" s="13" t="s">
        <v>50</v>
      </c>
      <c r="T1428" s="13" t="s">
        <v>1915</v>
      </c>
      <c r="U1428" s="13" t="s">
        <v>70</v>
      </c>
      <c r="V1428" s="13" t="s">
        <v>94</v>
      </c>
      <c r="W1428" s="13" t="s">
        <v>64</v>
      </c>
      <c r="X1428" s="135">
        <v>1000000</v>
      </c>
      <c r="Y1428" s="157" t="str">
        <f t="shared" si="436"/>
        <v>1.13</v>
      </c>
      <c r="Z1428" s="18">
        <f t="shared" si="435"/>
        <v>1000000</v>
      </c>
      <c r="AA1428" s="13">
        <v>1.22</v>
      </c>
      <c r="AB1428" s="21">
        <f t="shared" si="419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1"/>
        <v>26407088.359292038</v>
      </c>
      <c r="AJ1428" s="19">
        <f t="shared" si="422"/>
        <v>3424510.6998470789</v>
      </c>
      <c r="AK1428" s="20">
        <f t="shared" si="429"/>
        <v>0.12968149510667554</v>
      </c>
      <c r="AL1428" s="17"/>
      <c r="AM1428" s="17"/>
      <c r="AN1428" s="17"/>
      <c r="AO1428" s="17"/>
      <c r="AP1428" s="28" t="str">
        <f t="shared" si="430"/>
        <v>20221</v>
      </c>
      <c r="AQ1428" s="28" t="str">
        <f t="shared" si="431"/>
        <v>20221RMB</v>
      </c>
      <c r="AR1428" s="206" t="str">
        <f t="shared" si="432"/>
        <v>YAMAHA_Mounter</v>
      </c>
      <c r="AS1428" s="22">
        <f t="shared" si="433"/>
        <v>4</v>
      </c>
      <c r="AT1428" s="24" t="str">
        <f t="shared" si="434"/>
        <v>4-6 months</v>
      </c>
      <c r="AU1428" s="22" t="s">
        <v>3240</v>
      </c>
    </row>
    <row r="1429" spans="1:47" s="12" customFormat="1">
      <c r="A1429" s="33" t="str">
        <f t="shared" si="423"/>
        <v/>
      </c>
      <c r="B1429" s="152" t="s">
        <v>2584</v>
      </c>
      <c r="C1429" s="152" t="s">
        <v>2584</v>
      </c>
      <c r="D1429" s="33" t="b">
        <f t="shared" si="424"/>
        <v>0</v>
      </c>
      <c r="E1429" s="33" t="s">
        <v>2584</v>
      </c>
      <c r="F1429" s="152" t="s">
        <v>2584</v>
      </c>
      <c r="G1429" s="152" t="s">
        <v>2584</v>
      </c>
      <c r="H1429" s="155"/>
      <c r="I1429" s="33" t="str">
        <f t="shared" si="425"/>
        <v>TBA</v>
      </c>
      <c r="J1429" s="186" t="s">
        <v>2584</v>
      </c>
      <c r="K1429" s="155" t="s">
        <v>2599</v>
      </c>
      <c r="L1429" s="17" t="s">
        <v>92</v>
      </c>
      <c r="M1429" s="13" t="s">
        <v>60</v>
      </c>
      <c r="N1429" s="13">
        <v>1</v>
      </c>
      <c r="O1429" s="13"/>
      <c r="P1429" s="33" t="str">
        <f t="shared" si="426"/>
        <v>MAIN UNIT</v>
      </c>
      <c r="Q1429" s="13" t="s">
        <v>68</v>
      </c>
      <c r="R1429" s="13" t="s">
        <v>62</v>
      </c>
      <c r="S1429" s="13" t="s">
        <v>51</v>
      </c>
      <c r="T1429" s="13" t="s">
        <v>349</v>
      </c>
      <c r="U1429" s="13" t="s">
        <v>149</v>
      </c>
      <c r="V1429" s="13" t="s">
        <v>954</v>
      </c>
      <c r="W1429" s="13" t="s">
        <v>64</v>
      </c>
      <c r="X1429" s="135">
        <v>800000</v>
      </c>
      <c r="Y1429" s="157" t="str">
        <f t="shared" si="436"/>
        <v>1.13</v>
      </c>
      <c r="Z1429" s="18">
        <f t="shared" si="435"/>
        <v>800000</v>
      </c>
      <c r="AA1429" s="13">
        <v>1.095</v>
      </c>
      <c r="AB1429" s="21">
        <f t="shared" si="419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1"/>
        <v>30033846.584070798</v>
      </c>
      <c r="AJ1429" s="19">
        <f t="shared" si="422"/>
        <v>3534936.4750884958</v>
      </c>
      <c r="AK1429" s="20">
        <f t="shared" si="429"/>
        <v>0.11769842618039268</v>
      </c>
      <c r="AL1429" s="17"/>
      <c r="AM1429" s="17"/>
      <c r="AN1429" s="17"/>
      <c r="AO1429" s="17"/>
      <c r="AP1429" s="28" t="str">
        <f t="shared" si="430"/>
        <v>TBATBA</v>
      </c>
      <c r="AQ1429" s="28" t="str">
        <f t="shared" si="431"/>
        <v>TBATBARMB</v>
      </c>
      <c r="AR1429" s="206" t="str">
        <f t="shared" si="432"/>
        <v>YAMAHA_Mounter</v>
      </c>
      <c r="AS1429" s="22" t="str">
        <f t="shared" si="433"/>
        <v/>
      </c>
      <c r="AT1429" s="24" t="str">
        <f t="shared" si="434"/>
        <v/>
      </c>
      <c r="AU1429" s="22" t="s">
        <v>3240</v>
      </c>
    </row>
    <row r="1430" spans="1:47" s="12" customFormat="1">
      <c r="A1430" s="33" t="str">
        <f t="shared" si="423"/>
        <v/>
      </c>
      <c r="B1430" s="152" t="s">
        <v>2584</v>
      </c>
      <c r="C1430" s="152" t="s">
        <v>2584</v>
      </c>
      <c r="D1430" s="33" t="b">
        <f t="shared" si="424"/>
        <v>0</v>
      </c>
      <c r="E1430" s="33" t="s">
        <v>2584</v>
      </c>
      <c r="F1430" s="152" t="s">
        <v>2584</v>
      </c>
      <c r="G1430" s="152" t="s">
        <v>2584</v>
      </c>
      <c r="H1430" s="155"/>
      <c r="I1430" s="33" t="str">
        <f t="shared" si="425"/>
        <v>TBA</v>
      </c>
      <c r="J1430" s="186" t="s">
        <v>2584</v>
      </c>
      <c r="K1430" s="155" t="s">
        <v>2599</v>
      </c>
      <c r="L1430" s="17" t="s">
        <v>67</v>
      </c>
      <c r="M1430" s="13" t="s">
        <v>60</v>
      </c>
      <c r="N1430" s="13">
        <v>1</v>
      </c>
      <c r="O1430" s="13"/>
      <c r="P1430" s="33" t="str">
        <f t="shared" si="426"/>
        <v>MAIN UNIT</v>
      </c>
      <c r="Q1430" s="13" t="s">
        <v>68</v>
      </c>
      <c r="R1430" s="13" t="s">
        <v>62</v>
      </c>
      <c r="S1430" s="13" t="s">
        <v>51</v>
      </c>
      <c r="T1430" s="13" t="s">
        <v>349</v>
      </c>
      <c r="U1430" s="13" t="s">
        <v>149</v>
      </c>
      <c r="V1430" s="13" t="s">
        <v>954</v>
      </c>
      <c r="W1430" s="13" t="s">
        <v>64</v>
      </c>
      <c r="X1430" s="135">
        <v>720000</v>
      </c>
      <c r="Y1430" s="157" t="str">
        <f t="shared" si="436"/>
        <v>1.13</v>
      </c>
      <c r="Z1430" s="18">
        <f t="shared" si="435"/>
        <v>720000</v>
      </c>
      <c r="AA1430" s="13">
        <v>1.095</v>
      </c>
      <c r="AB1430" s="21">
        <f t="shared" si="419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1"/>
        <v>30033846.584070798</v>
      </c>
      <c r="AJ1430" s="19">
        <f t="shared" si="422"/>
        <v>3534936.4750884958</v>
      </c>
      <c r="AK1430" s="20">
        <f t="shared" si="429"/>
        <v>0.11769842618039268</v>
      </c>
      <c r="AL1430" s="17"/>
      <c r="AM1430" s="17"/>
      <c r="AN1430" s="17"/>
      <c r="AO1430" s="17"/>
      <c r="AP1430" s="28" t="str">
        <f t="shared" si="430"/>
        <v>TBATBA</v>
      </c>
      <c r="AQ1430" s="28" t="str">
        <f t="shared" si="431"/>
        <v>TBATBARMB</v>
      </c>
      <c r="AR1430" s="206" t="str">
        <f t="shared" si="432"/>
        <v>YAMAHA_Mounter</v>
      </c>
      <c r="AS1430" s="22" t="str">
        <f t="shared" si="433"/>
        <v/>
      </c>
      <c r="AT1430" s="24" t="str">
        <f t="shared" si="434"/>
        <v/>
      </c>
      <c r="AU1430" s="22" t="s">
        <v>3240</v>
      </c>
    </row>
    <row r="1431" spans="1:47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48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1473</v>
      </c>
      <c r="K1431" s="155" t="s">
        <v>1474</v>
      </c>
      <c r="L1431" s="17" t="s">
        <v>67</v>
      </c>
      <c r="M1431" s="13" t="s">
        <v>60</v>
      </c>
      <c r="N1431" s="13">
        <v>1</v>
      </c>
      <c r="O1431" s="13"/>
      <c r="P1431" s="33" t="str">
        <f t="shared" si="426"/>
        <v>MAIN UNIT</v>
      </c>
      <c r="Q1431" s="13" t="s">
        <v>68</v>
      </c>
      <c r="R1431" s="13" t="s">
        <v>62</v>
      </c>
      <c r="S1431" s="13" t="s">
        <v>51</v>
      </c>
      <c r="T1431" s="13" t="s">
        <v>159</v>
      </c>
      <c r="U1431" s="13" t="s">
        <v>149</v>
      </c>
      <c r="V1431" s="13" t="s">
        <v>954</v>
      </c>
      <c r="W1431" s="13" t="s">
        <v>64</v>
      </c>
      <c r="X1431" s="135">
        <v>712800</v>
      </c>
      <c r="Y1431" s="157" t="str">
        <f t="shared" si="436"/>
        <v>1.13</v>
      </c>
      <c r="Z1431" s="18">
        <f t="shared" si="435"/>
        <v>712800</v>
      </c>
      <c r="AA1431" s="13">
        <v>1.155</v>
      </c>
      <c r="AB1431" s="21">
        <f t="shared" si="419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1"/>
        <v>44078731.611185849</v>
      </c>
      <c r="AJ1431" s="19">
        <f t="shared" si="422"/>
        <v>5508173.2163771465</v>
      </c>
      <c r="AK1431" s="20">
        <f t="shared" si="429"/>
        <v>0.12496215328889679</v>
      </c>
      <c r="AL1431" s="17"/>
      <c r="AM1431" s="17"/>
      <c r="AN1431" s="17"/>
      <c r="AO1431" s="17"/>
      <c r="AP1431" s="28" t="str">
        <f t="shared" si="430"/>
        <v>202011</v>
      </c>
      <c r="AQ1431" s="28" t="str">
        <f t="shared" si="431"/>
        <v>202011RMB</v>
      </c>
      <c r="AR1431" s="206" t="str">
        <f t="shared" si="432"/>
        <v>YAMAHA_Mounter</v>
      </c>
      <c r="AS1431" s="22">
        <f t="shared" si="433"/>
        <v>0</v>
      </c>
      <c r="AT1431" s="24" t="str">
        <f t="shared" si="434"/>
        <v>0-3 months</v>
      </c>
      <c r="AU1431" s="22" t="s">
        <v>3240</v>
      </c>
    </row>
    <row r="1432" spans="1:47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185</v>
      </c>
      <c r="F1432" s="13" t="s">
        <v>185</v>
      </c>
      <c r="G1432" s="152" t="s">
        <v>1622</v>
      </c>
      <c r="H1432" s="155"/>
      <c r="I1432" s="33" t="str">
        <f t="shared" si="425"/>
        <v>Cancel</v>
      </c>
      <c r="J1432" s="186" t="s">
        <v>2103</v>
      </c>
      <c r="K1432" s="155" t="s">
        <v>1474</v>
      </c>
      <c r="L1432" s="17" t="s">
        <v>67</v>
      </c>
      <c r="M1432" s="13" t="s">
        <v>60</v>
      </c>
      <c r="N1432" s="13">
        <v>1</v>
      </c>
      <c r="O1432" s="13"/>
      <c r="P1432" s="33" t="str">
        <f t="shared" si="426"/>
        <v>MAIN UNIT</v>
      </c>
      <c r="Q1432" s="13" t="s">
        <v>61</v>
      </c>
      <c r="R1432" s="13" t="s">
        <v>62</v>
      </c>
      <c r="S1432" s="13" t="s">
        <v>51</v>
      </c>
      <c r="T1432" s="13" t="s">
        <v>159</v>
      </c>
      <c r="U1432" s="13" t="s">
        <v>149</v>
      </c>
      <c r="V1432" s="13" t="s">
        <v>954</v>
      </c>
      <c r="W1432" s="13" t="s">
        <v>64</v>
      </c>
      <c r="X1432" s="135">
        <v>690000</v>
      </c>
      <c r="Y1432" s="157" t="str">
        <f t="shared" si="436"/>
        <v>1.13</v>
      </c>
      <c r="Z1432" s="18">
        <f t="shared" si="435"/>
        <v>690000</v>
      </c>
      <c r="AA1432" s="13">
        <v>1.175</v>
      </c>
      <c r="AB1432" s="21">
        <f t="shared" si="419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1"/>
        <v>499582152.5142017</v>
      </c>
      <c r="AJ1432" s="19">
        <f t="shared" si="422"/>
        <v>59520528.679470733</v>
      </c>
      <c r="AK1432" s="20">
        <f t="shared" si="429"/>
        <v>0.11914062257814291</v>
      </c>
      <c r="AL1432" s="17"/>
      <c r="AM1432" s="17"/>
      <c r="AN1432" s="17"/>
      <c r="AO1432" s="17"/>
      <c r="AP1432" s="28" t="str">
        <f t="shared" si="430"/>
        <v>Cancelcancel</v>
      </c>
      <c r="AQ1432" s="28" t="str">
        <f t="shared" si="431"/>
        <v>CancelcancelRMB</v>
      </c>
      <c r="AR1432" s="206" t="str">
        <f t="shared" si="432"/>
        <v>YAMAHA_Mounter</v>
      </c>
      <c r="AS1432" s="22" t="str">
        <f t="shared" si="433"/>
        <v/>
      </c>
      <c r="AT1432" s="24" t="str">
        <f t="shared" si="434"/>
        <v/>
      </c>
      <c r="AU1432" s="22" t="s">
        <v>3240</v>
      </c>
    </row>
    <row r="1433" spans="1:47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55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2529</v>
      </c>
      <c r="K1433" s="155" t="s">
        <v>2530</v>
      </c>
      <c r="L1433" s="17" t="s">
        <v>67</v>
      </c>
      <c r="M1433" s="13" t="s">
        <v>60</v>
      </c>
      <c r="N1433" s="13">
        <v>1</v>
      </c>
      <c r="O1433" s="13"/>
      <c r="P1433" s="33" t="str">
        <f t="shared" si="426"/>
        <v>MAIN UNIT</v>
      </c>
      <c r="Q1433" s="13" t="s">
        <v>68</v>
      </c>
      <c r="R1433" s="13" t="s">
        <v>62</v>
      </c>
      <c r="S1433" s="13" t="s">
        <v>51</v>
      </c>
      <c r="T1433" s="13" t="s">
        <v>349</v>
      </c>
      <c r="U1433" s="13" t="s">
        <v>149</v>
      </c>
      <c r="V1433" s="13" t="s">
        <v>954</v>
      </c>
      <c r="W1433" s="13" t="s">
        <v>64</v>
      </c>
      <c r="X1433" s="135">
        <v>610000</v>
      </c>
      <c r="Y1433" s="157" t="str">
        <f t="shared" si="436"/>
        <v>1.13</v>
      </c>
      <c r="Z1433" s="18">
        <f t="shared" si="435"/>
        <v>610000</v>
      </c>
      <c r="AA1433" s="13">
        <v>1.081</v>
      </c>
      <c r="AB1433" s="21">
        <f t="shared" si="419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1"/>
        <v>15951056.41591504</v>
      </c>
      <c r="AJ1433" s="19">
        <f t="shared" si="422"/>
        <v>1966354.6022462982</v>
      </c>
      <c r="AK1433" s="20">
        <f t="shared" si="429"/>
        <v>0.12327425538313459</v>
      </c>
      <c r="AL1433" s="17"/>
      <c r="AM1433" s="17"/>
      <c r="AN1433" s="17"/>
      <c r="AO1433" s="17"/>
      <c r="AP1433" s="28" t="str">
        <f t="shared" si="430"/>
        <v>20237</v>
      </c>
      <c r="AQ1433" s="28" t="str">
        <f t="shared" si="431"/>
        <v>20237RMB</v>
      </c>
      <c r="AR1433" s="206" t="str">
        <f t="shared" si="432"/>
        <v>YAMAHA_Mounter</v>
      </c>
      <c r="AS1433" s="22">
        <f t="shared" si="433"/>
        <v>2</v>
      </c>
      <c r="AT1433" s="24" t="str">
        <f t="shared" si="434"/>
        <v>0-3 months</v>
      </c>
      <c r="AU1433" s="22" t="s">
        <v>3240</v>
      </c>
    </row>
    <row r="1434" spans="1:47" s="12" customFormat="1">
      <c r="A1434" s="33" t="str">
        <f t="shared" si="423"/>
        <v/>
      </c>
      <c r="B1434" s="152" t="s">
        <v>2584</v>
      </c>
      <c r="C1434" s="152" t="s">
        <v>2584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2584</v>
      </c>
      <c r="G1434" s="152" t="s">
        <v>2584</v>
      </c>
      <c r="H1434" s="155"/>
      <c r="I1434" s="33" t="str">
        <f t="shared" si="425"/>
        <v>TBA</v>
      </c>
      <c r="J1434" s="186" t="s">
        <v>2584</v>
      </c>
      <c r="K1434" s="155" t="s">
        <v>2605</v>
      </c>
      <c r="L1434" s="17" t="s">
        <v>2606</v>
      </c>
      <c r="M1434" s="13" t="s">
        <v>2607</v>
      </c>
      <c r="N1434" s="13">
        <v>1</v>
      </c>
      <c r="O1434" s="13"/>
      <c r="P1434" s="33" t="str">
        <f t="shared" si="426"/>
        <v>MAIN UNIT</v>
      </c>
      <c r="Q1434" s="13" t="s">
        <v>61</v>
      </c>
      <c r="R1434" s="13" t="s">
        <v>2055</v>
      </c>
      <c r="S1434" s="13" t="s">
        <v>51</v>
      </c>
      <c r="T1434" s="13" t="s">
        <v>2168</v>
      </c>
      <c r="U1434" s="13" t="s">
        <v>149</v>
      </c>
      <c r="V1434" s="13" t="s">
        <v>134</v>
      </c>
      <c r="W1434" s="13" t="s">
        <v>64</v>
      </c>
      <c r="X1434" s="135">
        <v>1000000</v>
      </c>
      <c r="Y1434" s="157" t="str">
        <f>IF(W1434="","",IF(W1434="RMB","1.13", "1"))</f>
        <v>1.13</v>
      </c>
      <c r="Z1434" s="18">
        <f t="shared" si="435"/>
        <v>1000000</v>
      </c>
      <c r="AA1434" s="13">
        <v>1.095</v>
      </c>
      <c r="AB1434" s="21">
        <f t="shared" si="419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1"/>
        <v>30033846.584070798</v>
      </c>
      <c r="AJ1434" s="19">
        <f t="shared" si="422"/>
        <v>3534936.4750884958</v>
      </c>
      <c r="AK1434" s="20">
        <f t="shared" si="429"/>
        <v>0.11769842618039268</v>
      </c>
      <c r="AL1434" s="17"/>
      <c r="AM1434" s="17"/>
      <c r="AN1434" s="17"/>
      <c r="AO1434" s="17"/>
      <c r="AP1434" s="28" t="str">
        <f t="shared" si="430"/>
        <v>TBATBA</v>
      </c>
      <c r="AQ1434" s="28" t="str">
        <f t="shared" si="431"/>
        <v>TBATBARMB</v>
      </c>
      <c r="AR1434" s="206" t="str">
        <f t="shared" si="432"/>
        <v>HELLER</v>
      </c>
      <c r="AS1434" s="22" t="str">
        <f t="shared" si="433"/>
        <v/>
      </c>
      <c r="AT1434" s="24" t="str">
        <f t="shared" si="434"/>
        <v/>
      </c>
      <c r="AU1434" s="22" t="s">
        <v>3240</v>
      </c>
    </row>
    <row r="1435" spans="1:47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54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2992</v>
      </c>
      <c r="K1435" s="155" t="s">
        <v>2605</v>
      </c>
      <c r="L1435" s="17" t="s">
        <v>2993</v>
      </c>
      <c r="M1435" s="13" t="s">
        <v>2832</v>
      </c>
      <c r="N1435" s="13">
        <v>1</v>
      </c>
      <c r="O1435" s="13"/>
      <c r="P1435" s="33" t="str">
        <f t="shared" si="426"/>
        <v>MAIN UNIT</v>
      </c>
      <c r="Q1435" s="13" t="s">
        <v>61</v>
      </c>
      <c r="R1435" s="13" t="s">
        <v>2055</v>
      </c>
      <c r="S1435" s="13" t="s">
        <v>51</v>
      </c>
      <c r="T1435" s="13" t="s">
        <v>2168</v>
      </c>
      <c r="U1435" s="13" t="s">
        <v>149</v>
      </c>
      <c r="V1435" s="13" t="s">
        <v>134</v>
      </c>
      <c r="W1435" s="13" t="s">
        <v>64</v>
      </c>
      <c r="X1435" s="135">
        <v>530000</v>
      </c>
      <c r="Y1435" s="157" t="str">
        <f>IF(W1435="","",IF(W1435="RMB","1.13", "1"))</f>
        <v>1.13</v>
      </c>
      <c r="Z1435" s="18">
        <f t="shared" si="435"/>
        <v>530000</v>
      </c>
      <c r="AA1435" s="13">
        <v>1.1599999999999999</v>
      </c>
      <c r="AB1435" s="21">
        <f t="shared" si="419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1"/>
        <v>21045012.884955753</v>
      </c>
      <c r="AJ1435" s="19">
        <f t="shared" si="422"/>
        <v>2650260.9603327443</v>
      </c>
      <c r="AK1435" s="20">
        <f t="shared" si="429"/>
        <v>0.12593296924172048</v>
      </c>
      <c r="AL1435" s="17"/>
      <c r="AM1435" s="17"/>
      <c r="AN1435" s="17"/>
      <c r="AO1435" s="17"/>
      <c r="AP1435" s="28" t="str">
        <f t="shared" si="430"/>
        <v>20232</v>
      </c>
      <c r="AQ1435" s="28" t="str">
        <f t="shared" si="431"/>
        <v>20232RMB</v>
      </c>
      <c r="AR1435" s="206" t="str">
        <f t="shared" si="432"/>
        <v>PEMTRON</v>
      </c>
      <c r="AS1435" s="22">
        <f t="shared" si="433"/>
        <v>3</v>
      </c>
      <c r="AT1435" s="24" t="str">
        <f t="shared" si="434"/>
        <v>0-3 months</v>
      </c>
      <c r="AU1435" s="22" t="s">
        <v>3240</v>
      </c>
    </row>
    <row r="1436" spans="1:47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54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2994</v>
      </c>
      <c r="K1436" s="155" t="s">
        <v>2605</v>
      </c>
      <c r="L1436" s="17" t="s">
        <v>2956</v>
      </c>
      <c r="M1436" s="13" t="s">
        <v>2832</v>
      </c>
      <c r="N1436" s="13">
        <v>1</v>
      </c>
      <c r="O1436" s="13"/>
      <c r="P1436" s="33" t="str">
        <f t="shared" si="426"/>
        <v>MAIN UNIT</v>
      </c>
      <c r="Q1436" s="13" t="s">
        <v>61</v>
      </c>
      <c r="R1436" s="13" t="s">
        <v>2055</v>
      </c>
      <c r="S1436" s="13" t="s">
        <v>51</v>
      </c>
      <c r="T1436" s="13" t="s">
        <v>2168</v>
      </c>
      <c r="U1436" s="13" t="s">
        <v>149</v>
      </c>
      <c r="V1436" s="13" t="s">
        <v>134</v>
      </c>
      <c r="W1436" s="13" t="s">
        <v>64</v>
      </c>
      <c r="X1436" s="135">
        <v>710000</v>
      </c>
      <c r="Y1436" s="157" t="str">
        <f>IF(W1436="","",IF(W1436="RMB","1.13", "1"))</f>
        <v>1.13</v>
      </c>
      <c r="Z1436" s="18">
        <f t="shared" si="435"/>
        <v>710000</v>
      </c>
      <c r="AA1436" s="13">
        <v>1.1599999999999999</v>
      </c>
      <c r="AB1436" s="21">
        <f t="shared" si="419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1"/>
        <v>21045012.884955753</v>
      </c>
      <c r="AJ1436" s="19">
        <f t="shared" si="422"/>
        <v>2650260.9603327443</v>
      </c>
      <c r="AK1436" s="20">
        <f t="shared" si="429"/>
        <v>0.12593296924172048</v>
      </c>
      <c r="AL1436" s="17"/>
      <c r="AM1436" s="17"/>
      <c r="AN1436" s="17"/>
      <c r="AO1436" s="17"/>
      <c r="AP1436" s="28" t="str">
        <f t="shared" si="430"/>
        <v>20232</v>
      </c>
      <c r="AQ1436" s="28" t="str">
        <f t="shared" si="431"/>
        <v>20232RMB</v>
      </c>
      <c r="AR1436" s="206" t="str">
        <f t="shared" si="432"/>
        <v>PEMTRON</v>
      </c>
      <c r="AS1436" s="22">
        <f t="shared" si="433"/>
        <v>3</v>
      </c>
      <c r="AT1436" s="24" t="str">
        <f t="shared" si="434"/>
        <v>0-3 months</v>
      </c>
      <c r="AU1436" s="22" t="s">
        <v>3240</v>
      </c>
    </row>
    <row r="1437" spans="1:47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53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3025</v>
      </c>
      <c r="K1437" s="155" t="s">
        <v>2605</v>
      </c>
      <c r="L1437" s="17" t="s">
        <v>2956</v>
      </c>
      <c r="M1437" s="13" t="s">
        <v>2832</v>
      </c>
      <c r="N1437" s="13">
        <v>1</v>
      </c>
      <c r="O1437" s="13"/>
      <c r="P1437" s="33" t="str">
        <f t="shared" si="426"/>
        <v>MAIN UNIT</v>
      </c>
      <c r="Q1437" s="13" t="s">
        <v>68</v>
      </c>
      <c r="R1437" s="13" t="s">
        <v>2055</v>
      </c>
      <c r="S1437" s="13" t="s">
        <v>51</v>
      </c>
      <c r="T1437" s="13" t="s">
        <v>2168</v>
      </c>
      <c r="U1437" s="13" t="s">
        <v>149</v>
      </c>
      <c r="V1437" s="13" t="s">
        <v>134</v>
      </c>
      <c r="W1437" s="13" t="s">
        <v>64</v>
      </c>
      <c r="X1437" s="135">
        <v>770000</v>
      </c>
      <c r="Y1437" s="157" t="str">
        <f>IF(W1437="RMB","1.13", "1")</f>
        <v>1.13</v>
      </c>
      <c r="Z1437" s="18">
        <f t="shared" si="435"/>
        <v>770000</v>
      </c>
      <c r="AA1437" s="13">
        <v>1.22</v>
      </c>
      <c r="AB1437" s="21">
        <f t="shared" si="419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1"/>
        <v>28726768.133805312</v>
      </c>
      <c r="AJ1437" s="19">
        <f t="shared" si="422"/>
        <v>3853638.1988864429</v>
      </c>
      <c r="AK1437" s="20">
        <f t="shared" si="429"/>
        <v>0.1341479898099476</v>
      </c>
      <c r="AL1437" s="17"/>
      <c r="AM1437" s="17"/>
      <c r="AN1437" s="17"/>
      <c r="AO1437" s="17"/>
      <c r="AP1437" s="28" t="str">
        <f t="shared" si="430"/>
        <v>20223</v>
      </c>
      <c r="AQ1437" s="28" t="str">
        <f t="shared" si="431"/>
        <v>20223RMB</v>
      </c>
      <c r="AR1437" s="206" t="str">
        <f t="shared" si="432"/>
        <v>PEMTRON</v>
      </c>
      <c r="AS1437" s="22">
        <f t="shared" si="433"/>
        <v>2</v>
      </c>
      <c r="AT1437" s="24" t="str">
        <f t="shared" si="434"/>
        <v>0-3 months</v>
      </c>
      <c r="AU1437" s="22" t="s">
        <v>3240</v>
      </c>
    </row>
    <row r="1438" spans="1:47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53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1611</v>
      </c>
      <c r="K1438" s="155" t="s">
        <v>1612</v>
      </c>
      <c r="L1438" s="17" t="s">
        <v>92</v>
      </c>
      <c r="M1438" s="13" t="s">
        <v>60</v>
      </c>
      <c r="N1438" s="13">
        <v>1</v>
      </c>
      <c r="O1438" s="13"/>
      <c r="P1438" s="33" t="str">
        <f t="shared" si="426"/>
        <v>MAIN UNIT</v>
      </c>
      <c r="Q1438" s="13" t="s">
        <v>68</v>
      </c>
      <c r="R1438" s="13" t="s">
        <v>62</v>
      </c>
      <c r="S1438" s="13" t="s">
        <v>52</v>
      </c>
      <c r="T1438" s="13" t="s">
        <v>412</v>
      </c>
      <c r="U1438" s="13" t="s">
        <v>1077</v>
      </c>
      <c r="V1438" s="13" t="s">
        <v>143</v>
      </c>
      <c r="W1438" s="13" t="s">
        <v>64</v>
      </c>
      <c r="X1438" s="135">
        <v>1290000</v>
      </c>
      <c r="Y1438" s="157" t="str">
        <f>IF(W1438="RMB","1.13", "1")</f>
        <v>1.13</v>
      </c>
      <c r="Z1438" s="18">
        <f t="shared" si="435"/>
        <v>1290000</v>
      </c>
      <c r="AA1438" s="13">
        <v>1.2</v>
      </c>
      <c r="AB1438" s="21">
        <f t="shared" si="419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1"/>
        <v>47458373.787610628</v>
      </c>
      <c r="AJ1438" s="19">
        <f t="shared" si="422"/>
        <v>7436880.1411522133</v>
      </c>
      <c r="AK1438" s="20">
        <f t="shared" si="429"/>
        <v>0.15670322321692506</v>
      </c>
      <c r="AL1438" s="17" t="s">
        <v>1613</v>
      </c>
      <c r="AM1438" s="17"/>
      <c r="AN1438" s="17"/>
      <c r="AO1438" s="17"/>
      <c r="AP1438" s="28" t="str">
        <f t="shared" si="430"/>
        <v>20218</v>
      </c>
      <c r="AQ1438" s="28" t="str">
        <f t="shared" si="431"/>
        <v>20218RMB</v>
      </c>
      <c r="AR1438" s="206" t="str">
        <f t="shared" si="432"/>
        <v>YAMAHA_Mounter</v>
      </c>
      <c r="AS1438" s="22">
        <f t="shared" si="433"/>
        <v>12</v>
      </c>
      <c r="AT1438" s="24" t="str">
        <f t="shared" si="434"/>
        <v>&gt; 6 months</v>
      </c>
      <c r="AU1438" s="22" t="s">
        <v>3240</v>
      </c>
    </row>
    <row r="1439" spans="1:47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48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1487</v>
      </c>
      <c r="K1439" s="155" t="s">
        <v>1488</v>
      </c>
      <c r="L1439" s="17" t="s">
        <v>67</v>
      </c>
      <c r="M1439" s="13" t="s">
        <v>60</v>
      </c>
      <c r="N1439" s="13">
        <v>1</v>
      </c>
      <c r="O1439" s="13"/>
      <c r="P1439" s="33" t="str">
        <f t="shared" si="426"/>
        <v>MAIN UNIT</v>
      </c>
      <c r="Q1439" s="13" t="s">
        <v>61</v>
      </c>
      <c r="R1439" s="13" t="s">
        <v>62</v>
      </c>
      <c r="S1439" s="13" t="s">
        <v>52</v>
      </c>
      <c r="T1439" s="13" t="s">
        <v>176</v>
      </c>
      <c r="U1439" s="13" t="s">
        <v>177</v>
      </c>
      <c r="V1439" s="13" t="s">
        <v>178</v>
      </c>
      <c r="W1439" s="13" t="s">
        <v>64</v>
      </c>
      <c r="X1439" s="135">
        <v>530000</v>
      </c>
      <c r="Y1439" s="156">
        <v>1.1299999999999999</v>
      </c>
      <c r="Z1439" s="18">
        <f t="shared" si="435"/>
        <v>530000</v>
      </c>
      <c r="AA1439" s="13">
        <v>1.175</v>
      </c>
      <c r="AB1439" s="21">
        <f t="shared" si="419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1"/>
        <v>48763143.537654862</v>
      </c>
      <c r="AJ1439" s="19">
        <f t="shared" si="422"/>
        <v>5924029.9702154724</v>
      </c>
      <c r="AK1439" s="20">
        <f t="shared" si="429"/>
        <v>0.1214858095774925</v>
      </c>
      <c r="AL1439" s="17"/>
      <c r="AM1439" s="17"/>
      <c r="AN1439" s="17"/>
      <c r="AO1439" s="17"/>
      <c r="AP1439" s="28" t="str">
        <f t="shared" si="430"/>
        <v>202012</v>
      </c>
      <c r="AQ1439" s="28" t="str">
        <f t="shared" si="431"/>
        <v>202012RMB</v>
      </c>
      <c r="AR1439" s="206" t="str">
        <f t="shared" si="432"/>
        <v>YAMAHA_Mounter</v>
      </c>
      <c r="AS1439" s="22">
        <f t="shared" si="433"/>
        <v>1</v>
      </c>
      <c r="AT1439" s="24" t="str">
        <f t="shared" si="434"/>
        <v>0-3 months</v>
      </c>
      <c r="AU1439" s="22" t="s">
        <v>3240</v>
      </c>
    </row>
    <row r="1440" spans="1:47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41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410</v>
      </c>
      <c r="K1440" s="155" t="s">
        <v>411</v>
      </c>
      <c r="L1440" s="17" t="s">
        <v>100</v>
      </c>
      <c r="M1440" s="13" t="s">
        <v>60</v>
      </c>
      <c r="N1440" s="13">
        <v>1</v>
      </c>
      <c r="O1440" s="13"/>
      <c r="P1440" s="33" t="str">
        <f t="shared" si="426"/>
        <v>MAIN UNIT</v>
      </c>
      <c r="Q1440" s="13" t="s">
        <v>68</v>
      </c>
      <c r="R1440" s="13" t="s">
        <v>62</v>
      </c>
      <c r="S1440" s="13" t="s">
        <v>52</v>
      </c>
      <c r="T1440" s="13" t="s">
        <v>412</v>
      </c>
      <c r="U1440" s="13" t="s">
        <v>142</v>
      </c>
      <c r="V1440" s="13" t="s">
        <v>143</v>
      </c>
      <c r="W1440" s="13" t="s">
        <v>64</v>
      </c>
      <c r="X1440" s="135">
        <v>585000</v>
      </c>
      <c r="Y1440" s="156">
        <v>1.1599999999999999</v>
      </c>
      <c r="Z1440" s="18">
        <f t="shared" si="435"/>
        <v>585000</v>
      </c>
      <c r="AA1440" s="13">
        <v>1.125</v>
      </c>
      <c r="AB1440" s="21">
        <f t="shared" si="419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1"/>
        <v>10785027.603448275</v>
      </c>
      <c r="AJ1440" s="19">
        <f t="shared" si="422"/>
        <v>1540894.1297982759</v>
      </c>
      <c r="AK1440" s="20">
        <f t="shared" si="429"/>
        <v>0.1428734525728621</v>
      </c>
      <c r="AL1440" s="17"/>
      <c r="AM1440" s="17"/>
      <c r="AN1440" s="17"/>
      <c r="AO1440" s="17"/>
      <c r="AP1440" s="28" t="str">
        <f t="shared" si="430"/>
        <v>201811</v>
      </c>
      <c r="AQ1440" s="28" t="str">
        <f t="shared" si="431"/>
        <v>201811RMB</v>
      </c>
      <c r="AR1440" s="206" t="str">
        <f t="shared" si="432"/>
        <v>YAMAHA_Mounter</v>
      </c>
      <c r="AS1440" s="22">
        <f t="shared" si="433"/>
        <v>5</v>
      </c>
      <c r="AT1440" s="24" t="str">
        <f t="shared" si="434"/>
        <v>4-6 months</v>
      </c>
      <c r="AU1440" s="22" t="s">
        <v>3240</v>
      </c>
    </row>
    <row r="1441" spans="1:47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41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746</v>
      </c>
      <c r="K1441" s="155" t="s">
        <v>411</v>
      </c>
      <c r="L1441" s="17" t="s">
        <v>747</v>
      </c>
      <c r="M1441" s="13" t="s">
        <v>60</v>
      </c>
      <c r="N1441" s="13">
        <v>1</v>
      </c>
      <c r="O1441" s="13"/>
      <c r="P1441" s="33" t="str">
        <f t="shared" si="426"/>
        <v>MAIN UNIT</v>
      </c>
      <c r="Q1441" s="13" t="s">
        <v>61</v>
      </c>
      <c r="R1441" s="13" t="s">
        <v>62</v>
      </c>
      <c r="S1441" s="13" t="s">
        <v>52</v>
      </c>
      <c r="T1441" s="13" t="s">
        <v>412</v>
      </c>
      <c r="U1441" s="13" t="s">
        <v>142</v>
      </c>
      <c r="V1441" s="13" t="s">
        <v>143</v>
      </c>
      <c r="W1441" s="13" t="s">
        <v>64</v>
      </c>
      <c r="X1441" s="135">
        <v>360000</v>
      </c>
      <c r="Y1441" s="156">
        <v>1.1599999999999999</v>
      </c>
      <c r="Z1441" s="18">
        <f t="shared" si="435"/>
        <v>360000</v>
      </c>
      <c r="AA1441" s="13">
        <v>1.125</v>
      </c>
      <c r="AB1441" s="21">
        <f t="shared" si="419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1"/>
        <v>23237072.69172414</v>
      </c>
      <c r="AJ1441" s="19">
        <f t="shared" si="422"/>
        <v>2402195.7372206897</v>
      </c>
      <c r="AK1441" s="20">
        <f t="shared" si="429"/>
        <v>0.10337772614862238</v>
      </c>
      <c r="AL1441" s="17"/>
      <c r="AM1441" s="17"/>
      <c r="AN1441" s="17"/>
      <c r="AO1441" s="17"/>
      <c r="AP1441" s="28" t="str">
        <f t="shared" si="430"/>
        <v>20191</v>
      </c>
      <c r="AQ1441" s="28" t="str">
        <f t="shared" si="431"/>
        <v>20191RMB</v>
      </c>
      <c r="AR1441" s="206" t="str">
        <f t="shared" si="432"/>
        <v>YAMAHA_Mounter</v>
      </c>
      <c r="AS1441" s="22">
        <f t="shared" si="433"/>
        <v>0</v>
      </c>
      <c r="AT1441" s="24" t="str">
        <f t="shared" si="434"/>
        <v>0-3 months</v>
      </c>
      <c r="AU1441" s="22" t="s">
        <v>3240</v>
      </c>
    </row>
    <row r="1442" spans="1:47" s="12" customFormat="1">
      <c r="A1442" s="33" t="str">
        <f t="shared" si="423"/>
        <v>cancel</v>
      </c>
      <c r="B1442" s="152"/>
      <c r="C1442" s="152" t="s">
        <v>185</v>
      </c>
      <c r="D1442" s="33" t="str">
        <f t="shared" si="424"/>
        <v/>
      </c>
      <c r="E1442" s="33" t="s">
        <v>185</v>
      </c>
      <c r="F1442" s="13" t="s">
        <v>185</v>
      </c>
      <c r="G1442" s="152" t="s">
        <v>185</v>
      </c>
      <c r="H1442" s="155"/>
      <c r="I1442" s="33" t="str">
        <f t="shared" si="425"/>
        <v>Cancel</v>
      </c>
      <c r="J1442" s="186" t="s">
        <v>2754</v>
      </c>
      <c r="K1442" s="155" t="s">
        <v>411</v>
      </c>
      <c r="L1442" s="17" t="s">
        <v>67</v>
      </c>
      <c r="M1442" s="13" t="s">
        <v>60</v>
      </c>
      <c r="N1442" s="13">
        <v>1</v>
      </c>
      <c r="O1442" s="13"/>
      <c r="P1442" s="33" t="str">
        <f t="shared" si="426"/>
        <v>MAIN UNIT</v>
      </c>
      <c r="Q1442" s="13" t="s">
        <v>61</v>
      </c>
      <c r="R1442" s="13" t="s">
        <v>62</v>
      </c>
      <c r="S1442" s="13" t="s">
        <v>52</v>
      </c>
      <c r="T1442" s="13" t="s">
        <v>412</v>
      </c>
      <c r="U1442" s="13" t="s">
        <v>1077</v>
      </c>
      <c r="V1442" s="13" t="s">
        <v>143</v>
      </c>
      <c r="W1442" s="13" t="s">
        <v>64</v>
      </c>
      <c r="X1442" s="135">
        <v>500000</v>
      </c>
      <c r="Y1442" s="157" t="str">
        <f>IF(W1442="RMB","1.13", "1")</f>
        <v>1.13</v>
      </c>
      <c r="Z1442" s="18">
        <f t="shared" si="435"/>
        <v>500000</v>
      </c>
      <c r="AA1442" s="13">
        <v>1.175</v>
      </c>
      <c r="AB1442" s="21">
        <f t="shared" si="419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1"/>
        <v>499582152.5142017</v>
      </c>
      <c r="AJ1442" s="19">
        <f t="shared" si="422"/>
        <v>59520528.679470733</v>
      </c>
      <c r="AK1442" s="20">
        <f t="shared" si="429"/>
        <v>0.11914062257814291</v>
      </c>
      <c r="AL1442" s="17"/>
      <c r="AM1442" s="17"/>
      <c r="AN1442" s="17"/>
      <c r="AO1442" s="17"/>
      <c r="AP1442" s="28" t="str">
        <f t="shared" si="430"/>
        <v>CancelCancel</v>
      </c>
      <c r="AQ1442" s="28" t="str">
        <f t="shared" si="431"/>
        <v>CancelCancelRMB</v>
      </c>
      <c r="AR1442" s="206" t="str">
        <f t="shared" si="432"/>
        <v>YAMAHA_Mounter</v>
      </c>
      <c r="AS1442" s="22" t="str">
        <f t="shared" si="433"/>
        <v/>
      </c>
      <c r="AT1442" s="24" t="str">
        <f t="shared" si="434"/>
        <v/>
      </c>
      <c r="AU1442" s="22" t="s">
        <v>3240</v>
      </c>
    </row>
    <row r="1443" spans="1:47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3381</v>
      </c>
      <c r="K1443" s="29" t="s">
        <v>2133</v>
      </c>
      <c r="L1443" s="17" t="s">
        <v>92</v>
      </c>
      <c r="M1443" s="22" t="s">
        <v>60</v>
      </c>
      <c r="N1443" s="22">
        <v>1</v>
      </c>
      <c r="O1443" s="22"/>
      <c r="P1443" s="33" t="str">
        <f t="shared" si="426"/>
        <v>MAIN UNIT</v>
      </c>
      <c r="Q1443" s="13" t="s">
        <v>61</v>
      </c>
      <c r="R1443" s="22" t="s">
        <v>62</v>
      </c>
      <c r="S1443" s="22" t="s">
        <v>49</v>
      </c>
      <c r="T1443" s="22" t="s">
        <v>78</v>
      </c>
      <c r="U1443" s="22" t="s">
        <v>1071</v>
      </c>
      <c r="V1443" s="22" t="s">
        <v>2011</v>
      </c>
      <c r="W1443" s="22" t="s">
        <v>109</v>
      </c>
      <c r="X1443" s="30">
        <v>15000000</v>
      </c>
      <c r="Y1443" s="31" t="str">
        <f>IF(W1443="","",IF(W1443="RMB","1.13", "1"))</f>
        <v>1</v>
      </c>
      <c r="Z1443" s="18">
        <f t="shared" si="435"/>
        <v>15000000</v>
      </c>
      <c r="AA1443" s="22">
        <v>5.0999999999999997E-2</v>
      </c>
      <c r="AB1443" s="21">
        <f t="shared" si="419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1"/>
        <v>27308925.887079656</v>
      </c>
      <c r="AJ1443" s="27">
        <f t="shared" si="422"/>
        <v>3319273.860338124</v>
      </c>
      <c r="AK1443" s="28">
        <f t="shared" si="429"/>
        <v>0.12154538314919709</v>
      </c>
      <c r="AL1443" s="24"/>
      <c r="AM1443" s="24"/>
      <c r="AN1443" s="24"/>
      <c r="AO1443" s="24"/>
      <c r="AP1443" s="28" t="str">
        <f t="shared" si="430"/>
        <v>20246</v>
      </c>
      <c r="AQ1443" s="28" t="str">
        <f t="shared" si="431"/>
        <v>20246JPY</v>
      </c>
      <c r="AR1443" s="206" t="str">
        <f t="shared" si="432"/>
        <v>YAMAHA_Mounter</v>
      </c>
      <c r="AS1443" s="22">
        <f t="shared" si="433"/>
        <v>2</v>
      </c>
      <c r="AT1443" s="24" t="str">
        <f t="shared" si="434"/>
        <v>0-3 months</v>
      </c>
      <c r="AU1443" s="22" t="s">
        <v>3745</v>
      </c>
    </row>
    <row r="1444" spans="1:47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3381</v>
      </c>
      <c r="K1444" s="29" t="s">
        <v>2133</v>
      </c>
      <c r="L1444" s="17" t="s">
        <v>67</v>
      </c>
      <c r="M1444" s="22" t="s">
        <v>60</v>
      </c>
      <c r="N1444" s="22">
        <v>1</v>
      </c>
      <c r="O1444" s="22"/>
      <c r="P1444" s="33" t="str">
        <f t="shared" si="426"/>
        <v>MAIN UNIT</v>
      </c>
      <c r="Q1444" s="13" t="s">
        <v>61</v>
      </c>
      <c r="R1444" s="22" t="s">
        <v>62</v>
      </c>
      <c r="S1444" s="22" t="s">
        <v>49</v>
      </c>
      <c r="T1444" s="22" t="s">
        <v>78</v>
      </c>
      <c r="U1444" s="22" t="s">
        <v>1071</v>
      </c>
      <c r="V1444" s="22" t="s">
        <v>2011</v>
      </c>
      <c r="W1444" s="22" t="s">
        <v>109</v>
      </c>
      <c r="X1444" s="30">
        <v>12031000</v>
      </c>
      <c r="Y1444" s="31" t="str">
        <f>IF(W1444="","",IF(W1444="RMB","1.13", "1"))</f>
        <v>1</v>
      </c>
      <c r="Z1444" s="18">
        <f t="shared" si="435"/>
        <v>12031000</v>
      </c>
      <c r="AA1444" s="22">
        <v>5.0999999999999997E-2</v>
      </c>
      <c r="AB1444" s="21">
        <f t="shared" si="419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1"/>
        <v>27308925.887079656</v>
      </c>
      <c r="AJ1444" s="27">
        <f t="shared" si="422"/>
        <v>3319273.860338124</v>
      </c>
      <c r="AK1444" s="28">
        <f t="shared" si="429"/>
        <v>0.12154538314919709</v>
      </c>
      <c r="AL1444" s="24"/>
      <c r="AM1444" s="24"/>
      <c r="AN1444" s="24"/>
      <c r="AO1444" s="24"/>
      <c r="AP1444" s="28" t="str">
        <f t="shared" si="430"/>
        <v>20246</v>
      </c>
      <c r="AQ1444" s="28" t="str">
        <f t="shared" si="431"/>
        <v>20246JPY</v>
      </c>
      <c r="AR1444" s="206" t="str">
        <f t="shared" si="432"/>
        <v>YAMAHA_Mounter</v>
      </c>
      <c r="AS1444" s="22">
        <f t="shared" si="433"/>
        <v>2</v>
      </c>
      <c r="AT1444" s="24" t="str">
        <f t="shared" si="434"/>
        <v>0-3 months</v>
      </c>
      <c r="AU1444" s="22" t="s">
        <v>3745</v>
      </c>
    </row>
    <row r="1445" spans="1:47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54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2301</v>
      </c>
      <c r="K1445" s="155" t="s">
        <v>2302</v>
      </c>
      <c r="L1445" s="17" t="s">
        <v>67</v>
      </c>
      <c r="M1445" s="13" t="s">
        <v>60</v>
      </c>
      <c r="N1445" s="13">
        <v>1</v>
      </c>
      <c r="O1445" s="13"/>
      <c r="P1445" s="33" t="str">
        <f t="shared" si="426"/>
        <v>MAIN UNIT</v>
      </c>
      <c r="Q1445" s="13" t="s">
        <v>68</v>
      </c>
      <c r="R1445" s="13" t="s">
        <v>62</v>
      </c>
      <c r="S1445" s="13" t="s">
        <v>52</v>
      </c>
      <c r="T1445" s="13" t="s">
        <v>2303</v>
      </c>
      <c r="U1445" s="13" t="s">
        <v>1077</v>
      </c>
      <c r="V1445" s="13" t="s">
        <v>143</v>
      </c>
      <c r="W1445" s="13" t="s">
        <v>64</v>
      </c>
      <c r="X1445" s="135">
        <v>507000</v>
      </c>
      <c r="Y1445" s="157" t="str">
        <f>IF(W1445="RMB","1.13", "1")</f>
        <v>1.13</v>
      </c>
      <c r="Z1445" s="18">
        <f t="shared" si="435"/>
        <v>507000</v>
      </c>
      <c r="AA1445" s="13">
        <v>1.1000000000000001</v>
      </c>
      <c r="AB1445" s="21">
        <f t="shared" si="419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1"/>
        <v>22717528.991150443</v>
      </c>
      <c r="AJ1445" s="19">
        <f t="shared" si="422"/>
        <v>3947747.192555753</v>
      </c>
      <c r="AK1445" s="20">
        <f t="shared" si="429"/>
        <v>0.1737753782153679</v>
      </c>
      <c r="AL1445" s="17"/>
      <c r="AM1445" s="17"/>
      <c r="AN1445" s="17"/>
      <c r="AO1445" s="17"/>
      <c r="AP1445" s="28" t="str">
        <f t="shared" si="430"/>
        <v>202210</v>
      </c>
      <c r="AQ1445" s="28" t="str">
        <f t="shared" si="431"/>
        <v>202210RMB</v>
      </c>
      <c r="AR1445" s="206" t="str">
        <f t="shared" si="432"/>
        <v>YAMAHA_Mounter</v>
      </c>
      <c r="AS1445" s="22">
        <f t="shared" si="433"/>
        <v>1</v>
      </c>
      <c r="AT1445" s="24" t="str">
        <f t="shared" si="434"/>
        <v>0-3 months</v>
      </c>
      <c r="AU1445" s="22" t="s">
        <v>3240</v>
      </c>
    </row>
    <row r="1446" spans="1:47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3113</v>
      </c>
      <c r="K1446" s="29" t="s">
        <v>2302</v>
      </c>
      <c r="L1446" s="17" t="s">
        <v>67</v>
      </c>
      <c r="M1446" s="22" t="s">
        <v>60</v>
      </c>
      <c r="N1446" s="22">
        <v>1</v>
      </c>
      <c r="O1446" s="22"/>
      <c r="P1446" s="33" t="str">
        <f t="shared" si="426"/>
        <v>MAIN UNIT</v>
      </c>
      <c r="Q1446" s="13" t="s">
        <v>61</v>
      </c>
      <c r="R1446" s="22" t="s">
        <v>62</v>
      </c>
      <c r="S1446" s="22" t="s">
        <v>52</v>
      </c>
      <c r="T1446" s="22" t="s">
        <v>412</v>
      </c>
      <c r="U1446" s="22" t="s">
        <v>1077</v>
      </c>
      <c r="V1446" s="22" t="s">
        <v>143</v>
      </c>
      <c r="W1446" s="22" t="s">
        <v>64</v>
      </c>
      <c r="X1446" s="30">
        <v>463000</v>
      </c>
      <c r="Y1446" s="31" t="str">
        <f>IF(W1446="","",IF(W1446="RMB","1.13", "1"))</f>
        <v>1.13</v>
      </c>
      <c r="Z1446" s="18">
        <f t="shared" si="435"/>
        <v>463000</v>
      </c>
      <c r="AA1446" s="22">
        <v>1.1000000000000001</v>
      </c>
      <c r="AB1446" s="21">
        <f t="shared" si="419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1"/>
        <v>23146578.081415929</v>
      </c>
      <c r="AJ1446" s="27">
        <f t="shared" si="422"/>
        <v>2745231.3889985834</v>
      </c>
      <c r="AK1446" s="28">
        <f t="shared" si="429"/>
        <v>0.11860204041143742</v>
      </c>
      <c r="AL1446" s="24"/>
      <c r="AM1446" s="24"/>
      <c r="AN1446" s="24"/>
      <c r="AO1446" s="24"/>
      <c r="AP1446" s="28" t="str">
        <f t="shared" si="430"/>
        <v>20241</v>
      </c>
      <c r="AQ1446" s="28" t="str">
        <f t="shared" si="431"/>
        <v>20241RMB</v>
      </c>
      <c r="AR1446" s="206" t="str">
        <f t="shared" si="432"/>
        <v>YAMAHA_Mounter</v>
      </c>
      <c r="AS1446" s="22">
        <f t="shared" si="433"/>
        <v>0</v>
      </c>
      <c r="AT1446" s="24" t="str">
        <f t="shared" si="434"/>
        <v>0-3 months</v>
      </c>
      <c r="AU1446" s="22" t="s">
        <v>3240</v>
      </c>
    </row>
    <row r="1447" spans="1:47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41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289</v>
      </c>
      <c r="K1447" s="155" t="s">
        <v>530</v>
      </c>
      <c r="L1447" s="17" t="s">
        <v>67</v>
      </c>
      <c r="M1447" s="13" t="s">
        <v>60</v>
      </c>
      <c r="N1447" s="13">
        <v>1</v>
      </c>
      <c r="O1447" s="13"/>
      <c r="P1447" s="33" t="str">
        <f t="shared" si="426"/>
        <v>MAIN UNIT</v>
      </c>
      <c r="Q1447" s="13" t="s">
        <v>61</v>
      </c>
      <c r="R1447" s="13" t="s">
        <v>62</v>
      </c>
      <c r="S1447" s="13" t="s">
        <v>52</v>
      </c>
      <c r="T1447" s="13" t="s">
        <v>412</v>
      </c>
      <c r="U1447" s="13" t="s">
        <v>142</v>
      </c>
      <c r="V1447" s="13" t="s">
        <v>143</v>
      </c>
      <c r="W1447" s="13" t="s">
        <v>64</v>
      </c>
      <c r="X1447" s="135">
        <v>860000</v>
      </c>
      <c r="Y1447" s="156">
        <v>1.1599999999999999</v>
      </c>
      <c r="Z1447" s="18">
        <f t="shared" si="435"/>
        <v>860000</v>
      </c>
      <c r="AA1447" s="13">
        <v>1.1499999999999999</v>
      </c>
      <c r="AB1447" s="21">
        <f t="shared" si="419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1"/>
        <v>16455710.386637932</v>
      </c>
      <c r="AJ1447" s="19">
        <f t="shared" si="422"/>
        <v>2150644.6466930606</v>
      </c>
      <c r="AK1447" s="20">
        <f t="shared" si="429"/>
        <v>0.13069290818580451</v>
      </c>
      <c r="AL1447" s="17"/>
      <c r="AM1447" s="17"/>
      <c r="AN1447" s="17"/>
      <c r="AO1447" s="17"/>
      <c r="AP1447" s="28" t="str">
        <f t="shared" si="430"/>
        <v>20192</v>
      </c>
      <c r="AQ1447" s="28" t="str">
        <f t="shared" si="431"/>
        <v>20192RMB</v>
      </c>
      <c r="AR1447" s="206" t="str">
        <f t="shared" si="432"/>
        <v>YAMAHA_Mounter</v>
      </c>
      <c r="AS1447" s="22">
        <f t="shared" si="433"/>
        <v>2</v>
      </c>
      <c r="AT1447" s="24" t="str">
        <f t="shared" si="434"/>
        <v>0-3 months</v>
      </c>
      <c r="AU1447" s="22" t="s">
        <v>3240</v>
      </c>
    </row>
    <row r="1448" spans="1:47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48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1096</v>
      </c>
      <c r="K1448" s="155" t="s">
        <v>1097</v>
      </c>
      <c r="L1448" s="17" t="s">
        <v>67</v>
      </c>
      <c r="M1448" s="13" t="s">
        <v>60</v>
      </c>
      <c r="N1448" s="13">
        <v>1</v>
      </c>
      <c r="O1448" s="13"/>
      <c r="P1448" s="33" t="str">
        <f t="shared" si="426"/>
        <v>MAIN UNIT</v>
      </c>
      <c r="Q1448" s="13" t="s">
        <v>68</v>
      </c>
      <c r="R1448" s="13" t="s">
        <v>62</v>
      </c>
      <c r="S1448" s="13" t="s">
        <v>52</v>
      </c>
      <c r="T1448" s="13" t="s">
        <v>412</v>
      </c>
      <c r="U1448" s="13" t="s">
        <v>1077</v>
      </c>
      <c r="V1448" s="13" t="s">
        <v>143</v>
      </c>
      <c r="W1448" s="13" t="s">
        <v>64</v>
      </c>
      <c r="X1448" s="135">
        <v>940000</v>
      </c>
      <c r="Y1448" s="156" t="s">
        <v>1058</v>
      </c>
      <c r="Z1448" s="18">
        <f t="shared" si="435"/>
        <v>940000</v>
      </c>
      <c r="AA1448" s="13">
        <v>1.105</v>
      </c>
      <c r="AB1448" s="21">
        <f t="shared" si="419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1"/>
        <v>37969334.083628319</v>
      </c>
      <c r="AJ1448" s="19">
        <f t="shared" si="422"/>
        <v>5097226.4551657084</v>
      </c>
      <c r="AK1448" s="20">
        <f t="shared" si="429"/>
        <v>0.13424587441904964</v>
      </c>
      <c r="AL1448" s="17"/>
      <c r="AM1448" s="17"/>
      <c r="AN1448" s="17"/>
      <c r="AO1448" s="17"/>
      <c r="AP1448" s="28" t="str">
        <f t="shared" si="430"/>
        <v>20208</v>
      </c>
      <c r="AQ1448" s="28" t="str">
        <f t="shared" si="431"/>
        <v>20208RMB</v>
      </c>
      <c r="AR1448" s="206" t="str">
        <f t="shared" si="432"/>
        <v>YAMAHA_Mounter</v>
      </c>
      <c r="AS1448" s="22">
        <f t="shared" si="433"/>
        <v>2</v>
      </c>
      <c r="AT1448" s="24" t="str">
        <f t="shared" si="434"/>
        <v>0-3 months</v>
      </c>
      <c r="AU1448" s="22" t="s">
        <v>3240</v>
      </c>
    </row>
    <row r="1449" spans="1:47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48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1096</v>
      </c>
      <c r="K1449" s="155" t="s">
        <v>1097</v>
      </c>
      <c r="L1449" s="17" t="s">
        <v>67</v>
      </c>
      <c r="M1449" s="13" t="s">
        <v>60</v>
      </c>
      <c r="N1449" s="13">
        <v>1</v>
      </c>
      <c r="O1449" s="13"/>
      <c r="P1449" s="33" t="str">
        <f t="shared" si="426"/>
        <v>MAIN UNIT</v>
      </c>
      <c r="Q1449" s="13" t="s">
        <v>68</v>
      </c>
      <c r="R1449" s="13" t="s">
        <v>62</v>
      </c>
      <c r="S1449" s="13" t="s">
        <v>52</v>
      </c>
      <c r="T1449" s="13" t="s">
        <v>412</v>
      </c>
      <c r="U1449" s="13" t="s">
        <v>1077</v>
      </c>
      <c r="V1449" s="13" t="s">
        <v>143</v>
      </c>
      <c r="W1449" s="13" t="s">
        <v>64</v>
      </c>
      <c r="X1449" s="135">
        <v>940000</v>
      </c>
      <c r="Y1449" s="156" t="s">
        <v>1058</v>
      </c>
      <c r="Z1449" s="18">
        <f t="shared" si="435"/>
        <v>940000</v>
      </c>
      <c r="AA1449" s="13">
        <v>1.105</v>
      </c>
      <c r="AB1449" s="21">
        <f t="shared" si="419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1"/>
        <v>37969334.083628319</v>
      </c>
      <c r="AJ1449" s="19">
        <f t="shared" si="422"/>
        <v>5097226.4551657084</v>
      </c>
      <c r="AK1449" s="20">
        <f t="shared" si="429"/>
        <v>0.13424587441904964</v>
      </c>
      <c r="AL1449" s="17"/>
      <c r="AM1449" s="17"/>
      <c r="AN1449" s="17"/>
      <c r="AO1449" s="17"/>
      <c r="AP1449" s="28" t="str">
        <f t="shared" si="430"/>
        <v>20208</v>
      </c>
      <c r="AQ1449" s="28" t="str">
        <f t="shared" si="431"/>
        <v>20208RMB</v>
      </c>
      <c r="AR1449" s="206" t="str">
        <f t="shared" si="432"/>
        <v>YAMAHA_Mounter</v>
      </c>
      <c r="AS1449" s="22">
        <f t="shared" si="433"/>
        <v>2</v>
      </c>
      <c r="AT1449" s="24" t="str">
        <f t="shared" si="434"/>
        <v>0-3 months</v>
      </c>
      <c r="AU1449" s="22" t="s">
        <v>3240</v>
      </c>
    </row>
    <row r="1450" spans="1:47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53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1969</v>
      </c>
      <c r="K1450" s="155" t="s">
        <v>1970</v>
      </c>
      <c r="L1450" s="17" t="s">
        <v>92</v>
      </c>
      <c r="M1450" s="13" t="s">
        <v>60</v>
      </c>
      <c r="N1450" s="13">
        <v>1</v>
      </c>
      <c r="O1450" s="13"/>
      <c r="P1450" s="33" t="str">
        <f t="shared" si="426"/>
        <v>MAIN UNIT</v>
      </c>
      <c r="Q1450" s="13" t="s">
        <v>61</v>
      </c>
      <c r="R1450" s="13" t="s">
        <v>62</v>
      </c>
      <c r="S1450" s="13" t="s">
        <v>49</v>
      </c>
      <c r="T1450" s="13" t="s">
        <v>78</v>
      </c>
      <c r="U1450" s="13" t="s">
        <v>1971</v>
      </c>
      <c r="V1450" s="13" t="s">
        <v>121</v>
      </c>
      <c r="W1450" s="13" t="s">
        <v>109</v>
      </c>
      <c r="X1450" s="135">
        <v>15000000</v>
      </c>
      <c r="Y1450" s="157" t="str">
        <f t="shared" ref="Y1450:Y1465" si="437">IF(W1450="RMB","1.13", "1")</f>
        <v>1</v>
      </c>
      <c r="Z1450" s="18">
        <f t="shared" si="435"/>
        <v>15000000</v>
      </c>
      <c r="AA1450" s="13">
        <v>6.9199999999999998E-2</v>
      </c>
      <c r="AB1450" s="21">
        <f t="shared" si="419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1"/>
        <v>31750699.113741599</v>
      </c>
      <c r="AJ1450" s="19">
        <f t="shared" si="422"/>
        <v>4396077.3195289988</v>
      </c>
      <c r="AK1450" s="20">
        <f t="shared" si="429"/>
        <v>0.13845607946397598</v>
      </c>
      <c r="AL1450" s="17"/>
      <c r="AM1450" s="17"/>
      <c r="AN1450" s="17"/>
      <c r="AO1450" s="17"/>
      <c r="AP1450" s="28" t="str">
        <f t="shared" si="430"/>
        <v>20222</v>
      </c>
      <c r="AQ1450" s="28" t="str">
        <f t="shared" si="431"/>
        <v>20222JPY</v>
      </c>
      <c r="AR1450" s="206" t="str">
        <f t="shared" si="432"/>
        <v>YAMAHA_Mounter</v>
      </c>
      <c r="AS1450" s="22">
        <f t="shared" si="433"/>
        <v>3</v>
      </c>
      <c r="AT1450" s="24" t="str">
        <f t="shared" si="434"/>
        <v>0-3 months</v>
      </c>
      <c r="AU1450" s="22" t="s">
        <v>3746</v>
      </c>
    </row>
    <row r="1451" spans="1:47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53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1969</v>
      </c>
      <c r="K1451" s="155" t="s">
        <v>1970</v>
      </c>
      <c r="L1451" s="17" t="s">
        <v>67</v>
      </c>
      <c r="M1451" s="13" t="s">
        <v>60</v>
      </c>
      <c r="N1451" s="13">
        <v>1</v>
      </c>
      <c r="O1451" s="13"/>
      <c r="P1451" s="33" t="str">
        <f t="shared" si="426"/>
        <v>MAIN UNIT</v>
      </c>
      <c r="Q1451" s="13" t="s">
        <v>61</v>
      </c>
      <c r="R1451" s="13" t="s">
        <v>62</v>
      </c>
      <c r="S1451" s="13" t="s">
        <v>49</v>
      </c>
      <c r="T1451" s="13" t="s">
        <v>78</v>
      </c>
      <c r="U1451" s="13" t="s">
        <v>1971</v>
      </c>
      <c r="V1451" s="13" t="s">
        <v>121</v>
      </c>
      <c r="W1451" s="13" t="s">
        <v>109</v>
      </c>
      <c r="X1451" s="135">
        <v>11000000</v>
      </c>
      <c r="Y1451" s="157" t="str">
        <f t="shared" si="437"/>
        <v>1</v>
      </c>
      <c r="Z1451" s="18">
        <f t="shared" si="435"/>
        <v>11000000</v>
      </c>
      <c r="AA1451" s="13">
        <v>6.9199999999999998E-2</v>
      </c>
      <c r="AB1451" s="21">
        <f t="shared" si="419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1"/>
        <v>31750699.113741599</v>
      </c>
      <c r="AJ1451" s="19">
        <f t="shared" si="422"/>
        <v>4396077.3195289988</v>
      </c>
      <c r="AK1451" s="20">
        <f t="shared" si="429"/>
        <v>0.13845607946397598</v>
      </c>
      <c r="AL1451" s="17"/>
      <c r="AM1451" s="17"/>
      <c r="AN1451" s="17"/>
      <c r="AO1451" s="17"/>
      <c r="AP1451" s="28" t="str">
        <f t="shared" si="430"/>
        <v>20222</v>
      </c>
      <c r="AQ1451" s="28" t="str">
        <f t="shared" si="431"/>
        <v>20222JPY</v>
      </c>
      <c r="AR1451" s="206" t="str">
        <f t="shared" si="432"/>
        <v>YAMAHA_Mounter</v>
      </c>
      <c r="AS1451" s="22">
        <f t="shared" si="433"/>
        <v>3</v>
      </c>
      <c r="AT1451" s="24" t="str">
        <f t="shared" si="434"/>
        <v>0-3 months</v>
      </c>
      <c r="AU1451" s="22" t="s">
        <v>3746</v>
      </c>
    </row>
    <row r="1452" spans="1:47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54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1969</v>
      </c>
      <c r="K1452" s="155" t="s">
        <v>1970</v>
      </c>
      <c r="L1452" s="17" t="s">
        <v>92</v>
      </c>
      <c r="M1452" s="13" t="s">
        <v>60</v>
      </c>
      <c r="N1452" s="13">
        <v>1</v>
      </c>
      <c r="O1452" s="13"/>
      <c r="P1452" s="33" t="str">
        <f t="shared" si="426"/>
        <v>MAIN UNIT</v>
      </c>
      <c r="Q1452" s="13" t="s">
        <v>61</v>
      </c>
      <c r="R1452" s="13" t="s">
        <v>62</v>
      </c>
      <c r="S1452" s="13" t="s">
        <v>52</v>
      </c>
      <c r="T1452" s="13" t="s">
        <v>78</v>
      </c>
      <c r="U1452" s="13" t="s">
        <v>1971</v>
      </c>
      <c r="V1452" s="13" t="s">
        <v>121</v>
      </c>
      <c r="W1452" s="13" t="s">
        <v>109</v>
      </c>
      <c r="X1452" s="135">
        <v>15000000</v>
      </c>
      <c r="Y1452" s="157" t="str">
        <f t="shared" si="437"/>
        <v>1</v>
      </c>
      <c r="Z1452" s="18">
        <f t="shared" si="435"/>
        <v>15000000</v>
      </c>
      <c r="AA1452" s="13">
        <v>6.2799999999999995E-2</v>
      </c>
      <c r="AB1452" s="21">
        <f t="shared" si="419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1"/>
        <v>44014086.982070789</v>
      </c>
      <c r="AJ1452" s="19">
        <f t="shared" si="422"/>
        <v>6419974.0221889298</v>
      </c>
      <c r="AK1452" s="20">
        <f t="shared" si="429"/>
        <v>0.14586180158193709</v>
      </c>
      <c r="AL1452" s="17"/>
      <c r="AM1452" s="17"/>
      <c r="AN1452" s="17"/>
      <c r="AO1452" s="17"/>
      <c r="AP1452" s="28" t="str">
        <f t="shared" si="430"/>
        <v>20225</v>
      </c>
      <c r="AQ1452" s="28" t="str">
        <f t="shared" si="431"/>
        <v>20225JPY</v>
      </c>
      <c r="AR1452" s="206" t="str">
        <f t="shared" si="432"/>
        <v>YAMAHA_Mounter</v>
      </c>
      <c r="AS1452" s="22">
        <f t="shared" si="433"/>
        <v>6</v>
      </c>
      <c r="AT1452" s="24" t="str">
        <f t="shared" si="434"/>
        <v>4-6 months</v>
      </c>
      <c r="AU1452" s="22" t="s">
        <v>3746</v>
      </c>
    </row>
    <row r="1453" spans="1:47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54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1969</v>
      </c>
      <c r="K1453" s="155" t="s">
        <v>1970</v>
      </c>
      <c r="L1453" s="17" t="s">
        <v>67</v>
      </c>
      <c r="M1453" s="13" t="s">
        <v>60</v>
      </c>
      <c r="N1453" s="13">
        <v>1</v>
      </c>
      <c r="O1453" s="13"/>
      <c r="P1453" s="33" t="str">
        <f t="shared" si="426"/>
        <v>MAIN UNIT</v>
      </c>
      <c r="Q1453" s="13" t="s">
        <v>61</v>
      </c>
      <c r="R1453" s="13" t="s">
        <v>62</v>
      </c>
      <c r="S1453" s="13" t="s">
        <v>52</v>
      </c>
      <c r="T1453" s="13" t="s">
        <v>78</v>
      </c>
      <c r="U1453" s="13" t="s">
        <v>1971</v>
      </c>
      <c r="V1453" s="13" t="s">
        <v>121</v>
      </c>
      <c r="W1453" s="13" t="s">
        <v>109</v>
      </c>
      <c r="X1453" s="135">
        <v>11000000</v>
      </c>
      <c r="Y1453" s="157" t="str">
        <f t="shared" si="437"/>
        <v>1</v>
      </c>
      <c r="Z1453" s="18">
        <f t="shared" si="435"/>
        <v>11000000</v>
      </c>
      <c r="AA1453" s="13">
        <v>6.2799999999999995E-2</v>
      </c>
      <c r="AB1453" s="21">
        <f t="shared" si="419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1"/>
        <v>44014086.982070789</v>
      </c>
      <c r="AJ1453" s="19">
        <f t="shared" si="422"/>
        <v>6419974.0221889298</v>
      </c>
      <c r="AK1453" s="20">
        <f t="shared" si="429"/>
        <v>0.14586180158193709</v>
      </c>
      <c r="AL1453" s="17"/>
      <c r="AM1453" s="17"/>
      <c r="AN1453" s="17"/>
      <c r="AO1453" s="17"/>
      <c r="AP1453" s="28" t="str">
        <f t="shared" si="430"/>
        <v>20225</v>
      </c>
      <c r="AQ1453" s="28" t="str">
        <f t="shared" si="431"/>
        <v>20225JPY</v>
      </c>
      <c r="AR1453" s="206" t="str">
        <f t="shared" si="432"/>
        <v>YAMAHA_Mounter</v>
      </c>
      <c r="AS1453" s="22">
        <f t="shared" si="433"/>
        <v>6</v>
      </c>
      <c r="AT1453" s="24" t="str">
        <f t="shared" si="434"/>
        <v>4-6 months</v>
      </c>
      <c r="AU1453" s="22" t="s">
        <v>3746</v>
      </c>
    </row>
    <row r="1454" spans="1:47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54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2299</v>
      </c>
      <c r="K1454" s="155" t="s">
        <v>1970</v>
      </c>
      <c r="L1454" s="17" t="s">
        <v>92</v>
      </c>
      <c r="M1454" s="13" t="s">
        <v>60</v>
      </c>
      <c r="N1454" s="13">
        <v>1</v>
      </c>
      <c r="O1454" s="13"/>
      <c r="P1454" s="33" t="str">
        <f t="shared" si="426"/>
        <v>MAIN UNIT</v>
      </c>
      <c r="Q1454" s="13" t="s">
        <v>61</v>
      </c>
      <c r="R1454" s="13" t="s">
        <v>62</v>
      </c>
      <c r="S1454" s="13" t="s">
        <v>49</v>
      </c>
      <c r="T1454" s="13" t="s">
        <v>78</v>
      </c>
      <c r="U1454" s="13" t="s">
        <v>79</v>
      </c>
      <c r="V1454" s="13" t="s">
        <v>121</v>
      </c>
      <c r="W1454" s="13" t="s">
        <v>64</v>
      </c>
      <c r="X1454" s="135">
        <v>775000</v>
      </c>
      <c r="Y1454" s="157" t="str">
        <f t="shared" si="437"/>
        <v>1.13</v>
      </c>
      <c r="Z1454" s="18">
        <f t="shared" si="435"/>
        <v>775000</v>
      </c>
      <c r="AA1454" s="13">
        <v>1.1000000000000001</v>
      </c>
      <c r="AB1454" s="21">
        <f t="shared" si="419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1"/>
        <v>22717528.991150443</v>
      </c>
      <c r="AJ1454" s="19">
        <f t="shared" si="422"/>
        <v>3947747.192555753</v>
      </c>
      <c r="AK1454" s="20">
        <f t="shared" si="429"/>
        <v>0.1737753782153679</v>
      </c>
      <c r="AL1454" s="17"/>
      <c r="AM1454" s="17"/>
      <c r="AN1454" s="17"/>
      <c r="AO1454" s="17"/>
      <c r="AP1454" s="28" t="str">
        <f t="shared" si="430"/>
        <v>202210</v>
      </c>
      <c r="AQ1454" s="28" t="str">
        <f t="shared" si="431"/>
        <v>202210RMB</v>
      </c>
      <c r="AR1454" s="206" t="str">
        <f t="shared" si="432"/>
        <v>YAMAHA_Mounter</v>
      </c>
      <c r="AS1454" s="22">
        <f t="shared" si="433"/>
        <v>1</v>
      </c>
      <c r="AT1454" s="24" t="str">
        <f t="shared" si="434"/>
        <v>0-3 months</v>
      </c>
      <c r="AU1454" s="22" t="s">
        <v>3751</v>
      </c>
    </row>
    <row r="1455" spans="1:47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54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2299</v>
      </c>
      <c r="K1455" s="155" t="s">
        <v>1970</v>
      </c>
      <c r="L1455" s="17" t="s">
        <v>92</v>
      </c>
      <c r="M1455" s="13" t="s">
        <v>60</v>
      </c>
      <c r="N1455" s="13">
        <v>1</v>
      </c>
      <c r="O1455" s="13"/>
      <c r="P1455" s="33" t="str">
        <f t="shared" si="426"/>
        <v>MAIN UNIT</v>
      </c>
      <c r="Q1455" s="13" t="s">
        <v>61</v>
      </c>
      <c r="R1455" s="13" t="s">
        <v>62</v>
      </c>
      <c r="S1455" s="13" t="s">
        <v>49</v>
      </c>
      <c r="T1455" s="13" t="s">
        <v>78</v>
      </c>
      <c r="U1455" s="13" t="s">
        <v>79</v>
      </c>
      <c r="V1455" s="13" t="s">
        <v>121</v>
      </c>
      <c r="W1455" s="13" t="s">
        <v>64</v>
      </c>
      <c r="X1455" s="135">
        <v>775000</v>
      </c>
      <c r="Y1455" s="157" t="str">
        <f t="shared" si="437"/>
        <v>1.13</v>
      </c>
      <c r="Z1455" s="18">
        <f t="shared" si="435"/>
        <v>775000</v>
      </c>
      <c r="AA1455" s="13">
        <v>1.1000000000000001</v>
      </c>
      <c r="AB1455" s="21">
        <f t="shared" si="419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1"/>
        <v>22717528.991150443</v>
      </c>
      <c r="AJ1455" s="19">
        <f t="shared" si="422"/>
        <v>3947747.192555753</v>
      </c>
      <c r="AK1455" s="20">
        <f t="shared" si="429"/>
        <v>0.1737753782153679</v>
      </c>
      <c r="AL1455" s="17"/>
      <c r="AM1455" s="17"/>
      <c r="AN1455" s="17"/>
      <c r="AO1455" s="17"/>
      <c r="AP1455" s="28" t="str">
        <f t="shared" si="430"/>
        <v>202210</v>
      </c>
      <c r="AQ1455" s="28" t="str">
        <f t="shared" si="431"/>
        <v>202210RMB</v>
      </c>
      <c r="AR1455" s="206" t="str">
        <f t="shared" si="432"/>
        <v>YAMAHA_Mounter</v>
      </c>
      <c r="AS1455" s="22">
        <f t="shared" si="433"/>
        <v>1</v>
      </c>
      <c r="AT1455" s="24" t="str">
        <f t="shared" si="434"/>
        <v>0-3 months</v>
      </c>
      <c r="AU1455" s="22" t="s">
        <v>3751</v>
      </c>
    </row>
    <row r="1456" spans="1:47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185</v>
      </c>
      <c r="F1456" s="13" t="s">
        <v>185</v>
      </c>
      <c r="G1456" s="152" t="s">
        <v>185</v>
      </c>
      <c r="H1456" s="155"/>
      <c r="I1456" s="33" t="str">
        <f t="shared" si="425"/>
        <v>Cancel</v>
      </c>
      <c r="J1456" s="186" t="s">
        <v>2621</v>
      </c>
      <c r="K1456" s="155" t="s">
        <v>1970</v>
      </c>
      <c r="L1456" s="17" t="s">
        <v>92</v>
      </c>
      <c r="M1456" s="13" t="s">
        <v>60</v>
      </c>
      <c r="N1456" s="13">
        <v>1</v>
      </c>
      <c r="O1456" s="13"/>
      <c r="P1456" s="33" t="str">
        <f t="shared" si="426"/>
        <v>MAIN UNIT</v>
      </c>
      <c r="Q1456" s="13" t="s">
        <v>61</v>
      </c>
      <c r="R1456" s="13" t="s">
        <v>62</v>
      </c>
      <c r="S1456" s="13" t="s">
        <v>49</v>
      </c>
      <c r="T1456" s="13" t="s">
        <v>78</v>
      </c>
      <c r="U1456" s="13" t="s">
        <v>1971</v>
      </c>
      <c r="V1456" s="13" t="s">
        <v>121</v>
      </c>
      <c r="W1456" s="13" t="s">
        <v>109</v>
      </c>
      <c r="X1456" s="135">
        <v>15000000</v>
      </c>
      <c r="Y1456" s="157" t="str">
        <f t="shared" si="437"/>
        <v>1</v>
      </c>
      <c r="Z1456" s="18">
        <f t="shared" si="435"/>
        <v>15000000</v>
      </c>
      <c r="AA1456" s="13">
        <v>5.4199999999999998E-2</v>
      </c>
      <c r="AB1456" s="21">
        <f t="shared" si="419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1"/>
        <v>499582152.5142017</v>
      </c>
      <c r="AJ1456" s="19">
        <f t="shared" si="422"/>
        <v>59520528.679470733</v>
      </c>
      <c r="AK1456" s="20">
        <f t="shared" si="429"/>
        <v>0.11914062257814291</v>
      </c>
      <c r="AL1456" s="17"/>
      <c r="AM1456" s="17"/>
      <c r="AN1456" s="17"/>
      <c r="AO1456" s="17"/>
      <c r="AP1456" s="28" t="str">
        <f t="shared" si="430"/>
        <v>CancelCancel</v>
      </c>
      <c r="AQ1456" s="28" t="str">
        <f t="shared" si="431"/>
        <v>CancelCancelJPY</v>
      </c>
      <c r="AR1456" s="206" t="str">
        <f t="shared" si="432"/>
        <v>YAMAHA_Mounter</v>
      </c>
      <c r="AS1456" s="22" t="str">
        <f t="shared" si="433"/>
        <v/>
      </c>
      <c r="AT1456" s="24" t="str">
        <f t="shared" si="434"/>
        <v/>
      </c>
      <c r="AU1456" s="22" t="s">
        <v>3746</v>
      </c>
    </row>
    <row r="1457" spans="1:47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185</v>
      </c>
      <c r="F1457" s="13" t="s">
        <v>185</v>
      </c>
      <c r="G1457" s="152" t="s">
        <v>185</v>
      </c>
      <c r="H1457" s="155"/>
      <c r="I1457" s="33" t="str">
        <f t="shared" si="425"/>
        <v>Cancel</v>
      </c>
      <c r="J1457" s="186" t="s">
        <v>2621</v>
      </c>
      <c r="K1457" s="155" t="s">
        <v>1970</v>
      </c>
      <c r="L1457" s="17" t="s">
        <v>92</v>
      </c>
      <c r="M1457" s="13" t="s">
        <v>60</v>
      </c>
      <c r="N1457" s="13">
        <v>1</v>
      </c>
      <c r="O1457" s="13"/>
      <c r="P1457" s="33" t="str">
        <f t="shared" si="426"/>
        <v>MAIN UNIT</v>
      </c>
      <c r="Q1457" s="13" t="s">
        <v>61</v>
      </c>
      <c r="R1457" s="13" t="s">
        <v>62</v>
      </c>
      <c r="S1457" s="13" t="s">
        <v>49</v>
      </c>
      <c r="T1457" s="13" t="s">
        <v>78</v>
      </c>
      <c r="U1457" s="13" t="s">
        <v>1971</v>
      </c>
      <c r="V1457" s="13" t="s">
        <v>121</v>
      </c>
      <c r="W1457" s="13" t="s">
        <v>109</v>
      </c>
      <c r="X1457" s="135">
        <v>15000000</v>
      </c>
      <c r="Y1457" s="157" t="str">
        <f t="shared" si="437"/>
        <v>1</v>
      </c>
      <c r="Z1457" s="18">
        <f t="shared" si="435"/>
        <v>15000000</v>
      </c>
      <c r="AA1457" s="13">
        <v>5.4199999999999998E-2</v>
      </c>
      <c r="AB1457" s="21">
        <f t="shared" si="419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1"/>
        <v>499582152.5142017</v>
      </c>
      <c r="AJ1457" s="19">
        <f t="shared" si="422"/>
        <v>59520528.679470733</v>
      </c>
      <c r="AK1457" s="20">
        <f t="shared" si="429"/>
        <v>0.11914062257814291</v>
      </c>
      <c r="AL1457" s="17"/>
      <c r="AM1457" s="17"/>
      <c r="AN1457" s="17"/>
      <c r="AO1457" s="17"/>
      <c r="AP1457" s="28" t="str">
        <f t="shared" si="430"/>
        <v>CancelCancel</v>
      </c>
      <c r="AQ1457" s="28" t="str">
        <f t="shared" si="431"/>
        <v>CancelCancelJPY</v>
      </c>
      <c r="AR1457" s="206" t="str">
        <f t="shared" si="432"/>
        <v>YAMAHA_Mounter</v>
      </c>
      <c r="AS1457" s="22" t="str">
        <f t="shared" si="433"/>
        <v/>
      </c>
      <c r="AT1457" s="24" t="str">
        <f t="shared" si="434"/>
        <v/>
      </c>
      <c r="AU1457" s="22" t="s">
        <v>3746</v>
      </c>
    </row>
    <row r="1458" spans="1:47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185</v>
      </c>
      <c r="F1458" s="13" t="s">
        <v>185</v>
      </c>
      <c r="G1458" s="152" t="s">
        <v>185</v>
      </c>
      <c r="H1458" s="155"/>
      <c r="I1458" s="33" t="str">
        <f t="shared" si="425"/>
        <v>Cancel</v>
      </c>
      <c r="J1458" s="186" t="s">
        <v>2621</v>
      </c>
      <c r="K1458" s="155" t="s">
        <v>1970</v>
      </c>
      <c r="L1458" s="17" t="s">
        <v>92</v>
      </c>
      <c r="M1458" s="13" t="s">
        <v>60</v>
      </c>
      <c r="N1458" s="13">
        <v>1</v>
      </c>
      <c r="O1458" s="13"/>
      <c r="P1458" s="33" t="str">
        <f t="shared" si="426"/>
        <v>MAIN UNIT</v>
      </c>
      <c r="Q1458" s="13" t="s">
        <v>61</v>
      </c>
      <c r="R1458" s="13" t="s">
        <v>62</v>
      </c>
      <c r="S1458" s="13" t="s">
        <v>49</v>
      </c>
      <c r="T1458" s="13" t="s">
        <v>78</v>
      </c>
      <c r="U1458" s="13" t="s">
        <v>1971</v>
      </c>
      <c r="V1458" s="13" t="s">
        <v>121</v>
      </c>
      <c r="W1458" s="13" t="s">
        <v>109</v>
      </c>
      <c r="X1458" s="135">
        <v>15000000</v>
      </c>
      <c r="Y1458" s="157" t="str">
        <f t="shared" si="437"/>
        <v>1</v>
      </c>
      <c r="Z1458" s="18">
        <f t="shared" si="435"/>
        <v>15000000</v>
      </c>
      <c r="AA1458" s="13">
        <v>5.4199999999999998E-2</v>
      </c>
      <c r="AB1458" s="21">
        <f t="shared" si="419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1"/>
        <v>499582152.5142017</v>
      </c>
      <c r="AJ1458" s="19">
        <f t="shared" si="422"/>
        <v>59520528.679470733</v>
      </c>
      <c r="AK1458" s="20">
        <f t="shared" si="429"/>
        <v>0.11914062257814291</v>
      </c>
      <c r="AL1458" s="17"/>
      <c r="AM1458" s="17"/>
      <c r="AN1458" s="17"/>
      <c r="AO1458" s="17"/>
      <c r="AP1458" s="28" t="str">
        <f t="shared" si="430"/>
        <v>CancelCancel</v>
      </c>
      <c r="AQ1458" s="28" t="str">
        <f t="shared" si="431"/>
        <v>CancelCancelJPY</v>
      </c>
      <c r="AR1458" s="206" t="str">
        <f t="shared" si="432"/>
        <v>YAMAHA_Mounter</v>
      </c>
      <c r="AS1458" s="22" t="str">
        <f t="shared" si="433"/>
        <v/>
      </c>
      <c r="AT1458" s="24" t="str">
        <f t="shared" si="434"/>
        <v/>
      </c>
      <c r="AU1458" s="22" t="s">
        <v>3746</v>
      </c>
    </row>
    <row r="1459" spans="1:47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185</v>
      </c>
      <c r="F1459" s="13" t="s">
        <v>185</v>
      </c>
      <c r="G1459" s="152" t="s">
        <v>185</v>
      </c>
      <c r="H1459" s="155"/>
      <c r="I1459" s="33" t="str">
        <f t="shared" si="425"/>
        <v>Cancel</v>
      </c>
      <c r="J1459" s="186" t="s">
        <v>2621</v>
      </c>
      <c r="K1459" s="155" t="s">
        <v>1970</v>
      </c>
      <c r="L1459" s="17" t="s">
        <v>92</v>
      </c>
      <c r="M1459" s="13" t="s">
        <v>60</v>
      </c>
      <c r="N1459" s="13">
        <v>1</v>
      </c>
      <c r="O1459" s="13"/>
      <c r="P1459" s="33" t="str">
        <f t="shared" si="426"/>
        <v>MAIN UNIT</v>
      </c>
      <c r="Q1459" s="13" t="s">
        <v>61</v>
      </c>
      <c r="R1459" s="13" t="s">
        <v>62</v>
      </c>
      <c r="S1459" s="13" t="s">
        <v>49</v>
      </c>
      <c r="T1459" s="13" t="s">
        <v>78</v>
      </c>
      <c r="U1459" s="13" t="s">
        <v>1971</v>
      </c>
      <c r="V1459" s="13" t="s">
        <v>121</v>
      </c>
      <c r="W1459" s="13" t="s">
        <v>109</v>
      </c>
      <c r="X1459" s="135">
        <v>15000000</v>
      </c>
      <c r="Y1459" s="157" t="str">
        <f t="shared" si="437"/>
        <v>1</v>
      </c>
      <c r="Z1459" s="18">
        <f t="shared" si="435"/>
        <v>15000000</v>
      </c>
      <c r="AA1459" s="13">
        <v>5.4199999999999998E-2</v>
      </c>
      <c r="AB1459" s="21">
        <f t="shared" si="419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1"/>
        <v>499582152.5142017</v>
      </c>
      <c r="AJ1459" s="19">
        <f t="shared" si="422"/>
        <v>59520528.679470733</v>
      </c>
      <c r="AK1459" s="20">
        <f t="shared" si="429"/>
        <v>0.11914062257814291</v>
      </c>
      <c r="AL1459" s="17"/>
      <c r="AM1459" s="17"/>
      <c r="AN1459" s="17"/>
      <c r="AO1459" s="17"/>
      <c r="AP1459" s="28" t="str">
        <f t="shared" si="430"/>
        <v>CancelCancel</v>
      </c>
      <c r="AQ1459" s="28" t="str">
        <f t="shared" si="431"/>
        <v>CancelCancelJPY</v>
      </c>
      <c r="AR1459" s="206" t="str">
        <f t="shared" si="432"/>
        <v>YAMAHA_Mounter</v>
      </c>
      <c r="AS1459" s="22" t="str">
        <f t="shared" si="433"/>
        <v/>
      </c>
      <c r="AT1459" s="24" t="str">
        <f t="shared" si="434"/>
        <v/>
      </c>
      <c r="AU1459" s="22" t="s">
        <v>3746</v>
      </c>
    </row>
    <row r="1460" spans="1:47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185</v>
      </c>
      <c r="F1460" s="13" t="s">
        <v>185</v>
      </c>
      <c r="G1460" s="152" t="s">
        <v>185</v>
      </c>
      <c r="H1460" s="155"/>
      <c r="I1460" s="33" t="str">
        <f t="shared" si="425"/>
        <v>Cancel</v>
      </c>
      <c r="J1460" s="186" t="s">
        <v>2621</v>
      </c>
      <c r="K1460" s="155" t="s">
        <v>1970</v>
      </c>
      <c r="L1460" s="17" t="s">
        <v>92</v>
      </c>
      <c r="M1460" s="13" t="s">
        <v>60</v>
      </c>
      <c r="N1460" s="13">
        <v>1</v>
      </c>
      <c r="O1460" s="13"/>
      <c r="P1460" s="33" t="str">
        <f t="shared" si="426"/>
        <v>MAIN UNIT</v>
      </c>
      <c r="Q1460" s="13" t="s">
        <v>61</v>
      </c>
      <c r="R1460" s="13" t="s">
        <v>62</v>
      </c>
      <c r="S1460" s="13" t="s">
        <v>49</v>
      </c>
      <c r="T1460" s="13" t="s">
        <v>78</v>
      </c>
      <c r="U1460" s="13" t="s">
        <v>1971</v>
      </c>
      <c r="V1460" s="13" t="s">
        <v>121</v>
      </c>
      <c r="W1460" s="13" t="s">
        <v>109</v>
      </c>
      <c r="X1460" s="135">
        <v>15000000</v>
      </c>
      <c r="Y1460" s="157" t="str">
        <f t="shared" si="437"/>
        <v>1</v>
      </c>
      <c r="Z1460" s="18">
        <f t="shared" si="435"/>
        <v>15000000</v>
      </c>
      <c r="AA1460" s="13">
        <v>5.4199999999999998E-2</v>
      </c>
      <c r="AB1460" s="21">
        <f t="shared" si="419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1"/>
        <v>499582152.5142017</v>
      </c>
      <c r="AJ1460" s="19">
        <f t="shared" si="422"/>
        <v>59520528.679470733</v>
      </c>
      <c r="AK1460" s="20">
        <f t="shared" si="429"/>
        <v>0.11914062257814291</v>
      </c>
      <c r="AL1460" s="17"/>
      <c r="AM1460" s="17"/>
      <c r="AN1460" s="17"/>
      <c r="AO1460" s="17"/>
      <c r="AP1460" s="28" t="str">
        <f t="shared" si="430"/>
        <v>CancelCancel</v>
      </c>
      <c r="AQ1460" s="28" t="str">
        <f t="shared" si="431"/>
        <v>CancelCancelJPY</v>
      </c>
      <c r="AR1460" s="206" t="str">
        <f t="shared" si="432"/>
        <v>YAMAHA_Mounter</v>
      </c>
      <c r="AS1460" s="22" t="str">
        <f t="shared" si="433"/>
        <v/>
      </c>
      <c r="AT1460" s="24" t="str">
        <f t="shared" si="434"/>
        <v/>
      </c>
      <c r="AU1460" s="22" t="s">
        <v>3746</v>
      </c>
    </row>
    <row r="1461" spans="1:47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185</v>
      </c>
      <c r="F1461" s="13" t="s">
        <v>185</v>
      </c>
      <c r="G1461" s="152" t="s">
        <v>185</v>
      </c>
      <c r="H1461" s="155"/>
      <c r="I1461" s="33" t="str">
        <f t="shared" si="425"/>
        <v>Cancel</v>
      </c>
      <c r="J1461" s="186" t="s">
        <v>2621</v>
      </c>
      <c r="K1461" s="155" t="s">
        <v>1970</v>
      </c>
      <c r="L1461" s="17" t="s">
        <v>92</v>
      </c>
      <c r="M1461" s="13" t="s">
        <v>60</v>
      </c>
      <c r="N1461" s="13">
        <v>1</v>
      </c>
      <c r="O1461" s="13"/>
      <c r="P1461" s="33" t="str">
        <f t="shared" si="426"/>
        <v>MAIN UNIT</v>
      </c>
      <c r="Q1461" s="13" t="s">
        <v>61</v>
      </c>
      <c r="R1461" s="13" t="s">
        <v>62</v>
      </c>
      <c r="S1461" s="13" t="s">
        <v>49</v>
      </c>
      <c r="T1461" s="13" t="s">
        <v>78</v>
      </c>
      <c r="U1461" s="13" t="s">
        <v>1971</v>
      </c>
      <c r="V1461" s="13" t="s">
        <v>121</v>
      </c>
      <c r="W1461" s="13" t="s">
        <v>109</v>
      </c>
      <c r="X1461" s="135">
        <v>15000000</v>
      </c>
      <c r="Y1461" s="157" t="str">
        <f t="shared" si="437"/>
        <v>1</v>
      </c>
      <c r="Z1461" s="18">
        <f t="shared" si="435"/>
        <v>15000000</v>
      </c>
      <c r="AA1461" s="13">
        <v>5.4199999999999998E-2</v>
      </c>
      <c r="AB1461" s="21">
        <f t="shared" si="419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1"/>
        <v>499582152.5142017</v>
      </c>
      <c r="AJ1461" s="19">
        <f t="shared" si="422"/>
        <v>59520528.679470733</v>
      </c>
      <c r="AK1461" s="20">
        <f t="shared" si="429"/>
        <v>0.11914062257814291</v>
      </c>
      <c r="AL1461" s="17"/>
      <c r="AM1461" s="17"/>
      <c r="AN1461" s="17"/>
      <c r="AO1461" s="17"/>
      <c r="AP1461" s="28" t="str">
        <f t="shared" si="430"/>
        <v>CancelCancel</v>
      </c>
      <c r="AQ1461" s="28" t="str">
        <f t="shared" si="431"/>
        <v>CancelCancelJPY</v>
      </c>
      <c r="AR1461" s="206" t="str">
        <f t="shared" si="432"/>
        <v>YAMAHA_Mounter</v>
      </c>
      <c r="AS1461" s="22" t="str">
        <f t="shared" si="433"/>
        <v/>
      </c>
      <c r="AT1461" s="24" t="str">
        <f t="shared" si="434"/>
        <v/>
      </c>
      <c r="AU1461" s="22" t="s">
        <v>3746</v>
      </c>
    </row>
    <row r="1462" spans="1:47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38">IF(G1462="Cancel","Cancel",IF(G1462="TBA","TBA",IFERROR(IF(I1462="Q4","FY "&amp;RIGHT(F1462,2)-1&amp;"/"&amp;RIGHT(F1462,2),"FY "&amp;RIGHT(F1462,2)&amp;"/"&amp;RIGHT(F1462,2)+1),"")))</f>
        <v>Cancel</v>
      </c>
      <c r="F1462" s="13" t="s">
        <v>185</v>
      </c>
      <c r="G1462" s="152" t="s">
        <v>185</v>
      </c>
      <c r="H1462" s="155"/>
      <c r="I1462" s="33" t="str">
        <f t="shared" si="425"/>
        <v>Cancel</v>
      </c>
      <c r="J1462" s="186" t="s">
        <v>2621</v>
      </c>
      <c r="K1462" s="155" t="s">
        <v>1970</v>
      </c>
      <c r="L1462" s="17" t="s">
        <v>67</v>
      </c>
      <c r="M1462" s="13" t="s">
        <v>60</v>
      </c>
      <c r="N1462" s="13">
        <v>1</v>
      </c>
      <c r="O1462" s="13"/>
      <c r="P1462" s="33" t="str">
        <f t="shared" si="426"/>
        <v>MAIN UNIT</v>
      </c>
      <c r="Q1462" s="13" t="s">
        <v>61</v>
      </c>
      <c r="R1462" s="13" t="s">
        <v>62</v>
      </c>
      <c r="S1462" s="13" t="s">
        <v>49</v>
      </c>
      <c r="T1462" s="13" t="s">
        <v>78</v>
      </c>
      <c r="U1462" s="13" t="s">
        <v>1971</v>
      </c>
      <c r="V1462" s="13" t="s">
        <v>121</v>
      </c>
      <c r="W1462" s="13" t="s">
        <v>109</v>
      </c>
      <c r="X1462" s="135">
        <v>11250000</v>
      </c>
      <c r="Y1462" s="157" t="str">
        <f t="shared" si="437"/>
        <v>1</v>
      </c>
      <c r="Z1462" s="18">
        <f t="shared" si="435"/>
        <v>11250000</v>
      </c>
      <c r="AA1462" s="13">
        <v>5.4199999999999998E-2</v>
      </c>
      <c r="AB1462" s="21">
        <f t="shared" ref="AB1462:AB1525" si="439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1"/>
        <v>499582152.5142017</v>
      </c>
      <c r="AJ1462" s="19">
        <f t="shared" si="422"/>
        <v>59520528.679470733</v>
      </c>
      <c r="AK1462" s="20">
        <f t="shared" si="429"/>
        <v>0.11914062257814291</v>
      </c>
      <c r="AL1462" s="17"/>
      <c r="AM1462" s="17"/>
      <c r="AN1462" s="17"/>
      <c r="AO1462" s="17"/>
      <c r="AP1462" s="28" t="str">
        <f t="shared" si="430"/>
        <v>CancelCancel</v>
      </c>
      <c r="AQ1462" s="28" t="str">
        <f t="shared" si="431"/>
        <v>CancelCancelJPY</v>
      </c>
      <c r="AR1462" s="206" t="str">
        <f t="shared" si="432"/>
        <v>YAMAHA_Mounter</v>
      </c>
      <c r="AS1462" s="22" t="str">
        <f t="shared" si="433"/>
        <v/>
      </c>
      <c r="AT1462" s="24" t="str">
        <f t="shared" si="434"/>
        <v/>
      </c>
      <c r="AU1462" s="22" t="s">
        <v>3746</v>
      </c>
    </row>
    <row r="1463" spans="1:47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38"/>
        <v>Cancel</v>
      </c>
      <c r="F1463" s="13" t="s">
        <v>185</v>
      </c>
      <c r="G1463" s="152" t="s">
        <v>185</v>
      </c>
      <c r="H1463" s="155"/>
      <c r="I1463" s="33" t="str">
        <f t="shared" si="425"/>
        <v>Cancel</v>
      </c>
      <c r="J1463" s="186" t="s">
        <v>2621</v>
      </c>
      <c r="K1463" s="155" t="s">
        <v>1970</v>
      </c>
      <c r="L1463" s="17" t="s">
        <v>67</v>
      </c>
      <c r="M1463" s="13" t="s">
        <v>60</v>
      </c>
      <c r="N1463" s="13">
        <v>1</v>
      </c>
      <c r="O1463" s="13"/>
      <c r="P1463" s="33" t="str">
        <f t="shared" si="426"/>
        <v>MAIN UNIT</v>
      </c>
      <c r="Q1463" s="13" t="s">
        <v>61</v>
      </c>
      <c r="R1463" s="13" t="s">
        <v>62</v>
      </c>
      <c r="S1463" s="13" t="s">
        <v>49</v>
      </c>
      <c r="T1463" s="13" t="s">
        <v>78</v>
      </c>
      <c r="U1463" s="13" t="s">
        <v>1971</v>
      </c>
      <c r="V1463" s="13" t="s">
        <v>121</v>
      </c>
      <c r="W1463" s="13" t="s">
        <v>109</v>
      </c>
      <c r="X1463" s="135">
        <v>11250000</v>
      </c>
      <c r="Y1463" s="157" t="str">
        <f t="shared" si="437"/>
        <v>1</v>
      </c>
      <c r="Z1463" s="18">
        <f t="shared" si="435"/>
        <v>11250000</v>
      </c>
      <c r="AA1463" s="13">
        <v>5.4199999999999998E-2</v>
      </c>
      <c r="AB1463" s="21">
        <f t="shared" si="439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1"/>
        <v>499582152.5142017</v>
      </c>
      <c r="AJ1463" s="19">
        <f t="shared" si="422"/>
        <v>59520528.679470733</v>
      </c>
      <c r="AK1463" s="20">
        <f t="shared" si="429"/>
        <v>0.11914062257814291</v>
      </c>
      <c r="AL1463" s="17"/>
      <c r="AM1463" s="17"/>
      <c r="AN1463" s="17"/>
      <c r="AO1463" s="17"/>
      <c r="AP1463" s="28" t="str">
        <f t="shared" si="430"/>
        <v>CancelCancel</v>
      </c>
      <c r="AQ1463" s="28" t="str">
        <f t="shared" si="431"/>
        <v>CancelCancelJPY</v>
      </c>
      <c r="AR1463" s="206" t="str">
        <f t="shared" si="432"/>
        <v>YAMAHA_Mounter</v>
      </c>
      <c r="AS1463" s="22" t="str">
        <f t="shared" si="433"/>
        <v/>
      </c>
      <c r="AT1463" s="24" t="str">
        <f t="shared" si="434"/>
        <v/>
      </c>
      <c r="AU1463" s="22" t="s">
        <v>3746</v>
      </c>
    </row>
    <row r="1464" spans="1:47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38"/>
        <v>Cancel</v>
      </c>
      <c r="F1464" s="13" t="s">
        <v>185</v>
      </c>
      <c r="G1464" s="152" t="s">
        <v>185</v>
      </c>
      <c r="H1464" s="155"/>
      <c r="I1464" s="33" t="str">
        <f t="shared" si="425"/>
        <v>Cancel</v>
      </c>
      <c r="J1464" s="186" t="s">
        <v>2621</v>
      </c>
      <c r="K1464" s="155" t="s">
        <v>1970</v>
      </c>
      <c r="L1464" s="17" t="s">
        <v>67</v>
      </c>
      <c r="M1464" s="13" t="s">
        <v>60</v>
      </c>
      <c r="N1464" s="13">
        <v>1</v>
      </c>
      <c r="O1464" s="13"/>
      <c r="P1464" s="33" t="str">
        <f t="shared" si="426"/>
        <v>MAIN UNIT</v>
      </c>
      <c r="Q1464" s="13" t="s">
        <v>61</v>
      </c>
      <c r="R1464" s="13" t="s">
        <v>62</v>
      </c>
      <c r="S1464" s="13" t="s">
        <v>49</v>
      </c>
      <c r="T1464" s="13" t="s">
        <v>78</v>
      </c>
      <c r="U1464" s="13" t="s">
        <v>1971</v>
      </c>
      <c r="V1464" s="13" t="s">
        <v>121</v>
      </c>
      <c r="W1464" s="13" t="s">
        <v>109</v>
      </c>
      <c r="X1464" s="135">
        <v>11250000</v>
      </c>
      <c r="Y1464" s="157" t="str">
        <f t="shared" si="437"/>
        <v>1</v>
      </c>
      <c r="Z1464" s="18">
        <f t="shared" si="435"/>
        <v>11250000</v>
      </c>
      <c r="AA1464" s="13">
        <v>5.4199999999999998E-2</v>
      </c>
      <c r="AB1464" s="21">
        <f t="shared" si="439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1"/>
        <v>499582152.5142017</v>
      </c>
      <c r="AJ1464" s="19">
        <f t="shared" si="422"/>
        <v>59520528.679470733</v>
      </c>
      <c r="AK1464" s="20">
        <f t="shared" si="429"/>
        <v>0.11914062257814291</v>
      </c>
      <c r="AL1464" s="17"/>
      <c r="AM1464" s="17"/>
      <c r="AN1464" s="17"/>
      <c r="AO1464" s="17"/>
      <c r="AP1464" s="28" t="str">
        <f t="shared" si="430"/>
        <v>CancelCancel</v>
      </c>
      <c r="AQ1464" s="28" t="str">
        <f t="shared" si="431"/>
        <v>CancelCancelJPY</v>
      </c>
      <c r="AR1464" s="206" t="str">
        <f t="shared" si="432"/>
        <v>YAMAHA_Mounter</v>
      </c>
      <c r="AS1464" s="22" t="str">
        <f t="shared" si="433"/>
        <v/>
      </c>
      <c r="AT1464" s="24" t="str">
        <f t="shared" si="434"/>
        <v/>
      </c>
      <c r="AU1464" s="22" t="s">
        <v>3746</v>
      </c>
    </row>
    <row r="1465" spans="1:47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38"/>
        <v>Cancel</v>
      </c>
      <c r="F1465" s="13" t="s">
        <v>185</v>
      </c>
      <c r="G1465" s="152" t="s">
        <v>185</v>
      </c>
      <c r="H1465" s="155"/>
      <c r="I1465" s="33" t="str">
        <f t="shared" si="425"/>
        <v>Cancel</v>
      </c>
      <c r="J1465" s="186" t="s">
        <v>2621</v>
      </c>
      <c r="K1465" s="155" t="s">
        <v>1970</v>
      </c>
      <c r="L1465" s="17" t="s">
        <v>67</v>
      </c>
      <c r="M1465" s="13" t="s">
        <v>60</v>
      </c>
      <c r="N1465" s="13">
        <v>1</v>
      </c>
      <c r="O1465" s="13"/>
      <c r="P1465" s="33" t="str">
        <f t="shared" si="426"/>
        <v>MAIN UNIT</v>
      </c>
      <c r="Q1465" s="13" t="s">
        <v>61</v>
      </c>
      <c r="R1465" s="13" t="s">
        <v>62</v>
      </c>
      <c r="S1465" s="13" t="s">
        <v>49</v>
      </c>
      <c r="T1465" s="13" t="s">
        <v>78</v>
      </c>
      <c r="U1465" s="13" t="s">
        <v>1971</v>
      </c>
      <c r="V1465" s="13" t="s">
        <v>121</v>
      </c>
      <c r="W1465" s="13" t="s">
        <v>109</v>
      </c>
      <c r="X1465" s="135">
        <v>11250000</v>
      </c>
      <c r="Y1465" s="157" t="str">
        <f t="shared" si="437"/>
        <v>1</v>
      </c>
      <c r="Z1465" s="18">
        <f t="shared" si="435"/>
        <v>11250000</v>
      </c>
      <c r="AA1465" s="13">
        <v>5.4199999999999998E-2</v>
      </c>
      <c r="AB1465" s="21">
        <f t="shared" si="439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1"/>
        <v>499582152.5142017</v>
      </c>
      <c r="AJ1465" s="19">
        <f t="shared" si="422"/>
        <v>59520528.679470733</v>
      </c>
      <c r="AK1465" s="20">
        <f t="shared" si="429"/>
        <v>0.11914062257814291</v>
      </c>
      <c r="AL1465" s="17"/>
      <c r="AM1465" s="17"/>
      <c r="AN1465" s="17"/>
      <c r="AO1465" s="17"/>
      <c r="AP1465" s="28" t="str">
        <f t="shared" si="430"/>
        <v>CancelCancel</v>
      </c>
      <c r="AQ1465" s="28" t="str">
        <f t="shared" si="431"/>
        <v>CancelCancelJPY</v>
      </c>
      <c r="AR1465" s="206" t="str">
        <f t="shared" si="432"/>
        <v>YAMAHA_Mounter</v>
      </c>
      <c r="AS1465" s="22" t="str">
        <f t="shared" si="433"/>
        <v/>
      </c>
      <c r="AT1465" s="24" t="str">
        <f t="shared" si="434"/>
        <v/>
      </c>
      <c r="AU1465" s="22" t="s">
        <v>3746</v>
      </c>
    </row>
    <row r="1466" spans="1:47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38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3421</v>
      </c>
      <c r="K1466" s="29" t="s">
        <v>1584</v>
      </c>
      <c r="L1466" s="17" t="s">
        <v>92</v>
      </c>
      <c r="M1466" s="22" t="s">
        <v>60</v>
      </c>
      <c r="N1466" s="22">
        <v>1</v>
      </c>
      <c r="O1466" s="22"/>
      <c r="P1466" s="33" t="str">
        <f t="shared" si="426"/>
        <v>MAIN UNIT</v>
      </c>
      <c r="Q1466" s="13" t="s">
        <v>61</v>
      </c>
      <c r="R1466" s="22" t="s">
        <v>62</v>
      </c>
      <c r="S1466" s="22" t="s">
        <v>51</v>
      </c>
      <c r="T1466" s="22" t="s">
        <v>2552</v>
      </c>
      <c r="U1466" s="22" t="s">
        <v>149</v>
      </c>
      <c r="V1466" s="22" t="s">
        <v>134</v>
      </c>
      <c r="W1466" s="22" t="s">
        <v>64</v>
      </c>
      <c r="X1466" s="94">
        <v>738000</v>
      </c>
      <c r="Y1466" s="195" t="str">
        <f>IF(W1466="","",IF(W1466="RMB","1.13", "1"))</f>
        <v>1.13</v>
      </c>
      <c r="Z1466" s="196">
        <f t="shared" si="435"/>
        <v>738000</v>
      </c>
      <c r="AA1466" s="22">
        <v>1.08</v>
      </c>
      <c r="AB1466" s="197">
        <f t="shared" si="439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1"/>
        <v>27308925.887079656</v>
      </c>
      <c r="AJ1466" s="200">
        <f t="shared" si="422"/>
        <v>3319273.860338124</v>
      </c>
      <c r="AK1466" s="201">
        <f t="shared" si="429"/>
        <v>0.12154538314919709</v>
      </c>
      <c r="AL1466" s="24"/>
      <c r="AM1466" s="24"/>
      <c r="AN1466" s="24"/>
      <c r="AO1466" s="24"/>
      <c r="AP1466" s="28" t="str">
        <f t="shared" si="430"/>
        <v>20246</v>
      </c>
      <c r="AQ1466" s="208" t="str">
        <f t="shared" si="431"/>
        <v>20246RMB</v>
      </c>
      <c r="AR1466" s="206" t="str">
        <f t="shared" si="432"/>
        <v>YAMAHA_Mounter</v>
      </c>
      <c r="AS1466" s="22">
        <f t="shared" si="433"/>
        <v>2</v>
      </c>
      <c r="AT1466" s="24" t="str">
        <f t="shared" si="434"/>
        <v>0-3 months</v>
      </c>
      <c r="AU1466" s="22" t="s">
        <v>3240</v>
      </c>
    </row>
    <row r="1467" spans="1:47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38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3152</v>
      </c>
      <c r="K1467" s="155" t="s">
        <v>1399</v>
      </c>
      <c r="L1467" s="17" t="s">
        <v>67</v>
      </c>
      <c r="M1467" s="13" t="s">
        <v>60</v>
      </c>
      <c r="N1467" s="13">
        <v>1</v>
      </c>
      <c r="O1467" s="13"/>
      <c r="P1467" s="33" t="str">
        <f t="shared" si="426"/>
        <v>MAIN UNIT</v>
      </c>
      <c r="Q1467" s="13" t="s">
        <v>61</v>
      </c>
      <c r="R1467" s="13" t="s">
        <v>62</v>
      </c>
      <c r="S1467" s="13" t="s">
        <v>50</v>
      </c>
      <c r="T1467" s="13" t="s">
        <v>88</v>
      </c>
      <c r="U1467" s="13" t="s">
        <v>70</v>
      </c>
      <c r="V1467" s="13" t="s">
        <v>1400</v>
      </c>
      <c r="W1467" s="13" t="s">
        <v>64</v>
      </c>
      <c r="X1467" s="135">
        <v>390000</v>
      </c>
      <c r="Y1467" s="157" t="str">
        <f>IF(W1467="","",IF(W1467="RMB","1.13", "1"))</f>
        <v>1.13</v>
      </c>
      <c r="Z1467" s="18">
        <f t="shared" si="435"/>
        <v>390000</v>
      </c>
      <c r="AA1467" s="22">
        <v>1.08</v>
      </c>
      <c r="AB1467" s="21">
        <f t="shared" si="439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1"/>
        <v>27308925.887079656</v>
      </c>
      <c r="AJ1467" s="19">
        <f t="shared" si="422"/>
        <v>3319273.860338124</v>
      </c>
      <c r="AK1467" s="20">
        <f t="shared" si="429"/>
        <v>0.12154538314919709</v>
      </c>
      <c r="AL1467" s="17"/>
      <c r="AM1467" s="17"/>
      <c r="AN1467" s="17"/>
      <c r="AO1467" s="17"/>
      <c r="AP1467" s="28" t="str">
        <f t="shared" si="430"/>
        <v>20246</v>
      </c>
      <c r="AQ1467" s="28" t="str">
        <f t="shared" si="431"/>
        <v>20246RMB</v>
      </c>
      <c r="AR1467" s="206" t="str">
        <f t="shared" si="432"/>
        <v>YAMAHA_Mounter</v>
      </c>
      <c r="AS1467" s="22">
        <f t="shared" si="433"/>
        <v>7</v>
      </c>
      <c r="AT1467" s="24" t="str">
        <f t="shared" si="434"/>
        <v>&gt; 6 months</v>
      </c>
      <c r="AU1467" s="22" t="s">
        <v>3240</v>
      </c>
    </row>
    <row r="1468" spans="1:47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38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3394</v>
      </c>
      <c r="K1468" s="29" t="s">
        <v>3395</v>
      </c>
      <c r="L1468" s="17" t="s">
        <v>92</v>
      </c>
      <c r="M1468" s="22" t="s">
        <v>60</v>
      </c>
      <c r="N1468" s="22">
        <v>1</v>
      </c>
      <c r="O1468" s="22"/>
      <c r="P1468" s="33" t="str">
        <f t="shared" si="426"/>
        <v>MAIN UNIT</v>
      </c>
      <c r="Q1468" s="13" t="s">
        <v>68</v>
      </c>
      <c r="R1468" s="22" t="s">
        <v>62</v>
      </c>
      <c r="S1468" s="22" t="s">
        <v>49</v>
      </c>
      <c r="T1468" s="22" t="s">
        <v>78</v>
      </c>
      <c r="U1468" s="22" t="s">
        <v>3396</v>
      </c>
      <c r="V1468" s="22" t="s">
        <v>1407</v>
      </c>
      <c r="W1468" s="22" t="s">
        <v>64</v>
      </c>
      <c r="X1468" s="30">
        <v>770000</v>
      </c>
      <c r="Y1468" s="31" t="str">
        <f>IF(W1468="","",IF(W1468="RMB","1.13", "1"))</f>
        <v>1.13</v>
      </c>
      <c r="Z1468" s="18">
        <f t="shared" si="435"/>
        <v>770000</v>
      </c>
      <c r="AA1468" s="22">
        <v>1.08</v>
      </c>
      <c r="AB1468" s="21">
        <f t="shared" si="439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1"/>
        <v>27308925.887079656</v>
      </c>
      <c r="AJ1468" s="27">
        <f t="shared" si="422"/>
        <v>3319273.860338124</v>
      </c>
      <c r="AK1468" s="28">
        <f t="shared" si="429"/>
        <v>0.12154538314919709</v>
      </c>
      <c r="AL1468" s="24"/>
      <c r="AM1468" s="24"/>
      <c r="AN1468" s="24"/>
      <c r="AO1468" s="24"/>
      <c r="AP1468" s="28" t="str">
        <f t="shared" si="430"/>
        <v>20246</v>
      </c>
      <c r="AQ1468" s="28" t="str">
        <f t="shared" si="431"/>
        <v>20246RMB</v>
      </c>
      <c r="AR1468" s="206" t="str">
        <f t="shared" si="432"/>
        <v>YAMAHA_Mounter</v>
      </c>
      <c r="AS1468" s="22">
        <f t="shared" si="433"/>
        <v>2</v>
      </c>
      <c r="AT1468" s="24" t="str">
        <f t="shared" si="434"/>
        <v>0-3 months</v>
      </c>
      <c r="AU1468" s="22" t="s">
        <v>3751</v>
      </c>
    </row>
    <row r="1469" spans="1:47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53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1819</v>
      </c>
      <c r="K1469" s="155" t="s">
        <v>1820</v>
      </c>
      <c r="L1469" s="17" t="s">
        <v>92</v>
      </c>
      <c r="M1469" s="13" t="s">
        <v>60</v>
      </c>
      <c r="N1469" s="13">
        <v>1</v>
      </c>
      <c r="O1469" s="13"/>
      <c r="P1469" s="33" t="str">
        <f t="shared" si="426"/>
        <v>MAIN UNIT</v>
      </c>
      <c r="Q1469" s="13" t="s">
        <v>68</v>
      </c>
      <c r="R1469" s="13" t="s">
        <v>62</v>
      </c>
      <c r="S1469" s="13" t="s">
        <v>49</v>
      </c>
      <c r="T1469" s="13" t="s">
        <v>78</v>
      </c>
      <c r="U1469" s="13" t="s">
        <v>79</v>
      </c>
      <c r="V1469" s="13" t="s">
        <v>311</v>
      </c>
      <c r="W1469" s="13" t="s">
        <v>109</v>
      </c>
      <c r="X1469" s="135">
        <v>14000000</v>
      </c>
      <c r="Y1469" s="157" t="str">
        <f>IF(W1469="RMB","1.13", "1")</f>
        <v>1</v>
      </c>
      <c r="Z1469" s="18">
        <f t="shared" si="435"/>
        <v>14000000</v>
      </c>
      <c r="AA1469" s="13">
        <v>7.17E-2</v>
      </c>
      <c r="AB1469" s="21">
        <f t="shared" si="439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1"/>
        <v>41443303.53761062</v>
      </c>
      <c r="AJ1469" s="19">
        <f t="shared" si="422"/>
        <v>6194988.76643031</v>
      </c>
      <c r="AK1469" s="20">
        <f t="shared" si="429"/>
        <v>0.1494810557466355</v>
      </c>
      <c r="AL1469" s="17"/>
      <c r="AM1469" s="17"/>
      <c r="AN1469" s="17"/>
      <c r="AO1469" s="17"/>
      <c r="AP1469" s="28" t="str">
        <f t="shared" si="430"/>
        <v>20217</v>
      </c>
      <c r="AQ1469" s="28" t="str">
        <f t="shared" si="431"/>
        <v>20217JPY</v>
      </c>
      <c r="AR1469" s="206" t="str">
        <f t="shared" si="432"/>
        <v>YAMAHA_Mounter</v>
      </c>
      <c r="AS1469" s="22">
        <f t="shared" si="433"/>
        <v>4</v>
      </c>
      <c r="AT1469" s="24" t="str">
        <f t="shared" si="434"/>
        <v>4-6 months</v>
      </c>
      <c r="AU1469" s="22" t="s">
        <v>3745</v>
      </c>
    </row>
    <row r="1470" spans="1:47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53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1819</v>
      </c>
      <c r="K1470" s="155" t="s">
        <v>1820</v>
      </c>
      <c r="L1470" s="17" t="s">
        <v>67</v>
      </c>
      <c r="M1470" s="13" t="s">
        <v>60</v>
      </c>
      <c r="N1470" s="13">
        <v>1</v>
      </c>
      <c r="O1470" s="13"/>
      <c r="P1470" s="33" t="str">
        <f t="shared" si="426"/>
        <v>MAIN UNIT</v>
      </c>
      <c r="Q1470" s="13" t="s">
        <v>68</v>
      </c>
      <c r="R1470" s="13" t="s">
        <v>62</v>
      </c>
      <c r="S1470" s="13" t="s">
        <v>49</v>
      </c>
      <c r="T1470" s="13" t="s">
        <v>78</v>
      </c>
      <c r="U1470" s="13" t="s">
        <v>79</v>
      </c>
      <c r="V1470" s="13" t="s">
        <v>311</v>
      </c>
      <c r="W1470" s="13" t="s">
        <v>109</v>
      </c>
      <c r="X1470" s="135">
        <v>9560000</v>
      </c>
      <c r="Y1470" s="157" t="str">
        <f>IF(W1470="RMB","1.13", "1")</f>
        <v>1</v>
      </c>
      <c r="Z1470" s="18">
        <f t="shared" si="435"/>
        <v>9560000</v>
      </c>
      <c r="AA1470" s="13">
        <v>7.17E-2</v>
      </c>
      <c r="AB1470" s="21">
        <f t="shared" si="439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1"/>
        <v>41443303.53761062</v>
      </c>
      <c r="AJ1470" s="19">
        <f t="shared" si="422"/>
        <v>6194988.76643031</v>
      </c>
      <c r="AK1470" s="20">
        <f t="shared" si="429"/>
        <v>0.1494810557466355</v>
      </c>
      <c r="AL1470" s="17"/>
      <c r="AM1470" s="17"/>
      <c r="AN1470" s="17"/>
      <c r="AO1470" s="17"/>
      <c r="AP1470" s="28" t="str">
        <f t="shared" si="430"/>
        <v>20217</v>
      </c>
      <c r="AQ1470" s="28" t="str">
        <f t="shared" si="431"/>
        <v>20217JPY</v>
      </c>
      <c r="AR1470" s="206" t="str">
        <f t="shared" si="432"/>
        <v>YAMAHA_Mounter</v>
      </c>
      <c r="AS1470" s="22">
        <f t="shared" si="433"/>
        <v>4</v>
      </c>
      <c r="AT1470" s="24" t="str">
        <f t="shared" si="434"/>
        <v>4-6 months</v>
      </c>
      <c r="AU1470" s="22" t="s">
        <v>3745</v>
      </c>
    </row>
    <row r="1471" spans="1:47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41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485</v>
      </c>
      <c r="K1471" s="155" t="s">
        <v>486</v>
      </c>
      <c r="L1471" s="17" t="s">
        <v>59</v>
      </c>
      <c r="M1471" s="13" t="s">
        <v>60</v>
      </c>
      <c r="N1471" s="13">
        <v>1</v>
      </c>
      <c r="O1471" s="13"/>
      <c r="P1471" s="33" t="str">
        <f t="shared" si="426"/>
        <v>MAIN UNIT</v>
      </c>
      <c r="Q1471" s="13" t="s">
        <v>68</v>
      </c>
      <c r="R1471" s="13" t="s">
        <v>62</v>
      </c>
      <c r="S1471" s="13" t="s">
        <v>49</v>
      </c>
      <c r="T1471" s="13" t="s">
        <v>78</v>
      </c>
      <c r="U1471" s="13" t="s">
        <v>79</v>
      </c>
      <c r="V1471" s="13" t="s">
        <v>311</v>
      </c>
      <c r="W1471" s="13" t="s">
        <v>64</v>
      </c>
      <c r="X1471" s="135">
        <v>554640</v>
      </c>
      <c r="Y1471" s="156">
        <v>1.1599999999999999</v>
      </c>
      <c r="Z1471" s="18">
        <f t="shared" si="435"/>
        <v>554640</v>
      </c>
      <c r="AA1471" s="13">
        <v>1.23</v>
      </c>
      <c r="AB1471" s="21">
        <f t="shared" si="439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1"/>
        <v>34109166.105589926</v>
      </c>
      <c r="AJ1471" s="19">
        <f t="shared" si="422"/>
        <v>4642032.7199573703</v>
      </c>
      <c r="AK1471" s="20">
        <f t="shared" si="429"/>
        <v>0.13609340977692849</v>
      </c>
      <c r="AL1471" s="17"/>
      <c r="AM1471" s="17"/>
      <c r="AN1471" s="17" t="s">
        <v>487</v>
      </c>
      <c r="AO1471" s="17"/>
      <c r="AP1471" s="28" t="str">
        <f t="shared" si="430"/>
        <v>20185</v>
      </c>
      <c r="AQ1471" s="28" t="str">
        <f t="shared" si="431"/>
        <v>20185RMB</v>
      </c>
      <c r="AR1471" s="206" t="str">
        <f t="shared" si="432"/>
        <v>YAMAHA_Mounter</v>
      </c>
      <c r="AS1471" s="22">
        <f t="shared" si="433"/>
        <v>0</v>
      </c>
      <c r="AT1471" s="24" t="str">
        <f t="shared" si="434"/>
        <v>0-3 months</v>
      </c>
      <c r="AU1471" s="22" t="s">
        <v>3751</v>
      </c>
    </row>
    <row r="1472" spans="1:47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48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1312</v>
      </c>
      <c r="K1472" s="155" t="s">
        <v>486</v>
      </c>
      <c r="L1472" s="17" t="s">
        <v>67</v>
      </c>
      <c r="M1472" s="13" t="s">
        <v>60</v>
      </c>
      <c r="N1472" s="13">
        <v>1</v>
      </c>
      <c r="O1472" s="13"/>
      <c r="P1472" s="33" t="str">
        <f t="shared" si="426"/>
        <v>MAIN UNIT</v>
      </c>
      <c r="Q1472" s="13" t="s">
        <v>61</v>
      </c>
      <c r="R1472" s="13" t="s">
        <v>62</v>
      </c>
      <c r="S1472" s="13" t="s">
        <v>49</v>
      </c>
      <c r="T1472" s="13" t="s">
        <v>78</v>
      </c>
      <c r="U1472" s="13" t="s">
        <v>79</v>
      </c>
      <c r="V1472" s="13" t="s">
        <v>311</v>
      </c>
      <c r="W1472" s="13" t="s">
        <v>109</v>
      </c>
      <c r="X1472" s="135">
        <v>6850000</v>
      </c>
      <c r="Y1472" s="156">
        <v>1</v>
      </c>
      <c r="Z1472" s="18">
        <f t="shared" si="435"/>
        <v>6850000</v>
      </c>
      <c r="AA1472" s="13">
        <v>7.6100000000000001E-2</v>
      </c>
      <c r="AB1472" s="21">
        <f t="shared" si="439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1"/>
        <v>44078731.611185849</v>
      </c>
      <c r="AJ1472" s="19">
        <f t="shared" si="422"/>
        <v>5508173.2163771465</v>
      </c>
      <c r="AK1472" s="20">
        <f t="shared" si="429"/>
        <v>0.12496215328889679</v>
      </c>
      <c r="AL1472" s="17"/>
      <c r="AM1472" s="17"/>
      <c r="AN1472" s="17"/>
      <c r="AO1472" s="17"/>
      <c r="AP1472" s="28" t="str">
        <f t="shared" si="430"/>
        <v>202011</v>
      </c>
      <c r="AQ1472" s="28" t="str">
        <f t="shared" si="431"/>
        <v>202011JPY</v>
      </c>
      <c r="AR1472" s="206" t="str">
        <f t="shared" si="432"/>
        <v>YAMAHA_Mounter</v>
      </c>
      <c r="AS1472" s="22">
        <f t="shared" si="433"/>
        <v>3</v>
      </c>
      <c r="AT1472" s="24" t="str">
        <f t="shared" si="434"/>
        <v>0-3 months</v>
      </c>
      <c r="AU1472" s="22" t="s">
        <v>3745</v>
      </c>
    </row>
    <row r="1473" spans="1:47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185</v>
      </c>
      <c r="F1473" s="13" t="s">
        <v>185</v>
      </c>
      <c r="G1473" s="152" t="s">
        <v>1616</v>
      </c>
      <c r="H1473" s="155" t="s">
        <v>2070</v>
      </c>
      <c r="I1473" s="33" t="str">
        <f t="shared" si="425"/>
        <v>Cancel</v>
      </c>
      <c r="J1473" s="186" t="s">
        <v>2086</v>
      </c>
      <c r="K1473" s="155" t="s">
        <v>486</v>
      </c>
      <c r="L1473" s="17" t="s">
        <v>67</v>
      </c>
      <c r="M1473" s="13" t="s">
        <v>60</v>
      </c>
      <c r="N1473" s="13">
        <v>1</v>
      </c>
      <c r="O1473" s="13"/>
      <c r="P1473" s="33" t="str">
        <f t="shared" si="426"/>
        <v>MAIN UNIT</v>
      </c>
      <c r="Q1473" s="13" t="s">
        <v>61</v>
      </c>
      <c r="R1473" s="13" t="s">
        <v>62</v>
      </c>
      <c r="S1473" s="13" t="s">
        <v>49</v>
      </c>
      <c r="T1473" s="13" t="s">
        <v>78</v>
      </c>
      <c r="U1473" s="13" t="s">
        <v>79</v>
      </c>
      <c r="V1473" s="13" t="s">
        <v>311</v>
      </c>
      <c r="W1473" s="13" t="s">
        <v>109</v>
      </c>
      <c r="X1473" s="135">
        <v>7590000</v>
      </c>
      <c r="Y1473" s="157" t="str">
        <f>IF(W1473="RMB","1.13", "1")</f>
        <v>1</v>
      </c>
      <c r="Z1473" s="18">
        <f t="shared" si="435"/>
        <v>7590000</v>
      </c>
      <c r="AA1473" s="13">
        <v>7.17E-2</v>
      </c>
      <c r="AB1473" s="21">
        <f t="shared" si="439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1"/>
        <v>499582152.5142017</v>
      </c>
      <c r="AJ1473" s="19">
        <f t="shared" si="422"/>
        <v>59520528.679470733</v>
      </c>
      <c r="AK1473" s="20">
        <f t="shared" si="429"/>
        <v>0.11914062257814291</v>
      </c>
      <c r="AL1473" s="17"/>
      <c r="AM1473" s="17"/>
      <c r="AN1473" s="17"/>
      <c r="AO1473" s="17"/>
      <c r="AP1473" s="28" t="str">
        <f t="shared" si="430"/>
        <v>CancelCANCEL</v>
      </c>
      <c r="AQ1473" s="28" t="str">
        <f t="shared" si="431"/>
        <v>CancelCANCELJPY</v>
      </c>
      <c r="AR1473" s="206" t="str">
        <f t="shared" si="432"/>
        <v>YAMAHA_Mounter</v>
      </c>
      <c r="AS1473" s="22" t="str">
        <f t="shared" si="433"/>
        <v/>
      </c>
      <c r="AT1473" s="24" t="str">
        <f t="shared" si="434"/>
        <v/>
      </c>
      <c r="AU1473" s="22" t="s">
        <v>3745</v>
      </c>
    </row>
    <row r="1474" spans="1:47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3172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3450</v>
      </c>
      <c r="K1474" s="29" t="s">
        <v>1692</v>
      </c>
      <c r="L1474" s="17" t="s">
        <v>2620</v>
      </c>
      <c r="M1474" s="22" t="s">
        <v>60</v>
      </c>
      <c r="N1474" s="22">
        <v>1</v>
      </c>
      <c r="O1474" s="22"/>
      <c r="P1474" s="33" t="str">
        <f t="shared" si="426"/>
        <v>MAIN UNIT</v>
      </c>
      <c r="Q1474" s="22" t="s">
        <v>61</v>
      </c>
      <c r="R1474" s="22" t="s">
        <v>2055</v>
      </c>
      <c r="S1474" s="22" t="s">
        <v>50</v>
      </c>
      <c r="T1474" s="22" t="s">
        <v>194</v>
      </c>
      <c r="U1474" s="22" t="s">
        <v>70</v>
      </c>
      <c r="V1474" s="22" t="s">
        <v>94</v>
      </c>
      <c r="W1474" s="22" t="s">
        <v>64</v>
      </c>
      <c r="X1474" s="104">
        <v>335000</v>
      </c>
      <c r="Y1474" s="195" t="str">
        <f>IF(W1474="","",IF(W1474="RMB","1.13", "1"))</f>
        <v>1.13</v>
      </c>
      <c r="Z1474" s="196">
        <f t="shared" si="435"/>
        <v>335000</v>
      </c>
      <c r="AA1474" s="22">
        <v>1.08</v>
      </c>
      <c r="AB1474" s="197">
        <f t="shared" si="439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ref="AI1474:AI1537" si="440">IF(P1474="C66 SERVICE","",SUMIFS(AB:AB,F:F,F1474,G:G,G1474,E:E,E1474))</f>
        <v>27308925.887079656</v>
      </c>
      <c r="AJ1474" s="200">
        <f t="shared" ref="AJ1474:AJ1537" si="441">IF(P1474="C66 SERVICE","",SUMIFS(AC:AC,F:F,F1474,G:G,G1474,E:E,E1474))</f>
        <v>3319273.860338124</v>
      </c>
      <c r="AK1474" s="201">
        <f t="shared" si="429"/>
        <v>0.12154538314919709</v>
      </c>
      <c r="AL1474" s="24"/>
      <c r="AM1474" s="24"/>
      <c r="AN1474" s="24"/>
      <c r="AO1474" s="24"/>
      <c r="AP1474" s="105" t="str">
        <f t="shared" si="430"/>
        <v>20246</v>
      </c>
      <c r="AQ1474" s="28" t="str">
        <f t="shared" si="431"/>
        <v>20246RMB</v>
      </c>
      <c r="AR1474" s="206" t="str">
        <f t="shared" si="432"/>
        <v>YAMAHA_Non_Mounter</v>
      </c>
      <c r="AS1474" s="22">
        <f t="shared" si="433"/>
        <v>1</v>
      </c>
      <c r="AT1474" s="24" t="str">
        <f t="shared" si="434"/>
        <v>0-3 months</v>
      </c>
      <c r="AU1474" s="22" t="s">
        <v>3240</v>
      </c>
    </row>
    <row r="1475" spans="1:47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3172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3450</v>
      </c>
      <c r="K1475" s="29" t="s">
        <v>1692</v>
      </c>
      <c r="L1475" s="17" t="s">
        <v>2620</v>
      </c>
      <c r="M1475" s="22" t="s">
        <v>60</v>
      </c>
      <c r="N1475" s="22">
        <v>1</v>
      </c>
      <c r="O1475" s="22"/>
      <c r="P1475" s="33" t="str">
        <f t="shared" si="426"/>
        <v>MAIN UNIT</v>
      </c>
      <c r="Q1475" s="22" t="s">
        <v>61</v>
      </c>
      <c r="R1475" s="22" t="s">
        <v>2055</v>
      </c>
      <c r="S1475" s="22" t="s">
        <v>50</v>
      </c>
      <c r="T1475" s="22" t="s">
        <v>194</v>
      </c>
      <c r="U1475" s="22" t="s">
        <v>70</v>
      </c>
      <c r="V1475" s="22" t="s">
        <v>94</v>
      </c>
      <c r="W1475" s="22" t="s">
        <v>64</v>
      </c>
      <c r="X1475" s="104">
        <v>335000</v>
      </c>
      <c r="Y1475" s="195" t="str">
        <f>IF(W1475="","",IF(W1475="RMB","1.13", "1"))</f>
        <v>1.13</v>
      </c>
      <c r="Z1475" s="196">
        <f t="shared" si="435"/>
        <v>335000</v>
      </c>
      <c r="AA1475" s="22">
        <v>1.08</v>
      </c>
      <c r="AB1475" s="197">
        <f t="shared" si="439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40"/>
        <v>27308925.887079656</v>
      </c>
      <c r="AJ1475" s="200">
        <f t="shared" si="441"/>
        <v>3319273.860338124</v>
      </c>
      <c r="AK1475" s="201">
        <f t="shared" si="429"/>
        <v>0.12154538314919709</v>
      </c>
      <c r="AL1475" s="24"/>
      <c r="AM1475" s="24"/>
      <c r="AN1475" s="24"/>
      <c r="AO1475" s="24"/>
      <c r="AP1475" s="105" t="str">
        <f t="shared" si="430"/>
        <v>20246</v>
      </c>
      <c r="AQ1475" s="28" t="str">
        <f t="shared" si="431"/>
        <v>20246RMB</v>
      </c>
      <c r="AR1475" s="206" t="str">
        <f t="shared" si="432"/>
        <v>YAMAHA_Non_Mounter</v>
      </c>
      <c r="AS1475" s="22">
        <f t="shared" si="433"/>
        <v>1</v>
      </c>
      <c r="AT1475" s="24" t="str">
        <f t="shared" si="434"/>
        <v>0-3 months</v>
      </c>
      <c r="AU1475" s="22" t="s">
        <v>3240</v>
      </c>
    </row>
    <row r="1476" spans="1:47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3172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3458</v>
      </c>
      <c r="K1476" s="29" t="s">
        <v>1214</v>
      </c>
      <c r="L1476" s="17" t="s">
        <v>3351</v>
      </c>
      <c r="M1476" s="22" t="s">
        <v>60</v>
      </c>
      <c r="N1476" s="22">
        <v>1</v>
      </c>
      <c r="O1476" s="22"/>
      <c r="P1476" s="33" t="str">
        <f t="shared" si="426"/>
        <v>MAIN UNIT</v>
      </c>
      <c r="Q1476" s="22" t="s">
        <v>61</v>
      </c>
      <c r="R1476" s="22" t="s">
        <v>2055</v>
      </c>
      <c r="S1476" s="22" t="s">
        <v>49</v>
      </c>
      <c r="T1476" s="22" t="s">
        <v>78</v>
      </c>
      <c r="U1476" s="22" t="s">
        <v>78</v>
      </c>
      <c r="V1476" s="22" t="s">
        <v>2057</v>
      </c>
      <c r="W1476" s="22" t="s">
        <v>64</v>
      </c>
      <c r="X1476" s="104">
        <v>211988</v>
      </c>
      <c r="Y1476" s="195" t="str">
        <f>IF(W1476="","",IF(W1476="RMB","1.13", "1"))</f>
        <v>1.13</v>
      </c>
      <c r="Z1476" s="196">
        <f t="shared" si="435"/>
        <v>211988</v>
      </c>
      <c r="AA1476" s="22">
        <v>1.08</v>
      </c>
      <c r="AB1476" s="197">
        <f t="shared" si="439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40"/>
        <v>27308925.887079656</v>
      </c>
      <c r="AJ1476" s="200">
        <f t="shared" si="441"/>
        <v>3319273.860338124</v>
      </c>
      <c r="AK1476" s="201">
        <f t="shared" si="429"/>
        <v>0.12154538314919709</v>
      </c>
      <c r="AL1476" s="24"/>
      <c r="AM1476" s="24"/>
      <c r="AN1476" s="24"/>
      <c r="AO1476" s="24"/>
      <c r="AP1476" s="105" t="str">
        <f t="shared" si="430"/>
        <v>20246</v>
      </c>
      <c r="AQ1476" s="28" t="str">
        <f t="shared" si="431"/>
        <v>20246RMB</v>
      </c>
      <c r="AR1476" s="206" t="str">
        <f t="shared" si="432"/>
        <v>YAMAHA_Non_Mounter</v>
      </c>
      <c r="AS1476" s="22">
        <f t="shared" si="433"/>
        <v>1</v>
      </c>
      <c r="AT1476" s="24" t="str">
        <f t="shared" si="434"/>
        <v>0-3 months</v>
      </c>
      <c r="AU1476" s="22" t="s">
        <v>3751</v>
      </c>
    </row>
    <row r="1477" spans="1:47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47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677</v>
      </c>
      <c r="K1477" s="155" t="s">
        <v>678</v>
      </c>
      <c r="L1477" s="17" t="s">
        <v>67</v>
      </c>
      <c r="M1477" s="13" t="s">
        <v>60</v>
      </c>
      <c r="N1477" s="13">
        <v>1</v>
      </c>
      <c r="O1477" s="13"/>
      <c r="P1477" s="33" t="str">
        <f t="shared" si="426"/>
        <v>MAIN UNIT</v>
      </c>
      <c r="Q1477" s="13" t="s">
        <v>61</v>
      </c>
      <c r="R1477" s="13" t="s">
        <v>62</v>
      </c>
      <c r="S1477" s="13" t="s">
        <v>49</v>
      </c>
      <c r="T1477" s="13" t="s">
        <v>78</v>
      </c>
      <c r="U1477" s="13" t="s">
        <v>79</v>
      </c>
      <c r="V1477" s="13" t="s">
        <v>112</v>
      </c>
      <c r="W1477" s="13" t="s">
        <v>64</v>
      </c>
      <c r="X1477" s="135">
        <v>678000</v>
      </c>
      <c r="Y1477" s="156">
        <v>1.1299999999999999</v>
      </c>
      <c r="Z1477" s="18">
        <f t="shared" si="435"/>
        <v>678000</v>
      </c>
      <c r="AA1477" s="13">
        <v>1.135</v>
      </c>
      <c r="AB1477" s="21">
        <f t="shared" si="439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40"/>
        <v>21386017.707964607</v>
      </c>
      <c r="AJ1477" s="19">
        <f t="shared" si="441"/>
        <v>2238764.3265707968</v>
      </c>
      <c r="AK1477" s="20">
        <f t="shared" si="429"/>
        <v>0.10468355339185161</v>
      </c>
      <c r="AL1477" s="17"/>
      <c r="AM1477" s="17"/>
      <c r="AN1477" s="17"/>
      <c r="AO1477" s="17"/>
      <c r="AP1477" s="28" t="str">
        <f t="shared" si="430"/>
        <v>20198</v>
      </c>
      <c r="AQ1477" s="28" t="str">
        <f t="shared" si="431"/>
        <v>20198RMB</v>
      </c>
      <c r="AR1477" s="206" t="str">
        <f t="shared" si="432"/>
        <v>YAMAHA_Mounter</v>
      </c>
      <c r="AS1477" s="22">
        <f t="shared" si="433"/>
        <v>0</v>
      </c>
      <c r="AT1477" s="24" t="str">
        <f t="shared" si="434"/>
        <v>0-3 months</v>
      </c>
      <c r="AU1477" s="22" t="s">
        <v>3744</v>
      </c>
    </row>
    <row r="1478" spans="1:47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47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872</v>
      </c>
      <c r="K1478" s="155" t="s">
        <v>873</v>
      </c>
      <c r="L1478" s="17" t="s">
        <v>92</v>
      </c>
      <c r="M1478" s="13" t="s">
        <v>60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68</v>
      </c>
      <c r="R1478" s="13" t="s">
        <v>62</v>
      </c>
      <c r="S1478" s="13" t="s">
        <v>49</v>
      </c>
      <c r="T1478" s="13" t="s">
        <v>874</v>
      </c>
      <c r="U1478" s="13" t="s">
        <v>875</v>
      </c>
      <c r="V1478" s="13" t="s">
        <v>112</v>
      </c>
      <c r="W1478" s="13" t="s">
        <v>109</v>
      </c>
      <c r="X1478" s="135">
        <v>15029975</v>
      </c>
      <c r="Y1478" s="156">
        <v>1</v>
      </c>
      <c r="Z1478" s="18">
        <f t="shared" si="435"/>
        <v>15029975</v>
      </c>
      <c r="AA1478" s="13">
        <v>7.17E-2</v>
      </c>
      <c r="AB1478" s="21">
        <f t="shared" si="439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si="440"/>
        <v>14593788.187146019</v>
      </c>
      <c r="AJ1478" s="19">
        <f t="shared" si="441"/>
        <v>1868647.7321969916</v>
      </c>
      <c r="AK1478" s="20">
        <f t="shared" ref="AK1478:AK1541" si="448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49">IF(F1478="","",F1478&amp;G1478)</f>
        <v>20195</v>
      </c>
      <c r="AQ1478" s="28" t="str">
        <f t="shared" ref="AQ1478:AQ1541" si="450">IF(W1478="","",F1478&amp;G1478&amp;W1478)</f>
        <v>20195JPY</v>
      </c>
      <c r="AR1478" s="206" t="str">
        <f t="shared" ref="AR1478:AR1541" si="451">IFERROR(IF(AND(M1478="YAMAHA", R1478="C28"), "YAMAHA_Non_Mounter", IF(AND(M1478="YAMAHA", R1478="C49"), "YAMAHA_Mounter", M1478)),"")</f>
        <v>YAMAHA_Mounter</v>
      </c>
      <c r="AS1478" s="22">
        <f t="shared" ref="AS1478:AS1541" si="452">IFERROR(IF(OR(G1478="TBA", G1478=""), "", DATEDIF(DATE(B1478, C1478, 1), DATE(F1478, G1478, 1), "M")),"")</f>
        <v>1</v>
      </c>
      <c r="AT1478" s="24" t="str">
        <f t="shared" ref="AT1478:AT1541" si="453">IF(ISNUMBER(AS1478), IF(AS1478&gt;=0, IF(AS1478&lt;=3, "0-3 months", IF(AS1478&lt;=6, "4-6 months", "&gt; 6 months"))), "")</f>
        <v>0-3 months</v>
      </c>
      <c r="AU1478" s="22" t="s">
        <v>3745</v>
      </c>
    </row>
    <row r="1479" spans="1:47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47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893</v>
      </c>
      <c r="K1479" s="155" t="s">
        <v>678</v>
      </c>
      <c r="L1479" s="17" t="s">
        <v>92</v>
      </c>
      <c r="M1479" s="13" t="s">
        <v>60</v>
      </c>
      <c r="N1479" s="13">
        <v>1</v>
      </c>
      <c r="O1479" s="13"/>
      <c r="P1479" s="33" t="str">
        <f t="shared" si="445"/>
        <v>MAIN UNIT</v>
      </c>
      <c r="Q1479" s="13" t="s">
        <v>61</v>
      </c>
      <c r="R1479" s="13" t="s">
        <v>62</v>
      </c>
      <c r="S1479" s="13" t="s">
        <v>49</v>
      </c>
      <c r="T1479" s="13" t="s">
        <v>78</v>
      </c>
      <c r="U1479" s="13" t="s">
        <v>79</v>
      </c>
      <c r="V1479" s="13" t="s">
        <v>112</v>
      </c>
      <c r="W1479" s="13" t="s">
        <v>109</v>
      </c>
      <c r="X1479" s="135">
        <v>11200000</v>
      </c>
      <c r="Y1479" s="156">
        <v>1</v>
      </c>
      <c r="Z1479" s="18">
        <f t="shared" si="435"/>
        <v>11200000</v>
      </c>
      <c r="AA1479" s="13">
        <v>7.3499999999999996E-2</v>
      </c>
      <c r="AB1479" s="21">
        <f t="shared" si="439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0"/>
        <v>26147030.909862842</v>
      </c>
      <c r="AJ1479" s="19">
        <f t="shared" si="441"/>
        <v>2743862.8630715334</v>
      </c>
      <c r="AK1479" s="20">
        <f t="shared" si="448"/>
        <v>0.10493974908778378</v>
      </c>
      <c r="AL1479" s="17"/>
      <c r="AM1479" s="17"/>
      <c r="AN1479" s="17"/>
      <c r="AO1479" s="17"/>
      <c r="AP1479" s="28" t="str">
        <f t="shared" si="449"/>
        <v>201911</v>
      </c>
      <c r="AQ1479" s="28" t="str">
        <f t="shared" si="450"/>
        <v>201911JPY</v>
      </c>
      <c r="AR1479" s="206" t="str">
        <f t="shared" si="451"/>
        <v>YAMAHA_Mounter</v>
      </c>
      <c r="AS1479" s="22">
        <f t="shared" si="452"/>
        <v>0</v>
      </c>
      <c r="AT1479" s="24" t="str">
        <f t="shared" si="453"/>
        <v>0-3 months</v>
      </c>
      <c r="AU1479" s="22" t="s">
        <v>3745</v>
      </c>
    </row>
    <row r="1480" spans="1:47" s="12" customFormat="1">
      <c r="A1480" s="33" t="str">
        <f t="shared" si="442"/>
        <v>cancel</v>
      </c>
      <c r="B1480" s="152"/>
      <c r="C1480" s="152" t="s">
        <v>1616</v>
      </c>
      <c r="D1480" s="33" t="str">
        <f t="shared" si="443"/>
        <v/>
      </c>
      <c r="E1480" s="33" t="s">
        <v>185</v>
      </c>
      <c r="F1480" s="13" t="s">
        <v>185</v>
      </c>
      <c r="G1480" s="152" t="s">
        <v>185</v>
      </c>
      <c r="H1480" s="155"/>
      <c r="I1480" s="33" t="str">
        <f t="shared" si="444"/>
        <v>Cancel</v>
      </c>
      <c r="J1480" s="186" t="s">
        <v>2667</v>
      </c>
      <c r="K1480" s="155" t="s">
        <v>873</v>
      </c>
      <c r="L1480" s="17" t="s">
        <v>92</v>
      </c>
      <c r="M1480" s="13" t="s">
        <v>60</v>
      </c>
      <c r="N1480" s="13">
        <v>1</v>
      </c>
      <c r="O1480" s="13"/>
      <c r="P1480" s="33" t="str">
        <f t="shared" si="445"/>
        <v>MAIN UNIT</v>
      </c>
      <c r="Q1480" s="13" t="s">
        <v>68</v>
      </c>
      <c r="R1480" s="13" t="s">
        <v>62</v>
      </c>
      <c r="S1480" s="13" t="s">
        <v>49</v>
      </c>
      <c r="T1480" s="13" t="s">
        <v>2668</v>
      </c>
      <c r="U1480" s="13" t="s">
        <v>2669</v>
      </c>
      <c r="V1480" s="13" t="s">
        <v>112</v>
      </c>
      <c r="W1480" s="13" t="s">
        <v>109</v>
      </c>
      <c r="X1480" s="135">
        <v>14642375</v>
      </c>
      <c r="Y1480" s="156">
        <v>1</v>
      </c>
      <c r="Z1480" s="18">
        <f t="shared" si="435"/>
        <v>14642375</v>
      </c>
      <c r="AA1480" s="13">
        <v>7.3400000000000007E-2</v>
      </c>
      <c r="AB1480" s="21">
        <f t="shared" si="439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0"/>
        <v>499582152.5142017</v>
      </c>
      <c r="AJ1480" s="19">
        <f t="shared" si="441"/>
        <v>59520528.679470733</v>
      </c>
      <c r="AK1480" s="20">
        <f t="shared" si="448"/>
        <v>0.11914062257814291</v>
      </c>
      <c r="AL1480" s="17"/>
      <c r="AM1480" s="17"/>
      <c r="AN1480" s="17"/>
      <c r="AO1480" s="17"/>
      <c r="AP1480" s="28" t="str">
        <f t="shared" si="449"/>
        <v>CancelCancel</v>
      </c>
      <c r="AQ1480" s="28" t="str">
        <f t="shared" si="450"/>
        <v>CancelCancelJPY</v>
      </c>
      <c r="AR1480" s="206" t="str">
        <f t="shared" si="451"/>
        <v>YAMAHA_Mounter</v>
      </c>
      <c r="AS1480" s="22" t="str">
        <f t="shared" si="452"/>
        <v/>
      </c>
      <c r="AT1480" s="24" t="str">
        <f t="shared" si="453"/>
        <v/>
      </c>
      <c r="AU1480" s="22" t="s">
        <v>3745</v>
      </c>
    </row>
    <row r="1481" spans="1:47" s="12" customFormat="1">
      <c r="A1481" s="33" t="str">
        <f t="shared" si="442"/>
        <v>cancel</v>
      </c>
      <c r="B1481" s="152"/>
      <c r="C1481" s="152" t="s">
        <v>1616</v>
      </c>
      <c r="D1481" s="33" t="str">
        <f t="shared" si="443"/>
        <v/>
      </c>
      <c r="E1481" s="33" t="s">
        <v>185</v>
      </c>
      <c r="F1481" s="13" t="s">
        <v>185</v>
      </c>
      <c r="G1481" s="152" t="s">
        <v>185</v>
      </c>
      <c r="H1481" s="155"/>
      <c r="I1481" s="33" t="str">
        <f t="shared" si="444"/>
        <v>Cancel</v>
      </c>
      <c r="J1481" s="186" t="s">
        <v>2670</v>
      </c>
      <c r="K1481" s="155" t="s">
        <v>873</v>
      </c>
      <c r="L1481" s="17" t="s">
        <v>92</v>
      </c>
      <c r="M1481" s="13" t="s">
        <v>60</v>
      </c>
      <c r="N1481" s="13">
        <v>1</v>
      </c>
      <c r="O1481" s="13"/>
      <c r="P1481" s="33" t="str">
        <f t="shared" si="445"/>
        <v>MAIN UNIT</v>
      </c>
      <c r="Q1481" s="13" t="s">
        <v>68</v>
      </c>
      <c r="R1481" s="13" t="s">
        <v>62</v>
      </c>
      <c r="S1481" s="13" t="s">
        <v>49</v>
      </c>
      <c r="T1481" s="13" t="s">
        <v>2668</v>
      </c>
      <c r="U1481" s="13" t="s">
        <v>2669</v>
      </c>
      <c r="V1481" s="13" t="s">
        <v>112</v>
      </c>
      <c r="W1481" s="13" t="s">
        <v>109</v>
      </c>
      <c r="X1481" s="135">
        <v>14642375</v>
      </c>
      <c r="Y1481" s="156">
        <v>1</v>
      </c>
      <c r="Z1481" s="18">
        <f t="shared" si="435"/>
        <v>14642375</v>
      </c>
      <c r="AA1481" s="13">
        <v>7.3400000000000007E-2</v>
      </c>
      <c r="AB1481" s="21">
        <f t="shared" si="439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0"/>
        <v>499582152.5142017</v>
      </c>
      <c r="AJ1481" s="19">
        <f t="shared" si="441"/>
        <v>59520528.679470733</v>
      </c>
      <c r="AK1481" s="20">
        <f t="shared" si="448"/>
        <v>0.11914062257814291</v>
      </c>
      <c r="AL1481" s="17"/>
      <c r="AM1481" s="17"/>
      <c r="AN1481" s="17"/>
      <c r="AO1481" s="17"/>
      <c r="AP1481" s="28" t="str">
        <f t="shared" si="449"/>
        <v>CancelCancel</v>
      </c>
      <c r="AQ1481" s="28" t="str">
        <f t="shared" si="450"/>
        <v>CancelCancelJPY</v>
      </c>
      <c r="AR1481" s="206" t="str">
        <f t="shared" si="451"/>
        <v>YAMAHA_Mounter</v>
      </c>
      <c r="AS1481" s="22" t="str">
        <f t="shared" si="452"/>
        <v/>
      </c>
      <c r="AT1481" s="24" t="str">
        <f t="shared" si="453"/>
        <v/>
      </c>
      <c r="AU1481" s="22" t="s">
        <v>3745</v>
      </c>
    </row>
    <row r="1482" spans="1:47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54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2218</v>
      </c>
      <c r="K1482" s="155" t="s">
        <v>2219</v>
      </c>
      <c r="L1482" s="17" t="s">
        <v>2220</v>
      </c>
      <c r="M1482" s="13" t="s">
        <v>377</v>
      </c>
      <c r="N1482" s="13">
        <v>1</v>
      </c>
      <c r="O1482" s="13"/>
      <c r="P1482" s="33" t="str">
        <f t="shared" si="445"/>
        <v>MAIN UNIT</v>
      </c>
      <c r="Q1482" s="13" t="s">
        <v>61</v>
      </c>
      <c r="R1482" s="13" t="s">
        <v>62</v>
      </c>
      <c r="S1482" s="13" t="s">
        <v>50</v>
      </c>
      <c r="T1482" s="13" t="s">
        <v>194</v>
      </c>
      <c r="U1482" s="13" t="s">
        <v>70</v>
      </c>
      <c r="V1482" s="13" t="s">
        <v>94</v>
      </c>
      <c r="W1482" s="13" t="s">
        <v>64</v>
      </c>
      <c r="X1482" s="135">
        <v>66000</v>
      </c>
      <c r="Y1482" s="157" t="str">
        <f>IF(W1482="RMB","1.13", "1")</f>
        <v>1.13</v>
      </c>
      <c r="Z1482" s="18">
        <f t="shared" ref="Z1482:Z1545" si="454">IF(X1482="","",X1482*MAX(O1482,N1482))</f>
        <v>66000</v>
      </c>
      <c r="AA1482" s="13">
        <v>1.17</v>
      </c>
      <c r="AB1482" s="21">
        <f t="shared" si="439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0"/>
        <v>36480247.665929198</v>
      </c>
      <c r="AJ1482" s="19">
        <f t="shared" si="441"/>
        <v>5330996.6372757526</v>
      </c>
      <c r="AK1482" s="20">
        <f t="shared" si="448"/>
        <v>0.14613378412599562</v>
      </c>
      <c r="AL1482" s="17"/>
      <c r="AM1482" s="17"/>
      <c r="AN1482" s="17"/>
      <c r="AO1482" s="17"/>
      <c r="AP1482" s="28" t="str">
        <f t="shared" si="449"/>
        <v>20227</v>
      </c>
      <c r="AQ1482" s="28" t="str">
        <f t="shared" si="450"/>
        <v>20227RMB</v>
      </c>
      <c r="AR1482" s="206" t="str">
        <f t="shared" si="451"/>
        <v>LOCAL SUPPLIER</v>
      </c>
      <c r="AS1482" s="22">
        <f t="shared" si="452"/>
        <v>2</v>
      </c>
      <c r="AT1482" s="24" t="str">
        <f t="shared" si="453"/>
        <v>0-3 months</v>
      </c>
      <c r="AU1482" s="22" t="s">
        <v>3240</v>
      </c>
    </row>
    <row r="1483" spans="1:47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48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1203</v>
      </c>
      <c r="K1483" s="155" t="s">
        <v>1204</v>
      </c>
      <c r="L1483" s="17" t="s">
        <v>67</v>
      </c>
      <c r="M1483" s="13" t="s">
        <v>60</v>
      </c>
      <c r="N1483" s="13">
        <v>1</v>
      </c>
      <c r="O1483" s="13"/>
      <c r="P1483" s="33" t="str">
        <f t="shared" si="445"/>
        <v>MAIN UNIT</v>
      </c>
      <c r="Q1483" s="13" t="s">
        <v>68</v>
      </c>
      <c r="R1483" s="13" t="s">
        <v>62</v>
      </c>
      <c r="S1483" s="13" t="s">
        <v>50</v>
      </c>
      <c r="T1483" s="13" t="s">
        <v>88</v>
      </c>
      <c r="U1483" s="13" t="s">
        <v>70</v>
      </c>
      <c r="V1483" s="13" t="s">
        <v>94</v>
      </c>
      <c r="W1483" s="13" t="s">
        <v>64</v>
      </c>
      <c r="X1483" s="135">
        <v>610000</v>
      </c>
      <c r="Y1483" s="156">
        <v>1.1299999999999999</v>
      </c>
      <c r="Z1483" s="18">
        <f t="shared" si="454"/>
        <v>610000</v>
      </c>
      <c r="AA1483" s="13">
        <v>1.089</v>
      </c>
      <c r="AB1483" s="21">
        <f t="shared" si="439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0"/>
        <v>29183109.05575221</v>
      </c>
      <c r="AJ1483" s="19">
        <f t="shared" si="441"/>
        <v>3741266.5648721238</v>
      </c>
      <c r="AK1483" s="20">
        <f t="shared" si="448"/>
        <v>0.12819972531798121</v>
      </c>
      <c r="AL1483" s="17"/>
      <c r="AM1483" s="17"/>
      <c r="AN1483" s="17"/>
      <c r="AO1483" s="17"/>
      <c r="AP1483" s="28" t="str">
        <f t="shared" si="449"/>
        <v>20206</v>
      </c>
      <c r="AQ1483" s="28" t="str">
        <f t="shared" si="450"/>
        <v>20206RMB</v>
      </c>
      <c r="AR1483" s="206" t="str">
        <f t="shared" si="451"/>
        <v>YAMAHA_Mounter</v>
      </c>
      <c r="AS1483" s="22">
        <f t="shared" si="452"/>
        <v>4</v>
      </c>
      <c r="AT1483" s="24" t="str">
        <f t="shared" si="453"/>
        <v>4-6 months</v>
      </c>
      <c r="AU1483" s="22" t="s">
        <v>3240</v>
      </c>
    </row>
    <row r="1484" spans="1:47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48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1203</v>
      </c>
      <c r="K1484" s="155" t="s">
        <v>1204</v>
      </c>
      <c r="L1484" s="17" t="s">
        <v>2889</v>
      </c>
      <c r="M1484" s="13" t="s">
        <v>377</v>
      </c>
      <c r="N1484" s="13">
        <v>1</v>
      </c>
      <c r="O1484" s="13"/>
      <c r="P1484" s="33" t="str">
        <f t="shared" si="445"/>
        <v>MAIN UNIT</v>
      </c>
      <c r="Q1484" s="13" t="s">
        <v>68</v>
      </c>
      <c r="R1484" s="13" t="s">
        <v>2055</v>
      </c>
      <c r="S1484" s="13" t="s">
        <v>50</v>
      </c>
      <c r="T1484" s="13" t="s">
        <v>88</v>
      </c>
      <c r="U1484" s="13" t="s">
        <v>70</v>
      </c>
      <c r="V1484" s="13" t="s">
        <v>94</v>
      </c>
      <c r="W1484" s="13" t="s">
        <v>64</v>
      </c>
      <c r="X1484" s="135">
        <v>697470</v>
      </c>
      <c r="Y1484" s="157" t="str">
        <f>IF(W1484="RMB","1.13", "1")</f>
        <v>1.13</v>
      </c>
      <c r="Z1484" s="18">
        <f t="shared" si="454"/>
        <v>697470</v>
      </c>
      <c r="AA1484" s="13">
        <v>1.089</v>
      </c>
      <c r="AB1484" s="21">
        <f t="shared" si="439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0"/>
        <v>29183109.05575221</v>
      </c>
      <c r="AJ1484" s="19">
        <f t="shared" si="441"/>
        <v>3741266.5648721238</v>
      </c>
      <c r="AK1484" s="20">
        <f t="shared" si="448"/>
        <v>0.12819972531798121</v>
      </c>
      <c r="AL1484" s="17"/>
      <c r="AM1484" s="17"/>
      <c r="AN1484" s="17"/>
      <c r="AO1484" s="17"/>
      <c r="AP1484" s="28" t="str">
        <f t="shared" si="449"/>
        <v>20206</v>
      </c>
      <c r="AQ1484" s="28" t="str">
        <f t="shared" si="450"/>
        <v>20206RMB</v>
      </c>
      <c r="AR1484" s="206" t="str">
        <f t="shared" si="451"/>
        <v>LOCAL SUPPLIER</v>
      </c>
      <c r="AS1484" s="22">
        <f t="shared" si="452"/>
        <v>4</v>
      </c>
      <c r="AT1484" s="24" t="str">
        <f t="shared" si="453"/>
        <v>4-6 months</v>
      </c>
      <c r="AU1484" s="22" t="s">
        <v>3240</v>
      </c>
    </row>
    <row r="1485" spans="1:47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48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1203</v>
      </c>
      <c r="K1485" s="155" t="s">
        <v>1204</v>
      </c>
      <c r="L1485" s="17" t="s">
        <v>2788</v>
      </c>
      <c r="M1485" s="13" t="s">
        <v>2607</v>
      </c>
      <c r="N1485" s="13">
        <v>1</v>
      </c>
      <c r="O1485" s="13"/>
      <c r="P1485" s="33" t="str">
        <f t="shared" si="445"/>
        <v>MAIN UNIT</v>
      </c>
      <c r="Q1485" s="13" t="s">
        <v>68</v>
      </c>
      <c r="R1485" s="13" t="s">
        <v>2055</v>
      </c>
      <c r="S1485" s="13" t="s">
        <v>50</v>
      </c>
      <c r="T1485" s="13" t="s">
        <v>88</v>
      </c>
      <c r="U1485" s="13" t="s">
        <v>70</v>
      </c>
      <c r="V1485" s="13" t="s">
        <v>94</v>
      </c>
      <c r="W1485" s="13" t="s">
        <v>64</v>
      </c>
      <c r="X1485" s="135">
        <v>275000</v>
      </c>
      <c r="Y1485" s="157" t="str">
        <f>IF(W1485="RMB","1.13", "1")</f>
        <v>1.13</v>
      </c>
      <c r="Z1485" s="18">
        <f t="shared" si="454"/>
        <v>275000</v>
      </c>
      <c r="AA1485" s="13">
        <v>1.089</v>
      </c>
      <c r="AB1485" s="21">
        <f t="shared" si="439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0"/>
        <v>29183109.05575221</v>
      </c>
      <c r="AJ1485" s="19">
        <f t="shared" si="441"/>
        <v>3741266.5648721238</v>
      </c>
      <c r="AK1485" s="20">
        <f t="shared" si="448"/>
        <v>0.12819972531798121</v>
      </c>
      <c r="AL1485" s="17"/>
      <c r="AM1485" s="17"/>
      <c r="AN1485" s="17"/>
      <c r="AO1485" s="17"/>
      <c r="AP1485" s="28" t="str">
        <f t="shared" si="449"/>
        <v>20206</v>
      </c>
      <c r="AQ1485" s="28" t="str">
        <f t="shared" si="450"/>
        <v>20206RMB</v>
      </c>
      <c r="AR1485" s="206" t="str">
        <f t="shared" si="451"/>
        <v>HELLER</v>
      </c>
      <c r="AS1485" s="22">
        <f t="shared" si="452"/>
        <v>4</v>
      </c>
      <c r="AT1485" s="24" t="str">
        <f t="shared" si="453"/>
        <v>4-6 months</v>
      </c>
      <c r="AU1485" s="22" t="s">
        <v>3240</v>
      </c>
    </row>
    <row r="1486" spans="1:47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48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1203</v>
      </c>
      <c r="K1486" s="155" t="s">
        <v>1204</v>
      </c>
      <c r="L1486" s="17" t="s">
        <v>2906</v>
      </c>
      <c r="M1486" s="13" t="s">
        <v>2054</v>
      </c>
      <c r="N1486" s="13">
        <v>1</v>
      </c>
      <c r="O1486" s="13"/>
      <c r="P1486" s="33" t="str">
        <f t="shared" si="445"/>
        <v>MAIN UNIT</v>
      </c>
      <c r="Q1486" s="13" t="s">
        <v>68</v>
      </c>
      <c r="R1486" s="13" t="s">
        <v>2055</v>
      </c>
      <c r="S1486" s="13" t="s">
        <v>50</v>
      </c>
      <c r="T1486" s="13" t="s">
        <v>88</v>
      </c>
      <c r="U1486" s="13" t="s">
        <v>70</v>
      </c>
      <c r="V1486" s="13" t="s">
        <v>94</v>
      </c>
      <c r="W1486" s="13" t="s">
        <v>64</v>
      </c>
      <c r="X1486" s="135">
        <v>30000</v>
      </c>
      <c r="Y1486" s="157" t="str">
        <f>IF(W1486="RMB","1.13", "1")</f>
        <v>1.13</v>
      </c>
      <c r="Z1486" s="18">
        <f t="shared" si="454"/>
        <v>30000</v>
      </c>
      <c r="AA1486" s="13">
        <v>1.089</v>
      </c>
      <c r="AB1486" s="21">
        <f t="shared" si="439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0"/>
        <v>29183109.05575221</v>
      </c>
      <c r="AJ1486" s="19">
        <f t="shared" si="441"/>
        <v>3741266.5648721238</v>
      </c>
      <c r="AK1486" s="20">
        <f t="shared" si="448"/>
        <v>0.12819972531798121</v>
      </c>
      <c r="AL1486" s="17"/>
      <c r="AM1486" s="17"/>
      <c r="AN1486" s="17"/>
      <c r="AO1486" s="17"/>
      <c r="AP1486" s="28" t="str">
        <f t="shared" si="449"/>
        <v>20206</v>
      </c>
      <c r="AQ1486" s="28" t="str">
        <f t="shared" si="450"/>
        <v>20206RMB</v>
      </c>
      <c r="AR1486" s="206" t="str">
        <f t="shared" si="451"/>
        <v>SOLDERSTAR</v>
      </c>
      <c r="AS1486" s="22">
        <f t="shared" si="452"/>
        <v>4</v>
      </c>
      <c r="AT1486" s="24" t="str">
        <f t="shared" si="453"/>
        <v>4-6 months</v>
      </c>
      <c r="AU1486" s="22" t="s">
        <v>3240</v>
      </c>
    </row>
    <row r="1487" spans="1:47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55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2496</v>
      </c>
      <c r="K1487" s="155" t="s">
        <v>2497</v>
      </c>
      <c r="L1487" s="17" t="s">
        <v>67</v>
      </c>
      <c r="M1487" s="13" t="s">
        <v>60</v>
      </c>
      <c r="N1487" s="13">
        <v>1</v>
      </c>
      <c r="O1487" s="13"/>
      <c r="P1487" s="33" t="str">
        <f t="shared" si="445"/>
        <v>MAIN UNIT</v>
      </c>
      <c r="Q1487" s="13" t="s">
        <v>61</v>
      </c>
      <c r="R1487" s="13" t="s">
        <v>62</v>
      </c>
      <c r="S1487" s="13" t="s">
        <v>50</v>
      </c>
      <c r="T1487" s="13" t="s">
        <v>88</v>
      </c>
      <c r="U1487" s="13" t="s">
        <v>70</v>
      </c>
      <c r="V1487" s="13" t="s">
        <v>94</v>
      </c>
      <c r="W1487" s="13" t="s">
        <v>64</v>
      </c>
      <c r="X1487" s="135">
        <v>601936</v>
      </c>
      <c r="Y1487" s="157" t="str">
        <f>IF(W1487="RMB","1.13", "1")</f>
        <v>1.13</v>
      </c>
      <c r="Z1487" s="18">
        <f t="shared" si="454"/>
        <v>601936</v>
      </c>
      <c r="AA1487" s="13">
        <v>1.135</v>
      </c>
      <c r="AB1487" s="21">
        <f t="shared" si="439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0"/>
        <v>28177779.013274338</v>
      </c>
      <c r="AJ1487" s="19">
        <f t="shared" si="441"/>
        <v>4727216.6376190251</v>
      </c>
      <c r="AK1487" s="20">
        <f t="shared" si="448"/>
        <v>0.1677639900359808</v>
      </c>
      <c r="AL1487" s="17"/>
      <c r="AM1487" s="17"/>
      <c r="AN1487" s="17"/>
      <c r="AO1487" s="17"/>
      <c r="AP1487" s="28" t="str">
        <f t="shared" si="449"/>
        <v>20235</v>
      </c>
      <c r="AQ1487" s="28" t="str">
        <f t="shared" si="450"/>
        <v>20235RMB</v>
      </c>
      <c r="AR1487" s="206" t="str">
        <f t="shared" si="451"/>
        <v>YAMAHA_Mounter</v>
      </c>
      <c r="AS1487" s="22">
        <f t="shared" si="452"/>
        <v>1</v>
      </c>
      <c r="AT1487" s="24" t="str">
        <f t="shared" si="453"/>
        <v>0-3 months</v>
      </c>
      <c r="AU1487" s="22" t="s">
        <v>3240</v>
      </c>
    </row>
    <row r="1488" spans="1:47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2496</v>
      </c>
      <c r="K1488" s="155" t="s">
        <v>2497</v>
      </c>
      <c r="L1488" s="17" t="s">
        <v>3062</v>
      </c>
      <c r="M1488" s="13" t="s">
        <v>377</v>
      </c>
      <c r="N1488" s="13">
        <v>1</v>
      </c>
      <c r="O1488" s="13"/>
      <c r="P1488" s="33" t="str">
        <f t="shared" si="445"/>
        <v>MAIN UNIT</v>
      </c>
      <c r="Q1488" s="13" t="s">
        <v>61</v>
      </c>
      <c r="R1488" s="13" t="s">
        <v>2055</v>
      </c>
      <c r="S1488" s="13" t="s">
        <v>50</v>
      </c>
      <c r="T1488" s="13" t="s">
        <v>88</v>
      </c>
      <c r="U1488" s="13" t="s">
        <v>70</v>
      </c>
      <c r="V1488" s="13" t="s">
        <v>94</v>
      </c>
      <c r="W1488" s="13" t="s">
        <v>64</v>
      </c>
      <c r="X1488" s="135">
        <v>300000</v>
      </c>
      <c r="Y1488" s="157" t="str">
        <f>IF(W1488="","",IF(W1488="RMB","1.13", "1"))</f>
        <v>1.13</v>
      </c>
      <c r="Z1488" s="18">
        <f t="shared" si="454"/>
        <v>300000</v>
      </c>
      <c r="AA1488" s="13">
        <v>1.135</v>
      </c>
      <c r="AB1488" s="21">
        <f t="shared" si="439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0"/>
        <v>28177779.013274338</v>
      </c>
      <c r="AJ1488" s="19">
        <f t="shared" si="441"/>
        <v>4727216.6376190251</v>
      </c>
      <c r="AK1488" s="20">
        <f t="shared" si="448"/>
        <v>0.1677639900359808</v>
      </c>
      <c r="AL1488" s="17"/>
      <c r="AM1488" s="17"/>
      <c r="AN1488" s="17"/>
      <c r="AO1488" s="17"/>
      <c r="AP1488" s="28" t="str">
        <f t="shared" si="449"/>
        <v>20235</v>
      </c>
      <c r="AQ1488" s="28" t="str">
        <f t="shared" si="450"/>
        <v>20235RMB</v>
      </c>
      <c r="AR1488" s="206" t="str">
        <f t="shared" si="451"/>
        <v>LOCAL SUPPLIER</v>
      </c>
      <c r="AS1488" s="22">
        <f t="shared" si="452"/>
        <v>1</v>
      </c>
      <c r="AT1488" s="24" t="str">
        <f t="shared" si="453"/>
        <v>0-3 months</v>
      </c>
      <c r="AU1488" s="22" t="s">
        <v>3240</v>
      </c>
    </row>
    <row r="1489" spans="1:47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2496</v>
      </c>
      <c r="K1489" s="155" t="s">
        <v>2497</v>
      </c>
      <c r="L1489" s="17" t="s">
        <v>3063</v>
      </c>
      <c r="M1489" s="13" t="s">
        <v>377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61</v>
      </c>
      <c r="R1489" s="13" t="s">
        <v>2055</v>
      </c>
      <c r="S1489" s="13" t="s">
        <v>50</v>
      </c>
      <c r="T1489" s="13" t="s">
        <v>88</v>
      </c>
      <c r="U1489" s="13" t="s">
        <v>70</v>
      </c>
      <c r="V1489" s="13" t="s">
        <v>94</v>
      </c>
      <c r="W1489" s="13" t="s">
        <v>64</v>
      </c>
      <c r="X1489" s="135">
        <v>4500</v>
      </c>
      <c r="Y1489" s="157" t="str">
        <f>IF(W1489="","",IF(W1489="RMB","1.13", "1"))</f>
        <v>1.13</v>
      </c>
      <c r="Z1489" s="18">
        <f t="shared" si="454"/>
        <v>4500</v>
      </c>
      <c r="AA1489" s="13">
        <v>1.105</v>
      </c>
      <c r="AB1489" s="21">
        <f t="shared" si="439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0"/>
        <v>28177779.013274338</v>
      </c>
      <c r="AJ1489" s="19">
        <f t="shared" si="441"/>
        <v>4727216.6376190251</v>
      </c>
      <c r="AK1489" s="20">
        <f t="shared" si="448"/>
        <v>0.1677639900359808</v>
      </c>
      <c r="AL1489" s="17"/>
      <c r="AM1489" s="17"/>
      <c r="AN1489" s="17"/>
      <c r="AO1489" s="17"/>
      <c r="AP1489" s="28" t="str">
        <f t="shared" si="449"/>
        <v>20235</v>
      </c>
      <c r="AQ1489" s="28" t="str">
        <f t="shared" si="450"/>
        <v>20235RMB</v>
      </c>
      <c r="AR1489" s="206" t="str">
        <f t="shared" si="451"/>
        <v>LOCAL SUPPLIER</v>
      </c>
      <c r="AS1489" s="22">
        <f t="shared" si="452"/>
        <v>1</v>
      </c>
      <c r="AT1489" s="24" t="str">
        <f t="shared" si="453"/>
        <v>0-3 months</v>
      </c>
      <c r="AU1489" s="22" t="s">
        <v>3240</v>
      </c>
    </row>
    <row r="1490" spans="1:47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48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1092</v>
      </c>
      <c r="K1490" s="155" t="s">
        <v>1093</v>
      </c>
      <c r="L1490" s="17" t="s">
        <v>67</v>
      </c>
      <c r="M1490" s="13" t="s">
        <v>60</v>
      </c>
      <c r="N1490" s="13">
        <v>1</v>
      </c>
      <c r="O1490" s="13"/>
      <c r="P1490" s="33" t="str">
        <f t="shared" si="445"/>
        <v>MAIN UNIT</v>
      </c>
      <c r="Q1490" s="13" t="s">
        <v>68</v>
      </c>
      <c r="R1490" s="13" t="s">
        <v>62</v>
      </c>
      <c r="S1490" s="13" t="s">
        <v>50</v>
      </c>
      <c r="T1490" s="13" t="s">
        <v>88</v>
      </c>
      <c r="U1490" s="13" t="s">
        <v>70</v>
      </c>
      <c r="V1490" s="13" t="s">
        <v>1010</v>
      </c>
      <c r="W1490" s="13" t="s">
        <v>64</v>
      </c>
      <c r="X1490" s="135">
        <v>506850</v>
      </c>
      <c r="Y1490" s="156">
        <v>1.1299999999999999</v>
      </c>
      <c r="Z1490" s="18">
        <f t="shared" si="454"/>
        <v>506850</v>
      </c>
      <c r="AA1490" s="13">
        <v>1.105</v>
      </c>
      <c r="AB1490" s="21">
        <f t="shared" si="439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0"/>
        <v>37969334.083628319</v>
      </c>
      <c r="AJ1490" s="19">
        <f t="shared" si="441"/>
        <v>5097226.4551657084</v>
      </c>
      <c r="AK1490" s="20">
        <f t="shared" si="448"/>
        <v>0.13424587441904964</v>
      </c>
      <c r="AL1490" s="17"/>
      <c r="AM1490" s="17"/>
      <c r="AN1490" s="17"/>
      <c r="AO1490" s="17"/>
      <c r="AP1490" s="28" t="str">
        <f t="shared" si="449"/>
        <v>20208</v>
      </c>
      <c r="AQ1490" s="28" t="str">
        <f t="shared" si="450"/>
        <v>20208RMB</v>
      </c>
      <c r="AR1490" s="206" t="str">
        <f t="shared" si="451"/>
        <v>YAMAHA_Mounter</v>
      </c>
      <c r="AS1490" s="22">
        <f t="shared" si="452"/>
        <v>2</v>
      </c>
      <c r="AT1490" s="24" t="str">
        <f t="shared" si="453"/>
        <v>0-3 months</v>
      </c>
      <c r="AU1490" s="22" t="s">
        <v>3240</v>
      </c>
    </row>
    <row r="1491" spans="1:47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54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2210</v>
      </c>
      <c r="K1491" s="155" t="s">
        <v>2211</v>
      </c>
      <c r="L1491" s="17" t="s">
        <v>92</v>
      </c>
      <c r="M1491" s="13" t="s">
        <v>60</v>
      </c>
      <c r="N1491" s="13">
        <v>1</v>
      </c>
      <c r="O1491" s="13"/>
      <c r="P1491" s="33" t="str">
        <f t="shared" si="445"/>
        <v>MAIN UNIT</v>
      </c>
      <c r="Q1491" s="13" t="s">
        <v>68</v>
      </c>
      <c r="R1491" s="13" t="s">
        <v>62</v>
      </c>
      <c r="S1491" s="13" t="s">
        <v>50</v>
      </c>
      <c r="T1491" s="13" t="s">
        <v>93</v>
      </c>
      <c r="U1491" s="13" t="s">
        <v>70</v>
      </c>
      <c r="V1491" s="13" t="s">
        <v>94</v>
      </c>
      <c r="W1491" s="13" t="s">
        <v>64</v>
      </c>
      <c r="X1491" s="135">
        <v>800000</v>
      </c>
      <c r="Y1491" s="157" t="str">
        <f>IF(W1491="RMB","1.13", "1")</f>
        <v>1.13</v>
      </c>
      <c r="Z1491" s="18">
        <f t="shared" si="454"/>
        <v>800000</v>
      </c>
      <c r="AA1491" s="13">
        <v>1.17</v>
      </c>
      <c r="AB1491" s="21">
        <f t="shared" si="439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0"/>
        <v>36480247.665929198</v>
      </c>
      <c r="AJ1491" s="19">
        <f t="shared" si="441"/>
        <v>5330996.6372757526</v>
      </c>
      <c r="AK1491" s="20">
        <f t="shared" si="448"/>
        <v>0.14613378412599562</v>
      </c>
      <c r="AL1491" s="17"/>
      <c r="AM1491" s="17"/>
      <c r="AN1491" s="17"/>
      <c r="AO1491" s="17"/>
      <c r="AP1491" s="28" t="str">
        <f t="shared" si="449"/>
        <v>20227</v>
      </c>
      <c r="AQ1491" s="28" t="str">
        <f t="shared" si="450"/>
        <v>20227RMB</v>
      </c>
      <c r="AR1491" s="206" t="str">
        <f t="shared" si="451"/>
        <v>YAMAHA_Mounter</v>
      </c>
      <c r="AS1491" s="22">
        <f t="shared" si="452"/>
        <v>4</v>
      </c>
      <c r="AT1491" s="24" t="str">
        <f t="shared" si="453"/>
        <v>4-6 months</v>
      </c>
      <c r="AU1491" s="22" t="s">
        <v>3240</v>
      </c>
    </row>
    <row r="1492" spans="1:47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54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2210</v>
      </c>
      <c r="K1492" s="155" t="s">
        <v>2211</v>
      </c>
      <c r="L1492" s="17" t="s">
        <v>67</v>
      </c>
      <c r="M1492" s="13" t="s">
        <v>60</v>
      </c>
      <c r="N1492" s="13">
        <v>1</v>
      </c>
      <c r="O1492" s="13"/>
      <c r="P1492" s="33" t="str">
        <f t="shared" si="445"/>
        <v>MAIN UNIT</v>
      </c>
      <c r="Q1492" s="13" t="s">
        <v>68</v>
      </c>
      <c r="R1492" s="13" t="s">
        <v>62</v>
      </c>
      <c r="S1492" s="13" t="s">
        <v>50</v>
      </c>
      <c r="T1492" s="13" t="s">
        <v>93</v>
      </c>
      <c r="U1492" s="13" t="s">
        <v>70</v>
      </c>
      <c r="V1492" s="13" t="s">
        <v>94</v>
      </c>
      <c r="W1492" s="13" t="s">
        <v>64</v>
      </c>
      <c r="X1492" s="135">
        <v>894000</v>
      </c>
      <c r="Y1492" s="157" t="str">
        <f>IF(W1492="RMB","1.13", "1")</f>
        <v>1.13</v>
      </c>
      <c r="Z1492" s="18">
        <f t="shared" si="454"/>
        <v>894000</v>
      </c>
      <c r="AA1492" s="13">
        <v>1.17</v>
      </c>
      <c r="AB1492" s="21">
        <f t="shared" si="439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0"/>
        <v>36480247.665929198</v>
      </c>
      <c r="AJ1492" s="19">
        <f t="shared" si="441"/>
        <v>5330996.6372757526</v>
      </c>
      <c r="AK1492" s="20">
        <f t="shared" si="448"/>
        <v>0.14613378412599562</v>
      </c>
      <c r="AL1492" s="17"/>
      <c r="AM1492" s="17"/>
      <c r="AN1492" s="17"/>
      <c r="AO1492" s="17"/>
      <c r="AP1492" s="28" t="str">
        <f t="shared" si="449"/>
        <v>20227</v>
      </c>
      <c r="AQ1492" s="28" t="str">
        <f t="shared" si="450"/>
        <v>20227RMB</v>
      </c>
      <c r="AR1492" s="206" t="str">
        <f t="shared" si="451"/>
        <v>YAMAHA_Mounter</v>
      </c>
      <c r="AS1492" s="22">
        <f t="shared" si="452"/>
        <v>4</v>
      </c>
      <c r="AT1492" s="24" t="str">
        <f t="shared" si="453"/>
        <v>4-6 months</v>
      </c>
      <c r="AU1492" s="22" t="s">
        <v>3240</v>
      </c>
    </row>
    <row r="1493" spans="1:47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3188</v>
      </c>
      <c r="K1493" s="29" t="s">
        <v>2211</v>
      </c>
      <c r="L1493" s="17" t="s">
        <v>2620</v>
      </c>
      <c r="M1493" s="13" t="s">
        <v>60</v>
      </c>
      <c r="N1493" s="22">
        <v>1</v>
      </c>
      <c r="O1493" s="22"/>
      <c r="P1493" s="33" t="str">
        <f t="shared" si="445"/>
        <v>MAIN UNIT</v>
      </c>
      <c r="Q1493" s="13" t="s">
        <v>61</v>
      </c>
      <c r="R1493" s="22" t="s">
        <v>2055</v>
      </c>
      <c r="S1493" s="22" t="s">
        <v>50</v>
      </c>
      <c r="T1493" s="22" t="s">
        <v>238</v>
      </c>
      <c r="U1493" s="22" t="s">
        <v>70</v>
      </c>
      <c r="V1493" s="22" t="s">
        <v>94</v>
      </c>
      <c r="W1493" s="22" t="s">
        <v>64</v>
      </c>
      <c r="X1493" s="30">
        <v>365000</v>
      </c>
      <c r="Y1493" s="31" t="str">
        <f>IF(W1493="","",IF(W1493="RMB","1.13", "1"))</f>
        <v>1.13</v>
      </c>
      <c r="Z1493" s="18">
        <f t="shared" si="454"/>
        <v>365000</v>
      </c>
      <c r="AA1493" s="22">
        <v>1.0900000000000001</v>
      </c>
      <c r="AB1493" s="21">
        <f t="shared" si="439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0"/>
        <v>21241742.157380536</v>
      </c>
      <c r="AJ1493" s="27">
        <f t="shared" si="441"/>
        <v>2987081.1613773629</v>
      </c>
      <c r="AK1493" s="28">
        <f t="shared" si="448"/>
        <v>0.14062317201884914</v>
      </c>
      <c r="AL1493" s="24"/>
      <c r="AM1493" s="24"/>
      <c r="AN1493" s="24"/>
      <c r="AO1493" s="24"/>
      <c r="AP1493" s="28" t="str">
        <f t="shared" si="449"/>
        <v>20243</v>
      </c>
      <c r="AQ1493" s="28" t="str">
        <f t="shared" si="450"/>
        <v>20243RMB</v>
      </c>
      <c r="AR1493" s="206" t="str">
        <f t="shared" si="451"/>
        <v>YAMAHA_Non_Mounter</v>
      </c>
      <c r="AS1493" s="22">
        <f t="shared" si="452"/>
        <v>1</v>
      </c>
      <c r="AT1493" s="24" t="str">
        <f t="shared" si="453"/>
        <v>0-3 months</v>
      </c>
      <c r="AU1493" s="22" t="s">
        <v>3240</v>
      </c>
    </row>
    <row r="1494" spans="1:47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48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1664</v>
      </c>
      <c r="K1494" s="155" t="s">
        <v>1665</v>
      </c>
      <c r="L1494" s="17" t="s">
        <v>67</v>
      </c>
      <c r="M1494" s="13" t="s">
        <v>60</v>
      </c>
      <c r="N1494" s="13">
        <v>1</v>
      </c>
      <c r="O1494" s="13"/>
      <c r="P1494" s="33" t="str">
        <f t="shared" si="445"/>
        <v>MAIN UNIT</v>
      </c>
      <c r="Q1494" s="13" t="s">
        <v>61</v>
      </c>
      <c r="R1494" s="13" t="s">
        <v>62</v>
      </c>
      <c r="S1494" s="13" t="s">
        <v>50</v>
      </c>
      <c r="T1494" s="13" t="s">
        <v>238</v>
      </c>
      <c r="U1494" s="13" t="s">
        <v>70</v>
      </c>
      <c r="V1494" s="13" t="s">
        <v>102</v>
      </c>
      <c r="W1494" s="13" t="s">
        <v>64</v>
      </c>
      <c r="X1494" s="135">
        <v>505000</v>
      </c>
      <c r="Y1494" s="157" t="str">
        <f>IF(W1494="RMB","1.13", "1")</f>
        <v>1.13</v>
      </c>
      <c r="Z1494" s="18">
        <f t="shared" si="454"/>
        <v>505000</v>
      </c>
      <c r="AA1494" s="13">
        <v>1.2</v>
      </c>
      <c r="AB1494" s="21">
        <f t="shared" si="439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0"/>
        <v>31097187.02948761</v>
      </c>
      <c r="AJ1494" s="19">
        <f t="shared" si="441"/>
        <v>3892353.6644401965</v>
      </c>
      <c r="AK1494" s="20">
        <f t="shared" si="448"/>
        <v>0.12516738767237401</v>
      </c>
      <c r="AL1494" s="17"/>
      <c r="AM1494" s="17"/>
      <c r="AN1494" s="17"/>
      <c r="AO1494" s="17"/>
      <c r="AP1494" s="28" t="str">
        <f t="shared" si="449"/>
        <v>20212</v>
      </c>
      <c r="AQ1494" s="28" t="str">
        <f t="shared" si="450"/>
        <v>20212RMB</v>
      </c>
      <c r="AR1494" s="206" t="str">
        <f t="shared" si="451"/>
        <v>YAMAHA_Mounter</v>
      </c>
      <c r="AS1494" s="22">
        <f t="shared" si="452"/>
        <v>0</v>
      </c>
      <c r="AT1494" s="24" t="str">
        <f t="shared" si="453"/>
        <v>0-3 months</v>
      </c>
      <c r="AU1494" s="22" t="s">
        <v>3240</v>
      </c>
    </row>
    <row r="1495" spans="1:47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47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966</v>
      </c>
      <c r="K1495" s="155" t="s">
        <v>967</v>
      </c>
      <c r="L1495" s="17" t="s">
        <v>67</v>
      </c>
      <c r="M1495" s="13" t="s">
        <v>60</v>
      </c>
      <c r="N1495" s="13">
        <v>1</v>
      </c>
      <c r="O1495" s="13"/>
      <c r="P1495" s="33" t="str">
        <f t="shared" si="445"/>
        <v>MAIN UNIT</v>
      </c>
      <c r="Q1495" s="13" t="s">
        <v>61</v>
      </c>
      <c r="R1495" s="13" t="s">
        <v>62</v>
      </c>
      <c r="S1495" s="13" t="s">
        <v>50</v>
      </c>
      <c r="T1495" s="13" t="s">
        <v>93</v>
      </c>
      <c r="U1495" s="13" t="s">
        <v>70</v>
      </c>
      <c r="V1495" s="13" t="s">
        <v>169</v>
      </c>
      <c r="W1495" s="13" t="s">
        <v>64</v>
      </c>
      <c r="X1495" s="135">
        <v>647000</v>
      </c>
      <c r="Y1495" s="156">
        <v>1.1299999999999999</v>
      </c>
      <c r="Z1495" s="18">
        <f t="shared" si="454"/>
        <v>647000</v>
      </c>
      <c r="AA1495" s="13">
        <v>1.095</v>
      </c>
      <c r="AB1495" s="21">
        <f t="shared" si="439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0"/>
        <v>37599388.802345134</v>
      </c>
      <c r="AJ1495" s="19">
        <f t="shared" si="441"/>
        <v>4866784.3630338367</v>
      </c>
      <c r="AK1495" s="20">
        <f t="shared" si="448"/>
        <v>0.12943785838163113</v>
      </c>
      <c r="AL1495" s="17"/>
      <c r="AM1495" s="17"/>
      <c r="AN1495" s="17"/>
      <c r="AO1495" s="17"/>
      <c r="AP1495" s="28" t="str">
        <f t="shared" si="449"/>
        <v>20199</v>
      </c>
      <c r="AQ1495" s="28" t="str">
        <f t="shared" si="450"/>
        <v>20199RMB</v>
      </c>
      <c r="AR1495" s="206" t="str">
        <f t="shared" si="451"/>
        <v>YAMAHA_Mounter</v>
      </c>
      <c r="AS1495" s="22">
        <f t="shared" si="452"/>
        <v>1</v>
      </c>
      <c r="AT1495" s="24" t="str">
        <f t="shared" si="453"/>
        <v>0-3 months</v>
      </c>
      <c r="AU1495" s="22" t="s">
        <v>3240</v>
      </c>
    </row>
    <row r="1496" spans="1:47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48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1345</v>
      </c>
      <c r="K1496" s="155" t="s">
        <v>1346</v>
      </c>
      <c r="L1496" s="17" t="s">
        <v>67</v>
      </c>
      <c r="M1496" s="13" t="s">
        <v>60</v>
      </c>
      <c r="N1496" s="13">
        <v>1</v>
      </c>
      <c r="O1496" s="13"/>
      <c r="P1496" s="33" t="str">
        <f t="shared" si="445"/>
        <v>MAIN UNIT</v>
      </c>
      <c r="Q1496" s="13" t="s">
        <v>68</v>
      </c>
      <c r="R1496" s="13" t="s">
        <v>62</v>
      </c>
      <c r="S1496" s="13" t="s">
        <v>49</v>
      </c>
      <c r="T1496" s="13" t="s">
        <v>78</v>
      </c>
      <c r="U1496" s="13" t="s">
        <v>79</v>
      </c>
      <c r="V1496" s="13" t="s">
        <v>1344</v>
      </c>
      <c r="W1496" s="13" t="s">
        <v>64</v>
      </c>
      <c r="X1496" s="135">
        <v>611500</v>
      </c>
      <c r="Y1496" s="156">
        <v>1.1299999999999999</v>
      </c>
      <c r="Z1496" s="18">
        <f t="shared" si="454"/>
        <v>611500</v>
      </c>
      <c r="AA1496" s="13">
        <v>1.1299999999999999</v>
      </c>
      <c r="AB1496" s="21">
        <f t="shared" si="439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0"/>
        <v>47907808.356810622</v>
      </c>
      <c r="AJ1496" s="19">
        <f t="shared" si="441"/>
        <v>6027384.8806384448</v>
      </c>
      <c r="AK1496" s="20">
        <f t="shared" si="448"/>
        <v>0.12581216063459488</v>
      </c>
      <c r="AL1496" s="17"/>
      <c r="AM1496" s="17"/>
      <c r="AN1496" s="17"/>
      <c r="AO1496" s="17"/>
      <c r="AP1496" s="28" t="str">
        <f t="shared" si="449"/>
        <v>20209</v>
      </c>
      <c r="AQ1496" s="28" t="str">
        <f t="shared" si="450"/>
        <v>20209RMB</v>
      </c>
      <c r="AR1496" s="206" t="str">
        <f t="shared" si="451"/>
        <v>YAMAHA_Mounter</v>
      </c>
      <c r="AS1496" s="22">
        <f t="shared" si="452"/>
        <v>1</v>
      </c>
      <c r="AT1496" s="24" t="str">
        <f t="shared" si="453"/>
        <v>0-3 months</v>
      </c>
      <c r="AU1496" s="22" t="s">
        <v>3744</v>
      </c>
    </row>
    <row r="1497" spans="1:47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48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1345</v>
      </c>
      <c r="K1497" s="155" t="s">
        <v>1346</v>
      </c>
      <c r="L1497" s="17" t="s">
        <v>67</v>
      </c>
      <c r="M1497" s="13" t="s">
        <v>60</v>
      </c>
      <c r="N1497" s="13">
        <v>1</v>
      </c>
      <c r="O1497" s="13"/>
      <c r="P1497" s="33" t="str">
        <f t="shared" si="445"/>
        <v>MAIN UNIT</v>
      </c>
      <c r="Q1497" s="13" t="s">
        <v>68</v>
      </c>
      <c r="R1497" s="13" t="s">
        <v>62</v>
      </c>
      <c r="S1497" s="13" t="s">
        <v>49</v>
      </c>
      <c r="T1497" s="13" t="s">
        <v>78</v>
      </c>
      <c r="U1497" s="13" t="s">
        <v>79</v>
      </c>
      <c r="V1497" s="13" t="s">
        <v>1344</v>
      </c>
      <c r="W1497" s="13" t="s">
        <v>64</v>
      </c>
      <c r="X1497" s="135">
        <v>611500</v>
      </c>
      <c r="Y1497" s="156">
        <v>1.1299999999999999</v>
      </c>
      <c r="Z1497" s="18">
        <f t="shared" si="454"/>
        <v>611500</v>
      </c>
      <c r="AA1497" s="13">
        <v>1.1299999999999999</v>
      </c>
      <c r="AB1497" s="21">
        <f t="shared" si="439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0"/>
        <v>47907808.356810622</v>
      </c>
      <c r="AJ1497" s="19">
        <f t="shared" si="441"/>
        <v>6027384.8806384448</v>
      </c>
      <c r="AK1497" s="20">
        <f t="shared" si="448"/>
        <v>0.12581216063459488</v>
      </c>
      <c r="AL1497" s="17"/>
      <c r="AM1497" s="17"/>
      <c r="AN1497" s="17"/>
      <c r="AO1497" s="17"/>
      <c r="AP1497" s="28" t="str">
        <f t="shared" si="449"/>
        <v>20209</v>
      </c>
      <c r="AQ1497" s="28" t="str">
        <f t="shared" si="450"/>
        <v>20209RMB</v>
      </c>
      <c r="AR1497" s="206" t="str">
        <f t="shared" si="451"/>
        <v>YAMAHA_Mounter</v>
      </c>
      <c r="AS1497" s="22">
        <f t="shared" si="452"/>
        <v>1</v>
      </c>
      <c r="AT1497" s="24" t="str">
        <f t="shared" si="453"/>
        <v>0-3 months</v>
      </c>
      <c r="AU1497" s="22" t="s">
        <v>3744</v>
      </c>
    </row>
    <row r="1498" spans="1:47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48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1416</v>
      </c>
      <c r="K1498" s="155" t="s">
        <v>1417</v>
      </c>
      <c r="L1498" s="17" t="s">
        <v>92</v>
      </c>
      <c r="M1498" s="13" t="s">
        <v>60</v>
      </c>
      <c r="N1498" s="13">
        <v>1</v>
      </c>
      <c r="O1498" s="13"/>
      <c r="P1498" s="33" t="str">
        <f t="shared" si="445"/>
        <v>MAIN UNIT</v>
      </c>
      <c r="Q1498" s="13" t="s">
        <v>61</v>
      </c>
      <c r="R1498" s="13" t="s">
        <v>62</v>
      </c>
      <c r="S1498" s="13" t="s">
        <v>49</v>
      </c>
      <c r="T1498" s="13" t="s">
        <v>78</v>
      </c>
      <c r="U1498" s="13" t="s">
        <v>79</v>
      </c>
      <c r="V1498" s="13" t="s">
        <v>311</v>
      </c>
      <c r="W1498" s="13" t="s">
        <v>64</v>
      </c>
      <c r="X1498" s="135">
        <v>1120000</v>
      </c>
      <c r="Y1498" s="157" t="str">
        <f t="shared" ref="Y1498:Y1509" si="455">IF(W1498="RMB","1.13", "1")</f>
        <v>1.13</v>
      </c>
      <c r="Z1498" s="18">
        <f t="shared" si="454"/>
        <v>1120000</v>
      </c>
      <c r="AA1498" s="13">
        <v>1.135</v>
      </c>
      <c r="AB1498" s="21">
        <f t="shared" si="439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0"/>
        <v>28011162.254106201</v>
      </c>
      <c r="AJ1498" s="19">
        <f t="shared" si="441"/>
        <v>3401347.1124888416</v>
      </c>
      <c r="AK1498" s="20">
        <f t="shared" si="448"/>
        <v>0.12142827497242578</v>
      </c>
      <c r="AL1498" s="17"/>
      <c r="AM1498" s="17"/>
      <c r="AN1498" s="17"/>
      <c r="AO1498" s="17"/>
      <c r="AP1498" s="28" t="str">
        <f t="shared" si="449"/>
        <v>202010</v>
      </c>
      <c r="AQ1498" s="28" t="str">
        <f t="shared" si="450"/>
        <v>202010RMB</v>
      </c>
      <c r="AR1498" s="206" t="str">
        <f t="shared" si="451"/>
        <v>YAMAHA_Mounter</v>
      </c>
      <c r="AS1498" s="22">
        <f t="shared" si="452"/>
        <v>1</v>
      </c>
      <c r="AT1498" s="24" t="str">
        <f t="shared" si="453"/>
        <v>0-3 months</v>
      </c>
      <c r="AU1498" s="22" t="s">
        <v>3240</v>
      </c>
    </row>
    <row r="1499" spans="1:47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53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1723</v>
      </c>
      <c r="K1499" s="155" t="s">
        <v>1417</v>
      </c>
      <c r="L1499" s="17" t="s">
        <v>92</v>
      </c>
      <c r="M1499" s="13" t="s">
        <v>60</v>
      </c>
      <c r="N1499" s="13">
        <v>1</v>
      </c>
      <c r="O1499" s="13"/>
      <c r="P1499" s="33" t="str">
        <f t="shared" si="445"/>
        <v>MAIN UNIT</v>
      </c>
      <c r="Q1499" s="13" t="s">
        <v>61</v>
      </c>
      <c r="R1499" s="13" t="s">
        <v>62</v>
      </c>
      <c r="S1499" s="13" t="s">
        <v>49</v>
      </c>
      <c r="T1499" s="13" t="s">
        <v>78</v>
      </c>
      <c r="U1499" s="13" t="s">
        <v>79</v>
      </c>
      <c r="V1499" s="13" t="s">
        <v>126</v>
      </c>
      <c r="W1499" s="13" t="s">
        <v>109</v>
      </c>
      <c r="X1499" s="135">
        <v>13700000</v>
      </c>
      <c r="Y1499" s="157" t="str">
        <f t="shared" si="455"/>
        <v>1</v>
      </c>
      <c r="Z1499" s="18">
        <f t="shared" si="454"/>
        <v>13700000</v>
      </c>
      <c r="AA1499" s="13">
        <v>7.2800000000000004E-2</v>
      </c>
      <c r="AB1499" s="21">
        <f t="shared" si="439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0"/>
        <v>63006605.696460173</v>
      </c>
      <c r="AJ1499" s="19">
        <f t="shared" si="441"/>
        <v>8897485.660753984</v>
      </c>
      <c r="AK1499" s="20">
        <f t="shared" si="448"/>
        <v>0.141215124388995</v>
      </c>
      <c r="AL1499" s="17"/>
      <c r="AM1499" s="17"/>
      <c r="AN1499" s="17"/>
      <c r="AO1499" s="17"/>
      <c r="AP1499" s="28" t="str">
        <f t="shared" si="449"/>
        <v>20215</v>
      </c>
      <c r="AQ1499" s="28" t="str">
        <f t="shared" si="450"/>
        <v>20215JPY</v>
      </c>
      <c r="AR1499" s="206" t="str">
        <f t="shared" si="451"/>
        <v>YAMAHA_Mounter</v>
      </c>
      <c r="AS1499" s="22">
        <f t="shared" si="452"/>
        <v>3</v>
      </c>
      <c r="AT1499" s="24" t="str">
        <f t="shared" si="453"/>
        <v>0-3 months</v>
      </c>
      <c r="AU1499" s="22" t="s">
        <v>3745</v>
      </c>
    </row>
    <row r="1500" spans="1:47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54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2208</v>
      </c>
      <c r="K1500" s="155" t="s">
        <v>1417</v>
      </c>
      <c r="L1500" s="17" t="s">
        <v>67</v>
      </c>
      <c r="M1500" s="13" t="s">
        <v>60</v>
      </c>
      <c r="N1500" s="13">
        <v>1</v>
      </c>
      <c r="O1500" s="13"/>
      <c r="P1500" s="33" t="str">
        <f t="shared" si="445"/>
        <v>MAIN UNIT</v>
      </c>
      <c r="Q1500" s="13" t="s">
        <v>61</v>
      </c>
      <c r="R1500" s="13" t="s">
        <v>62</v>
      </c>
      <c r="S1500" s="13" t="s">
        <v>49</v>
      </c>
      <c r="T1500" s="13" t="s">
        <v>78</v>
      </c>
      <c r="U1500" s="13" t="s">
        <v>79</v>
      </c>
      <c r="V1500" s="13" t="s">
        <v>126</v>
      </c>
      <c r="W1500" s="13" t="s">
        <v>64</v>
      </c>
      <c r="X1500" s="135">
        <v>450000</v>
      </c>
      <c r="Y1500" s="157" t="str">
        <f t="shared" si="455"/>
        <v>1.13</v>
      </c>
      <c r="Z1500" s="18">
        <f t="shared" si="454"/>
        <v>450000</v>
      </c>
      <c r="AA1500" s="13">
        <v>1.175</v>
      </c>
      <c r="AB1500" s="21">
        <f t="shared" si="439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0"/>
        <v>35682787.057522126</v>
      </c>
      <c r="AJ1500" s="19">
        <f t="shared" si="441"/>
        <v>5833368.3789623892</v>
      </c>
      <c r="AK1500" s="20">
        <f t="shared" si="448"/>
        <v>0.16347849649632912</v>
      </c>
      <c r="AL1500" s="17"/>
      <c r="AM1500" s="17"/>
      <c r="AN1500" s="17"/>
      <c r="AO1500" s="17"/>
      <c r="AP1500" s="28" t="str">
        <f t="shared" si="449"/>
        <v>20226</v>
      </c>
      <c r="AQ1500" s="28" t="str">
        <f t="shared" si="450"/>
        <v>20226RMB</v>
      </c>
      <c r="AR1500" s="206" t="str">
        <f t="shared" si="451"/>
        <v>YAMAHA_Mounter</v>
      </c>
      <c r="AS1500" s="22">
        <f t="shared" si="452"/>
        <v>0</v>
      </c>
      <c r="AT1500" s="24" t="str">
        <f t="shared" si="453"/>
        <v>0-3 months</v>
      </c>
      <c r="AU1500" s="22" t="s">
        <v>3751</v>
      </c>
    </row>
    <row r="1501" spans="1:47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54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2208</v>
      </c>
      <c r="K1501" s="155" t="s">
        <v>1417</v>
      </c>
      <c r="L1501" s="17" t="s">
        <v>67</v>
      </c>
      <c r="M1501" s="13" t="s">
        <v>60</v>
      </c>
      <c r="N1501" s="13">
        <v>1</v>
      </c>
      <c r="O1501" s="13"/>
      <c r="P1501" s="33" t="str">
        <f t="shared" si="445"/>
        <v>MAIN UNIT</v>
      </c>
      <c r="Q1501" s="13" t="s">
        <v>61</v>
      </c>
      <c r="R1501" s="13" t="s">
        <v>62</v>
      </c>
      <c r="S1501" s="13" t="s">
        <v>49</v>
      </c>
      <c r="T1501" s="13" t="s">
        <v>78</v>
      </c>
      <c r="U1501" s="13" t="s">
        <v>79</v>
      </c>
      <c r="V1501" s="13" t="s">
        <v>126</v>
      </c>
      <c r="W1501" s="13" t="s">
        <v>64</v>
      </c>
      <c r="X1501" s="135">
        <v>450000</v>
      </c>
      <c r="Y1501" s="157" t="str">
        <f t="shared" si="455"/>
        <v>1.13</v>
      </c>
      <c r="Z1501" s="18">
        <f t="shared" si="454"/>
        <v>450000</v>
      </c>
      <c r="AA1501" s="13">
        <v>1.175</v>
      </c>
      <c r="AB1501" s="21">
        <f t="shared" si="439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0"/>
        <v>35682787.057522126</v>
      </c>
      <c r="AJ1501" s="19">
        <f t="shared" si="441"/>
        <v>5833368.3789623892</v>
      </c>
      <c r="AK1501" s="20">
        <f t="shared" si="448"/>
        <v>0.16347849649632912</v>
      </c>
      <c r="AL1501" s="17"/>
      <c r="AM1501" s="17"/>
      <c r="AN1501" s="17"/>
      <c r="AO1501" s="17"/>
      <c r="AP1501" s="28" t="str">
        <f t="shared" si="449"/>
        <v>20226</v>
      </c>
      <c r="AQ1501" s="28" t="str">
        <f t="shared" si="450"/>
        <v>20226RMB</v>
      </c>
      <c r="AR1501" s="206" t="str">
        <f t="shared" si="451"/>
        <v>YAMAHA_Mounter</v>
      </c>
      <c r="AS1501" s="22">
        <f t="shared" si="452"/>
        <v>0</v>
      </c>
      <c r="AT1501" s="24" t="str">
        <f t="shared" si="453"/>
        <v>0-3 months</v>
      </c>
      <c r="AU1501" s="22" t="s">
        <v>3751</v>
      </c>
    </row>
    <row r="1502" spans="1:47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48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1702</v>
      </c>
      <c r="K1502" s="155" t="s">
        <v>1703</v>
      </c>
      <c r="L1502" s="17" t="s">
        <v>92</v>
      </c>
      <c r="M1502" s="13" t="s">
        <v>60</v>
      </c>
      <c r="N1502" s="13">
        <v>1</v>
      </c>
      <c r="O1502" s="13"/>
      <c r="P1502" s="33" t="str">
        <f t="shared" si="445"/>
        <v>MAIN UNIT</v>
      </c>
      <c r="Q1502" s="13" t="s">
        <v>61</v>
      </c>
      <c r="R1502" s="13" t="s">
        <v>62</v>
      </c>
      <c r="S1502" s="13" t="s">
        <v>49</v>
      </c>
      <c r="T1502" s="13" t="s">
        <v>78</v>
      </c>
      <c r="U1502" s="13" t="s">
        <v>79</v>
      </c>
      <c r="V1502" s="13" t="s">
        <v>80</v>
      </c>
      <c r="W1502" s="13" t="s">
        <v>109</v>
      </c>
      <c r="X1502" s="135">
        <v>11530000</v>
      </c>
      <c r="Y1502" s="157" t="str">
        <f t="shared" si="455"/>
        <v>1</v>
      </c>
      <c r="Z1502" s="18">
        <f t="shared" si="454"/>
        <v>11530000</v>
      </c>
      <c r="AA1502" s="13">
        <v>7.4499999999999997E-2</v>
      </c>
      <c r="AB1502" s="21">
        <f t="shared" si="439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0"/>
        <v>57778307.282035396</v>
      </c>
      <c r="AJ1502" s="19">
        <f t="shared" si="441"/>
        <v>7259860.7225420559</v>
      </c>
      <c r="AK1502" s="20">
        <f t="shared" si="448"/>
        <v>0.12565028406083667</v>
      </c>
      <c r="AL1502" s="17"/>
      <c r="AM1502" s="17"/>
      <c r="AN1502" s="17"/>
      <c r="AO1502" s="17"/>
      <c r="AP1502" s="28" t="str">
        <f t="shared" si="449"/>
        <v>20213</v>
      </c>
      <c r="AQ1502" s="28" t="str">
        <f t="shared" si="450"/>
        <v>20213JPY</v>
      </c>
      <c r="AR1502" s="206" t="str">
        <f t="shared" si="451"/>
        <v>YAMAHA_Mounter</v>
      </c>
      <c r="AS1502" s="22">
        <f t="shared" si="452"/>
        <v>0</v>
      </c>
      <c r="AT1502" s="24" t="str">
        <f t="shared" si="453"/>
        <v>0-3 months</v>
      </c>
      <c r="AU1502" s="22" t="s">
        <v>3746</v>
      </c>
    </row>
    <row r="1503" spans="1:47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48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1702</v>
      </c>
      <c r="K1503" s="155" t="s">
        <v>1703</v>
      </c>
      <c r="L1503" s="17" t="s">
        <v>92</v>
      </c>
      <c r="M1503" s="13" t="s">
        <v>60</v>
      </c>
      <c r="N1503" s="13">
        <v>1</v>
      </c>
      <c r="O1503" s="13"/>
      <c r="P1503" s="33" t="str">
        <f t="shared" si="445"/>
        <v>MAIN UNIT</v>
      </c>
      <c r="Q1503" s="13" t="s">
        <v>61</v>
      </c>
      <c r="R1503" s="13" t="s">
        <v>62</v>
      </c>
      <c r="S1503" s="13" t="s">
        <v>49</v>
      </c>
      <c r="T1503" s="13" t="s">
        <v>78</v>
      </c>
      <c r="U1503" s="13" t="s">
        <v>79</v>
      </c>
      <c r="V1503" s="13" t="s">
        <v>80</v>
      </c>
      <c r="W1503" s="13" t="s">
        <v>109</v>
      </c>
      <c r="X1503" s="135">
        <v>11530000</v>
      </c>
      <c r="Y1503" s="157" t="str">
        <f t="shared" si="455"/>
        <v>1</v>
      </c>
      <c r="Z1503" s="18">
        <f t="shared" si="454"/>
        <v>11530000</v>
      </c>
      <c r="AA1503" s="13">
        <v>7.4499999999999997E-2</v>
      </c>
      <c r="AB1503" s="21">
        <f t="shared" si="439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0"/>
        <v>57778307.282035396</v>
      </c>
      <c r="AJ1503" s="19">
        <f t="shared" si="441"/>
        <v>7259860.7225420559</v>
      </c>
      <c r="AK1503" s="20">
        <f t="shared" si="448"/>
        <v>0.12565028406083667</v>
      </c>
      <c r="AL1503" s="17"/>
      <c r="AM1503" s="17"/>
      <c r="AN1503" s="17"/>
      <c r="AO1503" s="17"/>
      <c r="AP1503" s="28" t="str">
        <f t="shared" si="449"/>
        <v>20213</v>
      </c>
      <c r="AQ1503" s="28" t="str">
        <f t="shared" si="450"/>
        <v>20213JPY</v>
      </c>
      <c r="AR1503" s="206" t="str">
        <f t="shared" si="451"/>
        <v>YAMAHA_Mounter</v>
      </c>
      <c r="AS1503" s="22">
        <f t="shared" si="452"/>
        <v>0</v>
      </c>
      <c r="AT1503" s="24" t="str">
        <f t="shared" si="453"/>
        <v>0-3 months</v>
      </c>
      <c r="AU1503" s="22" t="s">
        <v>3746</v>
      </c>
    </row>
    <row r="1504" spans="1:47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48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1702</v>
      </c>
      <c r="K1504" s="155" t="s">
        <v>1703</v>
      </c>
      <c r="L1504" s="17" t="s">
        <v>67</v>
      </c>
      <c r="M1504" s="13" t="s">
        <v>60</v>
      </c>
      <c r="N1504" s="13">
        <v>1</v>
      </c>
      <c r="O1504" s="13"/>
      <c r="P1504" s="33" t="str">
        <f t="shared" si="445"/>
        <v>MAIN UNIT</v>
      </c>
      <c r="Q1504" s="13" t="s">
        <v>61</v>
      </c>
      <c r="R1504" s="13" t="s">
        <v>62</v>
      </c>
      <c r="S1504" s="13" t="s">
        <v>49</v>
      </c>
      <c r="T1504" s="13" t="s">
        <v>78</v>
      </c>
      <c r="U1504" s="13" t="s">
        <v>79</v>
      </c>
      <c r="V1504" s="13" t="s">
        <v>80</v>
      </c>
      <c r="W1504" s="13" t="s">
        <v>109</v>
      </c>
      <c r="X1504" s="135">
        <v>7500000</v>
      </c>
      <c r="Y1504" s="157" t="str">
        <f t="shared" si="455"/>
        <v>1</v>
      </c>
      <c r="Z1504" s="18">
        <f t="shared" si="454"/>
        <v>7500000</v>
      </c>
      <c r="AA1504" s="13">
        <v>7.4499999999999997E-2</v>
      </c>
      <c r="AB1504" s="21">
        <f t="shared" si="439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0"/>
        <v>57778307.282035396</v>
      </c>
      <c r="AJ1504" s="19">
        <f t="shared" si="441"/>
        <v>7259860.7225420559</v>
      </c>
      <c r="AK1504" s="20">
        <f t="shared" si="448"/>
        <v>0.12565028406083667</v>
      </c>
      <c r="AL1504" s="17"/>
      <c r="AM1504" s="17"/>
      <c r="AN1504" s="17"/>
      <c r="AO1504" s="17"/>
      <c r="AP1504" s="28" t="str">
        <f t="shared" si="449"/>
        <v>20213</v>
      </c>
      <c r="AQ1504" s="28" t="str">
        <f t="shared" si="450"/>
        <v>20213JPY</v>
      </c>
      <c r="AR1504" s="206" t="str">
        <f t="shared" si="451"/>
        <v>YAMAHA_Mounter</v>
      </c>
      <c r="AS1504" s="22">
        <f t="shared" si="452"/>
        <v>0</v>
      </c>
      <c r="AT1504" s="24" t="str">
        <f t="shared" si="453"/>
        <v>0-3 months</v>
      </c>
      <c r="AU1504" s="22" t="s">
        <v>3746</v>
      </c>
    </row>
    <row r="1505" spans="1:47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48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1702</v>
      </c>
      <c r="K1505" s="155" t="s">
        <v>1703</v>
      </c>
      <c r="L1505" s="17" t="s">
        <v>67</v>
      </c>
      <c r="M1505" s="13" t="s">
        <v>60</v>
      </c>
      <c r="N1505" s="13">
        <v>1</v>
      </c>
      <c r="O1505" s="13"/>
      <c r="P1505" s="33" t="str">
        <f t="shared" si="445"/>
        <v>MAIN UNIT</v>
      </c>
      <c r="Q1505" s="13" t="s">
        <v>61</v>
      </c>
      <c r="R1505" s="13" t="s">
        <v>62</v>
      </c>
      <c r="S1505" s="13" t="s">
        <v>49</v>
      </c>
      <c r="T1505" s="13" t="s">
        <v>78</v>
      </c>
      <c r="U1505" s="13" t="s">
        <v>79</v>
      </c>
      <c r="V1505" s="13" t="s">
        <v>80</v>
      </c>
      <c r="W1505" s="13" t="s">
        <v>109</v>
      </c>
      <c r="X1505" s="135">
        <v>7500000</v>
      </c>
      <c r="Y1505" s="157" t="str">
        <f t="shared" si="455"/>
        <v>1</v>
      </c>
      <c r="Z1505" s="18">
        <f t="shared" si="454"/>
        <v>7500000</v>
      </c>
      <c r="AA1505" s="13">
        <v>7.4499999999999997E-2</v>
      </c>
      <c r="AB1505" s="21">
        <f t="shared" si="439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0"/>
        <v>57778307.282035396</v>
      </c>
      <c r="AJ1505" s="19">
        <f t="shared" si="441"/>
        <v>7259860.7225420559</v>
      </c>
      <c r="AK1505" s="20">
        <f t="shared" si="448"/>
        <v>0.12565028406083667</v>
      </c>
      <c r="AL1505" s="17"/>
      <c r="AM1505" s="17"/>
      <c r="AN1505" s="17"/>
      <c r="AO1505" s="17"/>
      <c r="AP1505" s="28" t="str">
        <f t="shared" si="449"/>
        <v>20213</v>
      </c>
      <c r="AQ1505" s="28" t="str">
        <f t="shared" si="450"/>
        <v>20213JPY</v>
      </c>
      <c r="AR1505" s="206" t="str">
        <f t="shared" si="451"/>
        <v>YAMAHA_Mounter</v>
      </c>
      <c r="AS1505" s="22">
        <f t="shared" si="452"/>
        <v>0</v>
      </c>
      <c r="AT1505" s="24" t="str">
        <f t="shared" si="453"/>
        <v>0-3 months</v>
      </c>
      <c r="AU1505" s="22" t="s">
        <v>3746</v>
      </c>
    </row>
    <row r="1506" spans="1:47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48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1702</v>
      </c>
      <c r="K1506" s="155" t="s">
        <v>1703</v>
      </c>
      <c r="L1506" s="17" t="s">
        <v>92</v>
      </c>
      <c r="M1506" s="13" t="s">
        <v>60</v>
      </c>
      <c r="N1506" s="13">
        <v>1</v>
      </c>
      <c r="O1506" s="13"/>
      <c r="P1506" s="33" t="str">
        <f t="shared" si="445"/>
        <v>MAIN UNIT</v>
      </c>
      <c r="Q1506" s="13" t="s">
        <v>61</v>
      </c>
      <c r="R1506" s="13" t="s">
        <v>62</v>
      </c>
      <c r="S1506" s="13" t="s">
        <v>49</v>
      </c>
      <c r="T1506" s="13" t="s">
        <v>78</v>
      </c>
      <c r="U1506" s="13" t="s">
        <v>79</v>
      </c>
      <c r="V1506" s="13" t="s">
        <v>80</v>
      </c>
      <c r="W1506" s="13" t="s">
        <v>109</v>
      </c>
      <c r="X1506" s="135">
        <v>11530000</v>
      </c>
      <c r="Y1506" s="157" t="str">
        <f t="shared" si="455"/>
        <v>1</v>
      </c>
      <c r="Z1506" s="18">
        <f t="shared" si="454"/>
        <v>11530000</v>
      </c>
      <c r="AA1506" s="13">
        <v>7.4499999999999997E-2</v>
      </c>
      <c r="AB1506" s="21">
        <f t="shared" si="439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0"/>
        <v>57778307.282035396</v>
      </c>
      <c r="AJ1506" s="19">
        <f t="shared" si="441"/>
        <v>7259860.7225420559</v>
      </c>
      <c r="AK1506" s="20">
        <f t="shared" si="448"/>
        <v>0.12565028406083667</v>
      </c>
      <c r="AL1506" s="17"/>
      <c r="AM1506" s="17"/>
      <c r="AN1506" s="17"/>
      <c r="AO1506" s="17"/>
      <c r="AP1506" s="28" t="str">
        <f t="shared" si="449"/>
        <v>20213</v>
      </c>
      <c r="AQ1506" s="28" t="str">
        <f t="shared" si="450"/>
        <v>20213JPY</v>
      </c>
      <c r="AR1506" s="206" t="str">
        <f t="shared" si="451"/>
        <v>YAMAHA_Mounter</v>
      </c>
      <c r="AS1506" s="22">
        <f t="shared" si="452"/>
        <v>0</v>
      </c>
      <c r="AT1506" s="24" t="str">
        <f t="shared" si="453"/>
        <v>0-3 months</v>
      </c>
      <c r="AU1506" s="22" t="s">
        <v>3746</v>
      </c>
    </row>
    <row r="1507" spans="1:47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48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1702</v>
      </c>
      <c r="K1507" s="155" t="s">
        <v>1703</v>
      </c>
      <c r="L1507" s="17" t="s">
        <v>92</v>
      </c>
      <c r="M1507" s="13" t="s">
        <v>60</v>
      </c>
      <c r="N1507" s="13">
        <v>1</v>
      </c>
      <c r="O1507" s="13"/>
      <c r="P1507" s="33" t="str">
        <f t="shared" si="445"/>
        <v>MAIN UNIT</v>
      </c>
      <c r="Q1507" s="13" t="s">
        <v>61</v>
      </c>
      <c r="R1507" s="13" t="s">
        <v>62</v>
      </c>
      <c r="S1507" s="13" t="s">
        <v>49</v>
      </c>
      <c r="T1507" s="13" t="s">
        <v>78</v>
      </c>
      <c r="U1507" s="13" t="s">
        <v>79</v>
      </c>
      <c r="V1507" s="13" t="s">
        <v>80</v>
      </c>
      <c r="W1507" s="13" t="s">
        <v>109</v>
      </c>
      <c r="X1507" s="135">
        <v>11530000</v>
      </c>
      <c r="Y1507" s="157" t="str">
        <f t="shared" si="455"/>
        <v>1</v>
      </c>
      <c r="Z1507" s="18">
        <f t="shared" si="454"/>
        <v>11530000</v>
      </c>
      <c r="AA1507" s="13">
        <v>7.4499999999999997E-2</v>
      </c>
      <c r="AB1507" s="21">
        <f t="shared" si="439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0"/>
        <v>57778307.282035396</v>
      </c>
      <c r="AJ1507" s="19">
        <f t="shared" si="441"/>
        <v>7259860.7225420559</v>
      </c>
      <c r="AK1507" s="20">
        <f t="shared" si="448"/>
        <v>0.12565028406083667</v>
      </c>
      <c r="AL1507" s="17"/>
      <c r="AM1507" s="17"/>
      <c r="AN1507" s="17"/>
      <c r="AO1507" s="17"/>
      <c r="AP1507" s="28" t="str">
        <f t="shared" si="449"/>
        <v>20213</v>
      </c>
      <c r="AQ1507" s="28" t="str">
        <f t="shared" si="450"/>
        <v>20213JPY</v>
      </c>
      <c r="AR1507" s="206" t="str">
        <f t="shared" si="451"/>
        <v>YAMAHA_Mounter</v>
      </c>
      <c r="AS1507" s="22">
        <f t="shared" si="452"/>
        <v>0</v>
      </c>
      <c r="AT1507" s="24" t="str">
        <f t="shared" si="453"/>
        <v>0-3 months</v>
      </c>
      <c r="AU1507" s="22" t="s">
        <v>3746</v>
      </c>
    </row>
    <row r="1508" spans="1:47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48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1702</v>
      </c>
      <c r="K1508" s="155" t="s">
        <v>1703</v>
      </c>
      <c r="L1508" s="17" t="s">
        <v>67</v>
      </c>
      <c r="M1508" s="13" t="s">
        <v>60</v>
      </c>
      <c r="N1508" s="13">
        <v>1</v>
      </c>
      <c r="O1508" s="13"/>
      <c r="P1508" s="33" t="str">
        <f t="shared" si="445"/>
        <v>MAIN UNIT</v>
      </c>
      <c r="Q1508" s="13" t="s">
        <v>61</v>
      </c>
      <c r="R1508" s="13" t="s">
        <v>62</v>
      </c>
      <c r="S1508" s="13" t="s">
        <v>49</v>
      </c>
      <c r="T1508" s="13" t="s">
        <v>78</v>
      </c>
      <c r="U1508" s="13" t="s">
        <v>79</v>
      </c>
      <c r="V1508" s="13" t="s">
        <v>80</v>
      </c>
      <c r="W1508" s="13" t="s">
        <v>109</v>
      </c>
      <c r="X1508" s="135">
        <v>7500000</v>
      </c>
      <c r="Y1508" s="157" t="str">
        <f t="shared" si="455"/>
        <v>1</v>
      </c>
      <c r="Z1508" s="18">
        <f t="shared" si="454"/>
        <v>7500000</v>
      </c>
      <c r="AA1508" s="13">
        <v>7.4499999999999997E-2</v>
      </c>
      <c r="AB1508" s="21">
        <f t="shared" si="439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0"/>
        <v>57778307.282035396</v>
      </c>
      <c r="AJ1508" s="19">
        <f t="shared" si="441"/>
        <v>7259860.7225420559</v>
      </c>
      <c r="AK1508" s="20">
        <f t="shared" si="448"/>
        <v>0.12565028406083667</v>
      </c>
      <c r="AL1508" s="17"/>
      <c r="AM1508" s="17"/>
      <c r="AN1508" s="17"/>
      <c r="AO1508" s="17"/>
      <c r="AP1508" s="28" t="str">
        <f t="shared" si="449"/>
        <v>20213</v>
      </c>
      <c r="AQ1508" s="28" t="str">
        <f t="shared" si="450"/>
        <v>20213JPY</v>
      </c>
      <c r="AR1508" s="206" t="str">
        <f t="shared" si="451"/>
        <v>YAMAHA_Mounter</v>
      </c>
      <c r="AS1508" s="22">
        <f t="shared" si="452"/>
        <v>0</v>
      </c>
      <c r="AT1508" s="24" t="str">
        <f t="shared" si="453"/>
        <v>0-3 months</v>
      </c>
      <c r="AU1508" s="22" t="s">
        <v>3746</v>
      </c>
    </row>
    <row r="1509" spans="1:47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48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1702</v>
      </c>
      <c r="K1509" s="155" t="s">
        <v>1703</v>
      </c>
      <c r="L1509" s="17" t="s">
        <v>67</v>
      </c>
      <c r="M1509" s="13" t="s">
        <v>60</v>
      </c>
      <c r="N1509" s="13">
        <v>1</v>
      </c>
      <c r="O1509" s="13"/>
      <c r="P1509" s="33" t="str">
        <f t="shared" si="445"/>
        <v>MAIN UNIT</v>
      </c>
      <c r="Q1509" s="13" t="s">
        <v>61</v>
      </c>
      <c r="R1509" s="13" t="s">
        <v>62</v>
      </c>
      <c r="S1509" s="13" t="s">
        <v>49</v>
      </c>
      <c r="T1509" s="13" t="s">
        <v>78</v>
      </c>
      <c r="U1509" s="13" t="s">
        <v>79</v>
      </c>
      <c r="V1509" s="13" t="s">
        <v>80</v>
      </c>
      <c r="W1509" s="13" t="s">
        <v>109</v>
      </c>
      <c r="X1509" s="135">
        <v>7500000</v>
      </c>
      <c r="Y1509" s="157" t="str">
        <f t="shared" si="455"/>
        <v>1</v>
      </c>
      <c r="Z1509" s="18">
        <f t="shared" si="454"/>
        <v>7500000</v>
      </c>
      <c r="AA1509" s="13">
        <v>7.4499999999999997E-2</v>
      </c>
      <c r="AB1509" s="21">
        <f t="shared" si="439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0"/>
        <v>57778307.282035396</v>
      </c>
      <c r="AJ1509" s="19">
        <f t="shared" si="441"/>
        <v>7259860.7225420559</v>
      </c>
      <c r="AK1509" s="20">
        <f t="shared" si="448"/>
        <v>0.12565028406083667</v>
      </c>
      <c r="AL1509" s="17"/>
      <c r="AM1509" s="17"/>
      <c r="AN1509" s="17"/>
      <c r="AO1509" s="17"/>
      <c r="AP1509" s="28" t="str">
        <f t="shared" si="449"/>
        <v>20213</v>
      </c>
      <c r="AQ1509" s="28" t="str">
        <f t="shared" si="450"/>
        <v>20213JPY</v>
      </c>
      <c r="AR1509" s="206" t="str">
        <f t="shared" si="451"/>
        <v>YAMAHA_Mounter</v>
      </c>
      <c r="AS1509" s="22">
        <f t="shared" si="452"/>
        <v>0</v>
      </c>
      <c r="AT1509" s="24" t="str">
        <f t="shared" si="453"/>
        <v>0-3 months</v>
      </c>
      <c r="AU1509" s="22" t="s">
        <v>3746</v>
      </c>
    </row>
    <row r="1510" spans="1:47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185</v>
      </c>
      <c r="G1510" s="152" t="s">
        <v>185</v>
      </c>
      <c r="H1510" s="29"/>
      <c r="I1510" s="33" t="str">
        <f t="shared" si="444"/>
        <v>Cancel</v>
      </c>
      <c r="J1510" s="188" t="s">
        <v>3178</v>
      </c>
      <c r="K1510" s="29" t="s">
        <v>3176</v>
      </c>
      <c r="L1510" s="17" t="s">
        <v>2620</v>
      </c>
      <c r="M1510" s="22" t="s">
        <v>60</v>
      </c>
      <c r="N1510" s="22">
        <v>1</v>
      </c>
      <c r="O1510" s="22"/>
      <c r="P1510" s="33" t="str">
        <f t="shared" si="445"/>
        <v>MAIN UNIT</v>
      </c>
      <c r="Q1510" s="13" t="s">
        <v>61</v>
      </c>
      <c r="R1510" s="22" t="s">
        <v>2055</v>
      </c>
      <c r="S1510" s="22" t="s">
        <v>49</v>
      </c>
      <c r="T1510" s="22" t="s">
        <v>1071</v>
      </c>
      <c r="U1510" s="22" t="s">
        <v>2110</v>
      </c>
      <c r="V1510" s="22" t="s">
        <v>121</v>
      </c>
      <c r="W1510" s="22" t="s">
        <v>109</v>
      </c>
      <c r="X1510" s="30">
        <v>8500000</v>
      </c>
      <c r="Y1510" s="31" t="str">
        <f>IF(W1510="","",IF(W1510="RMB","1.13", "1"))</f>
        <v>1</v>
      </c>
      <c r="Z1510" s="18">
        <f t="shared" si="454"/>
        <v>8500000</v>
      </c>
      <c r="AA1510" s="13">
        <v>5.0999999999999997E-2</v>
      </c>
      <c r="AB1510" s="21">
        <f t="shared" si="439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0"/>
        <v>499582152.5142017</v>
      </c>
      <c r="AJ1510" s="27">
        <f t="shared" si="441"/>
        <v>59520528.679470733</v>
      </c>
      <c r="AK1510" s="28">
        <f t="shared" si="448"/>
        <v>0.11914062257814291</v>
      </c>
      <c r="AL1510" s="24"/>
      <c r="AM1510" s="24"/>
      <c r="AN1510" s="24"/>
      <c r="AO1510" s="24"/>
      <c r="AP1510" s="28" t="str">
        <f t="shared" si="449"/>
        <v>CancelCancel</v>
      </c>
      <c r="AQ1510" s="28" t="str">
        <f t="shared" si="450"/>
        <v>CancelCancelJPY</v>
      </c>
      <c r="AR1510" s="206" t="str">
        <f t="shared" si="451"/>
        <v>YAMAHA_Non_Mounter</v>
      </c>
      <c r="AS1510" s="22" t="str">
        <f t="shared" si="452"/>
        <v/>
      </c>
      <c r="AT1510" s="24" t="str">
        <f t="shared" si="453"/>
        <v/>
      </c>
      <c r="AU1510" s="22" t="s">
        <v>3746</v>
      </c>
    </row>
    <row r="1511" spans="1:47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3172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3459</v>
      </c>
      <c r="K1511" s="29" t="s">
        <v>1214</v>
      </c>
      <c r="L1511" s="17" t="s">
        <v>92</v>
      </c>
      <c r="M1511" s="22" t="s">
        <v>60</v>
      </c>
      <c r="N1511" s="22">
        <v>1</v>
      </c>
      <c r="O1511" s="22"/>
      <c r="P1511" s="33" t="str">
        <f t="shared" si="445"/>
        <v>MAIN UNIT</v>
      </c>
      <c r="Q1511" s="22" t="s">
        <v>61</v>
      </c>
      <c r="R1511" s="22" t="s">
        <v>62</v>
      </c>
      <c r="S1511" s="22" t="s">
        <v>49</v>
      </c>
      <c r="T1511" s="22" t="s">
        <v>78</v>
      </c>
      <c r="U1511" s="22" t="s">
        <v>78</v>
      </c>
      <c r="V1511" s="22" t="s">
        <v>126</v>
      </c>
      <c r="W1511" s="22" t="s">
        <v>64</v>
      </c>
      <c r="X1511" s="104">
        <v>897999.7</v>
      </c>
      <c r="Y1511" s="195" t="str">
        <f>IF(W1511="","",IF(W1511="RMB","1.13", "1"))</f>
        <v>1.13</v>
      </c>
      <c r="Z1511" s="196">
        <f t="shared" si="454"/>
        <v>897999.7</v>
      </c>
      <c r="AA1511" s="22">
        <v>1.08</v>
      </c>
      <c r="AB1511" s="197">
        <f t="shared" si="439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0"/>
        <v>27308925.887079656</v>
      </c>
      <c r="AJ1511" s="200">
        <f t="shared" si="441"/>
        <v>3319273.860338124</v>
      </c>
      <c r="AK1511" s="201">
        <f t="shared" si="448"/>
        <v>0.12154538314919709</v>
      </c>
      <c r="AL1511" s="24"/>
      <c r="AM1511" s="24"/>
      <c r="AN1511" s="24"/>
      <c r="AO1511" s="24"/>
      <c r="AP1511" s="105" t="str">
        <f t="shared" si="449"/>
        <v>20246</v>
      </c>
      <c r="AQ1511" s="28" t="str">
        <f t="shared" si="450"/>
        <v>20246RMB</v>
      </c>
      <c r="AR1511" s="206" t="str">
        <f t="shared" si="451"/>
        <v>YAMAHA_Mounter</v>
      </c>
      <c r="AS1511" s="22">
        <f t="shared" si="452"/>
        <v>1</v>
      </c>
      <c r="AT1511" s="24" t="str">
        <f t="shared" si="453"/>
        <v>0-3 months</v>
      </c>
      <c r="AU1511" s="22" t="s">
        <v>3751</v>
      </c>
    </row>
    <row r="1512" spans="1:47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56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157</v>
      </c>
      <c r="K1512" s="155" t="s">
        <v>158</v>
      </c>
      <c r="L1512" s="17" t="s">
        <v>100</v>
      </c>
      <c r="M1512" s="13" t="s">
        <v>60</v>
      </c>
      <c r="N1512" s="13">
        <v>1</v>
      </c>
      <c r="O1512" s="13"/>
      <c r="P1512" s="33" t="str">
        <f t="shared" si="445"/>
        <v>MAIN UNIT</v>
      </c>
      <c r="Q1512" s="13" t="s">
        <v>68</v>
      </c>
      <c r="R1512" s="13" t="s">
        <v>62</v>
      </c>
      <c r="S1512" s="13" t="s">
        <v>51</v>
      </c>
      <c r="T1512" s="13" t="s">
        <v>159</v>
      </c>
      <c r="U1512" s="13" t="s">
        <v>149</v>
      </c>
      <c r="V1512" s="13" t="s">
        <v>160</v>
      </c>
      <c r="W1512" s="13" t="s">
        <v>64</v>
      </c>
      <c r="X1512" s="135">
        <v>507000</v>
      </c>
      <c r="Y1512" s="156">
        <v>1.17</v>
      </c>
      <c r="Z1512" s="18">
        <f t="shared" si="454"/>
        <v>507000</v>
      </c>
      <c r="AA1512" s="13">
        <v>1.123</v>
      </c>
      <c r="AB1512" s="21">
        <f t="shared" si="439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0"/>
        <v>13250187.062905986</v>
      </c>
      <c r="AJ1512" s="19">
        <f t="shared" si="441"/>
        <v>1545643.7555487182</v>
      </c>
      <c r="AK1512" s="20">
        <f t="shared" si="448"/>
        <v>0.11665071203981424</v>
      </c>
      <c r="AL1512" s="17" t="s">
        <v>161</v>
      </c>
      <c r="AM1512" s="17">
        <v>507000</v>
      </c>
      <c r="AN1512" s="17" t="s">
        <v>162</v>
      </c>
      <c r="AO1512" s="17"/>
      <c r="AP1512" s="28" t="str">
        <f t="shared" si="449"/>
        <v>20183</v>
      </c>
      <c r="AQ1512" s="28" t="str">
        <f t="shared" si="450"/>
        <v>20183RMB</v>
      </c>
      <c r="AR1512" s="206" t="str">
        <f t="shared" si="451"/>
        <v>YAMAHA_Mounter</v>
      </c>
      <c r="AS1512" s="22">
        <f t="shared" si="452"/>
        <v>4</v>
      </c>
      <c r="AT1512" s="24" t="str">
        <f t="shared" si="453"/>
        <v>4-6 months</v>
      </c>
      <c r="AU1512" s="22" t="s">
        <v>3240</v>
      </c>
    </row>
    <row r="1513" spans="1:47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54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3035</v>
      </c>
      <c r="K1513" s="155" t="s">
        <v>3036</v>
      </c>
      <c r="L1513" s="17" t="s">
        <v>3037</v>
      </c>
      <c r="M1513" s="13" t="s">
        <v>2054</v>
      </c>
      <c r="N1513" s="13">
        <v>1</v>
      </c>
      <c r="O1513" s="13"/>
      <c r="P1513" s="33" t="str">
        <f t="shared" si="445"/>
        <v>MAIN UNIT</v>
      </c>
      <c r="Q1513" s="13" t="s">
        <v>68</v>
      </c>
      <c r="R1513" s="13" t="s">
        <v>2055</v>
      </c>
      <c r="S1513" s="13" t="s">
        <v>50</v>
      </c>
      <c r="T1513" s="13" t="s">
        <v>69</v>
      </c>
      <c r="U1513" s="13" t="s">
        <v>70</v>
      </c>
      <c r="V1513" s="13" t="s">
        <v>71</v>
      </c>
      <c r="W1513" s="13" t="s">
        <v>64</v>
      </c>
      <c r="X1513" s="135">
        <v>70000</v>
      </c>
      <c r="Y1513" s="157" t="str">
        <f>IF(W1513="","",IF(W1513="RMB","1.13", "1"))</f>
        <v>1.13</v>
      </c>
      <c r="Z1513" s="18">
        <f t="shared" si="454"/>
        <v>70000</v>
      </c>
      <c r="AA1513" s="13">
        <v>1.0900000000000001</v>
      </c>
      <c r="AB1513" s="21">
        <f t="shared" si="439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0"/>
        <v>17329060.066371687</v>
      </c>
      <c r="AJ1513" s="19">
        <f t="shared" si="441"/>
        <v>2472600.2142256643</v>
      </c>
      <c r="AK1513" s="20">
        <f t="shared" si="448"/>
        <v>0.14268518919984163</v>
      </c>
      <c r="AL1513" s="17"/>
      <c r="AM1513" s="17"/>
      <c r="AN1513" s="17"/>
      <c r="AO1513" s="17"/>
      <c r="AP1513" s="28" t="str">
        <f t="shared" si="449"/>
        <v>202212</v>
      </c>
      <c r="AQ1513" s="28" t="str">
        <f t="shared" si="450"/>
        <v>202212RMB</v>
      </c>
      <c r="AR1513" s="206" t="str">
        <f t="shared" si="451"/>
        <v>SOLDERSTAR</v>
      </c>
      <c r="AS1513" s="22">
        <f t="shared" si="452"/>
        <v>1</v>
      </c>
      <c r="AT1513" s="24" t="str">
        <f t="shared" si="453"/>
        <v>0-3 months</v>
      </c>
      <c r="AU1513" s="22" t="s">
        <v>3240</v>
      </c>
    </row>
    <row r="1514" spans="1:47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41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539</v>
      </c>
      <c r="K1514" s="155" t="s">
        <v>540</v>
      </c>
      <c r="L1514" s="17" t="s">
        <v>67</v>
      </c>
      <c r="M1514" s="13" t="s">
        <v>60</v>
      </c>
      <c r="N1514" s="13">
        <v>1</v>
      </c>
      <c r="O1514" s="13"/>
      <c r="P1514" s="33" t="str">
        <f t="shared" si="445"/>
        <v>MAIN UNIT</v>
      </c>
      <c r="Q1514" s="13" t="s">
        <v>61</v>
      </c>
      <c r="R1514" s="13" t="s">
        <v>62</v>
      </c>
      <c r="S1514" s="13" t="s">
        <v>50</v>
      </c>
      <c r="T1514" s="13" t="s">
        <v>88</v>
      </c>
      <c r="U1514" s="13" t="s">
        <v>70</v>
      </c>
      <c r="V1514" s="13" t="s">
        <v>94</v>
      </c>
      <c r="W1514" s="13" t="s">
        <v>64</v>
      </c>
      <c r="X1514" s="135">
        <v>740000</v>
      </c>
      <c r="Y1514" s="156">
        <v>1.1599999999999999</v>
      </c>
      <c r="Z1514" s="18">
        <f t="shared" si="454"/>
        <v>740000</v>
      </c>
      <c r="AA1514" s="13">
        <v>1.1599999999999999</v>
      </c>
      <c r="AB1514" s="21">
        <f t="shared" si="439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0"/>
        <v>47416008.333399981</v>
      </c>
      <c r="AJ1514" s="19">
        <f t="shared" si="441"/>
        <v>6981738.4465290187</v>
      </c>
      <c r="AK1514" s="20">
        <f t="shared" si="448"/>
        <v>0.14724433143839863</v>
      </c>
      <c r="AL1514" s="17"/>
      <c r="AM1514" s="17"/>
      <c r="AN1514" s="17"/>
      <c r="AO1514" s="17"/>
      <c r="AP1514" s="28" t="str">
        <f t="shared" si="449"/>
        <v>20193</v>
      </c>
      <c r="AQ1514" s="28" t="str">
        <f t="shared" si="450"/>
        <v>20193RMB</v>
      </c>
      <c r="AR1514" s="206" t="str">
        <f t="shared" si="451"/>
        <v>YAMAHA_Mounter</v>
      </c>
      <c r="AS1514" s="22">
        <f t="shared" si="452"/>
        <v>3</v>
      </c>
      <c r="AT1514" s="24" t="str">
        <f t="shared" si="453"/>
        <v>0-3 months</v>
      </c>
      <c r="AU1514" s="22" t="s">
        <v>3240</v>
      </c>
    </row>
    <row r="1515" spans="1:47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185</v>
      </c>
      <c r="F1515" s="13" t="s">
        <v>185</v>
      </c>
      <c r="G1515" s="13" t="s">
        <v>185</v>
      </c>
      <c r="H1515" s="155"/>
      <c r="I1515" s="33" t="str">
        <f t="shared" si="444"/>
        <v>Cancel</v>
      </c>
      <c r="J1515" s="186" t="s">
        <v>582</v>
      </c>
      <c r="K1515" s="155" t="s">
        <v>540</v>
      </c>
      <c r="L1515" s="17" t="s">
        <v>100</v>
      </c>
      <c r="M1515" s="13" t="s">
        <v>60</v>
      </c>
      <c r="N1515" s="13">
        <v>1</v>
      </c>
      <c r="O1515" s="13"/>
      <c r="P1515" s="33" t="str">
        <f t="shared" si="445"/>
        <v>MAIN UNIT</v>
      </c>
      <c r="Q1515" s="13" t="s">
        <v>61</v>
      </c>
      <c r="R1515" s="13" t="s">
        <v>62</v>
      </c>
      <c r="S1515" s="13" t="s">
        <v>50</v>
      </c>
      <c r="T1515" s="13" t="s">
        <v>88</v>
      </c>
      <c r="U1515" s="13" t="s">
        <v>70</v>
      </c>
      <c r="V1515" s="13" t="s">
        <v>94</v>
      </c>
      <c r="W1515" s="13" t="s">
        <v>64</v>
      </c>
      <c r="X1515" s="135">
        <v>440000</v>
      </c>
      <c r="Y1515" s="156">
        <v>1.17</v>
      </c>
      <c r="Z1515" s="18">
        <f t="shared" si="454"/>
        <v>440000</v>
      </c>
      <c r="AA1515" s="13">
        <v>1.23</v>
      </c>
      <c r="AB1515" s="21">
        <f t="shared" si="439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0"/>
        <v>499582152.5142017</v>
      </c>
      <c r="AJ1515" s="19">
        <f t="shared" si="441"/>
        <v>59520528.679470733</v>
      </c>
      <c r="AK1515" s="20">
        <f t="shared" si="448"/>
        <v>0.11914062257814291</v>
      </c>
      <c r="AL1515" s="17" t="s">
        <v>583</v>
      </c>
      <c r="AM1515" s="17">
        <v>440000</v>
      </c>
      <c r="AN1515" s="17" t="s">
        <v>584</v>
      </c>
      <c r="AO1515" s="17"/>
      <c r="AP1515" s="28" t="str">
        <f t="shared" si="449"/>
        <v>CancelCancel</v>
      </c>
      <c r="AQ1515" s="28" t="str">
        <f t="shared" si="450"/>
        <v>CancelCancelRMB</v>
      </c>
      <c r="AR1515" s="206" t="str">
        <f t="shared" si="451"/>
        <v>YAMAHA_Mounter</v>
      </c>
      <c r="AS1515" s="22" t="str">
        <f t="shared" si="452"/>
        <v/>
      </c>
      <c r="AT1515" s="24" t="str">
        <f t="shared" si="453"/>
        <v/>
      </c>
      <c r="AU1515" s="22" t="s">
        <v>3240</v>
      </c>
    </row>
    <row r="1516" spans="1:47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41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512</v>
      </c>
      <c r="K1516" s="155" t="s">
        <v>513</v>
      </c>
      <c r="L1516" s="17" t="s">
        <v>67</v>
      </c>
      <c r="M1516" s="13" t="s">
        <v>60</v>
      </c>
      <c r="N1516" s="13">
        <v>1</v>
      </c>
      <c r="O1516" s="13"/>
      <c r="P1516" s="33" t="str">
        <f t="shared" si="445"/>
        <v>MAIN UNIT</v>
      </c>
      <c r="Q1516" s="13" t="s">
        <v>61</v>
      </c>
      <c r="R1516" s="13" t="s">
        <v>62</v>
      </c>
      <c r="S1516" s="13" t="s">
        <v>50</v>
      </c>
      <c r="T1516" s="13" t="s">
        <v>88</v>
      </c>
      <c r="U1516" s="13" t="s">
        <v>70</v>
      </c>
      <c r="V1516" s="13" t="s">
        <v>94</v>
      </c>
      <c r="W1516" s="13" t="s">
        <v>64</v>
      </c>
      <c r="X1516" s="135">
        <v>696000</v>
      </c>
      <c r="Y1516" s="156">
        <v>1.1599999999999999</v>
      </c>
      <c r="Z1516" s="18">
        <f t="shared" si="454"/>
        <v>696000</v>
      </c>
      <c r="AA1516" s="13">
        <v>1.125</v>
      </c>
      <c r="AB1516" s="21">
        <f t="shared" si="439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0"/>
        <v>10785027.603448275</v>
      </c>
      <c r="AJ1516" s="19">
        <f t="shared" si="441"/>
        <v>1540894.1297982759</v>
      </c>
      <c r="AK1516" s="20">
        <f t="shared" si="448"/>
        <v>0.1428734525728621</v>
      </c>
      <c r="AL1516" s="17"/>
      <c r="AM1516" s="17"/>
      <c r="AN1516" s="17"/>
      <c r="AO1516" s="17"/>
      <c r="AP1516" s="28" t="str">
        <f t="shared" si="449"/>
        <v>201811</v>
      </c>
      <c r="AQ1516" s="28" t="str">
        <f t="shared" si="450"/>
        <v>201811RMB</v>
      </c>
      <c r="AR1516" s="206" t="str">
        <f t="shared" si="451"/>
        <v>YAMAHA_Mounter</v>
      </c>
      <c r="AS1516" s="22">
        <f t="shared" si="452"/>
        <v>1</v>
      </c>
      <c r="AT1516" s="24" t="str">
        <f t="shared" si="453"/>
        <v>0-3 months</v>
      </c>
      <c r="AU1516" s="22" t="s">
        <v>3240</v>
      </c>
    </row>
    <row r="1517" spans="1:47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41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2848</v>
      </c>
      <c r="K1517" s="155" t="s">
        <v>513</v>
      </c>
      <c r="L1517" s="17" t="s">
        <v>2780</v>
      </c>
      <c r="M1517" s="13" t="s">
        <v>60</v>
      </c>
      <c r="N1517" s="13">
        <v>1</v>
      </c>
      <c r="O1517" s="13"/>
      <c r="P1517" s="33" t="str">
        <f t="shared" si="445"/>
        <v>MAIN UNIT</v>
      </c>
      <c r="Q1517" s="13" t="s">
        <v>61</v>
      </c>
      <c r="R1517" s="13" t="s">
        <v>2055</v>
      </c>
      <c r="S1517" s="13" t="s">
        <v>50</v>
      </c>
      <c r="T1517" s="13" t="s">
        <v>101</v>
      </c>
      <c r="U1517" s="13" t="s">
        <v>70</v>
      </c>
      <c r="V1517" s="13" t="s">
        <v>94</v>
      </c>
      <c r="W1517" s="13" t="s">
        <v>64</v>
      </c>
      <c r="X1517" s="135">
        <v>570624</v>
      </c>
      <c r="Y1517" s="156">
        <v>1.1599999999999999</v>
      </c>
      <c r="Z1517" s="18">
        <f t="shared" si="454"/>
        <v>570624</v>
      </c>
      <c r="AA1517" s="13">
        <v>1.125</v>
      </c>
      <c r="AB1517" s="21">
        <f t="shared" si="439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0"/>
        <v>23237072.69172414</v>
      </c>
      <c r="AJ1517" s="19">
        <f t="shared" si="441"/>
        <v>2402195.7372206897</v>
      </c>
      <c r="AK1517" s="20">
        <f t="shared" si="448"/>
        <v>0.10337772614862238</v>
      </c>
      <c r="AL1517" s="17"/>
      <c r="AM1517" s="17"/>
      <c r="AN1517" s="17"/>
      <c r="AO1517" s="17"/>
      <c r="AP1517" s="28" t="str">
        <f t="shared" si="449"/>
        <v>20191</v>
      </c>
      <c r="AQ1517" s="28" t="str">
        <f t="shared" si="450"/>
        <v>20191RMB</v>
      </c>
      <c r="AR1517" s="206" t="str">
        <f t="shared" si="451"/>
        <v>YAMAHA_Non_Mounter</v>
      </c>
      <c r="AS1517" s="22">
        <f t="shared" si="452"/>
        <v>2</v>
      </c>
      <c r="AT1517" s="24" t="str">
        <f t="shared" si="453"/>
        <v>0-3 months</v>
      </c>
      <c r="AU1517" s="22" t="s">
        <v>3240</v>
      </c>
    </row>
    <row r="1518" spans="1:47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48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1134</v>
      </c>
      <c r="K1518" s="155" t="s">
        <v>1135</v>
      </c>
      <c r="L1518" s="17" t="s">
        <v>67</v>
      </c>
      <c r="M1518" s="13" t="s">
        <v>60</v>
      </c>
      <c r="N1518" s="13">
        <v>1</v>
      </c>
      <c r="O1518" s="13"/>
      <c r="P1518" s="33" t="str">
        <f t="shared" si="445"/>
        <v>MAIN UNIT</v>
      </c>
      <c r="Q1518" s="13" t="s">
        <v>68</v>
      </c>
      <c r="R1518" s="13" t="s">
        <v>62</v>
      </c>
      <c r="S1518" s="13" t="s">
        <v>50</v>
      </c>
      <c r="T1518" s="13" t="s">
        <v>88</v>
      </c>
      <c r="U1518" s="13" t="s">
        <v>70</v>
      </c>
      <c r="V1518" s="13" t="s">
        <v>94</v>
      </c>
      <c r="W1518" s="13" t="s">
        <v>64</v>
      </c>
      <c r="X1518" s="135">
        <v>487000</v>
      </c>
      <c r="Y1518" s="156">
        <v>1.1299999999999999</v>
      </c>
      <c r="Z1518" s="18">
        <f t="shared" si="454"/>
        <v>487000</v>
      </c>
      <c r="AA1518" s="13">
        <v>1.105</v>
      </c>
      <c r="AB1518" s="21">
        <f t="shared" si="439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0"/>
        <v>37969334.083628319</v>
      </c>
      <c r="AJ1518" s="19">
        <f t="shared" si="441"/>
        <v>5097226.4551657084</v>
      </c>
      <c r="AK1518" s="20">
        <f t="shared" si="448"/>
        <v>0.13424587441904964</v>
      </c>
      <c r="AL1518" s="17"/>
      <c r="AM1518" s="17"/>
      <c r="AN1518" s="17"/>
      <c r="AO1518" s="17"/>
      <c r="AP1518" s="28" t="str">
        <f t="shared" si="449"/>
        <v>20208</v>
      </c>
      <c r="AQ1518" s="28" t="str">
        <f t="shared" si="450"/>
        <v>20208RMB</v>
      </c>
      <c r="AR1518" s="206" t="str">
        <f t="shared" si="451"/>
        <v>YAMAHA_Mounter</v>
      </c>
      <c r="AS1518" s="22">
        <f t="shared" si="452"/>
        <v>0</v>
      </c>
      <c r="AT1518" s="24" t="str">
        <f t="shared" si="453"/>
        <v>0-3 months</v>
      </c>
      <c r="AU1518" s="22" t="s">
        <v>3240</v>
      </c>
    </row>
    <row r="1519" spans="1:47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41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309</v>
      </c>
      <c r="K1519" s="155" t="s">
        <v>310</v>
      </c>
      <c r="L1519" s="17" t="s">
        <v>77</v>
      </c>
      <c r="M1519" s="13" t="s">
        <v>60</v>
      </c>
      <c r="N1519" s="13">
        <v>1</v>
      </c>
      <c r="O1519" s="13"/>
      <c r="P1519" s="33" t="str">
        <f t="shared" si="445"/>
        <v>MAIN UNIT</v>
      </c>
      <c r="Q1519" s="13" t="s">
        <v>68</v>
      </c>
      <c r="R1519" s="13" t="s">
        <v>62</v>
      </c>
      <c r="S1519" s="13" t="s">
        <v>49</v>
      </c>
      <c r="T1519" s="13"/>
      <c r="U1519" s="13" t="s">
        <v>79</v>
      </c>
      <c r="V1519" s="13" t="s">
        <v>311</v>
      </c>
      <c r="W1519" s="13" t="s">
        <v>109</v>
      </c>
      <c r="X1519" s="135">
        <v>11380000</v>
      </c>
      <c r="Y1519" s="156">
        <v>1</v>
      </c>
      <c r="Z1519" s="18">
        <f t="shared" si="454"/>
        <v>11380000</v>
      </c>
      <c r="AA1519" s="13">
        <v>7.2099999999999997E-2</v>
      </c>
      <c r="AB1519" s="21">
        <f t="shared" si="439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0"/>
        <v>26754147.763010349</v>
      </c>
      <c r="AJ1519" s="19">
        <f t="shared" si="441"/>
        <v>3429137.9965357962</v>
      </c>
      <c r="AK1519" s="20">
        <f t="shared" si="448"/>
        <v>0.12817220069617921</v>
      </c>
      <c r="AL1519" s="17"/>
      <c r="AM1519" s="17"/>
      <c r="AN1519" s="17"/>
      <c r="AO1519" s="17"/>
      <c r="AP1519" s="28" t="str">
        <f t="shared" si="449"/>
        <v>20188</v>
      </c>
      <c r="AQ1519" s="28" t="str">
        <f t="shared" si="450"/>
        <v>20188JPY</v>
      </c>
      <c r="AR1519" s="206" t="str">
        <f t="shared" si="451"/>
        <v>YAMAHA_Mounter</v>
      </c>
      <c r="AS1519" s="22" t="str">
        <f t="shared" si="452"/>
        <v/>
      </c>
      <c r="AT1519" s="24" t="str">
        <f t="shared" si="453"/>
        <v/>
      </c>
      <c r="AU1519" s="22" t="s">
        <v>3745</v>
      </c>
    </row>
    <row r="1520" spans="1:47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48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1382</v>
      </c>
      <c r="K1520" s="155" t="s">
        <v>1383</v>
      </c>
      <c r="L1520" s="17" t="s">
        <v>92</v>
      </c>
      <c r="M1520" s="13" t="s">
        <v>60</v>
      </c>
      <c r="N1520" s="13">
        <v>1</v>
      </c>
      <c r="O1520" s="13"/>
      <c r="P1520" s="33" t="str">
        <f t="shared" si="445"/>
        <v>MAIN UNIT</v>
      </c>
      <c r="Q1520" s="13" t="s">
        <v>61</v>
      </c>
      <c r="R1520" s="13" t="s">
        <v>62</v>
      </c>
      <c r="S1520" s="13" t="s">
        <v>49</v>
      </c>
      <c r="T1520" s="13" t="s">
        <v>78</v>
      </c>
      <c r="U1520" s="13" t="s">
        <v>79</v>
      </c>
      <c r="V1520" s="13" t="s">
        <v>1125</v>
      </c>
      <c r="W1520" s="13" t="s">
        <v>1105</v>
      </c>
      <c r="X1520" s="135">
        <v>12465000</v>
      </c>
      <c r="Y1520" s="156">
        <v>1</v>
      </c>
      <c r="Z1520" s="18">
        <f t="shared" si="454"/>
        <v>12465000</v>
      </c>
      <c r="AA1520" s="13">
        <v>7.6100000000000001E-2</v>
      </c>
      <c r="AB1520" s="21">
        <f t="shared" si="439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0"/>
        <v>44078731.611185849</v>
      </c>
      <c r="AJ1520" s="19">
        <f t="shared" si="441"/>
        <v>5508173.2163771465</v>
      </c>
      <c r="AK1520" s="20">
        <f t="shared" si="448"/>
        <v>0.12496215328889679</v>
      </c>
      <c r="AL1520" s="17"/>
      <c r="AM1520" s="17"/>
      <c r="AN1520" s="17"/>
      <c r="AO1520" s="17"/>
      <c r="AP1520" s="28" t="str">
        <f t="shared" si="449"/>
        <v>202011</v>
      </c>
      <c r="AQ1520" s="28" t="str">
        <f t="shared" si="450"/>
        <v>202011JPY</v>
      </c>
      <c r="AR1520" s="206" t="str">
        <f t="shared" si="451"/>
        <v>YAMAHA_Mounter</v>
      </c>
      <c r="AS1520" s="22">
        <f t="shared" si="452"/>
        <v>4</v>
      </c>
      <c r="AT1520" s="24" t="str">
        <f t="shared" si="453"/>
        <v>4-6 months</v>
      </c>
      <c r="AU1520" s="22" t="s">
        <v>3745</v>
      </c>
    </row>
    <row r="1521" spans="1:47" s="12" customFormat="1">
      <c r="A1521" s="33" t="str">
        <f t="shared" si="442"/>
        <v>cancel</v>
      </c>
      <c r="B1521" s="152"/>
      <c r="C1521" s="152" t="s">
        <v>185</v>
      </c>
      <c r="D1521" s="33" t="str">
        <f t="shared" si="443"/>
        <v/>
      </c>
      <c r="E1521" s="33" t="s">
        <v>185</v>
      </c>
      <c r="F1521" s="13" t="s">
        <v>185</v>
      </c>
      <c r="G1521" s="152" t="s">
        <v>185</v>
      </c>
      <c r="H1521" s="155"/>
      <c r="I1521" s="33" t="str">
        <f t="shared" si="444"/>
        <v>Cancel</v>
      </c>
      <c r="J1521" s="186" t="s">
        <v>2720</v>
      </c>
      <c r="K1521" s="155" t="s">
        <v>1383</v>
      </c>
      <c r="L1521" s="17" t="s">
        <v>92</v>
      </c>
      <c r="M1521" s="13" t="s">
        <v>60</v>
      </c>
      <c r="N1521" s="13">
        <v>1</v>
      </c>
      <c r="O1521" s="13"/>
      <c r="P1521" s="33" t="str">
        <f t="shared" si="445"/>
        <v>MAIN UNIT</v>
      </c>
      <c r="Q1521" s="13" t="s">
        <v>61</v>
      </c>
      <c r="R1521" s="13" t="s">
        <v>62</v>
      </c>
      <c r="S1521" s="13" t="s">
        <v>49</v>
      </c>
      <c r="T1521" s="13" t="s">
        <v>78</v>
      </c>
      <c r="U1521" s="13" t="s">
        <v>79</v>
      </c>
      <c r="V1521" s="13" t="s">
        <v>1125</v>
      </c>
      <c r="W1521" s="13" t="s">
        <v>1105</v>
      </c>
      <c r="X1521" s="135">
        <v>12725000</v>
      </c>
      <c r="Y1521" s="156">
        <v>1</v>
      </c>
      <c r="Z1521" s="18">
        <f t="shared" si="454"/>
        <v>12725000</v>
      </c>
      <c r="AA1521" s="13">
        <v>7.3400000000000007E-2</v>
      </c>
      <c r="AB1521" s="21">
        <f t="shared" si="439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0"/>
        <v>499582152.5142017</v>
      </c>
      <c r="AJ1521" s="19">
        <f t="shared" si="441"/>
        <v>59520528.679470733</v>
      </c>
      <c r="AK1521" s="20">
        <f t="shared" si="448"/>
        <v>0.11914062257814291</v>
      </c>
      <c r="AL1521" s="17"/>
      <c r="AM1521" s="17"/>
      <c r="AN1521" s="17"/>
      <c r="AO1521" s="17"/>
      <c r="AP1521" s="28" t="str">
        <f t="shared" si="449"/>
        <v>CancelCancel</v>
      </c>
      <c r="AQ1521" s="28" t="str">
        <f t="shared" si="450"/>
        <v>CancelCancelJPY</v>
      </c>
      <c r="AR1521" s="206" t="str">
        <f t="shared" si="451"/>
        <v>YAMAHA_Mounter</v>
      </c>
      <c r="AS1521" s="22" t="str">
        <f t="shared" si="452"/>
        <v/>
      </c>
      <c r="AT1521" s="24" t="str">
        <f t="shared" si="453"/>
        <v/>
      </c>
      <c r="AU1521" s="22" t="s">
        <v>3745</v>
      </c>
    </row>
    <row r="1522" spans="1:47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48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1205</v>
      </c>
      <c r="K1522" s="155" t="s">
        <v>1206</v>
      </c>
      <c r="L1522" s="17" t="s">
        <v>67</v>
      </c>
      <c r="M1522" s="13" t="s">
        <v>60</v>
      </c>
      <c r="N1522" s="13">
        <v>1</v>
      </c>
      <c r="O1522" s="13"/>
      <c r="P1522" s="33" t="str">
        <f t="shared" si="445"/>
        <v>MAIN UNIT</v>
      </c>
      <c r="Q1522" s="13" t="s">
        <v>68</v>
      </c>
      <c r="R1522" s="13" t="s">
        <v>62</v>
      </c>
      <c r="S1522" s="13" t="s">
        <v>49</v>
      </c>
      <c r="T1522" s="13" t="s">
        <v>78</v>
      </c>
      <c r="U1522" s="13" t="s">
        <v>79</v>
      </c>
      <c r="V1522" s="13" t="s">
        <v>131</v>
      </c>
      <c r="W1522" s="13" t="s">
        <v>64</v>
      </c>
      <c r="X1522" s="135">
        <v>600000</v>
      </c>
      <c r="Y1522" s="156">
        <v>1.1299999999999999</v>
      </c>
      <c r="Z1522" s="18">
        <f t="shared" si="454"/>
        <v>600000</v>
      </c>
      <c r="AA1522" s="13">
        <v>1.089</v>
      </c>
      <c r="AB1522" s="21">
        <f t="shared" si="439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0"/>
        <v>29183109.05575221</v>
      </c>
      <c r="AJ1522" s="19">
        <f t="shared" si="441"/>
        <v>3741266.5648721238</v>
      </c>
      <c r="AK1522" s="20">
        <f t="shared" si="448"/>
        <v>0.12819972531798121</v>
      </c>
      <c r="AL1522" s="17"/>
      <c r="AM1522" s="17"/>
      <c r="AN1522" s="17"/>
      <c r="AO1522" s="17"/>
      <c r="AP1522" s="28" t="str">
        <f t="shared" si="449"/>
        <v>20206</v>
      </c>
      <c r="AQ1522" s="28" t="str">
        <f t="shared" si="450"/>
        <v>20206RMB</v>
      </c>
      <c r="AR1522" s="206" t="str">
        <f t="shared" si="451"/>
        <v>YAMAHA_Mounter</v>
      </c>
      <c r="AS1522" s="22">
        <f t="shared" si="452"/>
        <v>3</v>
      </c>
      <c r="AT1522" s="24" t="str">
        <f t="shared" si="453"/>
        <v>0-3 months</v>
      </c>
      <c r="AU1522" s="22" t="s">
        <v>3744</v>
      </c>
    </row>
    <row r="1523" spans="1:47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48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1205</v>
      </c>
      <c r="K1523" s="155" t="s">
        <v>1206</v>
      </c>
      <c r="L1523" s="17" t="s">
        <v>92</v>
      </c>
      <c r="M1523" s="13" t="s">
        <v>60</v>
      </c>
      <c r="N1523" s="13">
        <v>1</v>
      </c>
      <c r="O1523" s="13"/>
      <c r="P1523" s="33" t="str">
        <f t="shared" si="445"/>
        <v>MAIN UNIT</v>
      </c>
      <c r="Q1523" s="13" t="s">
        <v>68</v>
      </c>
      <c r="R1523" s="13" t="s">
        <v>62</v>
      </c>
      <c r="S1523" s="13" t="s">
        <v>49</v>
      </c>
      <c r="T1523" s="13" t="s">
        <v>78</v>
      </c>
      <c r="U1523" s="13" t="s">
        <v>79</v>
      </c>
      <c r="V1523" s="13" t="s">
        <v>131</v>
      </c>
      <c r="W1523" s="13" t="s">
        <v>64</v>
      </c>
      <c r="X1523" s="135">
        <v>900000</v>
      </c>
      <c r="Y1523" s="156">
        <v>1.1299999999999999</v>
      </c>
      <c r="Z1523" s="18">
        <f t="shared" si="454"/>
        <v>900000</v>
      </c>
      <c r="AA1523" s="13">
        <v>1.089</v>
      </c>
      <c r="AB1523" s="21">
        <f t="shared" si="439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0"/>
        <v>29183109.05575221</v>
      </c>
      <c r="AJ1523" s="19">
        <f t="shared" si="441"/>
        <v>3741266.5648721238</v>
      </c>
      <c r="AK1523" s="20">
        <f t="shared" si="448"/>
        <v>0.12819972531798121</v>
      </c>
      <c r="AL1523" s="17"/>
      <c r="AM1523" s="17"/>
      <c r="AN1523" s="17"/>
      <c r="AO1523" s="17"/>
      <c r="AP1523" s="28" t="str">
        <f t="shared" si="449"/>
        <v>20206</v>
      </c>
      <c r="AQ1523" s="28" t="str">
        <f t="shared" si="450"/>
        <v>20206RMB</v>
      </c>
      <c r="AR1523" s="206" t="str">
        <f t="shared" si="451"/>
        <v>YAMAHA_Mounter</v>
      </c>
      <c r="AS1523" s="22">
        <f t="shared" si="452"/>
        <v>3</v>
      </c>
      <c r="AT1523" s="24" t="str">
        <f t="shared" si="453"/>
        <v>0-3 months</v>
      </c>
      <c r="AU1523" s="22" t="s">
        <v>3744</v>
      </c>
    </row>
    <row r="1524" spans="1:47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48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1326</v>
      </c>
      <c r="K1524" s="155" t="s">
        <v>1327</v>
      </c>
      <c r="L1524" s="17" t="s">
        <v>92</v>
      </c>
      <c r="M1524" s="13" t="s">
        <v>60</v>
      </c>
      <c r="N1524" s="13">
        <v>1</v>
      </c>
      <c r="O1524" s="13"/>
      <c r="P1524" s="33" t="str">
        <f t="shared" si="445"/>
        <v>MAIN UNIT</v>
      </c>
      <c r="Q1524" s="13" t="s">
        <v>61</v>
      </c>
      <c r="R1524" s="13" t="s">
        <v>62</v>
      </c>
      <c r="S1524" s="13" t="s">
        <v>49</v>
      </c>
      <c r="T1524" s="13" t="s">
        <v>78</v>
      </c>
      <c r="U1524" s="13" t="s">
        <v>79</v>
      </c>
      <c r="V1524" s="13" t="s">
        <v>1140</v>
      </c>
      <c r="W1524" s="13" t="s">
        <v>109</v>
      </c>
      <c r="X1524" s="135">
        <v>10800000</v>
      </c>
      <c r="Y1524" s="156">
        <v>1</v>
      </c>
      <c r="Z1524" s="18">
        <f t="shared" si="454"/>
        <v>10800000</v>
      </c>
      <c r="AA1524" s="13">
        <v>7.4899999999999994E-2</v>
      </c>
      <c r="AB1524" s="21">
        <f t="shared" si="439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0"/>
        <v>47907808.356810622</v>
      </c>
      <c r="AJ1524" s="19">
        <f t="shared" si="441"/>
        <v>6027384.8806384448</v>
      </c>
      <c r="AK1524" s="20">
        <f t="shared" si="448"/>
        <v>0.12581216063459488</v>
      </c>
      <c r="AL1524" s="17"/>
      <c r="AM1524" s="17"/>
      <c r="AN1524" s="17"/>
      <c r="AO1524" s="17"/>
      <c r="AP1524" s="28" t="str">
        <f t="shared" si="449"/>
        <v>20209</v>
      </c>
      <c r="AQ1524" s="28" t="str">
        <f t="shared" si="450"/>
        <v>20209JPY</v>
      </c>
      <c r="AR1524" s="206" t="str">
        <f t="shared" si="451"/>
        <v>YAMAHA_Mounter</v>
      </c>
      <c r="AS1524" s="22">
        <f t="shared" si="452"/>
        <v>2</v>
      </c>
      <c r="AT1524" s="24" t="str">
        <f t="shared" si="453"/>
        <v>0-3 months</v>
      </c>
      <c r="AU1524" s="22" t="s">
        <v>3240</v>
      </c>
    </row>
    <row r="1525" spans="1:47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48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1326</v>
      </c>
      <c r="K1525" s="155" t="s">
        <v>1327</v>
      </c>
      <c r="L1525" s="17" t="s">
        <v>92</v>
      </c>
      <c r="M1525" s="13" t="s">
        <v>60</v>
      </c>
      <c r="N1525" s="13">
        <v>1</v>
      </c>
      <c r="O1525" s="13"/>
      <c r="P1525" s="33" t="str">
        <f t="shared" si="445"/>
        <v>MAIN UNIT</v>
      </c>
      <c r="Q1525" s="13" t="s">
        <v>61</v>
      </c>
      <c r="R1525" s="13" t="s">
        <v>62</v>
      </c>
      <c r="S1525" s="13" t="s">
        <v>49</v>
      </c>
      <c r="T1525" s="13" t="s">
        <v>78</v>
      </c>
      <c r="U1525" s="13" t="s">
        <v>79</v>
      </c>
      <c r="V1525" s="13" t="s">
        <v>1140</v>
      </c>
      <c r="W1525" s="13" t="s">
        <v>109</v>
      </c>
      <c r="X1525" s="135">
        <v>10800000</v>
      </c>
      <c r="Y1525" s="156">
        <v>1</v>
      </c>
      <c r="Z1525" s="18">
        <f t="shared" si="454"/>
        <v>10800000</v>
      </c>
      <c r="AA1525" s="13">
        <v>7.4899999999999994E-2</v>
      </c>
      <c r="AB1525" s="21">
        <f t="shared" si="439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0"/>
        <v>47907808.356810622</v>
      </c>
      <c r="AJ1525" s="19">
        <f t="shared" si="441"/>
        <v>6027384.8806384448</v>
      </c>
      <c r="AK1525" s="20">
        <f t="shared" si="448"/>
        <v>0.12581216063459488</v>
      </c>
      <c r="AL1525" s="17"/>
      <c r="AM1525" s="17"/>
      <c r="AN1525" s="17"/>
      <c r="AO1525" s="17"/>
      <c r="AP1525" s="28" t="str">
        <f t="shared" si="449"/>
        <v>20209</v>
      </c>
      <c r="AQ1525" s="28" t="str">
        <f t="shared" si="450"/>
        <v>20209JPY</v>
      </c>
      <c r="AR1525" s="206" t="str">
        <f t="shared" si="451"/>
        <v>YAMAHA_Mounter</v>
      </c>
      <c r="AS1525" s="22">
        <f t="shared" si="452"/>
        <v>2</v>
      </c>
      <c r="AT1525" s="24" t="str">
        <f t="shared" si="453"/>
        <v>0-3 months</v>
      </c>
      <c r="AU1525" s="22" t="s">
        <v>3240</v>
      </c>
    </row>
    <row r="1526" spans="1:47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48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1326</v>
      </c>
      <c r="K1526" s="155" t="s">
        <v>1327</v>
      </c>
      <c r="L1526" s="17" t="s">
        <v>67</v>
      </c>
      <c r="M1526" s="13" t="s">
        <v>60</v>
      </c>
      <c r="N1526" s="13">
        <v>1</v>
      </c>
      <c r="O1526" s="13"/>
      <c r="P1526" s="33" t="str">
        <f t="shared" si="445"/>
        <v>MAIN UNIT</v>
      </c>
      <c r="Q1526" s="13" t="s">
        <v>61</v>
      </c>
      <c r="R1526" s="13" t="s">
        <v>62</v>
      </c>
      <c r="S1526" s="13" t="s">
        <v>49</v>
      </c>
      <c r="T1526" s="13" t="s">
        <v>78</v>
      </c>
      <c r="U1526" s="13" t="s">
        <v>79</v>
      </c>
      <c r="V1526" s="13" t="s">
        <v>1140</v>
      </c>
      <c r="W1526" s="13" t="s">
        <v>109</v>
      </c>
      <c r="X1526" s="135">
        <v>6896000</v>
      </c>
      <c r="Y1526" s="156">
        <v>1</v>
      </c>
      <c r="Z1526" s="18">
        <f t="shared" si="454"/>
        <v>6896000</v>
      </c>
      <c r="AA1526" s="13">
        <v>7.4899999999999994E-2</v>
      </c>
      <c r="AB1526" s="21">
        <f t="shared" ref="AB1526:AB1589" si="456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0"/>
        <v>47907808.356810622</v>
      </c>
      <c r="AJ1526" s="19">
        <f t="shared" si="441"/>
        <v>6027384.8806384448</v>
      </c>
      <c r="AK1526" s="20">
        <f t="shared" si="448"/>
        <v>0.12581216063459488</v>
      </c>
      <c r="AL1526" s="17"/>
      <c r="AM1526" s="17"/>
      <c r="AN1526" s="17"/>
      <c r="AO1526" s="17"/>
      <c r="AP1526" s="28" t="str">
        <f t="shared" si="449"/>
        <v>20209</v>
      </c>
      <c r="AQ1526" s="28" t="str">
        <f t="shared" si="450"/>
        <v>20209JPY</v>
      </c>
      <c r="AR1526" s="206" t="str">
        <f t="shared" si="451"/>
        <v>YAMAHA_Mounter</v>
      </c>
      <c r="AS1526" s="22">
        <f t="shared" si="452"/>
        <v>2</v>
      </c>
      <c r="AT1526" s="24" t="str">
        <f t="shared" si="453"/>
        <v>0-3 months</v>
      </c>
      <c r="AU1526" s="22" t="s">
        <v>3240</v>
      </c>
    </row>
    <row r="1527" spans="1:47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48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1326</v>
      </c>
      <c r="K1527" s="155" t="s">
        <v>1327</v>
      </c>
      <c r="L1527" s="17" t="s">
        <v>67</v>
      </c>
      <c r="M1527" s="13" t="s">
        <v>60</v>
      </c>
      <c r="N1527" s="13">
        <v>1</v>
      </c>
      <c r="O1527" s="13"/>
      <c r="P1527" s="33" t="str">
        <f t="shared" si="445"/>
        <v>MAIN UNIT</v>
      </c>
      <c r="Q1527" s="13" t="s">
        <v>61</v>
      </c>
      <c r="R1527" s="13" t="s">
        <v>62</v>
      </c>
      <c r="S1527" s="13" t="s">
        <v>49</v>
      </c>
      <c r="T1527" s="13" t="s">
        <v>78</v>
      </c>
      <c r="U1527" s="13" t="s">
        <v>79</v>
      </c>
      <c r="V1527" s="13" t="s">
        <v>1140</v>
      </c>
      <c r="W1527" s="13" t="s">
        <v>109</v>
      </c>
      <c r="X1527" s="135">
        <v>6896000</v>
      </c>
      <c r="Y1527" s="156">
        <v>1</v>
      </c>
      <c r="Z1527" s="18">
        <f t="shared" si="454"/>
        <v>6896000</v>
      </c>
      <c r="AA1527" s="13">
        <v>7.4899999999999994E-2</v>
      </c>
      <c r="AB1527" s="21">
        <f t="shared" si="456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0"/>
        <v>47907808.356810622</v>
      </c>
      <c r="AJ1527" s="19">
        <f t="shared" si="441"/>
        <v>6027384.8806384448</v>
      </c>
      <c r="AK1527" s="20">
        <f t="shared" si="448"/>
        <v>0.12581216063459488</v>
      </c>
      <c r="AL1527" s="17"/>
      <c r="AM1527" s="17"/>
      <c r="AN1527" s="17"/>
      <c r="AO1527" s="17"/>
      <c r="AP1527" s="28" t="str">
        <f t="shared" si="449"/>
        <v>20209</v>
      </c>
      <c r="AQ1527" s="28" t="str">
        <f t="shared" si="450"/>
        <v>20209JPY</v>
      </c>
      <c r="AR1527" s="206" t="str">
        <f t="shared" si="451"/>
        <v>YAMAHA_Mounter</v>
      </c>
      <c r="AS1527" s="22">
        <f t="shared" si="452"/>
        <v>2</v>
      </c>
      <c r="AT1527" s="24" t="str">
        <f t="shared" si="453"/>
        <v>0-3 months</v>
      </c>
      <c r="AU1527" s="22" t="s">
        <v>3240</v>
      </c>
    </row>
    <row r="1528" spans="1:47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185</v>
      </c>
      <c r="F1528" s="13" t="s">
        <v>185</v>
      </c>
      <c r="G1528" s="152" t="s">
        <v>185</v>
      </c>
      <c r="H1528" s="155" t="s">
        <v>1617</v>
      </c>
      <c r="I1528" s="33" t="str">
        <f t="shared" si="444"/>
        <v>Cancel</v>
      </c>
      <c r="J1528" s="186" t="s">
        <v>1638</v>
      </c>
      <c r="K1528" s="155" t="s">
        <v>1327</v>
      </c>
      <c r="L1528" s="17" t="s">
        <v>92</v>
      </c>
      <c r="M1528" s="13" t="s">
        <v>60</v>
      </c>
      <c r="N1528" s="13">
        <v>1</v>
      </c>
      <c r="O1528" s="13"/>
      <c r="P1528" s="33" t="str">
        <f t="shared" si="445"/>
        <v>MAIN UNIT</v>
      </c>
      <c r="Q1528" s="13" t="s">
        <v>61</v>
      </c>
      <c r="R1528" s="13" t="s">
        <v>62</v>
      </c>
      <c r="S1528" s="13" t="s">
        <v>49</v>
      </c>
      <c r="T1528" s="13" t="s">
        <v>78</v>
      </c>
      <c r="U1528" s="13" t="s">
        <v>79</v>
      </c>
      <c r="V1528" s="13" t="s">
        <v>80</v>
      </c>
      <c r="W1528" s="13" t="s">
        <v>109</v>
      </c>
      <c r="X1528" s="135">
        <v>11530000</v>
      </c>
      <c r="Y1528" s="157" t="str">
        <f t="shared" ref="Y1528:Y1546" si="457">IF(W1528="RMB","1.13", "1")</f>
        <v>1</v>
      </c>
      <c r="Z1528" s="18">
        <f t="shared" si="454"/>
        <v>11530000</v>
      </c>
      <c r="AA1528" s="13">
        <v>5.96E-2</v>
      </c>
      <c r="AB1528" s="21">
        <f t="shared" si="456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0"/>
        <v>499582152.5142017</v>
      </c>
      <c r="AJ1528" s="19">
        <f t="shared" si="441"/>
        <v>59520528.679470733</v>
      </c>
      <c r="AK1528" s="20">
        <f t="shared" si="448"/>
        <v>0.11914062257814291</v>
      </c>
      <c r="AL1528" s="17"/>
      <c r="AM1528" s="17"/>
      <c r="AN1528" s="17"/>
      <c r="AO1528" s="17"/>
      <c r="AP1528" s="28" t="str">
        <f t="shared" si="449"/>
        <v>CancelCancel</v>
      </c>
      <c r="AQ1528" s="28" t="str">
        <f t="shared" si="450"/>
        <v>CancelCancelJPY</v>
      </c>
      <c r="AR1528" s="206" t="str">
        <f t="shared" si="451"/>
        <v>YAMAHA_Mounter</v>
      </c>
      <c r="AS1528" s="22" t="str">
        <f t="shared" si="452"/>
        <v/>
      </c>
      <c r="AT1528" s="24" t="str">
        <f t="shared" si="453"/>
        <v/>
      </c>
      <c r="AU1528" s="22" t="s">
        <v>3746</v>
      </c>
    </row>
    <row r="1529" spans="1:47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185</v>
      </c>
      <c r="F1529" s="13" t="s">
        <v>185</v>
      </c>
      <c r="G1529" s="152" t="s">
        <v>185</v>
      </c>
      <c r="H1529" s="155" t="s">
        <v>1617</v>
      </c>
      <c r="I1529" s="33" t="str">
        <f t="shared" si="444"/>
        <v>Cancel</v>
      </c>
      <c r="J1529" s="186" t="s">
        <v>1638</v>
      </c>
      <c r="K1529" s="155" t="s">
        <v>1327</v>
      </c>
      <c r="L1529" s="17" t="s">
        <v>92</v>
      </c>
      <c r="M1529" s="13" t="s">
        <v>60</v>
      </c>
      <c r="N1529" s="13">
        <v>1</v>
      </c>
      <c r="O1529" s="13"/>
      <c r="P1529" s="33" t="str">
        <f t="shared" si="445"/>
        <v>MAIN UNIT</v>
      </c>
      <c r="Q1529" s="13" t="s">
        <v>61</v>
      </c>
      <c r="R1529" s="13" t="s">
        <v>62</v>
      </c>
      <c r="S1529" s="13" t="s">
        <v>49</v>
      </c>
      <c r="T1529" s="13" t="s">
        <v>78</v>
      </c>
      <c r="U1529" s="13" t="s">
        <v>79</v>
      </c>
      <c r="V1529" s="13" t="s">
        <v>80</v>
      </c>
      <c r="W1529" s="13" t="s">
        <v>109</v>
      </c>
      <c r="X1529" s="135">
        <v>11530000</v>
      </c>
      <c r="Y1529" s="157" t="str">
        <f t="shared" si="457"/>
        <v>1</v>
      </c>
      <c r="Z1529" s="18">
        <f t="shared" si="454"/>
        <v>11530000</v>
      </c>
      <c r="AA1529" s="13">
        <v>5.96E-2</v>
      </c>
      <c r="AB1529" s="21">
        <f t="shared" si="456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0"/>
        <v>499582152.5142017</v>
      </c>
      <c r="AJ1529" s="19">
        <f t="shared" si="441"/>
        <v>59520528.679470733</v>
      </c>
      <c r="AK1529" s="20">
        <f t="shared" si="448"/>
        <v>0.11914062257814291</v>
      </c>
      <c r="AL1529" s="17"/>
      <c r="AM1529" s="17"/>
      <c r="AN1529" s="17"/>
      <c r="AO1529" s="17"/>
      <c r="AP1529" s="28" t="str">
        <f t="shared" si="449"/>
        <v>CancelCancel</v>
      </c>
      <c r="AQ1529" s="28" t="str">
        <f t="shared" si="450"/>
        <v>CancelCancelJPY</v>
      </c>
      <c r="AR1529" s="206" t="str">
        <f t="shared" si="451"/>
        <v>YAMAHA_Mounter</v>
      </c>
      <c r="AS1529" s="22" t="str">
        <f t="shared" si="452"/>
        <v/>
      </c>
      <c r="AT1529" s="24" t="str">
        <f t="shared" si="453"/>
        <v/>
      </c>
      <c r="AU1529" s="22" t="s">
        <v>3746</v>
      </c>
    </row>
    <row r="1530" spans="1:47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185</v>
      </c>
      <c r="F1530" s="13" t="s">
        <v>185</v>
      </c>
      <c r="G1530" s="152" t="s">
        <v>185</v>
      </c>
      <c r="H1530" s="155" t="s">
        <v>1617</v>
      </c>
      <c r="I1530" s="33" t="str">
        <f t="shared" si="444"/>
        <v>Cancel</v>
      </c>
      <c r="J1530" s="186" t="s">
        <v>1638</v>
      </c>
      <c r="K1530" s="155" t="s">
        <v>1327</v>
      </c>
      <c r="L1530" s="17" t="s">
        <v>67</v>
      </c>
      <c r="M1530" s="13" t="s">
        <v>60</v>
      </c>
      <c r="N1530" s="13">
        <v>1</v>
      </c>
      <c r="O1530" s="13"/>
      <c r="P1530" s="33" t="str">
        <f t="shared" si="445"/>
        <v>MAIN UNIT</v>
      </c>
      <c r="Q1530" s="13" t="s">
        <v>61</v>
      </c>
      <c r="R1530" s="13" t="s">
        <v>62</v>
      </c>
      <c r="S1530" s="13" t="s">
        <v>49</v>
      </c>
      <c r="T1530" s="13" t="s">
        <v>78</v>
      </c>
      <c r="U1530" s="13" t="s">
        <v>79</v>
      </c>
      <c r="V1530" s="13" t="s">
        <v>80</v>
      </c>
      <c r="W1530" s="13" t="s">
        <v>109</v>
      </c>
      <c r="X1530" s="135">
        <v>7500000</v>
      </c>
      <c r="Y1530" s="157" t="str">
        <f t="shared" si="457"/>
        <v>1</v>
      </c>
      <c r="Z1530" s="18">
        <f t="shared" si="454"/>
        <v>7500000</v>
      </c>
      <c r="AA1530" s="13">
        <v>5.96E-2</v>
      </c>
      <c r="AB1530" s="21">
        <f t="shared" si="456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0"/>
        <v>499582152.5142017</v>
      </c>
      <c r="AJ1530" s="19">
        <f t="shared" si="441"/>
        <v>59520528.679470733</v>
      </c>
      <c r="AK1530" s="20">
        <f t="shared" si="448"/>
        <v>0.11914062257814291</v>
      </c>
      <c r="AL1530" s="17"/>
      <c r="AM1530" s="17"/>
      <c r="AN1530" s="17"/>
      <c r="AO1530" s="17"/>
      <c r="AP1530" s="28" t="str">
        <f t="shared" si="449"/>
        <v>CancelCancel</v>
      </c>
      <c r="AQ1530" s="28" t="str">
        <f t="shared" si="450"/>
        <v>CancelCancelJPY</v>
      </c>
      <c r="AR1530" s="206" t="str">
        <f t="shared" si="451"/>
        <v>YAMAHA_Mounter</v>
      </c>
      <c r="AS1530" s="22" t="str">
        <f t="shared" si="452"/>
        <v/>
      </c>
      <c r="AT1530" s="24" t="str">
        <f t="shared" si="453"/>
        <v/>
      </c>
      <c r="AU1530" s="22" t="s">
        <v>3746</v>
      </c>
    </row>
    <row r="1531" spans="1:47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185</v>
      </c>
      <c r="F1531" s="13" t="s">
        <v>185</v>
      </c>
      <c r="G1531" s="152" t="s">
        <v>185</v>
      </c>
      <c r="H1531" s="155" t="s">
        <v>1617</v>
      </c>
      <c r="I1531" s="33" t="str">
        <f t="shared" si="444"/>
        <v>Cancel</v>
      </c>
      <c r="J1531" s="186" t="s">
        <v>1638</v>
      </c>
      <c r="K1531" s="155" t="s">
        <v>1327</v>
      </c>
      <c r="L1531" s="17" t="s">
        <v>67</v>
      </c>
      <c r="M1531" s="13" t="s">
        <v>60</v>
      </c>
      <c r="N1531" s="13">
        <v>1</v>
      </c>
      <c r="O1531" s="13"/>
      <c r="P1531" s="33" t="str">
        <f t="shared" si="445"/>
        <v>MAIN UNIT</v>
      </c>
      <c r="Q1531" s="13" t="s">
        <v>61</v>
      </c>
      <c r="R1531" s="13" t="s">
        <v>62</v>
      </c>
      <c r="S1531" s="13" t="s">
        <v>49</v>
      </c>
      <c r="T1531" s="13" t="s">
        <v>78</v>
      </c>
      <c r="U1531" s="13" t="s">
        <v>79</v>
      </c>
      <c r="V1531" s="13" t="s">
        <v>80</v>
      </c>
      <c r="W1531" s="13" t="s">
        <v>109</v>
      </c>
      <c r="X1531" s="135">
        <v>7500000</v>
      </c>
      <c r="Y1531" s="157" t="str">
        <f t="shared" si="457"/>
        <v>1</v>
      </c>
      <c r="Z1531" s="18">
        <f t="shared" si="454"/>
        <v>7500000</v>
      </c>
      <c r="AA1531" s="13">
        <v>5.96E-2</v>
      </c>
      <c r="AB1531" s="21">
        <f t="shared" si="456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0"/>
        <v>499582152.5142017</v>
      </c>
      <c r="AJ1531" s="19">
        <f t="shared" si="441"/>
        <v>59520528.679470733</v>
      </c>
      <c r="AK1531" s="20">
        <f t="shared" si="448"/>
        <v>0.11914062257814291</v>
      </c>
      <c r="AL1531" s="17"/>
      <c r="AM1531" s="17"/>
      <c r="AN1531" s="17"/>
      <c r="AO1531" s="17"/>
      <c r="AP1531" s="28" t="str">
        <f t="shared" si="449"/>
        <v>CancelCancel</v>
      </c>
      <c r="AQ1531" s="28" t="str">
        <f t="shared" si="450"/>
        <v>CancelCancelJPY</v>
      </c>
      <c r="AR1531" s="206" t="str">
        <f t="shared" si="451"/>
        <v>YAMAHA_Mounter</v>
      </c>
      <c r="AS1531" s="22" t="str">
        <f t="shared" si="452"/>
        <v/>
      </c>
      <c r="AT1531" s="24" t="str">
        <f t="shared" si="453"/>
        <v/>
      </c>
      <c r="AU1531" s="22" t="s">
        <v>3746</v>
      </c>
    </row>
    <row r="1532" spans="1:47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54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2115</v>
      </c>
      <c r="K1532" s="155" t="s">
        <v>1327</v>
      </c>
      <c r="L1532" s="17" t="s">
        <v>92</v>
      </c>
      <c r="M1532" s="13" t="s">
        <v>60</v>
      </c>
      <c r="N1532" s="13">
        <v>1</v>
      </c>
      <c r="O1532" s="13"/>
      <c r="P1532" s="33" t="str">
        <f t="shared" si="445"/>
        <v>MAIN UNIT</v>
      </c>
      <c r="Q1532" s="13" t="s">
        <v>61</v>
      </c>
      <c r="R1532" s="13" t="s">
        <v>62</v>
      </c>
      <c r="S1532" s="13" t="s">
        <v>49</v>
      </c>
      <c r="T1532" s="13" t="s">
        <v>78</v>
      </c>
      <c r="U1532" s="13" t="s">
        <v>79</v>
      </c>
      <c r="V1532" s="13" t="s">
        <v>80</v>
      </c>
      <c r="W1532" s="13" t="s">
        <v>109</v>
      </c>
      <c r="X1532" s="135">
        <v>10500000</v>
      </c>
      <c r="Y1532" s="157" t="str">
        <f t="shared" si="457"/>
        <v>1</v>
      </c>
      <c r="Z1532" s="18">
        <f t="shared" si="454"/>
        <v>10500000</v>
      </c>
      <c r="AA1532" s="13">
        <v>0.06</v>
      </c>
      <c r="AB1532" s="21">
        <f t="shared" si="456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0"/>
        <v>7502645.9971681423</v>
      </c>
      <c r="AJ1532" s="19">
        <f t="shared" si="441"/>
        <v>664841.72044240718</v>
      </c>
      <c r="AK1532" s="20">
        <f t="shared" si="448"/>
        <v>8.861429963420242E-2</v>
      </c>
      <c r="AL1532" s="17"/>
      <c r="AM1532" s="17"/>
      <c r="AN1532" s="17"/>
      <c r="AO1532" s="17" t="s">
        <v>2116</v>
      </c>
      <c r="AP1532" s="28" t="str">
        <f t="shared" si="449"/>
        <v>20231</v>
      </c>
      <c r="AQ1532" s="28" t="str">
        <f t="shared" si="450"/>
        <v>20231JPY</v>
      </c>
      <c r="AR1532" s="206" t="str">
        <f t="shared" si="451"/>
        <v>YAMAHA_Mounter</v>
      </c>
      <c r="AS1532" s="22">
        <f t="shared" si="452"/>
        <v>9</v>
      </c>
      <c r="AT1532" s="24" t="str">
        <f t="shared" si="453"/>
        <v>&gt; 6 months</v>
      </c>
      <c r="AU1532" s="22" t="s">
        <v>3746</v>
      </c>
    </row>
    <row r="1533" spans="1:47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54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2115</v>
      </c>
      <c r="K1533" s="155" t="s">
        <v>1327</v>
      </c>
      <c r="L1533" s="17" t="s">
        <v>67</v>
      </c>
      <c r="M1533" s="13" t="s">
        <v>60</v>
      </c>
      <c r="N1533" s="13">
        <v>1</v>
      </c>
      <c r="O1533" s="13"/>
      <c r="P1533" s="33" t="str">
        <f t="shared" si="445"/>
        <v>MAIN UNIT</v>
      </c>
      <c r="Q1533" s="13" t="s">
        <v>61</v>
      </c>
      <c r="R1533" s="13" t="s">
        <v>62</v>
      </c>
      <c r="S1533" s="13" t="s">
        <v>49</v>
      </c>
      <c r="T1533" s="13" t="s">
        <v>78</v>
      </c>
      <c r="U1533" s="13" t="s">
        <v>79</v>
      </c>
      <c r="V1533" s="13" t="s">
        <v>80</v>
      </c>
      <c r="W1533" s="13" t="s">
        <v>109</v>
      </c>
      <c r="X1533" s="135">
        <v>6400000</v>
      </c>
      <c r="Y1533" s="157" t="str">
        <f t="shared" si="457"/>
        <v>1</v>
      </c>
      <c r="Z1533" s="18">
        <f t="shared" si="454"/>
        <v>6400000</v>
      </c>
      <c r="AA1533" s="13">
        <v>0.06</v>
      </c>
      <c r="AB1533" s="21">
        <f t="shared" si="456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0"/>
        <v>7502645.9971681423</v>
      </c>
      <c r="AJ1533" s="19">
        <f t="shared" si="441"/>
        <v>664841.72044240718</v>
      </c>
      <c r="AK1533" s="20">
        <f t="shared" si="448"/>
        <v>8.861429963420242E-2</v>
      </c>
      <c r="AL1533" s="17"/>
      <c r="AM1533" s="17"/>
      <c r="AN1533" s="17"/>
      <c r="AO1533" s="17" t="s">
        <v>2116</v>
      </c>
      <c r="AP1533" s="28" t="str">
        <f t="shared" si="449"/>
        <v>20231</v>
      </c>
      <c r="AQ1533" s="28" t="str">
        <f t="shared" si="450"/>
        <v>20231JPY</v>
      </c>
      <c r="AR1533" s="206" t="str">
        <f t="shared" si="451"/>
        <v>YAMAHA_Mounter</v>
      </c>
      <c r="AS1533" s="22">
        <f t="shared" si="452"/>
        <v>9</v>
      </c>
      <c r="AT1533" s="24" t="str">
        <f t="shared" si="453"/>
        <v>&gt; 6 months</v>
      </c>
      <c r="AU1533" s="22" t="s">
        <v>3746</v>
      </c>
    </row>
    <row r="1534" spans="1:47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185</v>
      </c>
      <c r="F1534" s="13" t="s">
        <v>185</v>
      </c>
      <c r="G1534" s="152" t="s">
        <v>185</v>
      </c>
      <c r="H1534" s="155"/>
      <c r="I1534" s="33" t="str">
        <f t="shared" si="444"/>
        <v>Cancel</v>
      </c>
      <c r="J1534" s="186" t="s">
        <v>2357</v>
      </c>
      <c r="K1534" s="155" t="s">
        <v>1327</v>
      </c>
      <c r="L1534" s="17" t="s">
        <v>92</v>
      </c>
      <c r="M1534" s="13" t="s">
        <v>60</v>
      </c>
      <c r="N1534" s="13">
        <v>1</v>
      </c>
      <c r="O1534" s="13"/>
      <c r="P1534" s="33" t="str">
        <f t="shared" si="445"/>
        <v>MAIN UNIT</v>
      </c>
      <c r="Q1534" s="13" t="s">
        <v>61</v>
      </c>
      <c r="R1534" s="13" t="s">
        <v>62</v>
      </c>
      <c r="S1534" s="13" t="s">
        <v>49</v>
      </c>
      <c r="T1534" s="13" t="s">
        <v>78</v>
      </c>
      <c r="U1534" s="13" t="s">
        <v>79</v>
      </c>
      <c r="V1534" s="13" t="s">
        <v>80</v>
      </c>
      <c r="W1534" s="13" t="s">
        <v>109</v>
      </c>
      <c r="X1534" s="135">
        <v>11920000</v>
      </c>
      <c r="Y1534" s="157" t="str">
        <f t="shared" si="457"/>
        <v>1</v>
      </c>
      <c r="Z1534" s="18">
        <f t="shared" si="454"/>
        <v>11920000</v>
      </c>
      <c r="AA1534" s="13">
        <v>5.8700000000000002E-2</v>
      </c>
      <c r="AB1534" s="21">
        <f t="shared" si="456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0"/>
        <v>499582152.5142017</v>
      </c>
      <c r="AJ1534" s="19">
        <f t="shared" si="441"/>
        <v>59520528.679470733</v>
      </c>
      <c r="AK1534" s="20">
        <f t="shared" si="448"/>
        <v>0.11914062257814291</v>
      </c>
      <c r="AL1534" s="17"/>
      <c r="AM1534" s="17"/>
      <c r="AN1534" s="17"/>
      <c r="AO1534" s="17"/>
      <c r="AP1534" s="28" t="str">
        <f t="shared" si="449"/>
        <v>CancelCancel</v>
      </c>
      <c r="AQ1534" s="28" t="str">
        <f t="shared" si="450"/>
        <v>CancelCancelJPY</v>
      </c>
      <c r="AR1534" s="206" t="str">
        <f t="shared" si="451"/>
        <v>YAMAHA_Mounter</v>
      </c>
      <c r="AS1534" s="22" t="str">
        <f t="shared" si="452"/>
        <v/>
      </c>
      <c r="AT1534" s="24" t="str">
        <f t="shared" si="453"/>
        <v/>
      </c>
      <c r="AU1534" s="22" t="s">
        <v>3746</v>
      </c>
    </row>
    <row r="1535" spans="1:47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185</v>
      </c>
      <c r="F1535" s="13" t="s">
        <v>185</v>
      </c>
      <c r="G1535" s="152" t="s">
        <v>185</v>
      </c>
      <c r="H1535" s="155"/>
      <c r="I1535" s="33" t="str">
        <f t="shared" si="444"/>
        <v>Cancel</v>
      </c>
      <c r="J1535" s="186" t="s">
        <v>2357</v>
      </c>
      <c r="K1535" s="155" t="s">
        <v>1327</v>
      </c>
      <c r="L1535" s="17" t="s">
        <v>92</v>
      </c>
      <c r="M1535" s="13" t="s">
        <v>60</v>
      </c>
      <c r="N1535" s="13">
        <v>1</v>
      </c>
      <c r="O1535" s="13"/>
      <c r="P1535" s="33" t="str">
        <f t="shared" si="445"/>
        <v>MAIN UNIT</v>
      </c>
      <c r="Q1535" s="13" t="s">
        <v>61</v>
      </c>
      <c r="R1535" s="13" t="s">
        <v>62</v>
      </c>
      <c r="S1535" s="13" t="s">
        <v>49</v>
      </c>
      <c r="T1535" s="13" t="s">
        <v>78</v>
      </c>
      <c r="U1535" s="13" t="s">
        <v>79</v>
      </c>
      <c r="V1535" s="13" t="s">
        <v>80</v>
      </c>
      <c r="W1535" s="13" t="s">
        <v>109</v>
      </c>
      <c r="X1535" s="135">
        <v>11920000</v>
      </c>
      <c r="Y1535" s="157" t="str">
        <f t="shared" si="457"/>
        <v>1</v>
      </c>
      <c r="Z1535" s="18">
        <f t="shared" si="454"/>
        <v>11920000</v>
      </c>
      <c r="AA1535" s="13">
        <v>5.8700000000000002E-2</v>
      </c>
      <c r="AB1535" s="21">
        <f t="shared" si="456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0"/>
        <v>499582152.5142017</v>
      </c>
      <c r="AJ1535" s="19">
        <f t="shared" si="441"/>
        <v>59520528.679470733</v>
      </c>
      <c r="AK1535" s="20">
        <f t="shared" si="448"/>
        <v>0.11914062257814291</v>
      </c>
      <c r="AL1535" s="17"/>
      <c r="AM1535" s="17"/>
      <c r="AN1535" s="17"/>
      <c r="AO1535" s="17"/>
      <c r="AP1535" s="28" t="str">
        <f t="shared" si="449"/>
        <v>CancelCancel</v>
      </c>
      <c r="AQ1535" s="28" t="str">
        <f t="shared" si="450"/>
        <v>CancelCancelJPY</v>
      </c>
      <c r="AR1535" s="206" t="str">
        <f t="shared" si="451"/>
        <v>YAMAHA_Mounter</v>
      </c>
      <c r="AS1535" s="22" t="str">
        <f t="shared" si="452"/>
        <v/>
      </c>
      <c r="AT1535" s="24" t="str">
        <f t="shared" si="453"/>
        <v/>
      </c>
      <c r="AU1535" s="22" t="s">
        <v>3746</v>
      </c>
    </row>
    <row r="1536" spans="1:47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185</v>
      </c>
      <c r="F1536" s="13" t="s">
        <v>185</v>
      </c>
      <c r="G1536" s="152" t="s">
        <v>185</v>
      </c>
      <c r="H1536" s="155"/>
      <c r="I1536" s="33" t="str">
        <f t="shared" si="444"/>
        <v>Cancel</v>
      </c>
      <c r="J1536" s="186" t="s">
        <v>2357</v>
      </c>
      <c r="K1536" s="155" t="s">
        <v>1327</v>
      </c>
      <c r="L1536" s="17" t="s">
        <v>67</v>
      </c>
      <c r="M1536" s="13" t="s">
        <v>60</v>
      </c>
      <c r="N1536" s="13">
        <v>1</v>
      </c>
      <c r="O1536" s="13"/>
      <c r="P1536" s="33" t="str">
        <f t="shared" si="445"/>
        <v>MAIN UNIT</v>
      </c>
      <c r="Q1536" s="13" t="s">
        <v>61</v>
      </c>
      <c r="R1536" s="13" t="s">
        <v>62</v>
      </c>
      <c r="S1536" s="13" t="s">
        <v>49</v>
      </c>
      <c r="T1536" s="13" t="s">
        <v>78</v>
      </c>
      <c r="U1536" s="13" t="s">
        <v>79</v>
      </c>
      <c r="V1536" s="13" t="s">
        <v>80</v>
      </c>
      <c r="W1536" s="13" t="s">
        <v>109</v>
      </c>
      <c r="X1536" s="135">
        <v>7920000</v>
      </c>
      <c r="Y1536" s="157" t="str">
        <f t="shared" si="457"/>
        <v>1</v>
      </c>
      <c r="Z1536" s="18">
        <f t="shared" si="454"/>
        <v>7920000</v>
      </c>
      <c r="AA1536" s="13">
        <v>5.8700000000000002E-2</v>
      </c>
      <c r="AB1536" s="21">
        <f t="shared" si="456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0"/>
        <v>499582152.5142017</v>
      </c>
      <c r="AJ1536" s="19">
        <f t="shared" si="441"/>
        <v>59520528.679470733</v>
      </c>
      <c r="AK1536" s="20">
        <f t="shared" si="448"/>
        <v>0.11914062257814291</v>
      </c>
      <c r="AL1536" s="17"/>
      <c r="AM1536" s="17"/>
      <c r="AN1536" s="17"/>
      <c r="AO1536" s="17"/>
      <c r="AP1536" s="28" t="str">
        <f t="shared" si="449"/>
        <v>CancelCancel</v>
      </c>
      <c r="AQ1536" s="28" t="str">
        <f t="shared" si="450"/>
        <v>CancelCancelJPY</v>
      </c>
      <c r="AR1536" s="206" t="str">
        <f t="shared" si="451"/>
        <v>YAMAHA_Mounter</v>
      </c>
      <c r="AS1536" s="22" t="str">
        <f t="shared" si="452"/>
        <v/>
      </c>
      <c r="AT1536" s="24" t="str">
        <f t="shared" si="453"/>
        <v/>
      </c>
      <c r="AU1536" s="22" t="s">
        <v>3746</v>
      </c>
    </row>
    <row r="1537" spans="1:47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185</v>
      </c>
      <c r="F1537" s="13" t="s">
        <v>185</v>
      </c>
      <c r="G1537" s="152" t="s">
        <v>185</v>
      </c>
      <c r="H1537" s="155"/>
      <c r="I1537" s="33" t="str">
        <f t="shared" si="444"/>
        <v>Cancel</v>
      </c>
      <c r="J1537" s="186" t="s">
        <v>2357</v>
      </c>
      <c r="K1537" s="155" t="s">
        <v>1327</v>
      </c>
      <c r="L1537" s="17" t="s">
        <v>67</v>
      </c>
      <c r="M1537" s="13" t="s">
        <v>60</v>
      </c>
      <c r="N1537" s="13">
        <v>1</v>
      </c>
      <c r="O1537" s="13"/>
      <c r="P1537" s="33" t="str">
        <f t="shared" si="445"/>
        <v>MAIN UNIT</v>
      </c>
      <c r="Q1537" s="13" t="s">
        <v>61</v>
      </c>
      <c r="R1537" s="13" t="s">
        <v>62</v>
      </c>
      <c r="S1537" s="13" t="s">
        <v>49</v>
      </c>
      <c r="T1537" s="13" t="s">
        <v>78</v>
      </c>
      <c r="U1537" s="13" t="s">
        <v>79</v>
      </c>
      <c r="V1537" s="13" t="s">
        <v>80</v>
      </c>
      <c r="W1537" s="13" t="s">
        <v>109</v>
      </c>
      <c r="X1537" s="135">
        <v>7920000</v>
      </c>
      <c r="Y1537" s="157" t="str">
        <f t="shared" si="457"/>
        <v>1</v>
      </c>
      <c r="Z1537" s="18">
        <f t="shared" si="454"/>
        <v>7920000</v>
      </c>
      <c r="AA1537" s="13">
        <v>5.8700000000000002E-2</v>
      </c>
      <c r="AB1537" s="21">
        <f t="shared" si="456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0"/>
        <v>499582152.5142017</v>
      </c>
      <c r="AJ1537" s="19">
        <f t="shared" si="441"/>
        <v>59520528.679470733</v>
      </c>
      <c r="AK1537" s="20">
        <f t="shared" si="448"/>
        <v>0.11914062257814291</v>
      </c>
      <c r="AL1537" s="17"/>
      <c r="AM1537" s="17"/>
      <c r="AN1537" s="17"/>
      <c r="AO1537" s="17"/>
      <c r="AP1537" s="28" t="str">
        <f t="shared" si="449"/>
        <v>CancelCancel</v>
      </c>
      <c r="AQ1537" s="28" t="str">
        <f t="shared" si="450"/>
        <v>CancelCancelJPY</v>
      </c>
      <c r="AR1537" s="206" t="str">
        <f t="shared" si="451"/>
        <v>YAMAHA_Mounter</v>
      </c>
      <c r="AS1537" s="22" t="str">
        <f t="shared" si="452"/>
        <v/>
      </c>
      <c r="AT1537" s="24" t="str">
        <f t="shared" si="453"/>
        <v/>
      </c>
      <c r="AU1537" s="22" t="s">
        <v>3746</v>
      </c>
    </row>
    <row r="1538" spans="1:47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185</v>
      </c>
      <c r="F1538" s="13" t="s">
        <v>185</v>
      </c>
      <c r="G1538" s="152" t="s">
        <v>185</v>
      </c>
      <c r="H1538" s="155"/>
      <c r="I1538" s="33" t="str">
        <f t="shared" si="444"/>
        <v>Cancel</v>
      </c>
      <c r="J1538" s="186" t="s">
        <v>2357</v>
      </c>
      <c r="K1538" s="155" t="s">
        <v>1327</v>
      </c>
      <c r="L1538" s="17" t="s">
        <v>92</v>
      </c>
      <c r="M1538" s="13" t="s">
        <v>60</v>
      </c>
      <c r="N1538" s="13">
        <v>1</v>
      </c>
      <c r="O1538" s="13"/>
      <c r="P1538" s="33" t="str">
        <f t="shared" si="445"/>
        <v>MAIN UNIT</v>
      </c>
      <c r="Q1538" s="13" t="s">
        <v>61</v>
      </c>
      <c r="R1538" s="13" t="s">
        <v>62</v>
      </c>
      <c r="S1538" s="13" t="s">
        <v>49</v>
      </c>
      <c r="T1538" s="13" t="s">
        <v>78</v>
      </c>
      <c r="U1538" s="13" t="s">
        <v>79</v>
      </c>
      <c r="V1538" s="13" t="s">
        <v>80</v>
      </c>
      <c r="W1538" s="13" t="s">
        <v>109</v>
      </c>
      <c r="X1538" s="135">
        <v>11920000</v>
      </c>
      <c r="Y1538" s="157" t="str">
        <f t="shared" si="457"/>
        <v>1</v>
      </c>
      <c r="Z1538" s="18">
        <f t="shared" si="454"/>
        <v>11920000</v>
      </c>
      <c r="AA1538" s="13">
        <v>5.4100000000000002E-2</v>
      </c>
      <c r="AB1538" s="21">
        <f t="shared" si="456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ref="AI1538:AI1601" si="458">IF(P1538="C66 SERVICE","",SUMIFS(AB:AB,F:F,F1538,G:G,G1538,E:E,E1538))</f>
        <v>499582152.5142017</v>
      </c>
      <c r="AJ1538" s="19">
        <f t="shared" ref="AJ1538:AJ1601" si="459">IF(P1538="C66 SERVICE","",SUMIFS(AC:AC,F:F,F1538,G:G,G1538,E:E,E1538))</f>
        <v>59520528.679470733</v>
      </c>
      <c r="AK1538" s="20">
        <f t="shared" si="448"/>
        <v>0.11914062257814291</v>
      </c>
      <c r="AL1538" s="17"/>
      <c r="AM1538" s="17"/>
      <c r="AN1538" s="17"/>
      <c r="AO1538" s="17"/>
      <c r="AP1538" s="28" t="str">
        <f t="shared" si="449"/>
        <v>CancelCancel</v>
      </c>
      <c r="AQ1538" s="28" t="str">
        <f t="shared" si="450"/>
        <v>CancelCancelJPY</v>
      </c>
      <c r="AR1538" s="206" t="str">
        <f t="shared" si="451"/>
        <v>YAMAHA_Mounter</v>
      </c>
      <c r="AS1538" s="22" t="str">
        <f t="shared" si="452"/>
        <v/>
      </c>
      <c r="AT1538" s="24" t="str">
        <f t="shared" si="453"/>
        <v/>
      </c>
      <c r="AU1538" s="22" t="s">
        <v>3746</v>
      </c>
    </row>
    <row r="1539" spans="1:47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185</v>
      </c>
      <c r="F1539" s="13" t="s">
        <v>185</v>
      </c>
      <c r="G1539" s="152" t="s">
        <v>185</v>
      </c>
      <c r="H1539" s="155"/>
      <c r="I1539" s="33" t="str">
        <f t="shared" si="444"/>
        <v>Cancel</v>
      </c>
      <c r="J1539" s="186" t="s">
        <v>2357</v>
      </c>
      <c r="K1539" s="155" t="s">
        <v>1327</v>
      </c>
      <c r="L1539" s="17" t="s">
        <v>67</v>
      </c>
      <c r="M1539" s="13" t="s">
        <v>60</v>
      </c>
      <c r="N1539" s="13">
        <v>1</v>
      </c>
      <c r="O1539" s="13"/>
      <c r="P1539" s="33" t="str">
        <f t="shared" si="445"/>
        <v>MAIN UNIT</v>
      </c>
      <c r="Q1539" s="13" t="s">
        <v>61</v>
      </c>
      <c r="R1539" s="13" t="s">
        <v>62</v>
      </c>
      <c r="S1539" s="13" t="s">
        <v>49</v>
      </c>
      <c r="T1539" s="13" t="s">
        <v>78</v>
      </c>
      <c r="U1539" s="13" t="s">
        <v>79</v>
      </c>
      <c r="V1539" s="13" t="s">
        <v>80</v>
      </c>
      <c r="W1539" s="13" t="s">
        <v>109</v>
      </c>
      <c r="X1539" s="135">
        <v>7920000</v>
      </c>
      <c r="Y1539" s="157" t="str">
        <f t="shared" si="457"/>
        <v>1</v>
      </c>
      <c r="Z1539" s="18">
        <f t="shared" si="454"/>
        <v>7920000</v>
      </c>
      <c r="AA1539" s="13">
        <v>5.4100000000000002E-2</v>
      </c>
      <c r="AB1539" s="21">
        <f t="shared" si="456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58"/>
        <v>499582152.5142017</v>
      </c>
      <c r="AJ1539" s="19">
        <f t="shared" si="459"/>
        <v>59520528.679470733</v>
      </c>
      <c r="AK1539" s="20">
        <f t="shared" si="448"/>
        <v>0.11914062257814291</v>
      </c>
      <c r="AL1539" s="17"/>
      <c r="AM1539" s="17"/>
      <c r="AN1539" s="17"/>
      <c r="AO1539" s="17"/>
      <c r="AP1539" s="28" t="str">
        <f t="shared" si="449"/>
        <v>CancelCancel</v>
      </c>
      <c r="AQ1539" s="28" t="str">
        <f t="shared" si="450"/>
        <v>CancelCancelJPY</v>
      </c>
      <c r="AR1539" s="206" t="str">
        <f t="shared" si="451"/>
        <v>YAMAHA_Mounter</v>
      </c>
      <c r="AS1539" s="22" t="str">
        <f t="shared" si="452"/>
        <v/>
      </c>
      <c r="AT1539" s="24" t="str">
        <f t="shared" si="453"/>
        <v/>
      </c>
      <c r="AU1539" s="22" t="s">
        <v>3746</v>
      </c>
    </row>
    <row r="1540" spans="1:47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48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1514</v>
      </c>
      <c r="K1540" s="155" t="s">
        <v>1515</v>
      </c>
      <c r="L1540" s="17" t="s">
        <v>92</v>
      </c>
      <c r="M1540" s="13" t="s">
        <v>60</v>
      </c>
      <c r="N1540" s="13">
        <v>1</v>
      </c>
      <c r="O1540" s="13"/>
      <c r="P1540" s="33" t="str">
        <f t="shared" si="445"/>
        <v>MAIN UNIT</v>
      </c>
      <c r="Q1540" s="13" t="s">
        <v>61</v>
      </c>
      <c r="R1540" s="13" t="s">
        <v>62</v>
      </c>
      <c r="S1540" s="13" t="s">
        <v>49</v>
      </c>
      <c r="T1540" s="13" t="s">
        <v>78</v>
      </c>
      <c r="U1540" s="13" t="s">
        <v>79</v>
      </c>
      <c r="V1540" s="13" t="s">
        <v>1516</v>
      </c>
      <c r="W1540" s="13" t="s">
        <v>109</v>
      </c>
      <c r="X1540" s="135">
        <v>11500000</v>
      </c>
      <c r="Y1540" s="157" t="str">
        <f t="shared" si="457"/>
        <v>1</v>
      </c>
      <c r="Z1540" s="18">
        <f t="shared" si="454"/>
        <v>11500000</v>
      </c>
      <c r="AA1540" s="13">
        <v>7.5700000000000003E-2</v>
      </c>
      <c r="AB1540" s="21">
        <f t="shared" si="456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58"/>
        <v>31097187.02948761</v>
      </c>
      <c r="AJ1540" s="19">
        <f t="shared" si="459"/>
        <v>3892353.6644401965</v>
      </c>
      <c r="AK1540" s="20">
        <f t="shared" si="448"/>
        <v>0.12516738767237401</v>
      </c>
      <c r="AL1540" s="17"/>
      <c r="AM1540" s="17"/>
      <c r="AN1540" s="17"/>
      <c r="AO1540" s="17"/>
      <c r="AP1540" s="28" t="str">
        <f t="shared" si="449"/>
        <v>20212</v>
      </c>
      <c r="AQ1540" s="28" t="str">
        <f t="shared" si="450"/>
        <v>20212JPY</v>
      </c>
      <c r="AR1540" s="206" t="str">
        <f t="shared" si="451"/>
        <v>YAMAHA_Mounter</v>
      </c>
      <c r="AS1540" s="22">
        <f t="shared" si="452"/>
        <v>4</v>
      </c>
      <c r="AT1540" s="24" t="str">
        <f t="shared" si="453"/>
        <v>4-6 months</v>
      </c>
      <c r="AU1540" s="22" t="s">
        <v>3745</v>
      </c>
    </row>
    <row r="1541" spans="1:47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48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1514</v>
      </c>
      <c r="K1541" s="155" t="s">
        <v>1515</v>
      </c>
      <c r="L1541" s="17" t="s">
        <v>92</v>
      </c>
      <c r="M1541" s="13" t="s">
        <v>60</v>
      </c>
      <c r="N1541" s="13">
        <v>1</v>
      </c>
      <c r="O1541" s="13"/>
      <c r="P1541" s="33" t="str">
        <f t="shared" si="445"/>
        <v>MAIN UNIT</v>
      </c>
      <c r="Q1541" s="13" t="s">
        <v>61</v>
      </c>
      <c r="R1541" s="13" t="s">
        <v>62</v>
      </c>
      <c r="S1541" s="13" t="s">
        <v>49</v>
      </c>
      <c r="T1541" s="13" t="s">
        <v>78</v>
      </c>
      <c r="U1541" s="13" t="s">
        <v>79</v>
      </c>
      <c r="V1541" s="13" t="s">
        <v>1516</v>
      </c>
      <c r="W1541" s="13" t="s">
        <v>109</v>
      </c>
      <c r="X1541" s="135">
        <v>11500000</v>
      </c>
      <c r="Y1541" s="157" t="str">
        <f t="shared" si="457"/>
        <v>1</v>
      </c>
      <c r="Z1541" s="18">
        <f t="shared" si="454"/>
        <v>11500000</v>
      </c>
      <c r="AA1541" s="13">
        <v>7.5700000000000003E-2</v>
      </c>
      <c r="AB1541" s="21">
        <f t="shared" si="456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58"/>
        <v>31097187.02948761</v>
      </c>
      <c r="AJ1541" s="19">
        <f t="shared" si="459"/>
        <v>3892353.6644401965</v>
      </c>
      <c r="AK1541" s="20">
        <f t="shared" si="448"/>
        <v>0.12516738767237401</v>
      </c>
      <c r="AL1541" s="17"/>
      <c r="AM1541" s="17"/>
      <c r="AN1541" s="17"/>
      <c r="AO1541" s="17"/>
      <c r="AP1541" s="28" t="str">
        <f t="shared" si="449"/>
        <v>20212</v>
      </c>
      <c r="AQ1541" s="28" t="str">
        <f t="shared" si="450"/>
        <v>20212JPY</v>
      </c>
      <c r="AR1541" s="206" t="str">
        <f t="shared" si="451"/>
        <v>YAMAHA_Mounter</v>
      </c>
      <c r="AS1541" s="22">
        <f t="shared" si="452"/>
        <v>4</v>
      </c>
      <c r="AT1541" s="24" t="str">
        <f t="shared" si="453"/>
        <v>4-6 months</v>
      </c>
      <c r="AU1541" s="22" t="s">
        <v>3745</v>
      </c>
    </row>
    <row r="1542" spans="1:47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54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2255</v>
      </c>
      <c r="K1542" s="155" t="s">
        <v>2256</v>
      </c>
      <c r="L1542" s="17" t="s">
        <v>92</v>
      </c>
      <c r="M1542" s="13" t="s">
        <v>60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68</v>
      </c>
      <c r="R1542" s="13" t="s">
        <v>62</v>
      </c>
      <c r="S1542" s="13" t="s">
        <v>49</v>
      </c>
      <c r="T1542" s="13" t="s">
        <v>78</v>
      </c>
      <c r="U1542" s="13" t="s">
        <v>79</v>
      </c>
      <c r="V1542" s="13" t="s">
        <v>311</v>
      </c>
      <c r="W1542" s="13" t="s">
        <v>64</v>
      </c>
      <c r="X1542" s="135">
        <v>740000</v>
      </c>
      <c r="Y1542" s="157" t="str">
        <f t="shared" si="457"/>
        <v>1.13</v>
      </c>
      <c r="Z1542" s="18">
        <f t="shared" si="454"/>
        <v>740000</v>
      </c>
      <c r="AA1542" s="13">
        <v>1.163</v>
      </c>
      <c r="AB1542" s="21">
        <f t="shared" si="456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si="458"/>
        <v>35073581.838938057</v>
      </c>
      <c r="AJ1542" s="19">
        <f t="shared" si="459"/>
        <v>5034113.9728989396</v>
      </c>
      <c r="AK1542" s="20">
        <f t="shared" ref="AK1542:AK1605" si="466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7">IF(F1542="","",F1542&amp;G1542)</f>
        <v>20228</v>
      </c>
      <c r="AQ1542" s="28" t="str">
        <f t="shared" ref="AQ1542:AQ1605" si="468">IF(W1542="","",F1542&amp;G1542&amp;W1542)</f>
        <v>20228RMB</v>
      </c>
      <c r="AR1542" s="206" t="str">
        <f t="shared" ref="AR1542:AR1605" si="469">IFERROR(IF(AND(M1542="YAMAHA", R1542="C28"), "YAMAHA_Non_Mounter", IF(AND(M1542="YAMAHA", R1542="C49"), "YAMAHA_Mounter", M1542)),"")</f>
        <v>YAMAHA_Mounter</v>
      </c>
      <c r="AS1542" s="22">
        <f t="shared" ref="AS1542:AS1605" si="470">IFERROR(IF(OR(G1542="TBA", G1542=""), "", DATEDIF(DATE(B1542, C1542, 1), DATE(F1542, G1542, 1), "M")),"")</f>
        <v>1</v>
      </c>
      <c r="AT1542" s="24" t="str">
        <f t="shared" ref="AT1542:AT1605" si="471">IF(ISNUMBER(AS1542), IF(AS1542&gt;=0, IF(AS1542&lt;=3, "0-3 months", IF(AS1542&lt;=6, "4-6 months", "&gt; 6 months"))), "")</f>
        <v>0-3 months</v>
      </c>
      <c r="AU1542" s="22" t="s">
        <v>3751</v>
      </c>
    </row>
    <row r="1543" spans="1:47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54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2255</v>
      </c>
      <c r="K1543" s="155" t="s">
        <v>2256</v>
      </c>
      <c r="L1543" s="17" t="s">
        <v>67</v>
      </c>
      <c r="M1543" s="13" t="s">
        <v>60</v>
      </c>
      <c r="N1543" s="13">
        <v>1</v>
      </c>
      <c r="O1543" s="13"/>
      <c r="P1543" s="33" t="str">
        <f t="shared" si="463"/>
        <v>MAIN UNIT</v>
      </c>
      <c r="Q1543" s="13" t="s">
        <v>68</v>
      </c>
      <c r="R1543" s="13" t="s">
        <v>62</v>
      </c>
      <c r="S1543" s="13" t="s">
        <v>49</v>
      </c>
      <c r="T1543" s="13" t="s">
        <v>78</v>
      </c>
      <c r="U1543" s="13" t="s">
        <v>79</v>
      </c>
      <c r="V1543" s="13" t="s">
        <v>311</v>
      </c>
      <c r="W1543" s="13" t="s">
        <v>64</v>
      </c>
      <c r="X1543" s="135">
        <v>435000</v>
      </c>
      <c r="Y1543" s="157" t="str">
        <f t="shared" si="457"/>
        <v>1.13</v>
      </c>
      <c r="Z1543" s="18">
        <f t="shared" si="454"/>
        <v>435000</v>
      </c>
      <c r="AA1543" s="13">
        <v>1.163</v>
      </c>
      <c r="AB1543" s="21">
        <f t="shared" si="456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58"/>
        <v>35073581.838938057</v>
      </c>
      <c r="AJ1543" s="19">
        <f t="shared" si="459"/>
        <v>5034113.9728989396</v>
      </c>
      <c r="AK1543" s="20">
        <f t="shared" si="466"/>
        <v>0.14353007902118958</v>
      </c>
      <c r="AL1543" s="17"/>
      <c r="AM1543" s="17"/>
      <c r="AN1543" s="17"/>
      <c r="AO1543" s="17"/>
      <c r="AP1543" s="28" t="str">
        <f t="shared" si="467"/>
        <v>20228</v>
      </c>
      <c r="AQ1543" s="28" t="str">
        <f t="shared" si="468"/>
        <v>20228RMB</v>
      </c>
      <c r="AR1543" s="206" t="str">
        <f t="shared" si="469"/>
        <v>YAMAHA_Mounter</v>
      </c>
      <c r="AS1543" s="22">
        <f t="shared" si="470"/>
        <v>1</v>
      </c>
      <c r="AT1543" s="24" t="str">
        <f t="shared" si="471"/>
        <v>0-3 months</v>
      </c>
      <c r="AU1543" s="22" t="s">
        <v>3751</v>
      </c>
    </row>
    <row r="1544" spans="1:47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54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2456</v>
      </c>
      <c r="K1544" s="155" t="s">
        <v>2256</v>
      </c>
      <c r="L1544" s="17" t="s">
        <v>92</v>
      </c>
      <c r="M1544" s="13" t="s">
        <v>60</v>
      </c>
      <c r="N1544" s="13">
        <v>1</v>
      </c>
      <c r="O1544" s="13"/>
      <c r="P1544" s="33" t="str">
        <f t="shared" si="463"/>
        <v>MAIN UNIT</v>
      </c>
      <c r="Q1544" s="13" t="s">
        <v>61</v>
      </c>
      <c r="R1544" s="13" t="s">
        <v>62</v>
      </c>
      <c r="S1544" s="13" t="s">
        <v>49</v>
      </c>
      <c r="T1544" s="13" t="s">
        <v>78</v>
      </c>
      <c r="U1544" s="13" t="s">
        <v>79</v>
      </c>
      <c r="V1544" s="13" t="s">
        <v>311</v>
      </c>
      <c r="W1544" s="13" t="s">
        <v>64</v>
      </c>
      <c r="X1544" s="135">
        <v>720000</v>
      </c>
      <c r="Y1544" s="157" t="str">
        <f t="shared" si="457"/>
        <v>1.13</v>
      </c>
      <c r="Z1544" s="18">
        <f t="shared" si="454"/>
        <v>720000</v>
      </c>
      <c r="AA1544" s="13">
        <v>1.1299999999999999</v>
      </c>
      <c r="AB1544" s="21">
        <f t="shared" si="456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58"/>
        <v>33543315.897345133</v>
      </c>
      <c r="AJ1544" s="19">
        <f t="shared" si="459"/>
        <v>4706169.3252984071</v>
      </c>
      <c r="AK1544" s="20">
        <f t="shared" si="466"/>
        <v>0.14030125523967318</v>
      </c>
      <c r="AL1544" s="17"/>
      <c r="AM1544" s="17"/>
      <c r="AN1544" s="17"/>
      <c r="AO1544" s="17"/>
      <c r="AP1544" s="28" t="str">
        <f t="shared" si="467"/>
        <v>20233</v>
      </c>
      <c r="AQ1544" s="28" t="str">
        <f t="shared" si="468"/>
        <v>20233RMB</v>
      </c>
      <c r="AR1544" s="206" t="str">
        <f t="shared" si="469"/>
        <v>YAMAHA_Mounter</v>
      </c>
      <c r="AS1544" s="22">
        <f t="shared" si="470"/>
        <v>0</v>
      </c>
      <c r="AT1544" s="24" t="str">
        <f t="shared" si="471"/>
        <v>0-3 months</v>
      </c>
      <c r="AU1544" s="22" t="s">
        <v>3240</v>
      </c>
    </row>
    <row r="1545" spans="1:47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185</v>
      </c>
      <c r="F1545" s="13" t="s">
        <v>185</v>
      </c>
      <c r="G1545" s="152" t="s">
        <v>185</v>
      </c>
      <c r="H1545" s="155" t="s">
        <v>1617</v>
      </c>
      <c r="I1545" s="33" t="str">
        <f t="shared" si="462"/>
        <v>Cancel</v>
      </c>
      <c r="J1545" s="186" t="s">
        <v>2345</v>
      </c>
      <c r="K1545" s="155" t="s">
        <v>2346</v>
      </c>
      <c r="L1545" s="17" t="s">
        <v>293</v>
      </c>
      <c r="M1545" s="13" t="s">
        <v>60</v>
      </c>
      <c r="N1545" s="13">
        <v>1</v>
      </c>
      <c r="O1545" s="13"/>
      <c r="P1545" s="33" t="str">
        <f t="shared" si="463"/>
        <v>MAIN UNIT</v>
      </c>
      <c r="Q1545" s="13" t="s">
        <v>68</v>
      </c>
      <c r="R1545" s="13" t="s">
        <v>62</v>
      </c>
      <c r="S1545" s="13" t="s">
        <v>49</v>
      </c>
      <c r="T1545" s="13" t="s">
        <v>78</v>
      </c>
      <c r="U1545" s="13" t="s">
        <v>79</v>
      </c>
      <c r="V1545" s="13" t="s">
        <v>1885</v>
      </c>
      <c r="W1545" s="13" t="s">
        <v>64</v>
      </c>
      <c r="X1545" s="135">
        <v>1300000</v>
      </c>
      <c r="Y1545" s="157" t="str">
        <f t="shared" si="457"/>
        <v>1.13</v>
      </c>
      <c r="Z1545" s="18">
        <f t="shared" si="454"/>
        <v>1300000</v>
      </c>
      <c r="AA1545" s="13">
        <v>1.175</v>
      </c>
      <c r="AB1545" s="21">
        <f t="shared" si="456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58"/>
        <v>499582152.5142017</v>
      </c>
      <c r="AJ1545" s="19">
        <f t="shared" si="459"/>
        <v>59520528.679470733</v>
      </c>
      <c r="AK1545" s="20">
        <f t="shared" si="466"/>
        <v>0.11914062257814291</v>
      </c>
      <c r="AL1545" s="17"/>
      <c r="AM1545" s="17"/>
      <c r="AN1545" s="17"/>
      <c r="AO1545" s="17"/>
      <c r="AP1545" s="28" t="str">
        <f t="shared" si="467"/>
        <v>CancelCancel</v>
      </c>
      <c r="AQ1545" s="28" t="str">
        <f t="shared" si="468"/>
        <v>CancelCancelRMB</v>
      </c>
      <c r="AR1545" s="206" t="str">
        <f t="shared" si="469"/>
        <v>YAMAHA_Mounter</v>
      </c>
      <c r="AS1545" s="22" t="str">
        <f t="shared" si="470"/>
        <v/>
      </c>
      <c r="AT1545" s="24" t="str">
        <f t="shared" si="471"/>
        <v/>
      </c>
      <c r="AU1545" s="22" t="s">
        <v>3751</v>
      </c>
    </row>
    <row r="1546" spans="1:47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185</v>
      </c>
      <c r="F1546" s="13" t="s">
        <v>185</v>
      </c>
      <c r="G1546" s="152" t="s">
        <v>185</v>
      </c>
      <c r="H1546" s="155" t="s">
        <v>1617</v>
      </c>
      <c r="I1546" s="33" t="str">
        <f t="shared" si="462"/>
        <v>Cancel</v>
      </c>
      <c r="J1546" s="186" t="s">
        <v>2345</v>
      </c>
      <c r="K1546" s="155" t="s">
        <v>2346</v>
      </c>
      <c r="L1546" s="17" t="s">
        <v>293</v>
      </c>
      <c r="M1546" s="13" t="s">
        <v>60</v>
      </c>
      <c r="N1546" s="13">
        <v>1</v>
      </c>
      <c r="O1546" s="13"/>
      <c r="P1546" s="33" t="str">
        <f t="shared" si="463"/>
        <v>MAIN UNIT</v>
      </c>
      <c r="Q1546" s="13" t="s">
        <v>68</v>
      </c>
      <c r="R1546" s="13" t="s">
        <v>62</v>
      </c>
      <c r="S1546" s="13" t="s">
        <v>49</v>
      </c>
      <c r="T1546" s="13" t="s">
        <v>78</v>
      </c>
      <c r="U1546" s="13" t="s">
        <v>79</v>
      </c>
      <c r="V1546" s="13" t="s">
        <v>1885</v>
      </c>
      <c r="W1546" s="13" t="s">
        <v>64</v>
      </c>
      <c r="X1546" s="135">
        <v>1300000</v>
      </c>
      <c r="Y1546" s="157" t="str">
        <f t="shared" si="457"/>
        <v>1.13</v>
      </c>
      <c r="Z1546" s="18">
        <f t="shared" ref="Z1546:Z1609" si="472">IF(X1546="","",X1546*MAX(O1546,N1546))</f>
        <v>1300000</v>
      </c>
      <c r="AA1546" s="13">
        <v>1.175</v>
      </c>
      <c r="AB1546" s="21">
        <f t="shared" si="456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58"/>
        <v>499582152.5142017</v>
      </c>
      <c r="AJ1546" s="19">
        <f t="shared" si="459"/>
        <v>59520528.679470733</v>
      </c>
      <c r="AK1546" s="20">
        <f t="shared" si="466"/>
        <v>0.11914062257814291</v>
      </c>
      <c r="AL1546" s="17"/>
      <c r="AM1546" s="17"/>
      <c r="AN1546" s="17"/>
      <c r="AO1546" s="17"/>
      <c r="AP1546" s="28" t="str">
        <f t="shared" si="467"/>
        <v>CancelCancel</v>
      </c>
      <c r="AQ1546" s="28" t="str">
        <f t="shared" si="468"/>
        <v>CancelCancelRMB</v>
      </c>
      <c r="AR1546" s="206" t="str">
        <f t="shared" si="469"/>
        <v>YAMAHA_Mounter</v>
      </c>
      <c r="AS1546" s="22" t="str">
        <f t="shared" si="470"/>
        <v/>
      </c>
      <c r="AT1546" s="24" t="str">
        <f t="shared" si="471"/>
        <v/>
      </c>
      <c r="AU1546" s="22" t="s">
        <v>3751</v>
      </c>
    </row>
    <row r="1547" spans="1:47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48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1041</v>
      </c>
      <c r="K1547" s="155" t="s">
        <v>1042</v>
      </c>
      <c r="L1547" s="17" t="s">
        <v>92</v>
      </c>
      <c r="M1547" s="13" t="s">
        <v>60</v>
      </c>
      <c r="N1547" s="13">
        <v>1</v>
      </c>
      <c r="O1547" s="13"/>
      <c r="P1547" s="33" t="str">
        <f t="shared" si="463"/>
        <v>MAIN UNIT</v>
      </c>
      <c r="Q1547" s="13" t="s">
        <v>61</v>
      </c>
      <c r="R1547" s="13" t="s">
        <v>62</v>
      </c>
      <c r="S1547" s="13" t="s">
        <v>51</v>
      </c>
      <c r="T1547" s="13" t="s">
        <v>1043</v>
      </c>
      <c r="U1547" s="13" t="s">
        <v>149</v>
      </c>
      <c r="V1547" s="13" t="s">
        <v>564</v>
      </c>
      <c r="W1547" s="13" t="s">
        <v>64</v>
      </c>
      <c r="X1547" s="135">
        <v>1000000</v>
      </c>
      <c r="Y1547" s="156">
        <v>1.1299999999999999</v>
      </c>
      <c r="Z1547" s="18">
        <f t="shared" si="472"/>
        <v>1000000</v>
      </c>
      <c r="AA1547" s="13">
        <v>1.095</v>
      </c>
      <c r="AB1547" s="21">
        <f t="shared" si="456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58"/>
        <v>33477255.428389374</v>
      </c>
      <c r="AJ1547" s="19">
        <f t="shared" si="459"/>
        <v>4578663.362915583</v>
      </c>
      <c r="AK1547" s="20">
        <f t="shared" si="466"/>
        <v>0.13676937682988152</v>
      </c>
      <c r="AL1547" s="17"/>
      <c r="AM1547" s="17"/>
      <c r="AN1547" s="17"/>
      <c r="AO1547" s="17"/>
      <c r="AP1547" s="28" t="str">
        <f t="shared" si="467"/>
        <v>20204</v>
      </c>
      <c r="AQ1547" s="28" t="str">
        <f t="shared" si="468"/>
        <v>20204RMB</v>
      </c>
      <c r="AR1547" s="206" t="str">
        <f t="shared" si="469"/>
        <v>YAMAHA_Mounter</v>
      </c>
      <c r="AS1547" s="22">
        <f t="shared" si="470"/>
        <v>3</v>
      </c>
      <c r="AT1547" s="24" t="str">
        <f t="shared" si="471"/>
        <v>0-3 months</v>
      </c>
      <c r="AU1547" s="22" t="s">
        <v>3240</v>
      </c>
    </row>
    <row r="1548" spans="1:47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48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1041</v>
      </c>
      <c r="K1548" s="155" t="s">
        <v>1042</v>
      </c>
      <c r="L1548" s="17" t="s">
        <v>92</v>
      </c>
      <c r="M1548" s="13" t="s">
        <v>60</v>
      </c>
      <c r="N1548" s="13">
        <v>1</v>
      </c>
      <c r="O1548" s="13"/>
      <c r="P1548" s="33" t="str">
        <f t="shared" si="463"/>
        <v>MAIN UNIT</v>
      </c>
      <c r="Q1548" s="13" t="s">
        <v>61</v>
      </c>
      <c r="R1548" s="13" t="s">
        <v>62</v>
      </c>
      <c r="S1548" s="13" t="s">
        <v>51</v>
      </c>
      <c r="T1548" s="13" t="s">
        <v>1043</v>
      </c>
      <c r="U1548" s="13" t="s">
        <v>149</v>
      </c>
      <c r="V1548" s="13" t="s">
        <v>564</v>
      </c>
      <c r="W1548" s="13" t="s">
        <v>64</v>
      </c>
      <c r="X1548" s="135">
        <v>1431600</v>
      </c>
      <c r="Y1548" s="156">
        <v>1.1299999999999999</v>
      </c>
      <c r="Z1548" s="18">
        <f t="shared" si="472"/>
        <v>1431600</v>
      </c>
      <c r="AA1548" s="13">
        <v>1.095</v>
      </c>
      <c r="AB1548" s="21">
        <f t="shared" si="456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58"/>
        <v>33477255.428389374</v>
      </c>
      <c r="AJ1548" s="19">
        <f t="shared" si="459"/>
        <v>4578663.362915583</v>
      </c>
      <c r="AK1548" s="20">
        <f t="shared" si="466"/>
        <v>0.13676937682988152</v>
      </c>
      <c r="AL1548" s="17"/>
      <c r="AM1548" s="17"/>
      <c r="AN1548" s="17"/>
      <c r="AO1548" s="17"/>
      <c r="AP1548" s="28" t="str">
        <f t="shared" si="467"/>
        <v>20204</v>
      </c>
      <c r="AQ1548" s="28" t="str">
        <f t="shared" si="468"/>
        <v>20204RMB</v>
      </c>
      <c r="AR1548" s="206" t="str">
        <f t="shared" si="469"/>
        <v>YAMAHA_Mounter</v>
      </c>
      <c r="AS1548" s="22">
        <f t="shared" si="470"/>
        <v>3</v>
      </c>
      <c r="AT1548" s="24" t="str">
        <f t="shared" si="471"/>
        <v>0-3 months</v>
      </c>
      <c r="AU1548" s="22" t="s">
        <v>3240</v>
      </c>
    </row>
    <row r="1549" spans="1:47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185</v>
      </c>
      <c r="F1549" s="13" t="s">
        <v>185</v>
      </c>
      <c r="G1549" s="152" t="s">
        <v>1616</v>
      </c>
      <c r="H1549" s="155"/>
      <c r="I1549" s="33" t="str">
        <f t="shared" si="462"/>
        <v>Cancel</v>
      </c>
      <c r="J1549" s="186" t="s">
        <v>2347</v>
      </c>
      <c r="K1549" s="155" t="s">
        <v>2348</v>
      </c>
      <c r="L1549" s="17" t="s">
        <v>67</v>
      </c>
      <c r="M1549" s="13" t="s">
        <v>60</v>
      </c>
      <c r="N1549" s="13">
        <v>1</v>
      </c>
      <c r="O1549" s="13"/>
      <c r="P1549" s="33" t="str">
        <f t="shared" si="463"/>
        <v>MAIN UNIT</v>
      </c>
      <c r="Q1549" s="13" t="s">
        <v>61</v>
      </c>
      <c r="R1549" s="13" t="s">
        <v>62</v>
      </c>
      <c r="S1549" s="13" t="s">
        <v>51</v>
      </c>
      <c r="T1549" s="13" t="s">
        <v>148</v>
      </c>
      <c r="U1549" s="13" t="s">
        <v>149</v>
      </c>
      <c r="V1549" s="13" t="s">
        <v>507</v>
      </c>
      <c r="W1549" s="13" t="s">
        <v>64</v>
      </c>
      <c r="X1549" s="135">
        <v>541700</v>
      </c>
      <c r="Y1549" s="157" t="str">
        <f>IF(W1549="RMB","1.13", "1")</f>
        <v>1.13</v>
      </c>
      <c r="Z1549" s="18">
        <f t="shared" si="472"/>
        <v>541700</v>
      </c>
      <c r="AA1549" s="13">
        <v>1.105</v>
      </c>
      <c r="AB1549" s="21">
        <f t="shared" si="456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58"/>
        <v>499582152.5142017</v>
      </c>
      <c r="AJ1549" s="19">
        <f t="shared" si="459"/>
        <v>59520528.679470733</v>
      </c>
      <c r="AK1549" s="20">
        <f t="shared" si="466"/>
        <v>0.11914062257814291</v>
      </c>
      <c r="AL1549" s="17"/>
      <c r="AM1549" s="17"/>
      <c r="AN1549" s="17"/>
      <c r="AO1549" s="17"/>
      <c r="AP1549" s="28" t="str">
        <f t="shared" si="467"/>
        <v>CancelCANCEL</v>
      </c>
      <c r="AQ1549" s="28" t="str">
        <f t="shared" si="468"/>
        <v>CancelCANCELRMB</v>
      </c>
      <c r="AR1549" s="206" t="str">
        <f t="shared" si="469"/>
        <v>YAMAHA_Mounter</v>
      </c>
      <c r="AS1549" s="22" t="str">
        <f t="shared" si="470"/>
        <v/>
      </c>
      <c r="AT1549" s="24" t="str">
        <f t="shared" si="471"/>
        <v/>
      </c>
      <c r="AU1549" s="22" t="s">
        <v>3240</v>
      </c>
    </row>
    <row r="1550" spans="1:47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47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914</v>
      </c>
      <c r="K1550" s="155" t="s">
        <v>915</v>
      </c>
      <c r="L1550" s="17" t="s">
        <v>67</v>
      </c>
      <c r="M1550" s="13" t="s">
        <v>60</v>
      </c>
      <c r="N1550" s="13">
        <v>2</v>
      </c>
      <c r="O1550" s="13"/>
      <c r="P1550" s="33" t="str">
        <f t="shared" si="463"/>
        <v>MAIN UNIT</v>
      </c>
      <c r="Q1550" s="13" t="s">
        <v>68</v>
      </c>
      <c r="R1550" s="13" t="s">
        <v>62</v>
      </c>
      <c r="S1550" s="13" t="s">
        <v>51</v>
      </c>
      <c r="T1550" s="13" t="s">
        <v>148</v>
      </c>
      <c r="U1550" s="13" t="s">
        <v>149</v>
      </c>
      <c r="V1550" s="13" t="s">
        <v>507</v>
      </c>
      <c r="W1550" s="13" t="s">
        <v>64</v>
      </c>
      <c r="X1550" s="135">
        <v>640750</v>
      </c>
      <c r="Y1550" s="156">
        <v>1.1299999999999999</v>
      </c>
      <c r="Z1550" s="18">
        <f t="shared" si="472"/>
        <v>1281500</v>
      </c>
      <c r="AA1550" s="13">
        <v>1.1100000000000001</v>
      </c>
      <c r="AB1550" s="21">
        <f t="shared" si="456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58"/>
        <v>26147030.909862842</v>
      </c>
      <c r="AJ1550" s="19">
        <f t="shared" si="459"/>
        <v>2743862.8630715334</v>
      </c>
      <c r="AK1550" s="20">
        <f t="shared" si="466"/>
        <v>0.10493974908778378</v>
      </c>
      <c r="AL1550" s="17"/>
      <c r="AM1550" s="17"/>
      <c r="AN1550" s="17"/>
      <c r="AO1550" s="17" t="s">
        <v>916</v>
      </c>
      <c r="AP1550" s="28" t="str">
        <f t="shared" si="467"/>
        <v>201911</v>
      </c>
      <c r="AQ1550" s="28" t="str">
        <f t="shared" si="468"/>
        <v>201911RMB</v>
      </c>
      <c r="AR1550" s="206" t="str">
        <f t="shared" si="469"/>
        <v>YAMAHA_Mounter</v>
      </c>
      <c r="AS1550" s="22">
        <f t="shared" si="470"/>
        <v>2</v>
      </c>
      <c r="AT1550" s="24" t="str">
        <f t="shared" si="471"/>
        <v>0-3 months</v>
      </c>
      <c r="AU1550" s="22" t="s">
        <v>3240</v>
      </c>
    </row>
    <row r="1551" spans="1:47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41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2840</v>
      </c>
      <c r="K1551" s="155" t="s">
        <v>2841</v>
      </c>
      <c r="L1551" s="17" t="s">
        <v>2842</v>
      </c>
      <c r="M1551" s="13" t="s">
        <v>2607</v>
      </c>
      <c r="N1551" s="13">
        <v>1</v>
      </c>
      <c r="O1551" s="13"/>
      <c r="P1551" s="33" t="str">
        <f t="shared" si="463"/>
        <v>MAIN UNIT</v>
      </c>
      <c r="Q1551" s="13" t="s">
        <v>61</v>
      </c>
      <c r="R1551" s="13" t="s">
        <v>2055</v>
      </c>
      <c r="S1551" s="13" t="s">
        <v>51</v>
      </c>
      <c r="T1551" s="13" t="s">
        <v>148</v>
      </c>
      <c r="U1551" s="13" t="s">
        <v>149</v>
      </c>
      <c r="V1551" s="13" t="s">
        <v>507</v>
      </c>
      <c r="W1551" s="13" t="s">
        <v>64</v>
      </c>
      <c r="X1551" s="135">
        <v>441196</v>
      </c>
      <c r="Y1551" s="156">
        <v>1.1599999999999999</v>
      </c>
      <c r="Z1551" s="18">
        <f t="shared" si="472"/>
        <v>441196</v>
      </c>
      <c r="AA1551" s="13">
        <v>1.125</v>
      </c>
      <c r="AB1551" s="21">
        <f t="shared" si="456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58"/>
        <v>29840797.698275864</v>
      </c>
      <c r="AJ1551" s="19">
        <f t="shared" si="459"/>
        <v>3940167.6555448272</v>
      </c>
      <c r="AK1551" s="20">
        <f t="shared" si="466"/>
        <v>0.13203962224416277</v>
      </c>
      <c r="AL1551" s="17"/>
      <c r="AM1551" s="17"/>
      <c r="AN1551" s="17"/>
      <c r="AO1551" s="17"/>
      <c r="AP1551" s="28" t="str">
        <f t="shared" si="467"/>
        <v>201812</v>
      </c>
      <c r="AQ1551" s="28" t="str">
        <f t="shared" si="468"/>
        <v>201812RMB</v>
      </c>
      <c r="AR1551" s="206" t="str">
        <f t="shared" si="469"/>
        <v>HELLER</v>
      </c>
      <c r="AS1551" s="22">
        <f t="shared" si="470"/>
        <v>1</v>
      </c>
      <c r="AT1551" s="24" t="str">
        <f t="shared" si="471"/>
        <v>0-3 months</v>
      </c>
      <c r="AU1551" s="22" t="s">
        <v>3240</v>
      </c>
    </row>
    <row r="1552" spans="1:47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48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1126</v>
      </c>
      <c r="K1552" s="155" t="s">
        <v>1127</v>
      </c>
      <c r="L1552" s="17" t="s">
        <v>92</v>
      </c>
      <c r="M1552" s="13" t="s">
        <v>60</v>
      </c>
      <c r="N1552" s="13">
        <v>1</v>
      </c>
      <c r="O1552" s="13"/>
      <c r="P1552" s="33" t="str">
        <f t="shared" si="463"/>
        <v>MAIN UNIT</v>
      </c>
      <c r="Q1552" s="13" t="s">
        <v>61</v>
      </c>
      <c r="R1552" s="13" t="s">
        <v>62</v>
      </c>
      <c r="S1552" s="13" t="s">
        <v>51</v>
      </c>
      <c r="T1552" s="13" t="s">
        <v>148</v>
      </c>
      <c r="U1552" s="13" t="s">
        <v>149</v>
      </c>
      <c r="V1552" s="13" t="s">
        <v>507</v>
      </c>
      <c r="W1552" s="13" t="s">
        <v>64</v>
      </c>
      <c r="X1552" s="135">
        <v>1000000</v>
      </c>
      <c r="Y1552" s="156">
        <v>1.1299999999999999</v>
      </c>
      <c r="Z1552" s="18">
        <f t="shared" si="472"/>
        <v>1000000</v>
      </c>
      <c r="AA1552" s="13">
        <v>1.105</v>
      </c>
      <c r="AB1552" s="21">
        <f t="shared" si="456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58"/>
        <v>37969334.083628319</v>
      </c>
      <c r="AJ1552" s="19">
        <f t="shared" si="459"/>
        <v>5097226.4551657084</v>
      </c>
      <c r="AK1552" s="20">
        <f t="shared" si="466"/>
        <v>0.13424587441904964</v>
      </c>
      <c r="AL1552" s="17"/>
      <c r="AM1552" s="17"/>
      <c r="AN1552" s="17"/>
      <c r="AO1552" s="17"/>
      <c r="AP1552" s="28" t="str">
        <f t="shared" si="467"/>
        <v>20208</v>
      </c>
      <c r="AQ1552" s="28" t="str">
        <f t="shared" si="468"/>
        <v>20208RMB</v>
      </c>
      <c r="AR1552" s="206" t="str">
        <f t="shared" si="469"/>
        <v>YAMAHA_Mounter</v>
      </c>
      <c r="AS1552" s="22">
        <f t="shared" si="470"/>
        <v>0</v>
      </c>
      <c r="AT1552" s="24" t="str">
        <f t="shared" si="471"/>
        <v>0-3 months</v>
      </c>
      <c r="AU1552" s="22" t="s">
        <v>3240</v>
      </c>
    </row>
    <row r="1553" spans="1:47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48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1126</v>
      </c>
      <c r="K1553" s="155" t="s">
        <v>1127</v>
      </c>
      <c r="L1553" s="17" t="s">
        <v>67</v>
      </c>
      <c r="M1553" s="13" t="s">
        <v>60</v>
      </c>
      <c r="N1553" s="13">
        <v>1</v>
      </c>
      <c r="O1553" s="13"/>
      <c r="P1553" s="33" t="str">
        <f t="shared" si="463"/>
        <v>MAIN UNIT</v>
      </c>
      <c r="Q1553" s="13" t="s">
        <v>61</v>
      </c>
      <c r="R1553" s="13" t="s">
        <v>62</v>
      </c>
      <c r="S1553" s="13" t="s">
        <v>51</v>
      </c>
      <c r="T1553" s="13" t="s">
        <v>148</v>
      </c>
      <c r="U1553" s="13" t="s">
        <v>149</v>
      </c>
      <c r="V1553" s="13" t="s">
        <v>507</v>
      </c>
      <c r="W1553" s="13" t="s">
        <v>64</v>
      </c>
      <c r="X1553" s="135">
        <v>738700</v>
      </c>
      <c r="Y1553" s="156">
        <v>1.1299999999999999</v>
      </c>
      <c r="Z1553" s="18">
        <f t="shared" si="472"/>
        <v>738700</v>
      </c>
      <c r="AA1553" s="13">
        <v>1.105</v>
      </c>
      <c r="AB1553" s="21">
        <f t="shared" si="456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58"/>
        <v>37969334.083628319</v>
      </c>
      <c r="AJ1553" s="19">
        <f t="shared" si="459"/>
        <v>5097226.4551657084</v>
      </c>
      <c r="AK1553" s="20">
        <f t="shared" si="466"/>
        <v>0.13424587441904964</v>
      </c>
      <c r="AL1553" s="17"/>
      <c r="AM1553" s="17"/>
      <c r="AN1553" s="17"/>
      <c r="AO1553" s="17"/>
      <c r="AP1553" s="28" t="str">
        <f t="shared" si="467"/>
        <v>20208</v>
      </c>
      <c r="AQ1553" s="28" t="str">
        <f t="shared" si="468"/>
        <v>20208RMB</v>
      </c>
      <c r="AR1553" s="206" t="str">
        <f t="shared" si="469"/>
        <v>YAMAHA_Mounter</v>
      </c>
      <c r="AS1553" s="22">
        <f t="shared" si="470"/>
        <v>0</v>
      </c>
      <c r="AT1553" s="24" t="str">
        <f t="shared" si="471"/>
        <v>0-3 months</v>
      </c>
      <c r="AU1553" s="22" t="s">
        <v>3240</v>
      </c>
    </row>
    <row r="1554" spans="1:47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54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2292</v>
      </c>
      <c r="K1554" s="155" t="s">
        <v>1127</v>
      </c>
      <c r="L1554" s="17" t="s">
        <v>92</v>
      </c>
      <c r="M1554" s="13" t="s">
        <v>60</v>
      </c>
      <c r="N1554" s="13">
        <v>1</v>
      </c>
      <c r="O1554" s="13"/>
      <c r="P1554" s="33" t="str">
        <f t="shared" si="463"/>
        <v>MAIN UNIT</v>
      </c>
      <c r="Q1554" s="13" t="s">
        <v>61</v>
      </c>
      <c r="R1554" s="13" t="s">
        <v>62</v>
      </c>
      <c r="S1554" s="13" t="s">
        <v>51</v>
      </c>
      <c r="T1554" s="13" t="s">
        <v>148</v>
      </c>
      <c r="U1554" s="13" t="s">
        <v>149</v>
      </c>
      <c r="V1554" s="13" t="s">
        <v>507</v>
      </c>
      <c r="W1554" s="13" t="s">
        <v>64</v>
      </c>
      <c r="X1554" s="135">
        <v>1015900</v>
      </c>
      <c r="Y1554" s="157" t="str">
        <f>IF(W1554="RMB","1.13", "1")</f>
        <v>1.13</v>
      </c>
      <c r="Z1554" s="18">
        <f t="shared" si="472"/>
        <v>1015900</v>
      </c>
      <c r="AA1554" s="13">
        <v>1.1000000000000001</v>
      </c>
      <c r="AB1554" s="21">
        <f t="shared" si="456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58"/>
        <v>22717528.991150443</v>
      </c>
      <c r="AJ1554" s="19">
        <f t="shared" si="459"/>
        <v>3947747.192555753</v>
      </c>
      <c r="AK1554" s="20">
        <f t="shared" si="466"/>
        <v>0.1737753782153679</v>
      </c>
      <c r="AL1554" s="17"/>
      <c r="AM1554" s="17"/>
      <c r="AN1554" s="17"/>
      <c r="AO1554" s="17"/>
      <c r="AP1554" s="28" t="str">
        <f t="shared" si="467"/>
        <v>202210</v>
      </c>
      <c r="AQ1554" s="28" t="str">
        <f t="shared" si="468"/>
        <v>202210RMB</v>
      </c>
      <c r="AR1554" s="206" t="str">
        <f t="shared" si="469"/>
        <v>YAMAHA_Mounter</v>
      </c>
      <c r="AS1554" s="22">
        <f t="shared" si="470"/>
        <v>3</v>
      </c>
      <c r="AT1554" s="24" t="str">
        <f t="shared" si="471"/>
        <v>0-3 months</v>
      </c>
      <c r="AU1554" s="22" t="s">
        <v>3240</v>
      </c>
    </row>
    <row r="1555" spans="1:47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54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2323</v>
      </c>
      <c r="K1555" s="155" t="s">
        <v>2324</v>
      </c>
      <c r="L1555" s="17" t="s">
        <v>67</v>
      </c>
      <c r="M1555" s="13" t="s">
        <v>60</v>
      </c>
      <c r="N1555" s="13">
        <v>1</v>
      </c>
      <c r="O1555" s="13"/>
      <c r="P1555" s="33" t="str">
        <f t="shared" si="463"/>
        <v>MAIN UNIT</v>
      </c>
      <c r="Q1555" s="13" t="s">
        <v>61</v>
      </c>
      <c r="R1555" s="13" t="s">
        <v>62</v>
      </c>
      <c r="S1555" s="13" t="s">
        <v>51</v>
      </c>
      <c r="T1555" s="13" t="s">
        <v>148</v>
      </c>
      <c r="U1555" s="13" t="s">
        <v>149</v>
      </c>
      <c r="V1555" s="13" t="s">
        <v>507</v>
      </c>
      <c r="W1555" s="13" t="s">
        <v>64</v>
      </c>
      <c r="X1555" s="135">
        <v>704000</v>
      </c>
      <c r="Y1555" s="157" t="str">
        <f>IF(W1555="RMB","1.13", "1")</f>
        <v>1.13</v>
      </c>
      <c r="Z1555" s="18">
        <f t="shared" si="472"/>
        <v>704000</v>
      </c>
      <c r="AA1555" s="13">
        <v>1.08</v>
      </c>
      <c r="AB1555" s="21">
        <f t="shared" si="456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58"/>
        <v>31017966.201968137</v>
      </c>
      <c r="AJ1555" s="19">
        <f t="shared" si="459"/>
        <v>4704250.3347305888</v>
      </c>
      <c r="AK1555" s="20">
        <f t="shared" si="466"/>
        <v>0.15166211427595458</v>
      </c>
      <c r="AL1555" s="17"/>
      <c r="AM1555" s="17"/>
      <c r="AN1555" s="17"/>
      <c r="AO1555" s="17"/>
      <c r="AP1555" s="28" t="str">
        <f t="shared" si="467"/>
        <v>202211</v>
      </c>
      <c r="AQ1555" s="28" t="str">
        <f t="shared" si="468"/>
        <v>202211RMB</v>
      </c>
      <c r="AR1555" s="206" t="str">
        <f t="shared" si="469"/>
        <v>YAMAHA_Mounter</v>
      </c>
      <c r="AS1555" s="22">
        <f t="shared" si="470"/>
        <v>0</v>
      </c>
      <c r="AT1555" s="24" t="str">
        <f t="shared" si="471"/>
        <v>0-3 months</v>
      </c>
      <c r="AU1555" s="22" t="s">
        <v>3240</v>
      </c>
    </row>
    <row r="1556" spans="1:47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47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697</v>
      </c>
      <c r="K1556" s="155" t="s">
        <v>698</v>
      </c>
      <c r="L1556" s="17" t="s">
        <v>92</v>
      </c>
      <c r="M1556" s="13" t="s">
        <v>60</v>
      </c>
      <c r="N1556" s="13">
        <v>1</v>
      </c>
      <c r="O1556" s="13"/>
      <c r="P1556" s="33" t="str">
        <f t="shared" si="463"/>
        <v>MAIN UNIT</v>
      </c>
      <c r="Q1556" s="13" t="s">
        <v>68</v>
      </c>
      <c r="R1556" s="13" t="s">
        <v>62</v>
      </c>
      <c r="S1556" s="13" t="s">
        <v>51</v>
      </c>
      <c r="T1556" s="13" t="s">
        <v>349</v>
      </c>
      <c r="U1556" s="13" t="s">
        <v>149</v>
      </c>
      <c r="V1556" s="13" t="s">
        <v>507</v>
      </c>
      <c r="W1556" s="13" t="s">
        <v>64</v>
      </c>
      <c r="X1556" s="135">
        <v>1300000</v>
      </c>
      <c r="Y1556" s="156">
        <v>1.1299999999999999</v>
      </c>
      <c r="Z1556" s="18">
        <f t="shared" si="472"/>
        <v>1300000</v>
      </c>
      <c r="AA1556" s="13">
        <v>1.135</v>
      </c>
      <c r="AB1556" s="21">
        <f t="shared" si="456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58"/>
        <v>21386017.707964607</v>
      </c>
      <c r="AJ1556" s="19">
        <f t="shared" si="459"/>
        <v>2238764.3265707968</v>
      </c>
      <c r="AK1556" s="20">
        <f t="shared" si="466"/>
        <v>0.10468355339185161</v>
      </c>
      <c r="AL1556" s="17"/>
      <c r="AM1556" s="17"/>
      <c r="AN1556" s="17"/>
      <c r="AO1556" s="17"/>
      <c r="AP1556" s="28" t="str">
        <f t="shared" si="467"/>
        <v>20198</v>
      </c>
      <c r="AQ1556" s="28" t="str">
        <f t="shared" si="468"/>
        <v>20198RMB</v>
      </c>
      <c r="AR1556" s="206" t="str">
        <f t="shared" si="469"/>
        <v>YAMAHA_Mounter</v>
      </c>
      <c r="AS1556" s="22">
        <f t="shared" si="470"/>
        <v>3</v>
      </c>
      <c r="AT1556" s="24" t="str">
        <f t="shared" si="471"/>
        <v>0-3 months</v>
      </c>
      <c r="AU1556" s="22" t="s">
        <v>3240</v>
      </c>
    </row>
    <row r="1557" spans="1:47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47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550</v>
      </c>
      <c r="K1557" s="155" t="s">
        <v>551</v>
      </c>
      <c r="L1557" s="17" t="s">
        <v>77</v>
      </c>
      <c r="M1557" s="13" t="s">
        <v>60</v>
      </c>
      <c r="N1557" s="13">
        <v>1</v>
      </c>
      <c r="O1557" s="13"/>
      <c r="P1557" s="33" t="str">
        <f t="shared" si="463"/>
        <v>MAIN UNIT</v>
      </c>
      <c r="Q1557" s="13" t="s">
        <v>61</v>
      </c>
      <c r="R1557" s="13" t="s">
        <v>62</v>
      </c>
      <c r="S1557" s="13" t="s">
        <v>51</v>
      </c>
      <c r="T1557" s="13" t="s">
        <v>148</v>
      </c>
      <c r="U1557" s="13" t="s">
        <v>149</v>
      </c>
      <c r="V1557" s="13" t="s">
        <v>507</v>
      </c>
      <c r="W1557" s="13" t="s">
        <v>64</v>
      </c>
      <c r="X1557" s="135">
        <v>779310.34</v>
      </c>
      <c r="Y1557" s="156">
        <v>1.1299999999999999</v>
      </c>
      <c r="Z1557" s="18">
        <f t="shared" si="472"/>
        <v>779310.34</v>
      </c>
      <c r="AA1557" s="13">
        <v>1.1599999999999999</v>
      </c>
      <c r="AB1557" s="21">
        <f t="shared" si="456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58"/>
        <v>32843736.557277881</v>
      </c>
      <c r="AJ1557" s="19">
        <f t="shared" si="459"/>
        <v>3921470.6822663117</v>
      </c>
      <c r="AK1557" s="20">
        <f t="shared" si="466"/>
        <v>0.11939782416131177</v>
      </c>
      <c r="AL1557" s="17"/>
      <c r="AM1557" s="17"/>
      <c r="AN1557" s="17"/>
      <c r="AO1557" s="17"/>
      <c r="AP1557" s="28" t="str">
        <f t="shared" si="467"/>
        <v>20194</v>
      </c>
      <c r="AQ1557" s="28" t="str">
        <f t="shared" si="468"/>
        <v>20194RMB</v>
      </c>
      <c r="AR1557" s="206" t="str">
        <f t="shared" si="469"/>
        <v>YAMAHA_Mounter</v>
      </c>
      <c r="AS1557" s="22">
        <f t="shared" si="470"/>
        <v>10</v>
      </c>
      <c r="AT1557" s="24" t="str">
        <f t="shared" si="471"/>
        <v>&gt; 6 months</v>
      </c>
      <c r="AU1557" s="22" t="s">
        <v>3240</v>
      </c>
    </row>
    <row r="1558" spans="1:47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47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550</v>
      </c>
      <c r="K1558" s="155" t="s">
        <v>551</v>
      </c>
      <c r="L1558" s="17" t="s">
        <v>67</v>
      </c>
      <c r="M1558" s="13" t="s">
        <v>60</v>
      </c>
      <c r="N1558" s="13">
        <v>1</v>
      </c>
      <c r="O1558" s="13"/>
      <c r="P1558" s="33" t="str">
        <f t="shared" si="463"/>
        <v>MAIN UNIT</v>
      </c>
      <c r="Q1558" s="13" t="s">
        <v>61</v>
      </c>
      <c r="R1558" s="13" t="s">
        <v>62</v>
      </c>
      <c r="S1558" s="13" t="s">
        <v>51</v>
      </c>
      <c r="T1558" s="13" t="s">
        <v>148</v>
      </c>
      <c r="U1558" s="13" t="s">
        <v>149</v>
      </c>
      <c r="V1558" s="13" t="s">
        <v>507</v>
      </c>
      <c r="W1558" s="13" t="s">
        <v>64</v>
      </c>
      <c r="X1558" s="135">
        <v>584482.76</v>
      </c>
      <c r="Y1558" s="156">
        <v>1.1299999999999999</v>
      </c>
      <c r="Z1558" s="18">
        <f t="shared" si="472"/>
        <v>584482.76</v>
      </c>
      <c r="AA1558" s="13">
        <v>1.1599999999999999</v>
      </c>
      <c r="AB1558" s="21">
        <f t="shared" si="456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58"/>
        <v>32843736.557277881</v>
      </c>
      <c r="AJ1558" s="19">
        <f t="shared" si="459"/>
        <v>3921470.6822663117</v>
      </c>
      <c r="AK1558" s="20">
        <f t="shared" si="466"/>
        <v>0.11939782416131177</v>
      </c>
      <c r="AL1558" s="17"/>
      <c r="AM1558" s="17"/>
      <c r="AN1558" s="17"/>
      <c r="AO1558" s="17"/>
      <c r="AP1558" s="28" t="str">
        <f t="shared" si="467"/>
        <v>20194</v>
      </c>
      <c r="AQ1558" s="28" t="str">
        <f t="shared" si="468"/>
        <v>20194RMB</v>
      </c>
      <c r="AR1558" s="206" t="str">
        <f t="shared" si="469"/>
        <v>YAMAHA_Mounter</v>
      </c>
      <c r="AS1558" s="22">
        <f t="shared" si="470"/>
        <v>10</v>
      </c>
      <c r="AT1558" s="24" t="str">
        <f t="shared" si="471"/>
        <v>&gt; 6 months</v>
      </c>
      <c r="AU1558" s="22" t="s">
        <v>3240</v>
      </c>
    </row>
    <row r="1559" spans="1:47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41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146</v>
      </c>
      <c r="K1559" s="155" t="s">
        <v>147</v>
      </c>
      <c r="L1559" s="17" t="s">
        <v>77</v>
      </c>
      <c r="M1559" s="13" t="s">
        <v>60</v>
      </c>
      <c r="N1559" s="13">
        <v>1</v>
      </c>
      <c r="O1559" s="13"/>
      <c r="P1559" s="33" t="str">
        <f t="shared" si="463"/>
        <v>MAIN UNIT</v>
      </c>
      <c r="Q1559" s="13" t="s">
        <v>68</v>
      </c>
      <c r="R1559" s="13" t="s">
        <v>62</v>
      </c>
      <c r="S1559" s="13" t="s">
        <v>51</v>
      </c>
      <c r="T1559" s="13" t="s">
        <v>148</v>
      </c>
      <c r="U1559" s="13" t="s">
        <v>149</v>
      </c>
      <c r="V1559" s="13" t="s">
        <v>150</v>
      </c>
      <c r="W1559" s="13" t="s">
        <v>64</v>
      </c>
      <c r="X1559" s="135">
        <v>800000</v>
      </c>
      <c r="Y1559" s="156">
        <v>1.1599999999999999</v>
      </c>
      <c r="Z1559" s="18">
        <f t="shared" si="472"/>
        <v>800000</v>
      </c>
      <c r="AA1559" s="13">
        <v>1.1499999999999999</v>
      </c>
      <c r="AB1559" s="21">
        <f t="shared" si="456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58"/>
        <v>26492741.106427077</v>
      </c>
      <c r="AJ1559" s="19">
        <f t="shared" si="459"/>
        <v>3348032.1325698122</v>
      </c>
      <c r="AK1559" s="20">
        <f t="shared" si="466"/>
        <v>0.12637545201985867</v>
      </c>
      <c r="AL1559" s="17"/>
      <c r="AM1559" s="17"/>
      <c r="AN1559" s="17" t="s">
        <v>151</v>
      </c>
      <c r="AO1559" s="17"/>
      <c r="AP1559" s="28" t="str">
        <f t="shared" si="467"/>
        <v>20189</v>
      </c>
      <c r="AQ1559" s="28" t="str">
        <f t="shared" si="468"/>
        <v>20189RMB</v>
      </c>
      <c r="AR1559" s="206" t="str">
        <f t="shared" si="469"/>
        <v>YAMAHA_Mounter</v>
      </c>
      <c r="AS1559" s="22">
        <f t="shared" si="470"/>
        <v>18</v>
      </c>
      <c r="AT1559" s="24" t="str">
        <f t="shared" si="471"/>
        <v>&gt; 6 months</v>
      </c>
      <c r="AU1559" s="22" t="s">
        <v>3240</v>
      </c>
    </row>
    <row r="1560" spans="1:47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41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146</v>
      </c>
      <c r="K1560" s="155" t="s">
        <v>147</v>
      </c>
      <c r="L1560" s="17" t="s">
        <v>100</v>
      </c>
      <c r="M1560" s="13" t="s">
        <v>60</v>
      </c>
      <c r="N1560" s="13">
        <v>1</v>
      </c>
      <c r="O1560" s="13"/>
      <c r="P1560" s="33" t="str">
        <f t="shared" si="463"/>
        <v>MAIN UNIT</v>
      </c>
      <c r="Q1560" s="13" t="s">
        <v>68</v>
      </c>
      <c r="R1560" s="13" t="s">
        <v>62</v>
      </c>
      <c r="S1560" s="13" t="s">
        <v>51</v>
      </c>
      <c r="T1560" s="13" t="s">
        <v>148</v>
      </c>
      <c r="U1560" s="13" t="s">
        <v>149</v>
      </c>
      <c r="V1560" s="13" t="s">
        <v>150</v>
      </c>
      <c r="W1560" s="13" t="s">
        <v>64</v>
      </c>
      <c r="X1560" s="135">
        <v>450000</v>
      </c>
      <c r="Y1560" s="156">
        <v>1.1599999999999999</v>
      </c>
      <c r="Z1560" s="18">
        <f t="shared" si="472"/>
        <v>450000</v>
      </c>
      <c r="AA1560" s="13">
        <v>1.1499999999999999</v>
      </c>
      <c r="AB1560" s="21">
        <f t="shared" si="456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58"/>
        <v>26492741.106427077</v>
      </c>
      <c r="AJ1560" s="19">
        <f t="shared" si="459"/>
        <v>3348032.1325698122</v>
      </c>
      <c r="AK1560" s="20">
        <f t="shared" si="466"/>
        <v>0.12637545201985867</v>
      </c>
      <c r="AL1560" s="17"/>
      <c r="AM1560" s="17"/>
      <c r="AN1560" s="17" t="s">
        <v>155</v>
      </c>
      <c r="AO1560" s="17"/>
      <c r="AP1560" s="28" t="str">
        <f t="shared" si="467"/>
        <v>20189</v>
      </c>
      <c r="AQ1560" s="28" t="str">
        <f t="shared" si="468"/>
        <v>20189RMB</v>
      </c>
      <c r="AR1560" s="206" t="str">
        <f t="shared" si="469"/>
        <v>YAMAHA_Mounter</v>
      </c>
      <c r="AS1560" s="22">
        <f t="shared" si="470"/>
        <v>18</v>
      </c>
      <c r="AT1560" s="24" t="str">
        <f t="shared" si="471"/>
        <v>&gt; 6 months</v>
      </c>
      <c r="AU1560" s="22" t="s">
        <v>3240</v>
      </c>
    </row>
    <row r="1561" spans="1:47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41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146</v>
      </c>
      <c r="K1561" s="155" t="s">
        <v>147</v>
      </c>
      <c r="L1561" s="17" t="s">
        <v>59</v>
      </c>
      <c r="M1561" s="13" t="s">
        <v>60</v>
      </c>
      <c r="N1561" s="13">
        <v>1</v>
      </c>
      <c r="O1561" s="13"/>
      <c r="P1561" s="33" t="str">
        <f t="shared" si="463"/>
        <v>MAIN UNIT</v>
      </c>
      <c r="Q1561" s="13" t="s">
        <v>68</v>
      </c>
      <c r="R1561" s="13" t="s">
        <v>62</v>
      </c>
      <c r="S1561" s="13" t="s">
        <v>51</v>
      </c>
      <c r="T1561" s="13" t="s">
        <v>148</v>
      </c>
      <c r="U1561" s="13" t="s">
        <v>149</v>
      </c>
      <c r="V1561" s="13" t="s">
        <v>150</v>
      </c>
      <c r="W1561" s="13" t="s">
        <v>64</v>
      </c>
      <c r="X1561" s="135">
        <v>673419</v>
      </c>
      <c r="Y1561" s="156">
        <v>1.1599999999999999</v>
      </c>
      <c r="Z1561" s="18">
        <f t="shared" si="472"/>
        <v>673419</v>
      </c>
      <c r="AA1561" s="13">
        <v>1.1499999999999999</v>
      </c>
      <c r="AB1561" s="21">
        <f t="shared" si="456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58"/>
        <v>26492741.106427077</v>
      </c>
      <c r="AJ1561" s="19">
        <f t="shared" si="459"/>
        <v>3348032.1325698122</v>
      </c>
      <c r="AK1561" s="20">
        <f t="shared" si="466"/>
        <v>0.12637545201985867</v>
      </c>
      <c r="AL1561" s="17"/>
      <c r="AM1561" s="17"/>
      <c r="AN1561" s="17" t="s">
        <v>156</v>
      </c>
      <c r="AO1561" s="17"/>
      <c r="AP1561" s="28" t="str">
        <f t="shared" si="467"/>
        <v>20189</v>
      </c>
      <c r="AQ1561" s="28" t="str">
        <f t="shared" si="468"/>
        <v>20189RMB</v>
      </c>
      <c r="AR1561" s="206" t="str">
        <f t="shared" si="469"/>
        <v>YAMAHA_Mounter</v>
      </c>
      <c r="AS1561" s="22">
        <f t="shared" si="470"/>
        <v>18</v>
      </c>
      <c r="AT1561" s="24" t="str">
        <f t="shared" si="471"/>
        <v>&gt; 6 months</v>
      </c>
      <c r="AU1561" s="22" t="s">
        <v>3240</v>
      </c>
    </row>
    <row r="1562" spans="1:47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54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2961</v>
      </c>
      <c r="K1562" s="155" t="s">
        <v>3009</v>
      </c>
      <c r="L1562" s="17" t="s">
        <v>2837</v>
      </c>
      <c r="M1562" s="13" t="s">
        <v>2832</v>
      </c>
      <c r="N1562" s="13">
        <v>2</v>
      </c>
      <c r="O1562" s="13"/>
      <c r="P1562" s="33" t="str">
        <f t="shared" si="463"/>
        <v>MAIN UNIT</v>
      </c>
      <c r="Q1562" s="13" t="s">
        <v>61</v>
      </c>
      <c r="R1562" s="13" t="s">
        <v>2055</v>
      </c>
      <c r="S1562" s="13" t="s">
        <v>51</v>
      </c>
      <c r="T1562" s="13" t="s">
        <v>148</v>
      </c>
      <c r="U1562" s="13" t="s">
        <v>149</v>
      </c>
      <c r="V1562" s="13" t="s">
        <v>2833</v>
      </c>
      <c r="W1562" s="13" t="s">
        <v>64</v>
      </c>
      <c r="X1562" s="135">
        <v>465000</v>
      </c>
      <c r="Y1562" s="157" t="str">
        <f>IF(W1562="RMB","1.13", "1")</f>
        <v>1.13</v>
      </c>
      <c r="Z1562" s="18">
        <f t="shared" si="472"/>
        <v>930000</v>
      </c>
      <c r="AA1562" s="13">
        <v>1.163</v>
      </c>
      <c r="AB1562" s="21">
        <f t="shared" si="456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58"/>
        <v>35073581.838938057</v>
      </c>
      <c r="AJ1562" s="19">
        <f t="shared" si="459"/>
        <v>5034113.9728989396</v>
      </c>
      <c r="AK1562" s="20">
        <f t="shared" si="466"/>
        <v>0.14353007902118958</v>
      </c>
      <c r="AL1562" s="17"/>
      <c r="AM1562" s="17"/>
      <c r="AN1562" s="17"/>
      <c r="AO1562" s="17"/>
      <c r="AP1562" s="28" t="str">
        <f t="shared" si="467"/>
        <v>20228</v>
      </c>
      <c r="AQ1562" s="28" t="str">
        <f t="shared" si="468"/>
        <v>20228RMB</v>
      </c>
      <c r="AR1562" s="206" t="str">
        <f t="shared" si="469"/>
        <v>PEMTRON</v>
      </c>
      <c r="AS1562" s="22">
        <f t="shared" si="470"/>
        <v>2</v>
      </c>
      <c r="AT1562" s="24" t="str">
        <f t="shared" si="471"/>
        <v>0-3 months</v>
      </c>
      <c r="AU1562" s="22" t="s">
        <v>3240</v>
      </c>
    </row>
    <row r="1563" spans="1:47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41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2846</v>
      </c>
      <c r="K1563" s="155" t="s">
        <v>2847</v>
      </c>
      <c r="L1563" s="17" t="s">
        <v>2831</v>
      </c>
      <c r="M1563" s="13" t="s">
        <v>2832</v>
      </c>
      <c r="N1563" s="13">
        <v>1</v>
      </c>
      <c r="O1563" s="13"/>
      <c r="P1563" s="33" t="str">
        <f t="shared" si="463"/>
        <v>MAIN UNIT</v>
      </c>
      <c r="Q1563" s="13" t="s">
        <v>61</v>
      </c>
      <c r="R1563" s="13" t="s">
        <v>2055</v>
      </c>
      <c r="S1563" s="13" t="s">
        <v>51</v>
      </c>
      <c r="T1563" s="13" t="s">
        <v>349</v>
      </c>
      <c r="U1563" s="13" t="s">
        <v>149</v>
      </c>
      <c r="V1563" s="13" t="s">
        <v>2833</v>
      </c>
      <c r="W1563" s="13" t="s">
        <v>64</v>
      </c>
      <c r="X1563" s="135">
        <v>449000</v>
      </c>
      <c r="Y1563" s="156">
        <v>1.1599999999999999</v>
      </c>
      <c r="Z1563" s="18">
        <f t="shared" si="472"/>
        <v>449000</v>
      </c>
      <c r="AA1563" s="13">
        <v>1.125</v>
      </c>
      <c r="AB1563" s="21">
        <f t="shared" si="456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58"/>
        <v>10785027.603448275</v>
      </c>
      <c r="AJ1563" s="19">
        <f t="shared" si="459"/>
        <v>1540894.1297982759</v>
      </c>
      <c r="AK1563" s="20">
        <f t="shared" si="466"/>
        <v>0.1428734525728621</v>
      </c>
      <c r="AL1563" s="17"/>
      <c r="AM1563" s="17"/>
      <c r="AN1563" s="17"/>
      <c r="AO1563" s="17"/>
      <c r="AP1563" s="28" t="str">
        <f t="shared" si="467"/>
        <v>201811</v>
      </c>
      <c r="AQ1563" s="28" t="str">
        <f t="shared" si="468"/>
        <v>201811RMB</v>
      </c>
      <c r="AR1563" s="206" t="str">
        <f t="shared" si="469"/>
        <v>PEMTRON</v>
      </c>
      <c r="AS1563" s="22">
        <f t="shared" si="470"/>
        <v>2</v>
      </c>
      <c r="AT1563" s="24" t="str">
        <f t="shared" si="471"/>
        <v>0-3 months</v>
      </c>
      <c r="AU1563" s="22" t="s">
        <v>3240</v>
      </c>
    </row>
    <row r="1564" spans="1:47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41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2846</v>
      </c>
      <c r="K1564" s="155" t="s">
        <v>2847</v>
      </c>
      <c r="L1564" s="17" t="s">
        <v>2831</v>
      </c>
      <c r="M1564" s="13" t="s">
        <v>2832</v>
      </c>
      <c r="N1564" s="13">
        <v>1</v>
      </c>
      <c r="O1564" s="13"/>
      <c r="P1564" s="33" t="str">
        <f t="shared" si="463"/>
        <v>MAIN UNIT</v>
      </c>
      <c r="Q1564" s="13" t="s">
        <v>61</v>
      </c>
      <c r="R1564" s="13" t="s">
        <v>2055</v>
      </c>
      <c r="S1564" s="13" t="s">
        <v>51</v>
      </c>
      <c r="T1564" s="13" t="s">
        <v>349</v>
      </c>
      <c r="U1564" s="13" t="s">
        <v>149</v>
      </c>
      <c r="V1564" s="13" t="s">
        <v>2833</v>
      </c>
      <c r="W1564" s="13" t="s">
        <v>64</v>
      </c>
      <c r="X1564" s="135">
        <v>449000</v>
      </c>
      <c r="Y1564" s="157" t="str">
        <f>IF(W1564="RMB","1.13", "1")</f>
        <v>1.13</v>
      </c>
      <c r="Z1564" s="18">
        <f t="shared" si="472"/>
        <v>449000</v>
      </c>
      <c r="AA1564" s="13">
        <v>1.1499999999999999</v>
      </c>
      <c r="AB1564" s="21">
        <f t="shared" si="456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58"/>
        <v>26492741.106427077</v>
      </c>
      <c r="AJ1564" s="19">
        <f t="shared" si="459"/>
        <v>3348032.1325698122</v>
      </c>
      <c r="AK1564" s="20">
        <f t="shared" si="466"/>
        <v>0.12637545201985867</v>
      </c>
      <c r="AL1564" s="17"/>
      <c r="AM1564" s="17"/>
      <c r="AN1564" s="17"/>
      <c r="AO1564" s="17"/>
      <c r="AP1564" s="28" t="str">
        <f t="shared" si="467"/>
        <v>20189</v>
      </c>
      <c r="AQ1564" s="28" t="str">
        <f t="shared" si="468"/>
        <v>20189RMB</v>
      </c>
      <c r="AR1564" s="206" t="str">
        <f t="shared" si="469"/>
        <v>PEMTRON</v>
      </c>
      <c r="AS1564" s="22">
        <f t="shared" si="470"/>
        <v>0</v>
      </c>
      <c r="AT1564" s="24" t="str">
        <f t="shared" si="471"/>
        <v>0-3 months</v>
      </c>
      <c r="AU1564" s="22" t="s">
        <v>3240</v>
      </c>
    </row>
    <row r="1565" spans="1:47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53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2971</v>
      </c>
      <c r="L1565" s="17" t="s">
        <v>2609</v>
      </c>
      <c r="M1565" s="13" t="s">
        <v>2607</v>
      </c>
      <c r="N1565" s="13">
        <v>2</v>
      </c>
      <c r="O1565" s="13"/>
      <c r="P1565" s="33" t="str">
        <f t="shared" si="463"/>
        <v>MAIN UNIT</v>
      </c>
      <c r="Q1565" s="13" t="s">
        <v>61</v>
      </c>
      <c r="R1565" s="13" t="s">
        <v>2055</v>
      </c>
      <c r="S1565" s="13" t="s">
        <v>51</v>
      </c>
      <c r="T1565" s="13" t="s">
        <v>148</v>
      </c>
      <c r="U1565" s="13" t="s">
        <v>149</v>
      </c>
      <c r="V1565" s="13"/>
      <c r="W1565" s="13" t="s">
        <v>901</v>
      </c>
      <c r="X1565" s="135">
        <v>110800</v>
      </c>
      <c r="Y1565" s="157" t="str">
        <f>IF(W1565="RMB","1.13", "1")</f>
        <v>1</v>
      </c>
      <c r="Z1565" s="18">
        <f t="shared" si="472"/>
        <v>221600</v>
      </c>
      <c r="AA1565" s="13">
        <v>7.8</v>
      </c>
      <c r="AB1565" s="21">
        <f t="shared" si="456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58"/>
        <v>25380121.402654871</v>
      </c>
      <c r="AJ1565" s="19">
        <f t="shared" si="459"/>
        <v>3850343.1237796471</v>
      </c>
      <c r="AK1565" s="20">
        <f t="shared" si="466"/>
        <v>0.1517070412191521</v>
      </c>
      <c r="AL1565" s="17"/>
      <c r="AM1565" s="17"/>
      <c r="AN1565" s="17"/>
      <c r="AO1565" s="17"/>
      <c r="AP1565" s="28" t="str">
        <f t="shared" si="467"/>
        <v>202112</v>
      </c>
      <c r="AQ1565" s="28" t="str">
        <f t="shared" si="468"/>
        <v>202112USD</v>
      </c>
      <c r="AR1565" s="206" t="str">
        <f t="shared" si="469"/>
        <v>HELLER</v>
      </c>
      <c r="AS1565" s="22">
        <f t="shared" si="470"/>
        <v>4</v>
      </c>
      <c r="AT1565" s="24" t="str">
        <f t="shared" si="471"/>
        <v>4-6 months</v>
      </c>
      <c r="AU1565" s="22" t="s">
        <v>3240</v>
      </c>
    </row>
    <row r="1566" spans="1:47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53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2971</v>
      </c>
      <c r="L1566" s="17" t="s">
        <v>2606</v>
      </c>
      <c r="M1566" s="13" t="s">
        <v>2607</v>
      </c>
      <c r="N1566" s="13">
        <v>1</v>
      </c>
      <c r="O1566" s="13"/>
      <c r="P1566" s="33" t="str">
        <f t="shared" si="463"/>
        <v>MAIN UNIT</v>
      </c>
      <c r="Q1566" s="13" t="s">
        <v>61</v>
      </c>
      <c r="R1566" s="13" t="s">
        <v>2055</v>
      </c>
      <c r="S1566" s="13" t="s">
        <v>51</v>
      </c>
      <c r="T1566" s="13" t="s">
        <v>148</v>
      </c>
      <c r="U1566" s="13" t="s">
        <v>149</v>
      </c>
      <c r="V1566" s="13"/>
      <c r="W1566" s="13" t="s">
        <v>901</v>
      </c>
      <c r="X1566" s="135">
        <v>119800</v>
      </c>
      <c r="Y1566" s="157" t="str">
        <f>IF(W1566="RMB","1.13", "1")</f>
        <v>1</v>
      </c>
      <c r="Z1566" s="18">
        <f t="shared" si="472"/>
        <v>119800</v>
      </c>
      <c r="AA1566" s="13">
        <v>7.8</v>
      </c>
      <c r="AB1566" s="21">
        <f t="shared" si="456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58"/>
        <v>25380121.402654871</v>
      </c>
      <c r="AJ1566" s="19">
        <f t="shared" si="459"/>
        <v>3850343.1237796471</v>
      </c>
      <c r="AK1566" s="20">
        <f t="shared" si="466"/>
        <v>0.1517070412191521</v>
      </c>
      <c r="AL1566" s="17"/>
      <c r="AM1566" s="17"/>
      <c r="AN1566" s="17"/>
      <c r="AO1566" s="17"/>
      <c r="AP1566" s="28" t="str">
        <f t="shared" si="467"/>
        <v>202112</v>
      </c>
      <c r="AQ1566" s="28" t="str">
        <f t="shared" si="468"/>
        <v>202112USD</v>
      </c>
      <c r="AR1566" s="206" t="str">
        <f t="shared" si="469"/>
        <v>HELLER</v>
      </c>
      <c r="AS1566" s="22">
        <f t="shared" si="470"/>
        <v>4</v>
      </c>
      <c r="AT1566" s="24" t="str">
        <f t="shared" si="471"/>
        <v>4-6 months</v>
      </c>
      <c r="AU1566" s="22" t="s">
        <v>3240</v>
      </c>
    </row>
    <row r="1567" spans="1:47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53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2971</v>
      </c>
      <c r="L1567" s="17" t="s">
        <v>2609</v>
      </c>
      <c r="M1567" s="13" t="s">
        <v>2607</v>
      </c>
      <c r="N1567" s="13">
        <v>2</v>
      </c>
      <c r="O1567" s="13"/>
      <c r="P1567" s="33" t="str">
        <f t="shared" si="463"/>
        <v>MAIN UNIT</v>
      </c>
      <c r="Q1567" s="13" t="s">
        <v>61</v>
      </c>
      <c r="R1567" s="13" t="s">
        <v>2055</v>
      </c>
      <c r="S1567" s="13" t="s">
        <v>51</v>
      </c>
      <c r="T1567" s="13" t="s">
        <v>148</v>
      </c>
      <c r="U1567" s="13" t="s">
        <v>149</v>
      </c>
      <c r="V1567" s="13"/>
      <c r="W1567" s="13" t="s">
        <v>901</v>
      </c>
      <c r="X1567" s="135">
        <v>110800</v>
      </c>
      <c r="Y1567" s="157" t="str">
        <f>IF(W1567="RMB","1.13", "1")</f>
        <v>1</v>
      </c>
      <c r="Z1567" s="18">
        <f t="shared" si="472"/>
        <v>221600</v>
      </c>
      <c r="AA1567" s="13">
        <v>7.8</v>
      </c>
      <c r="AB1567" s="21">
        <f t="shared" si="456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58"/>
        <v>25380121.402654871</v>
      </c>
      <c r="AJ1567" s="19">
        <f t="shared" si="459"/>
        <v>3850343.1237796471</v>
      </c>
      <c r="AK1567" s="20">
        <f t="shared" si="466"/>
        <v>0.1517070412191521</v>
      </c>
      <c r="AL1567" s="17"/>
      <c r="AM1567" s="17"/>
      <c r="AN1567" s="17"/>
      <c r="AO1567" s="17"/>
      <c r="AP1567" s="28" t="str">
        <f t="shared" si="467"/>
        <v>202112</v>
      </c>
      <c r="AQ1567" s="28" t="str">
        <f t="shared" si="468"/>
        <v>202112USD</v>
      </c>
      <c r="AR1567" s="206" t="str">
        <f t="shared" si="469"/>
        <v>HELLER</v>
      </c>
      <c r="AS1567" s="22">
        <f t="shared" si="470"/>
        <v>3</v>
      </c>
      <c r="AT1567" s="24" t="str">
        <f t="shared" si="471"/>
        <v>0-3 months</v>
      </c>
      <c r="AU1567" s="22" t="s">
        <v>3240</v>
      </c>
    </row>
    <row r="1568" spans="1:47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53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2971</v>
      </c>
      <c r="L1568" s="17" t="s">
        <v>2606</v>
      </c>
      <c r="M1568" s="13" t="s">
        <v>2607</v>
      </c>
      <c r="N1568" s="13">
        <v>1</v>
      </c>
      <c r="O1568" s="13"/>
      <c r="P1568" s="33" t="str">
        <f t="shared" si="463"/>
        <v>MAIN UNIT</v>
      </c>
      <c r="Q1568" s="13" t="s">
        <v>61</v>
      </c>
      <c r="R1568" s="13" t="s">
        <v>2055</v>
      </c>
      <c r="S1568" s="13" t="s">
        <v>51</v>
      </c>
      <c r="T1568" s="13" t="s">
        <v>148</v>
      </c>
      <c r="U1568" s="13" t="s">
        <v>149</v>
      </c>
      <c r="V1568" s="13"/>
      <c r="W1568" s="13" t="s">
        <v>901</v>
      </c>
      <c r="X1568" s="135">
        <v>119800</v>
      </c>
      <c r="Y1568" s="157" t="str">
        <f>IF(W1568="RMB","1.13", "1")</f>
        <v>1</v>
      </c>
      <c r="Z1568" s="18">
        <f t="shared" si="472"/>
        <v>119800</v>
      </c>
      <c r="AA1568" s="13">
        <v>7.8</v>
      </c>
      <c r="AB1568" s="21">
        <f t="shared" si="456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58"/>
        <v>25380121.402654871</v>
      </c>
      <c r="AJ1568" s="19">
        <f t="shared" si="459"/>
        <v>3850343.1237796471</v>
      </c>
      <c r="AK1568" s="20">
        <f t="shared" si="466"/>
        <v>0.1517070412191521</v>
      </c>
      <c r="AL1568" s="17"/>
      <c r="AM1568" s="17"/>
      <c r="AN1568" s="17"/>
      <c r="AO1568" s="17"/>
      <c r="AP1568" s="28" t="str">
        <f t="shared" si="467"/>
        <v>202112</v>
      </c>
      <c r="AQ1568" s="28" t="str">
        <f t="shared" si="468"/>
        <v>202112USD</v>
      </c>
      <c r="AR1568" s="206" t="str">
        <f t="shared" si="469"/>
        <v>HELLER</v>
      </c>
      <c r="AS1568" s="22">
        <f t="shared" si="470"/>
        <v>3</v>
      </c>
      <c r="AT1568" s="24" t="str">
        <f t="shared" si="471"/>
        <v>0-3 months</v>
      </c>
      <c r="AU1568" s="22" t="s">
        <v>3240</v>
      </c>
    </row>
    <row r="1569" spans="1:47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47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2870</v>
      </c>
      <c r="K1569" s="155" t="s">
        <v>2871</v>
      </c>
      <c r="L1569" s="17" t="s">
        <v>2778</v>
      </c>
      <c r="M1569" s="13" t="s">
        <v>2607</v>
      </c>
      <c r="N1569" s="13">
        <v>1</v>
      </c>
      <c r="O1569" s="13"/>
      <c r="P1569" s="33" t="str">
        <f t="shared" si="463"/>
        <v>MAIN UNIT</v>
      </c>
      <c r="Q1569" s="13" t="s">
        <v>68</v>
      </c>
      <c r="R1569" s="13" t="s">
        <v>2866</v>
      </c>
      <c r="S1569" s="13" t="s">
        <v>2872</v>
      </c>
      <c r="T1569" s="13" t="s">
        <v>148</v>
      </c>
      <c r="U1569" s="13" t="s">
        <v>149</v>
      </c>
      <c r="V1569" s="13" t="s">
        <v>2873</v>
      </c>
      <c r="W1569" s="13" t="s">
        <v>2874</v>
      </c>
      <c r="X1569" s="135">
        <v>328000</v>
      </c>
      <c r="Y1569" s="156">
        <v>1.1299999999999999</v>
      </c>
      <c r="Z1569" s="18">
        <f t="shared" si="472"/>
        <v>328000</v>
      </c>
      <c r="AA1569" s="13">
        <v>1.1599999999999999</v>
      </c>
      <c r="AB1569" s="21">
        <f t="shared" si="456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58"/>
        <v>14593788.187146019</v>
      </c>
      <c r="AJ1569" s="19">
        <f t="shared" si="459"/>
        <v>1868647.7321969916</v>
      </c>
      <c r="AK1569" s="20">
        <f t="shared" si="466"/>
        <v>0.12804404916900652</v>
      </c>
      <c r="AL1569" s="17"/>
      <c r="AM1569" s="17"/>
      <c r="AN1569" s="17"/>
      <c r="AO1569" s="17"/>
      <c r="AP1569" s="28" t="str">
        <f t="shared" si="467"/>
        <v>20195</v>
      </c>
      <c r="AQ1569" s="28" t="str">
        <f t="shared" si="468"/>
        <v>20195RMB</v>
      </c>
      <c r="AR1569" s="206" t="str">
        <f t="shared" si="469"/>
        <v>HELLER</v>
      </c>
      <c r="AS1569" s="22">
        <f t="shared" si="470"/>
        <v>1</v>
      </c>
      <c r="AT1569" s="24" t="str">
        <f t="shared" si="471"/>
        <v>0-3 months</v>
      </c>
      <c r="AU1569" s="22" t="s">
        <v>3744</v>
      </c>
    </row>
    <row r="1570" spans="1:47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47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2910</v>
      </c>
      <c r="K1570" s="155" t="s">
        <v>2911</v>
      </c>
      <c r="L1570" s="17" t="s">
        <v>2778</v>
      </c>
      <c r="M1570" s="13" t="s">
        <v>2607</v>
      </c>
      <c r="N1570" s="13">
        <v>1</v>
      </c>
      <c r="O1570" s="13"/>
      <c r="P1570" s="33" t="str">
        <f t="shared" si="463"/>
        <v>MAIN UNIT</v>
      </c>
      <c r="Q1570" s="13" t="s">
        <v>61</v>
      </c>
      <c r="R1570" s="13" t="s">
        <v>2055</v>
      </c>
      <c r="S1570" s="13" t="s">
        <v>51</v>
      </c>
      <c r="T1570" s="13" t="s">
        <v>148</v>
      </c>
      <c r="U1570" s="13" t="s">
        <v>149</v>
      </c>
      <c r="V1570" s="13" t="s">
        <v>2828</v>
      </c>
      <c r="W1570" s="13" t="s">
        <v>64</v>
      </c>
      <c r="X1570" s="135">
        <v>342700</v>
      </c>
      <c r="Y1570" s="157" t="str">
        <f>IF(W1570="RMB","1.13", "1")</f>
        <v>1.13</v>
      </c>
      <c r="Z1570" s="18">
        <f t="shared" si="472"/>
        <v>342700</v>
      </c>
      <c r="AA1570" s="13">
        <v>1.1100000000000001</v>
      </c>
      <c r="AB1570" s="21">
        <f t="shared" si="456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58"/>
        <v>23168285.927433632</v>
      </c>
      <c r="AJ1570" s="19">
        <f t="shared" si="459"/>
        <v>2764878.916878053</v>
      </c>
      <c r="AK1570" s="20">
        <f t="shared" si="466"/>
        <v>0.11933895004309111</v>
      </c>
      <c r="AL1570" s="17"/>
      <c r="AM1570" s="17"/>
      <c r="AN1570" s="17"/>
      <c r="AO1570" s="17"/>
      <c r="AP1570" s="28" t="str">
        <f t="shared" si="467"/>
        <v>20203</v>
      </c>
      <c r="AQ1570" s="28" t="str">
        <f t="shared" si="468"/>
        <v>20203RMB</v>
      </c>
      <c r="AR1570" s="206" t="str">
        <f t="shared" si="469"/>
        <v>HELLER</v>
      </c>
      <c r="AS1570" s="22">
        <f t="shared" si="470"/>
        <v>2</v>
      </c>
      <c r="AT1570" s="24" t="str">
        <f t="shared" si="471"/>
        <v>0-3 months</v>
      </c>
      <c r="AU1570" s="22" t="s">
        <v>3240</v>
      </c>
    </row>
    <row r="1571" spans="1:47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53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2947</v>
      </c>
      <c r="K1571" s="155" t="s">
        <v>2911</v>
      </c>
      <c r="L1571" s="17" t="s">
        <v>2778</v>
      </c>
      <c r="M1571" s="13" t="s">
        <v>2607</v>
      </c>
      <c r="N1571" s="13">
        <v>1</v>
      </c>
      <c r="O1571" s="13"/>
      <c r="P1571" s="33" t="str">
        <f t="shared" si="463"/>
        <v>MAIN UNIT</v>
      </c>
      <c r="Q1571" s="13" t="s">
        <v>61</v>
      </c>
      <c r="R1571" s="13" t="s">
        <v>2055</v>
      </c>
      <c r="S1571" s="13" t="s">
        <v>51</v>
      </c>
      <c r="T1571" s="13" t="s">
        <v>148</v>
      </c>
      <c r="U1571" s="13" t="s">
        <v>149</v>
      </c>
      <c r="V1571" s="13" t="s">
        <v>2833</v>
      </c>
      <c r="W1571" s="13" t="s">
        <v>64</v>
      </c>
      <c r="X1571" s="135">
        <v>320000</v>
      </c>
      <c r="Y1571" s="157" t="str">
        <f>IF(W1571="RMB","1.13", "1")</f>
        <v>1.13</v>
      </c>
      <c r="Z1571" s="18">
        <f t="shared" si="472"/>
        <v>320000</v>
      </c>
      <c r="AA1571" s="13">
        <v>1.18</v>
      </c>
      <c r="AB1571" s="21">
        <f t="shared" si="456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58"/>
        <v>43684091.636631854</v>
      </c>
      <c r="AJ1571" s="19">
        <f t="shared" si="459"/>
        <v>6483951.8242071122</v>
      </c>
      <c r="AK1571" s="20">
        <f t="shared" si="466"/>
        <v>0.14842821680123736</v>
      </c>
      <c r="AL1571" s="17"/>
      <c r="AM1571" s="17"/>
      <c r="AN1571" s="17"/>
      <c r="AO1571" s="17"/>
      <c r="AP1571" s="28" t="str">
        <f t="shared" si="467"/>
        <v>20214</v>
      </c>
      <c r="AQ1571" s="28" t="str">
        <f t="shared" si="468"/>
        <v>20214RMB</v>
      </c>
      <c r="AR1571" s="206" t="str">
        <f t="shared" si="469"/>
        <v>HELLER</v>
      </c>
      <c r="AS1571" s="22">
        <f t="shared" si="470"/>
        <v>3</v>
      </c>
      <c r="AT1571" s="24" t="str">
        <f t="shared" si="471"/>
        <v>0-3 months</v>
      </c>
      <c r="AU1571" s="22" t="s">
        <v>3240</v>
      </c>
    </row>
    <row r="1572" spans="1:47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48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1493</v>
      </c>
      <c r="K1572" s="155" t="s">
        <v>1495</v>
      </c>
      <c r="L1572" s="17" t="s">
        <v>67</v>
      </c>
      <c r="M1572" s="13" t="s">
        <v>60</v>
      </c>
      <c r="N1572" s="13">
        <v>2</v>
      </c>
      <c r="O1572" s="13"/>
      <c r="P1572" s="33" t="str">
        <f t="shared" si="463"/>
        <v>MAIN UNIT</v>
      </c>
      <c r="Q1572" s="13" t="s">
        <v>68</v>
      </c>
      <c r="R1572" s="13" t="s">
        <v>62</v>
      </c>
      <c r="S1572" s="13" t="s">
        <v>52</v>
      </c>
      <c r="T1572" s="13" t="s">
        <v>168</v>
      </c>
      <c r="U1572" s="13" t="s">
        <v>89</v>
      </c>
      <c r="V1572" s="13" t="s">
        <v>143</v>
      </c>
      <c r="W1572" s="13" t="s">
        <v>64</v>
      </c>
      <c r="X1572" s="135">
        <v>612578</v>
      </c>
      <c r="Y1572" s="157" t="str">
        <f>IF(W1572="RMB","1.13", "1")</f>
        <v>1.13</v>
      </c>
      <c r="Z1572" s="18">
        <f t="shared" si="472"/>
        <v>1225156</v>
      </c>
      <c r="AA1572" s="13">
        <v>1.175</v>
      </c>
      <c r="AB1572" s="21">
        <f t="shared" si="456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58"/>
        <v>48763143.537654862</v>
      </c>
      <c r="AJ1572" s="19">
        <f t="shared" si="459"/>
        <v>5924029.9702154724</v>
      </c>
      <c r="AK1572" s="20">
        <f t="shared" si="466"/>
        <v>0.1214858095774925</v>
      </c>
      <c r="AL1572" s="17"/>
      <c r="AM1572" s="17"/>
      <c r="AN1572" s="17"/>
      <c r="AO1572" s="17"/>
      <c r="AP1572" s="28" t="str">
        <f t="shared" si="467"/>
        <v>202012</v>
      </c>
      <c r="AQ1572" s="28" t="str">
        <f t="shared" si="468"/>
        <v>202012RMB</v>
      </c>
      <c r="AR1572" s="206" t="str">
        <f t="shared" si="469"/>
        <v>YAMAHA_Mounter</v>
      </c>
      <c r="AS1572" s="22">
        <f t="shared" si="470"/>
        <v>3</v>
      </c>
      <c r="AT1572" s="24" t="str">
        <f t="shared" si="471"/>
        <v>0-3 months</v>
      </c>
      <c r="AU1572" s="22" t="s">
        <v>3240</v>
      </c>
    </row>
    <row r="1573" spans="1:47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41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445</v>
      </c>
      <c r="K1573" s="155" t="s">
        <v>446</v>
      </c>
      <c r="L1573" s="17" t="s">
        <v>67</v>
      </c>
      <c r="M1573" s="13" t="s">
        <v>60</v>
      </c>
      <c r="N1573" s="13">
        <v>1</v>
      </c>
      <c r="O1573" s="13"/>
      <c r="P1573" s="33" t="str">
        <f t="shared" si="463"/>
        <v>MAIN UNIT</v>
      </c>
      <c r="Q1573" s="13" t="s">
        <v>68</v>
      </c>
      <c r="R1573" s="13" t="s">
        <v>62</v>
      </c>
      <c r="S1573" s="13" t="s">
        <v>49</v>
      </c>
      <c r="T1573" s="13" t="s">
        <v>447</v>
      </c>
      <c r="U1573" s="13" t="s">
        <v>79</v>
      </c>
      <c r="V1573" s="13" t="s">
        <v>311</v>
      </c>
      <c r="W1573" s="13" t="s">
        <v>64</v>
      </c>
      <c r="X1573" s="135">
        <v>736000</v>
      </c>
      <c r="Y1573" s="156">
        <v>1.17</v>
      </c>
      <c r="Z1573" s="18">
        <f t="shared" si="472"/>
        <v>736000</v>
      </c>
      <c r="AA1573" s="13">
        <v>1.23</v>
      </c>
      <c r="AB1573" s="21">
        <f t="shared" si="456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58"/>
        <v>29288201.603076916</v>
      </c>
      <c r="AJ1573" s="19">
        <f t="shared" si="459"/>
        <v>3870159.1769246152</v>
      </c>
      <c r="AK1573" s="20">
        <f t="shared" si="466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7"/>
        <v>20184</v>
      </c>
      <c r="AQ1573" s="28" t="str">
        <f t="shared" si="468"/>
        <v>20184RMB</v>
      </c>
      <c r="AR1573" s="206" t="str">
        <f t="shared" si="469"/>
        <v>YAMAHA_Mounter</v>
      </c>
      <c r="AS1573" s="22">
        <f t="shared" si="470"/>
        <v>1</v>
      </c>
      <c r="AT1573" s="24" t="str">
        <f t="shared" si="471"/>
        <v>0-3 months</v>
      </c>
      <c r="AU1573" s="22" t="s">
        <v>3744</v>
      </c>
    </row>
    <row r="1574" spans="1:47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53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1790</v>
      </c>
      <c r="K1574" s="155" t="s">
        <v>1791</v>
      </c>
      <c r="L1574" s="17" t="s">
        <v>67</v>
      </c>
      <c r="M1574" s="13" t="s">
        <v>60</v>
      </c>
      <c r="N1574" s="13">
        <v>1</v>
      </c>
      <c r="O1574" s="13"/>
      <c r="P1574" s="33" t="str">
        <f t="shared" si="463"/>
        <v>MAIN UNIT</v>
      </c>
      <c r="Q1574" s="13" t="s">
        <v>68</v>
      </c>
      <c r="R1574" s="13" t="s">
        <v>62</v>
      </c>
      <c r="S1574" s="13" t="s">
        <v>49</v>
      </c>
      <c r="T1574" s="13" t="s">
        <v>78</v>
      </c>
      <c r="U1574" s="13" t="s">
        <v>79</v>
      </c>
      <c r="V1574" s="13" t="s">
        <v>715</v>
      </c>
      <c r="W1574" s="13" t="s">
        <v>64</v>
      </c>
      <c r="X1574" s="135">
        <v>560000</v>
      </c>
      <c r="Y1574" s="157" t="str">
        <f>IF(W1574="RMB","1.13", "1")</f>
        <v>1.13</v>
      </c>
      <c r="Z1574" s="18">
        <f t="shared" si="472"/>
        <v>560000</v>
      </c>
      <c r="AA1574" s="13">
        <v>1.2150000000000001</v>
      </c>
      <c r="AB1574" s="21">
        <f t="shared" si="456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58"/>
        <v>54700260.692079648</v>
      </c>
      <c r="AJ1574" s="19">
        <f t="shared" si="459"/>
        <v>7482899.5749188727</v>
      </c>
      <c r="AK1574" s="20">
        <f t="shared" si="466"/>
        <v>0.13679824337660537</v>
      </c>
      <c r="AL1574" s="17"/>
      <c r="AM1574" s="17"/>
      <c r="AN1574" s="17"/>
      <c r="AO1574" s="17"/>
      <c r="AP1574" s="28" t="str">
        <f t="shared" si="467"/>
        <v>20216</v>
      </c>
      <c r="AQ1574" s="28" t="str">
        <f t="shared" si="468"/>
        <v>20216RMB</v>
      </c>
      <c r="AR1574" s="206" t="str">
        <f t="shared" si="469"/>
        <v>YAMAHA_Mounter</v>
      </c>
      <c r="AS1574" s="22">
        <f t="shared" si="470"/>
        <v>2</v>
      </c>
      <c r="AT1574" s="24" t="str">
        <f t="shared" si="471"/>
        <v>0-3 months</v>
      </c>
      <c r="AU1574" s="22" t="s">
        <v>3751</v>
      </c>
    </row>
    <row r="1575" spans="1:47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53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1811</v>
      </c>
      <c r="K1575" s="155" t="s">
        <v>1812</v>
      </c>
      <c r="L1575" s="17" t="s">
        <v>67</v>
      </c>
      <c r="M1575" s="13" t="s">
        <v>60</v>
      </c>
      <c r="N1575" s="13">
        <v>1</v>
      </c>
      <c r="O1575" s="13"/>
      <c r="P1575" s="33" t="str">
        <f t="shared" si="463"/>
        <v>MAIN UNIT</v>
      </c>
      <c r="Q1575" s="13" t="s">
        <v>61</v>
      </c>
      <c r="R1575" s="13" t="s">
        <v>62</v>
      </c>
      <c r="S1575" s="13" t="s">
        <v>49</v>
      </c>
      <c r="T1575" s="13" t="s">
        <v>78</v>
      </c>
      <c r="U1575" s="13" t="s">
        <v>79</v>
      </c>
      <c r="V1575" s="13" t="s">
        <v>311</v>
      </c>
      <c r="W1575" s="13" t="s">
        <v>64</v>
      </c>
      <c r="X1575" s="135">
        <v>628000</v>
      </c>
      <c r="Y1575" s="157" t="str">
        <f>IF(W1575="RMB","1.13", "1")</f>
        <v>1.13</v>
      </c>
      <c r="Z1575" s="18">
        <f t="shared" si="472"/>
        <v>628000</v>
      </c>
      <c r="AA1575" s="13">
        <v>1.2</v>
      </c>
      <c r="AB1575" s="21">
        <f t="shared" si="456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58"/>
        <v>41443303.53761062</v>
      </c>
      <c r="AJ1575" s="19">
        <f t="shared" si="459"/>
        <v>6194988.76643031</v>
      </c>
      <c r="AK1575" s="20">
        <f t="shared" si="466"/>
        <v>0.1494810557466355</v>
      </c>
      <c r="AL1575" s="17"/>
      <c r="AM1575" s="17"/>
      <c r="AN1575" s="17"/>
      <c r="AO1575" s="17"/>
      <c r="AP1575" s="28" t="str">
        <f t="shared" si="467"/>
        <v>20217</v>
      </c>
      <c r="AQ1575" s="28" t="str">
        <f t="shared" si="468"/>
        <v>20217RMB</v>
      </c>
      <c r="AR1575" s="206" t="str">
        <f t="shared" si="469"/>
        <v>YAMAHA_Mounter</v>
      </c>
      <c r="AS1575" s="22">
        <f t="shared" si="470"/>
        <v>6</v>
      </c>
      <c r="AT1575" s="24" t="str">
        <f t="shared" si="471"/>
        <v>4-6 months</v>
      </c>
      <c r="AU1575" s="22" t="s">
        <v>3744</v>
      </c>
    </row>
    <row r="1576" spans="1:47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47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908</v>
      </c>
      <c r="K1576" s="155" t="s">
        <v>909</v>
      </c>
      <c r="L1576" s="17" t="s">
        <v>92</v>
      </c>
      <c r="M1576" s="13" t="s">
        <v>60</v>
      </c>
      <c r="N1576" s="13">
        <v>1</v>
      </c>
      <c r="O1576" s="13"/>
      <c r="P1576" s="33" t="str">
        <f t="shared" si="463"/>
        <v>MAIN UNIT</v>
      </c>
      <c r="Q1576" s="13" t="s">
        <v>68</v>
      </c>
      <c r="R1576" s="13" t="s">
        <v>62</v>
      </c>
      <c r="S1576" s="13" t="s">
        <v>50</v>
      </c>
      <c r="T1576" s="13" t="s">
        <v>168</v>
      </c>
      <c r="U1576" s="13" t="s">
        <v>89</v>
      </c>
      <c r="V1576" s="13" t="s">
        <v>84</v>
      </c>
      <c r="W1576" s="13" t="s">
        <v>109</v>
      </c>
      <c r="X1576" s="135">
        <v>13506107</v>
      </c>
      <c r="Y1576" s="156">
        <v>1</v>
      </c>
      <c r="Z1576" s="18">
        <f t="shared" si="472"/>
        <v>13506107</v>
      </c>
      <c r="AA1576" s="13">
        <v>7.3499999999999996E-2</v>
      </c>
      <c r="AB1576" s="21">
        <f t="shared" si="456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58"/>
        <v>26147030.909862842</v>
      </c>
      <c r="AJ1576" s="19">
        <f t="shared" si="459"/>
        <v>2743862.8630715334</v>
      </c>
      <c r="AK1576" s="20">
        <f t="shared" si="466"/>
        <v>0.10493974908778378</v>
      </c>
      <c r="AL1576" s="17"/>
      <c r="AM1576" s="17"/>
      <c r="AN1576" s="17"/>
      <c r="AO1576" s="17"/>
      <c r="AP1576" s="28" t="str">
        <f t="shared" si="467"/>
        <v>201911</v>
      </c>
      <c r="AQ1576" s="28" t="str">
        <f t="shared" si="468"/>
        <v>201911JPY</v>
      </c>
      <c r="AR1576" s="206" t="str">
        <f t="shared" si="469"/>
        <v>YAMAHA_Mounter</v>
      </c>
      <c r="AS1576" s="22">
        <f t="shared" si="470"/>
        <v>1</v>
      </c>
      <c r="AT1576" s="24" t="str">
        <f t="shared" si="471"/>
        <v>0-3 months</v>
      </c>
      <c r="AU1576" s="22" t="s">
        <v>3240</v>
      </c>
    </row>
    <row r="1577" spans="1:47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47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908</v>
      </c>
      <c r="K1577" s="155" t="s">
        <v>909</v>
      </c>
      <c r="L1577" s="17" t="s">
        <v>67</v>
      </c>
      <c r="M1577" s="13" t="s">
        <v>60</v>
      </c>
      <c r="N1577" s="13">
        <v>2</v>
      </c>
      <c r="O1577" s="13"/>
      <c r="P1577" s="33" t="str">
        <f t="shared" si="463"/>
        <v>MAIN UNIT</v>
      </c>
      <c r="Q1577" s="13" t="s">
        <v>68</v>
      </c>
      <c r="R1577" s="13" t="s">
        <v>62</v>
      </c>
      <c r="S1577" s="13" t="s">
        <v>50</v>
      </c>
      <c r="T1577" s="13" t="s">
        <v>168</v>
      </c>
      <c r="U1577" s="13" t="s">
        <v>89</v>
      </c>
      <c r="V1577" s="13" t="s">
        <v>84</v>
      </c>
      <c r="W1577" s="13" t="s">
        <v>109</v>
      </c>
      <c r="X1577" s="135">
        <v>9296866</v>
      </c>
      <c r="Y1577" s="156">
        <v>1</v>
      </c>
      <c r="Z1577" s="18">
        <f t="shared" si="472"/>
        <v>18593732</v>
      </c>
      <c r="AA1577" s="13">
        <v>7.3499999999999996E-2</v>
      </c>
      <c r="AB1577" s="21">
        <f t="shared" si="456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58"/>
        <v>26147030.909862842</v>
      </c>
      <c r="AJ1577" s="19">
        <f t="shared" si="459"/>
        <v>2743862.8630715334</v>
      </c>
      <c r="AK1577" s="20">
        <f t="shared" si="466"/>
        <v>0.10493974908778378</v>
      </c>
      <c r="AL1577" s="17"/>
      <c r="AM1577" s="17"/>
      <c r="AN1577" s="17"/>
      <c r="AO1577" s="17"/>
      <c r="AP1577" s="28" t="str">
        <f t="shared" si="467"/>
        <v>201911</v>
      </c>
      <c r="AQ1577" s="28" t="str">
        <f t="shared" si="468"/>
        <v>201911JPY</v>
      </c>
      <c r="AR1577" s="206" t="str">
        <f t="shared" si="469"/>
        <v>YAMAHA_Mounter</v>
      </c>
      <c r="AS1577" s="22">
        <f t="shared" si="470"/>
        <v>1</v>
      </c>
      <c r="AT1577" s="24" t="str">
        <f t="shared" si="471"/>
        <v>0-3 months</v>
      </c>
      <c r="AU1577" s="22" t="s">
        <v>3240</v>
      </c>
    </row>
    <row r="1578" spans="1:47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3172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3459</v>
      </c>
      <c r="K1578" s="29" t="s">
        <v>1214</v>
      </c>
      <c r="L1578" s="17" t="s">
        <v>92</v>
      </c>
      <c r="M1578" s="22" t="s">
        <v>60</v>
      </c>
      <c r="N1578" s="22">
        <v>1</v>
      </c>
      <c r="O1578" s="22"/>
      <c r="P1578" s="33" t="str">
        <f t="shared" si="463"/>
        <v>MAIN UNIT</v>
      </c>
      <c r="Q1578" s="22" t="s">
        <v>61</v>
      </c>
      <c r="R1578" s="22" t="s">
        <v>62</v>
      </c>
      <c r="S1578" s="22" t="s">
        <v>49</v>
      </c>
      <c r="T1578" s="22" t="s">
        <v>78</v>
      </c>
      <c r="U1578" s="22" t="s">
        <v>78</v>
      </c>
      <c r="V1578" s="22" t="s">
        <v>126</v>
      </c>
      <c r="W1578" s="22" t="s">
        <v>64</v>
      </c>
      <c r="X1578" s="104">
        <v>897999.7</v>
      </c>
      <c r="Y1578" s="195" t="str">
        <f>IF(W1578="","",IF(W1578="RMB","1.13", "1"))</f>
        <v>1.13</v>
      </c>
      <c r="Z1578" s="196">
        <f t="shared" si="472"/>
        <v>897999.7</v>
      </c>
      <c r="AA1578" s="22">
        <v>1.08</v>
      </c>
      <c r="AB1578" s="197">
        <f t="shared" si="456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58"/>
        <v>27308925.887079656</v>
      </c>
      <c r="AJ1578" s="200">
        <f t="shared" si="459"/>
        <v>3319273.860338124</v>
      </c>
      <c r="AK1578" s="201">
        <f t="shared" si="466"/>
        <v>0.12154538314919709</v>
      </c>
      <c r="AL1578" s="24"/>
      <c r="AM1578" s="24"/>
      <c r="AN1578" s="24"/>
      <c r="AO1578" s="24"/>
      <c r="AP1578" s="105" t="str">
        <f t="shared" si="467"/>
        <v>20246</v>
      </c>
      <c r="AQ1578" s="28" t="str">
        <f t="shared" si="468"/>
        <v>20246RMB</v>
      </c>
      <c r="AR1578" s="206" t="str">
        <f t="shared" si="469"/>
        <v>YAMAHA_Mounter</v>
      </c>
      <c r="AS1578" s="22">
        <f t="shared" si="470"/>
        <v>1</v>
      </c>
      <c r="AT1578" s="24" t="str">
        <f t="shared" si="471"/>
        <v>0-3 months</v>
      </c>
      <c r="AU1578" s="22" t="s">
        <v>3751</v>
      </c>
    </row>
    <row r="1579" spans="1:47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48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1324</v>
      </c>
      <c r="K1579" s="155" t="s">
        <v>1325</v>
      </c>
      <c r="L1579" s="17" t="s">
        <v>67</v>
      </c>
      <c r="M1579" s="13" t="s">
        <v>60</v>
      </c>
      <c r="N1579" s="13">
        <v>1</v>
      </c>
      <c r="O1579" s="13"/>
      <c r="P1579" s="33" t="str">
        <f t="shared" si="463"/>
        <v>MAIN UNIT</v>
      </c>
      <c r="Q1579" s="13" t="s">
        <v>61</v>
      </c>
      <c r="R1579" s="13" t="s">
        <v>62</v>
      </c>
      <c r="S1579" s="13" t="s">
        <v>49</v>
      </c>
      <c r="T1579" s="13" t="s">
        <v>78</v>
      </c>
      <c r="U1579" s="13" t="s">
        <v>79</v>
      </c>
      <c r="V1579" s="13" t="s">
        <v>1125</v>
      </c>
      <c r="W1579" s="13" t="s">
        <v>1105</v>
      </c>
      <c r="X1579" s="135">
        <v>6565000</v>
      </c>
      <c r="Y1579" s="156">
        <v>1</v>
      </c>
      <c r="Z1579" s="18">
        <f t="shared" si="472"/>
        <v>6565000</v>
      </c>
      <c r="AA1579" s="13">
        <v>7.4899999999999994E-2</v>
      </c>
      <c r="AB1579" s="21">
        <f t="shared" si="456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58"/>
        <v>47907808.356810622</v>
      </c>
      <c r="AJ1579" s="19">
        <f t="shared" si="459"/>
        <v>6027384.8806384448</v>
      </c>
      <c r="AK1579" s="20">
        <f t="shared" si="466"/>
        <v>0.12581216063459488</v>
      </c>
      <c r="AL1579" s="17"/>
      <c r="AM1579" s="17"/>
      <c r="AN1579" s="17"/>
      <c r="AO1579" s="17"/>
      <c r="AP1579" s="28" t="str">
        <f t="shared" si="467"/>
        <v>20209</v>
      </c>
      <c r="AQ1579" s="28" t="str">
        <f t="shared" si="468"/>
        <v>20209JPY</v>
      </c>
      <c r="AR1579" s="206" t="str">
        <f t="shared" si="469"/>
        <v>YAMAHA_Mounter</v>
      </c>
      <c r="AS1579" s="22">
        <f t="shared" si="470"/>
        <v>2</v>
      </c>
      <c r="AT1579" s="24" t="str">
        <f t="shared" si="471"/>
        <v>0-3 months</v>
      </c>
      <c r="AU1579" s="22" t="s">
        <v>3745</v>
      </c>
    </row>
    <row r="1580" spans="1:47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48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1324</v>
      </c>
      <c r="K1580" s="155" t="s">
        <v>1325</v>
      </c>
      <c r="L1580" s="17" t="s">
        <v>67</v>
      </c>
      <c r="M1580" s="13" t="s">
        <v>60</v>
      </c>
      <c r="N1580" s="13">
        <v>1</v>
      </c>
      <c r="O1580" s="13"/>
      <c r="P1580" s="33" t="str">
        <f t="shared" si="463"/>
        <v>MAIN UNIT</v>
      </c>
      <c r="Q1580" s="13" t="s">
        <v>61</v>
      </c>
      <c r="R1580" s="13" t="s">
        <v>62</v>
      </c>
      <c r="S1580" s="13" t="s">
        <v>49</v>
      </c>
      <c r="T1580" s="13" t="s">
        <v>78</v>
      </c>
      <c r="U1580" s="13" t="s">
        <v>79</v>
      </c>
      <c r="V1580" s="13" t="s">
        <v>1125</v>
      </c>
      <c r="W1580" s="13" t="s">
        <v>1105</v>
      </c>
      <c r="X1580" s="135">
        <v>6565000</v>
      </c>
      <c r="Y1580" s="156">
        <v>1</v>
      </c>
      <c r="Z1580" s="18">
        <f t="shared" si="472"/>
        <v>6565000</v>
      </c>
      <c r="AA1580" s="13">
        <v>7.4899999999999994E-2</v>
      </c>
      <c r="AB1580" s="21">
        <f t="shared" si="456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58"/>
        <v>47907808.356810622</v>
      </c>
      <c r="AJ1580" s="19">
        <f t="shared" si="459"/>
        <v>6027384.8806384448</v>
      </c>
      <c r="AK1580" s="20">
        <f t="shared" si="466"/>
        <v>0.12581216063459488</v>
      </c>
      <c r="AL1580" s="17"/>
      <c r="AM1580" s="17"/>
      <c r="AN1580" s="17"/>
      <c r="AO1580" s="17"/>
      <c r="AP1580" s="28" t="str">
        <f t="shared" si="467"/>
        <v>20209</v>
      </c>
      <c r="AQ1580" s="28" t="str">
        <f t="shared" si="468"/>
        <v>20209JPY</v>
      </c>
      <c r="AR1580" s="206" t="str">
        <f t="shared" si="469"/>
        <v>YAMAHA_Mounter</v>
      </c>
      <c r="AS1580" s="22">
        <f t="shared" si="470"/>
        <v>2</v>
      </c>
      <c r="AT1580" s="24" t="str">
        <f t="shared" si="471"/>
        <v>0-3 months</v>
      </c>
      <c r="AU1580" s="22" t="s">
        <v>3745</v>
      </c>
    </row>
    <row r="1581" spans="1:47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53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1946</v>
      </c>
      <c r="K1581" s="155" t="s">
        <v>1947</v>
      </c>
      <c r="L1581" s="17" t="s">
        <v>92</v>
      </c>
      <c r="M1581" s="13" t="s">
        <v>60</v>
      </c>
      <c r="N1581" s="13">
        <v>1</v>
      </c>
      <c r="O1581" s="13"/>
      <c r="P1581" s="33" t="str">
        <f t="shared" si="463"/>
        <v>MAIN UNIT</v>
      </c>
      <c r="Q1581" s="13" t="s">
        <v>61</v>
      </c>
      <c r="R1581" s="13" t="s">
        <v>62</v>
      </c>
      <c r="S1581" s="13" t="s">
        <v>49</v>
      </c>
      <c r="T1581" s="13" t="s">
        <v>78</v>
      </c>
      <c r="U1581" s="13" t="s">
        <v>79</v>
      </c>
      <c r="V1581" s="13" t="s">
        <v>1885</v>
      </c>
      <c r="W1581" s="13" t="s">
        <v>64</v>
      </c>
      <c r="X1581" s="135">
        <v>850000</v>
      </c>
      <c r="Y1581" s="157" t="str">
        <f t="shared" ref="Y1581:Y1586" si="473">IF(W1581="RMB","1.13", "1")</f>
        <v>1.13</v>
      </c>
      <c r="Z1581" s="18">
        <f t="shared" si="472"/>
        <v>850000</v>
      </c>
      <c r="AA1581" s="13">
        <v>1.22</v>
      </c>
      <c r="AB1581" s="21">
        <f t="shared" si="456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58"/>
        <v>26407088.359292038</v>
      </c>
      <c r="AJ1581" s="19">
        <f t="shared" si="459"/>
        <v>3424510.6998470789</v>
      </c>
      <c r="AK1581" s="20">
        <f t="shared" si="466"/>
        <v>0.12968149510667554</v>
      </c>
      <c r="AL1581" s="17"/>
      <c r="AM1581" s="17"/>
      <c r="AN1581" s="17"/>
      <c r="AO1581" s="17"/>
      <c r="AP1581" s="28" t="str">
        <f t="shared" si="467"/>
        <v>20221</v>
      </c>
      <c r="AQ1581" s="28" t="str">
        <f t="shared" si="468"/>
        <v>20221RMB</v>
      </c>
      <c r="AR1581" s="206" t="str">
        <f t="shared" si="469"/>
        <v>YAMAHA_Mounter</v>
      </c>
      <c r="AS1581" s="22">
        <f t="shared" si="470"/>
        <v>1</v>
      </c>
      <c r="AT1581" s="24" t="str">
        <f t="shared" si="471"/>
        <v>0-3 months</v>
      </c>
      <c r="AU1581" s="22" t="s">
        <v>3751</v>
      </c>
    </row>
    <row r="1582" spans="1:47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53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1946</v>
      </c>
      <c r="K1582" s="155" t="s">
        <v>1947</v>
      </c>
      <c r="L1582" s="17" t="s">
        <v>67</v>
      </c>
      <c r="M1582" s="13" t="s">
        <v>60</v>
      </c>
      <c r="N1582" s="13">
        <v>1</v>
      </c>
      <c r="O1582" s="13"/>
      <c r="P1582" s="33" t="str">
        <f t="shared" si="463"/>
        <v>MAIN UNIT</v>
      </c>
      <c r="Q1582" s="13" t="s">
        <v>61</v>
      </c>
      <c r="R1582" s="13" t="s">
        <v>62</v>
      </c>
      <c r="S1582" s="13" t="s">
        <v>49</v>
      </c>
      <c r="T1582" s="13" t="s">
        <v>78</v>
      </c>
      <c r="U1582" s="13" t="s">
        <v>79</v>
      </c>
      <c r="V1582" s="13" t="s">
        <v>1885</v>
      </c>
      <c r="W1582" s="13" t="s">
        <v>64</v>
      </c>
      <c r="X1582" s="135">
        <v>548800</v>
      </c>
      <c r="Y1582" s="157" t="str">
        <f t="shared" si="473"/>
        <v>1.13</v>
      </c>
      <c r="Z1582" s="18">
        <f t="shared" si="472"/>
        <v>548800</v>
      </c>
      <c r="AA1582" s="13">
        <v>1.22</v>
      </c>
      <c r="AB1582" s="21">
        <f t="shared" si="456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58"/>
        <v>31750699.113741599</v>
      </c>
      <c r="AJ1582" s="19">
        <f t="shared" si="459"/>
        <v>4396077.3195289988</v>
      </c>
      <c r="AK1582" s="20">
        <f t="shared" si="466"/>
        <v>0.13845607946397598</v>
      </c>
      <c r="AL1582" s="17"/>
      <c r="AM1582" s="17"/>
      <c r="AN1582" s="17"/>
      <c r="AO1582" s="17"/>
      <c r="AP1582" s="28" t="str">
        <f t="shared" si="467"/>
        <v>20222</v>
      </c>
      <c r="AQ1582" s="28" t="str">
        <f t="shared" si="468"/>
        <v>20222RMB</v>
      </c>
      <c r="AR1582" s="206" t="str">
        <f t="shared" si="469"/>
        <v>YAMAHA_Mounter</v>
      </c>
      <c r="AS1582" s="22">
        <f t="shared" si="470"/>
        <v>2</v>
      </c>
      <c r="AT1582" s="24" t="str">
        <f t="shared" si="471"/>
        <v>0-3 months</v>
      </c>
      <c r="AU1582" s="22" t="s">
        <v>3751</v>
      </c>
    </row>
    <row r="1583" spans="1:47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185</v>
      </c>
      <c r="F1583" s="13" t="s">
        <v>185</v>
      </c>
      <c r="G1583" s="152" t="s">
        <v>185</v>
      </c>
      <c r="H1583" s="155"/>
      <c r="I1583" s="33" t="str">
        <f t="shared" si="462"/>
        <v>Cancel</v>
      </c>
      <c r="J1583" s="186" t="s">
        <v>2102</v>
      </c>
      <c r="K1583" s="155" t="s">
        <v>1947</v>
      </c>
      <c r="L1583" s="17" t="s">
        <v>92</v>
      </c>
      <c r="M1583" s="13" t="s">
        <v>60</v>
      </c>
      <c r="N1583" s="13">
        <v>1</v>
      </c>
      <c r="O1583" s="13"/>
      <c r="P1583" s="33" t="str">
        <f t="shared" si="463"/>
        <v>MAIN UNIT</v>
      </c>
      <c r="Q1583" s="13" t="s">
        <v>68</v>
      </c>
      <c r="R1583" s="13" t="s">
        <v>62</v>
      </c>
      <c r="S1583" s="13" t="s">
        <v>49</v>
      </c>
      <c r="T1583" s="13" t="s">
        <v>78</v>
      </c>
      <c r="U1583" s="13" t="s">
        <v>79</v>
      </c>
      <c r="V1583" s="13" t="s">
        <v>1885</v>
      </c>
      <c r="W1583" s="13" t="s">
        <v>109</v>
      </c>
      <c r="X1583" s="135">
        <v>13240000</v>
      </c>
      <c r="Y1583" s="157" t="str">
        <f t="shared" si="473"/>
        <v>1</v>
      </c>
      <c r="Z1583" s="18">
        <f t="shared" si="472"/>
        <v>13240000</v>
      </c>
      <c r="AA1583" s="13">
        <v>7.0000000000000007E-2</v>
      </c>
      <c r="AB1583" s="21">
        <f t="shared" si="456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58"/>
        <v>499582152.5142017</v>
      </c>
      <c r="AJ1583" s="19">
        <f t="shared" si="459"/>
        <v>59520528.679470733</v>
      </c>
      <c r="AK1583" s="20">
        <f t="shared" si="466"/>
        <v>0.11914062257814291</v>
      </c>
      <c r="AL1583" s="17"/>
      <c r="AM1583" s="17"/>
      <c r="AN1583" s="17"/>
      <c r="AO1583" s="17"/>
      <c r="AP1583" s="28" t="str">
        <f t="shared" si="467"/>
        <v>CancelCancel</v>
      </c>
      <c r="AQ1583" s="28" t="str">
        <f t="shared" si="468"/>
        <v>CancelCancelJPY</v>
      </c>
      <c r="AR1583" s="206" t="str">
        <f t="shared" si="469"/>
        <v>YAMAHA_Mounter</v>
      </c>
      <c r="AS1583" s="22" t="str">
        <f t="shared" si="470"/>
        <v/>
      </c>
      <c r="AT1583" s="24" t="str">
        <f t="shared" si="471"/>
        <v/>
      </c>
      <c r="AU1583" s="22" t="s">
        <v>3751</v>
      </c>
    </row>
    <row r="1584" spans="1:47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185</v>
      </c>
      <c r="F1584" s="13" t="s">
        <v>185</v>
      </c>
      <c r="G1584" s="152" t="s">
        <v>185</v>
      </c>
      <c r="H1584" s="155"/>
      <c r="I1584" s="33" t="str">
        <f t="shared" si="462"/>
        <v>Cancel</v>
      </c>
      <c r="J1584" s="186" t="s">
        <v>2102</v>
      </c>
      <c r="K1584" s="155" t="s">
        <v>1947</v>
      </c>
      <c r="L1584" s="17" t="s">
        <v>67</v>
      </c>
      <c r="M1584" s="13" t="s">
        <v>60</v>
      </c>
      <c r="N1584" s="13">
        <v>1</v>
      </c>
      <c r="O1584" s="13"/>
      <c r="P1584" s="33" t="str">
        <f t="shared" si="463"/>
        <v>MAIN UNIT</v>
      </c>
      <c r="Q1584" s="13" t="s">
        <v>68</v>
      </c>
      <c r="R1584" s="13" t="s">
        <v>62</v>
      </c>
      <c r="S1584" s="13" t="s">
        <v>49</v>
      </c>
      <c r="T1584" s="13" t="s">
        <v>78</v>
      </c>
      <c r="U1584" s="13" t="s">
        <v>79</v>
      </c>
      <c r="V1584" s="13" t="s">
        <v>1885</v>
      </c>
      <c r="W1584" s="13" t="s">
        <v>109</v>
      </c>
      <c r="X1584" s="135">
        <v>8000000</v>
      </c>
      <c r="Y1584" s="157" t="str">
        <f t="shared" si="473"/>
        <v>1</v>
      </c>
      <c r="Z1584" s="18">
        <f t="shared" si="472"/>
        <v>8000000</v>
      </c>
      <c r="AA1584" s="13">
        <v>7.0000000000000007E-2</v>
      </c>
      <c r="AB1584" s="21">
        <f t="shared" si="456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58"/>
        <v>499582152.5142017</v>
      </c>
      <c r="AJ1584" s="19">
        <f t="shared" si="459"/>
        <v>59520528.679470733</v>
      </c>
      <c r="AK1584" s="20">
        <f t="shared" si="466"/>
        <v>0.11914062257814291</v>
      </c>
      <c r="AL1584" s="17"/>
      <c r="AM1584" s="17"/>
      <c r="AN1584" s="17"/>
      <c r="AO1584" s="17"/>
      <c r="AP1584" s="28" t="str">
        <f t="shared" si="467"/>
        <v>CancelCancel</v>
      </c>
      <c r="AQ1584" s="28" t="str">
        <f t="shared" si="468"/>
        <v>CancelCancelJPY</v>
      </c>
      <c r="AR1584" s="206" t="str">
        <f t="shared" si="469"/>
        <v>YAMAHA_Mounter</v>
      </c>
      <c r="AS1584" s="22" t="str">
        <f t="shared" si="470"/>
        <v/>
      </c>
      <c r="AT1584" s="24" t="str">
        <f t="shared" si="471"/>
        <v/>
      </c>
      <c r="AU1584" s="22" t="s">
        <v>3745</v>
      </c>
    </row>
    <row r="1585" spans="1:47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55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2375</v>
      </c>
      <c r="K1585" s="155" t="s">
        <v>2376</v>
      </c>
      <c r="L1585" s="17" t="s">
        <v>67</v>
      </c>
      <c r="M1585" s="13" t="s">
        <v>60</v>
      </c>
      <c r="N1585" s="13">
        <v>0.5</v>
      </c>
      <c r="O1585" s="13"/>
      <c r="P1585" s="33" t="str">
        <f t="shared" si="463"/>
        <v>MAIN UNIT</v>
      </c>
      <c r="Q1585" s="13" t="s">
        <v>68</v>
      </c>
      <c r="R1585" s="13" t="s">
        <v>62</v>
      </c>
      <c r="S1585" s="13" t="s">
        <v>51</v>
      </c>
      <c r="T1585" s="13" t="s">
        <v>349</v>
      </c>
      <c r="U1585" s="13" t="s">
        <v>149</v>
      </c>
      <c r="V1585" s="13" t="s">
        <v>954</v>
      </c>
      <c r="W1585" s="13" t="s">
        <v>64</v>
      </c>
      <c r="X1585" s="136">
        <v>570000</v>
      </c>
      <c r="Y1585" s="157" t="str">
        <f t="shared" si="473"/>
        <v>1.13</v>
      </c>
      <c r="Z1585" s="18">
        <f t="shared" si="472"/>
        <v>285000</v>
      </c>
      <c r="AA1585" s="13">
        <v>1.105</v>
      </c>
      <c r="AB1585" s="21">
        <f t="shared" si="456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58"/>
        <v>13640480.497522123</v>
      </c>
      <c r="AJ1585" s="19">
        <f t="shared" si="459"/>
        <v>1928605.8020906283</v>
      </c>
      <c r="AK1585" s="20">
        <f t="shared" si="466"/>
        <v>0.1413884065477731</v>
      </c>
      <c r="AL1585" s="17"/>
      <c r="AM1585" s="17"/>
      <c r="AN1585" s="17"/>
      <c r="AO1585" s="17"/>
      <c r="AP1585" s="28" t="str">
        <f t="shared" si="467"/>
        <v>20236</v>
      </c>
      <c r="AQ1585" s="28" t="str">
        <f t="shared" si="468"/>
        <v>20236RMB</v>
      </c>
      <c r="AR1585" s="206" t="str">
        <f t="shared" si="469"/>
        <v>YAMAHA_Mounter</v>
      </c>
      <c r="AS1585" s="22">
        <f t="shared" si="470"/>
        <v>1</v>
      </c>
      <c r="AT1585" s="24" t="str">
        <f t="shared" si="471"/>
        <v>0-3 months</v>
      </c>
      <c r="AU1585" s="22" t="s">
        <v>3240</v>
      </c>
    </row>
    <row r="1586" spans="1:47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55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2375</v>
      </c>
      <c r="K1586" s="155" t="s">
        <v>2376</v>
      </c>
      <c r="L1586" s="17" t="s">
        <v>67</v>
      </c>
      <c r="M1586" s="13" t="s">
        <v>60</v>
      </c>
      <c r="N1586" s="13">
        <v>0.5</v>
      </c>
      <c r="O1586" s="13"/>
      <c r="P1586" s="33" t="str">
        <f t="shared" si="463"/>
        <v>MAIN UNIT</v>
      </c>
      <c r="Q1586" s="13" t="s">
        <v>68</v>
      </c>
      <c r="R1586" s="13" t="s">
        <v>62</v>
      </c>
      <c r="S1586" s="13" t="s">
        <v>51</v>
      </c>
      <c r="T1586" s="13" t="s">
        <v>349</v>
      </c>
      <c r="U1586" s="13" t="s">
        <v>149</v>
      </c>
      <c r="V1586" s="13" t="s">
        <v>954</v>
      </c>
      <c r="W1586" s="13" t="s">
        <v>64</v>
      </c>
      <c r="X1586" s="136">
        <v>570000</v>
      </c>
      <c r="Y1586" s="157" t="str">
        <f t="shared" si="473"/>
        <v>1.13</v>
      </c>
      <c r="Z1586" s="18">
        <f t="shared" si="472"/>
        <v>285000</v>
      </c>
      <c r="AA1586" s="13">
        <v>1.07</v>
      </c>
      <c r="AB1586" s="21">
        <f t="shared" si="456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58"/>
        <v>11730565.00042478</v>
      </c>
      <c r="AJ1586" s="19">
        <f t="shared" si="459"/>
        <v>1439625.5685810833</v>
      </c>
      <c r="AK1586" s="20">
        <f t="shared" si="466"/>
        <v>0.12272431622253084</v>
      </c>
      <c r="AL1586" s="17"/>
      <c r="AM1586" s="17"/>
      <c r="AN1586" s="17"/>
      <c r="AO1586" s="17"/>
      <c r="AP1586" s="28" t="str">
        <f t="shared" si="467"/>
        <v>202311</v>
      </c>
      <c r="AQ1586" s="28" t="str">
        <f t="shared" si="468"/>
        <v>202311RMB</v>
      </c>
      <c r="AR1586" s="206" t="str">
        <f t="shared" si="469"/>
        <v>YAMAHA_Mounter</v>
      </c>
      <c r="AS1586" s="22">
        <f t="shared" si="470"/>
        <v>6</v>
      </c>
      <c r="AT1586" s="24" t="str">
        <f t="shared" si="471"/>
        <v>4-6 months</v>
      </c>
      <c r="AU1586" s="22" t="s">
        <v>3240</v>
      </c>
    </row>
    <row r="1587" spans="1:47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41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317</v>
      </c>
      <c r="K1587" s="155" t="s">
        <v>318</v>
      </c>
      <c r="L1587" s="17" t="s">
        <v>67</v>
      </c>
      <c r="M1587" s="13" t="s">
        <v>60</v>
      </c>
      <c r="N1587" s="13">
        <v>1</v>
      </c>
      <c r="O1587" s="13"/>
      <c r="P1587" s="33" t="str">
        <f t="shared" si="463"/>
        <v>MAIN UNIT</v>
      </c>
      <c r="Q1587" s="13" t="s">
        <v>68</v>
      </c>
      <c r="R1587" s="13" t="s">
        <v>62</v>
      </c>
      <c r="S1587" s="13" t="s">
        <v>50</v>
      </c>
      <c r="T1587" s="13" t="s">
        <v>194</v>
      </c>
      <c r="U1587" s="13" t="s">
        <v>70</v>
      </c>
      <c r="V1587" s="13" t="s">
        <v>294</v>
      </c>
      <c r="W1587" s="13" t="s">
        <v>64</v>
      </c>
      <c r="X1587" s="135">
        <v>601800</v>
      </c>
      <c r="Y1587" s="156">
        <v>1.1599999999999999</v>
      </c>
      <c r="Z1587" s="18">
        <f t="shared" si="472"/>
        <v>601800</v>
      </c>
      <c r="AA1587" s="13">
        <v>1.18</v>
      </c>
      <c r="AB1587" s="21">
        <f t="shared" si="456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58"/>
        <v>29946107.503386207</v>
      </c>
      <c r="AJ1587" s="19">
        <f t="shared" si="459"/>
        <v>3987206.4954923098</v>
      </c>
      <c r="AK1587" s="20">
        <f t="shared" si="466"/>
        <v>0.13314606898547499</v>
      </c>
      <c r="AL1587" s="17" t="s">
        <v>319</v>
      </c>
      <c r="AM1587" s="17">
        <v>601800</v>
      </c>
      <c r="AN1587" s="17" t="s">
        <v>320</v>
      </c>
      <c r="AO1587" s="17"/>
      <c r="AP1587" s="28" t="str">
        <f t="shared" si="467"/>
        <v>20187</v>
      </c>
      <c r="AQ1587" s="28" t="str">
        <f t="shared" si="468"/>
        <v>20187RMB</v>
      </c>
      <c r="AR1587" s="206" t="str">
        <f t="shared" si="469"/>
        <v>YAMAHA_Mounter</v>
      </c>
      <c r="AS1587" s="22">
        <f t="shared" si="470"/>
        <v>5</v>
      </c>
      <c r="AT1587" s="24" t="str">
        <f t="shared" si="471"/>
        <v>4-6 months</v>
      </c>
      <c r="AU1587" s="22" t="s">
        <v>3240</v>
      </c>
    </row>
    <row r="1588" spans="1:47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41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468</v>
      </c>
      <c r="K1588" s="155" t="s">
        <v>318</v>
      </c>
      <c r="L1588" s="17" t="s">
        <v>293</v>
      </c>
      <c r="M1588" s="13" t="s">
        <v>60</v>
      </c>
      <c r="N1588" s="13">
        <v>1</v>
      </c>
      <c r="O1588" s="13"/>
      <c r="P1588" s="33" t="str">
        <f t="shared" si="463"/>
        <v>MAIN UNIT</v>
      </c>
      <c r="Q1588" s="13" t="s">
        <v>61</v>
      </c>
      <c r="R1588" s="13" t="s">
        <v>62</v>
      </c>
      <c r="S1588" s="13" t="s">
        <v>50</v>
      </c>
      <c r="T1588" s="13" t="s">
        <v>194</v>
      </c>
      <c r="U1588" s="13" t="s">
        <v>70</v>
      </c>
      <c r="V1588" s="13" t="s">
        <v>94</v>
      </c>
      <c r="W1588" s="13" t="s">
        <v>64</v>
      </c>
      <c r="X1588" s="135">
        <v>1861774</v>
      </c>
      <c r="Y1588" s="156">
        <v>1.1599999999999999</v>
      </c>
      <c r="Z1588" s="18">
        <f t="shared" si="472"/>
        <v>1861774</v>
      </c>
      <c r="AA1588" s="13">
        <v>1.18</v>
      </c>
      <c r="AB1588" s="21">
        <f t="shared" si="456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58"/>
        <v>29946107.503386207</v>
      </c>
      <c r="AJ1588" s="19">
        <f t="shared" si="459"/>
        <v>3987206.4954923098</v>
      </c>
      <c r="AK1588" s="20">
        <f t="shared" si="466"/>
        <v>0.13314606898547499</v>
      </c>
      <c r="AL1588" s="17"/>
      <c r="AM1588" s="17"/>
      <c r="AN1588" s="17"/>
      <c r="AO1588" s="17"/>
      <c r="AP1588" s="28" t="str">
        <f t="shared" si="467"/>
        <v>20187</v>
      </c>
      <c r="AQ1588" s="28" t="str">
        <f t="shared" si="468"/>
        <v>20187RMB</v>
      </c>
      <c r="AR1588" s="206" t="str">
        <f t="shared" si="469"/>
        <v>YAMAHA_Mounter</v>
      </c>
      <c r="AS1588" s="22">
        <f t="shared" si="470"/>
        <v>2</v>
      </c>
      <c r="AT1588" s="24" t="str">
        <f t="shared" si="471"/>
        <v>0-3 months</v>
      </c>
      <c r="AU1588" s="22" t="s">
        <v>3240</v>
      </c>
    </row>
    <row r="1589" spans="1:47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41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291</v>
      </c>
      <c r="K1589" s="155" t="s">
        <v>292</v>
      </c>
      <c r="L1589" s="17" t="s">
        <v>293</v>
      </c>
      <c r="M1589" s="13" t="s">
        <v>60</v>
      </c>
      <c r="N1589" s="13">
        <v>1</v>
      </c>
      <c r="O1589" s="13"/>
      <c r="P1589" s="33" t="str">
        <f t="shared" si="463"/>
        <v>MAIN UNIT</v>
      </c>
      <c r="Q1589" s="13" t="s">
        <v>68</v>
      </c>
      <c r="R1589" s="13" t="s">
        <v>62</v>
      </c>
      <c r="S1589" s="13" t="s">
        <v>50</v>
      </c>
      <c r="T1589" s="13" t="s">
        <v>194</v>
      </c>
      <c r="U1589" s="13" t="s">
        <v>70</v>
      </c>
      <c r="V1589" s="13" t="s">
        <v>294</v>
      </c>
      <c r="W1589" s="13" t="s">
        <v>64</v>
      </c>
      <c r="X1589" s="136">
        <f>1907200</f>
        <v>1907200</v>
      </c>
      <c r="Y1589" s="156">
        <v>1.17</v>
      </c>
      <c r="Z1589" s="18">
        <f t="shared" si="472"/>
        <v>1907200</v>
      </c>
      <c r="AA1589" s="13">
        <v>1.23</v>
      </c>
      <c r="AB1589" s="21">
        <f t="shared" si="456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58"/>
        <v>29288201.603076916</v>
      </c>
      <c r="AJ1589" s="19">
        <f t="shared" si="459"/>
        <v>3870159.1769246152</v>
      </c>
      <c r="AK1589" s="20">
        <f t="shared" si="466"/>
        <v>0.13214055370740244</v>
      </c>
      <c r="AL1589" s="17"/>
      <c r="AM1589" s="17"/>
      <c r="AN1589" s="17"/>
      <c r="AO1589" s="17"/>
      <c r="AP1589" s="28" t="str">
        <f t="shared" si="467"/>
        <v>20184</v>
      </c>
      <c r="AQ1589" s="28" t="str">
        <f t="shared" si="468"/>
        <v>20184RMB</v>
      </c>
      <c r="AR1589" s="206" t="str">
        <f t="shared" si="469"/>
        <v>YAMAHA_Mounter</v>
      </c>
      <c r="AS1589" s="22" t="str">
        <f t="shared" si="470"/>
        <v/>
      </c>
      <c r="AT1589" s="24" t="str">
        <f t="shared" si="471"/>
        <v/>
      </c>
      <c r="AU1589" s="22" t="s">
        <v>3240</v>
      </c>
    </row>
    <row r="1590" spans="1:47" s="12" customFormat="1">
      <c r="A1590" s="33" t="str">
        <f t="shared" si="460"/>
        <v>cancel</v>
      </c>
      <c r="B1590" s="152"/>
      <c r="C1590" s="152" t="s">
        <v>185</v>
      </c>
      <c r="D1590" s="33" t="str">
        <f t="shared" si="461"/>
        <v/>
      </c>
      <c r="E1590" s="33" t="s">
        <v>185</v>
      </c>
      <c r="F1590" s="13" t="s">
        <v>185</v>
      </c>
      <c r="G1590" s="152" t="s">
        <v>185</v>
      </c>
      <c r="H1590" s="155"/>
      <c r="I1590" s="33" t="str">
        <f t="shared" si="462"/>
        <v>Cancel</v>
      </c>
      <c r="J1590" s="186" t="s">
        <v>317</v>
      </c>
      <c r="K1590" s="155" t="s">
        <v>292</v>
      </c>
      <c r="L1590" s="17" t="s">
        <v>67</v>
      </c>
      <c r="M1590" s="13" t="s">
        <v>60</v>
      </c>
      <c r="N1590" s="13">
        <v>1</v>
      </c>
      <c r="O1590" s="13"/>
      <c r="P1590" s="33" t="str">
        <f t="shared" si="463"/>
        <v>MAIN UNIT</v>
      </c>
      <c r="Q1590" s="13" t="s">
        <v>68</v>
      </c>
      <c r="R1590" s="13" t="s">
        <v>62</v>
      </c>
      <c r="S1590" s="13" t="s">
        <v>50</v>
      </c>
      <c r="T1590" s="13" t="s">
        <v>194</v>
      </c>
      <c r="U1590" s="13" t="s">
        <v>70</v>
      </c>
      <c r="V1590" s="13" t="s">
        <v>294</v>
      </c>
      <c r="W1590" s="13" t="s">
        <v>64</v>
      </c>
      <c r="X1590" s="136">
        <f>601800*AA1590</f>
        <v>675821.4</v>
      </c>
      <c r="Y1590" s="156">
        <v>1.17</v>
      </c>
      <c r="Z1590" s="18">
        <f t="shared" si="472"/>
        <v>675821.4</v>
      </c>
      <c r="AA1590" s="13">
        <v>1.123</v>
      </c>
      <c r="AB1590" s="21">
        <f t="shared" ref="AB1590:AB1653" si="474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58"/>
        <v>499582152.5142017</v>
      </c>
      <c r="AJ1590" s="19">
        <f t="shared" si="459"/>
        <v>59520528.679470733</v>
      </c>
      <c r="AK1590" s="20">
        <f t="shared" si="466"/>
        <v>0.11914062257814291</v>
      </c>
      <c r="AL1590" s="17"/>
      <c r="AM1590" s="17"/>
      <c r="AN1590" s="17"/>
      <c r="AO1590" s="17"/>
      <c r="AP1590" s="28" t="str">
        <f t="shared" si="467"/>
        <v>CancelCancel</v>
      </c>
      <c r="AQ1590" s="28" t="str">
        <f t="shared" si="468"/>
        <v>CancelCancelRMB</v>
      </c>
      <c r="AR1590" s="206" t="str">
        <f t="shared" si="469"/>
        <v>YAMAHA_Mounter</v>
      </c>
      <c r="AS1590" s="22" t="str">
        <f t="shared" si="470"/>
        <v/>
      </c>
      <c r="AT1590" s="24" t="str">
        <f t="shared" si="471"/>
        <v/>
      </c>
      <c r="AU1590" s="22" t="s">
        <v>3240</v>
      </c>
    </row>
    <row r="1591" spans="1:47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47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878</v>
      </c>
      <c r="K1591" s="155" t="s">
        <v>879</v>
      </c>
      <c r="L1591" s="17" t="s">
        <v>92</v>
      </c>
      <c r="M1591" s="13" t="s">
        <v>60</v>
      </c>
      <c r="N1591" s="13">
        <v>2</v>
      </c>
      <c r="O1591" s="13"/>
      <c r="P1591" s="33" t="str">
        <f t="shared" si="463"/>
        <v>MAIN UNIT</v>
      </c>
      <c r="Q1591" s="13" t="s">
        <v>61</v>
      </c>
      <c r="R1591" s="13" t="s">
        <v>62</v>
      </c>
      <c r="S1591" s="13" t="s">
        <v>50</v>
      </c>
      <c r="T1591" s="13" t="s">
        <v>194</v>
      </c>
      <c r="U1591" s="13" t="s">
        <v>70</v>
      </c>
      <c r="V1591" s="13" t="s">
        <v>94</v>
      </c>
      <c r="W1591" s="13" t="s">
        <v>64</v>
      </c>
      <c r="X1591" s="135">
        <v>850000</v>
      </c>
      <c r="Y1591" s="156">
        <v>1.1299999999999999</v>
      </c>
      <c r="Z1591" s="18">
        <f t="shared" si="472"/>
        <v>1700000</v>
      </c>
      <c r="AA1591" s="13">
        <v>1.1599999999999999</v>
      </c>
      <c r="AB1591" s="21">
        <f t="shared" si="474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58"/>
        <v>14593788.187146019</v>
      </c>
      <c r="AJ1591" s="19">
        <f t="shared" si="459"/>
        <v>1868647.7321969916</v>
      </c>
      <c r="AK1591" s="20">
        <f t="shared" si="466"/>
        <v>0.12804404916900652</v>
      </c>
      <c r="AL1591" s="17"/>
      <c r="AM1591" s="17"/>
      <c r="AN1591" s="17"/>
      <c r="AO1591" s="17" t="s">
        <v>880</v>
      </c>
      <c r="AP1591" s="28" t="str">
        <f t="shared" si="467"/>
        <v>20195</v>
      </c>
      <c r="AQ1591" s="28" t="str">
        <f t="shared" si="468"/>
        <v>20195RMB</v>
      </c>
      <c r="AR1591" s="206" t="str">
        <f t="shared" si="469"/>
        <v>YAMAHA_Mounter</v>
      </c>
      <c r="AS1591" s="22">
        <f t="shared" si="470"/>
        <v>2</v>
      </c>
      <c r="AT1591" s="24" t="str">
        <f t="shared" si="471"/>
        <v>0-3 months</v>
      </c>
      <c r="AU1591" s="22" t="s">
        <v>3240</v>
      </c>
    </row>
    <row r="1592" spans="1:47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47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878</v>
      </c>
      <c r="K1592" s="155" t="s">
        <v>879</v>
      </c>
      <c r="L1592" s="17" t="s">
        <v>67</v>
      </c>
      <c r="M1592" s="13" t="s">
        <v>60</v>
      </c>
      <c r="N1592" s="13">
        <v>2</v>
      </c>
      <c r="O1592" s="13"/>
      <c r="P1592" s="33" t="str">
        <f t="shared" si="463"/>
        <v>MAIN UNIT</v>
      </c>
      <c r="Q1592" s="13" t="s">
        <v>61</v>
      </c>
      <c r="R1592" s="13" t="s">
        <v>62</v>
      </c>
      <c r="S1592" s="13" t="s">
        <v>50</v>
      </c>
      <c r="T1592" s="13" t="s">
        <v>194</v>
      </c>
      <c r="U1592" s="13" t="s">
        <v>70</v>
      </c>
      <c r="V1592" s="13" t="s">
        <v>94</v>
      </c>
      <c r="W1592" s="13" t="s">
        <v>64</v>
      </c>
      <c r="X1592" s="135">
        <v>705000</v>
      </c>
      <c r="Y1592" s="156">
        <v>1.1299999999999999</v>
      </c>
      <c r="Z1592" s="18">
        <f t="shared" si="472"/>
        <v>1410000</v>
      </c>
      <c r="AA1592" s="13">
        <v>1.1599999999999999</v>
      </c>
      <c r="AB1592" s="21">
        <f t="shared" si="474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58"/>
        <v>14593788.187146019</v>
      </c>
      <c r="AJ1592" s="19">
        <f t="shared" si="459"/>
        <v>1868647.7321969916</v>
      </c>
      <c r="AK1592" s="20">
        <f t="shared" si="466"/>
        <v>0.12804404916900652</v>
      </c>
      <c r="AL1592" s="17"/>
      <c r="AM1592" s="17"/>
      <c r="AN1592" s="17"/>
      <c r="AO1592" s="17" t="s">
        <v>880</v>
      </c>
      <c r="AP1592" s="28" t="str">
        <f t="shared" si="467"/>
        <v>20195</v>
      </c>
      <c r="AQ1592" s="28" t="str">
        <f t="shared" si="468"/>
        <v>20195RMB</v>
      </c>
      <c r="AR1592" s="206" t="str">
        <f t="shared" si="469"/>
        <v>YAMAHA_Mounter</v>
      </c>
      <c r="AS1592" s="22">
        <f t="shared" si="470"/>
        <v>2</v>
      </c>
      <c r="AT1592" s="24" t="str">
        <f t="shared" si="471"/>
        <v>0-3 months</v>
      </c>
      <c r="AU1592" s="22" t="s">
        <v>3240</v>
      </c>
    </row>
    <row r="1593" spans="1:47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55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2491</v>
      </c>
      <c r="K1593" s="155" t="s">
        <v>2492</v>
      </c>
      <c r="L1593" s="17" t="s">
        <v>67</v>
      </c>
      <c r="M1593" s="13" t="s">
        <v>60</v>
      </c>
      <c r="N1593" s="13">
        <v>1</v>
      </c>
      <c r="O1593" s="13"/>
      <c r="P1593" s="33" t="str">
        <f t="shared" si="463"/>
        <v>MAIN UNIT</v>
      </c>
      <c r="Q1593" s="13" t="s">
        <v>61</v>
      </c>
      <c r="R1593" s="13" t="s">
        <v>62</v>
      </c>
      <c r="S1593" s="13" t="s">
        <v>50</v>
      </c>
      <c r="T1593" s="13" t="s">
        <v>194</v>
      </c>
      <c r="U1593" s="13" t="s">
        <v>70</v>
      </c>
      <c r="V1593" s="13" t="s">
        <v>94</v>
      </c>
      <c r="W1593" s="13" t="s">
        <v>64</v>
      </c>
      <c r="X1593" s="135">
        <v>754000</v>
      </c>
      <c r="Y1593" s="157" t="str">
        <f>IF(W1593="RMB","1.13", "1")</f>
        <v>1.13</v>
      </c>
      <c r="Z1593" s="18">
        <f t="shared" si="472"/>
        <v>754000</v>
      </c>
      <c r="AA1593" s="13">
        <v>1.135</v>
      </c>
      <c r="AB1593" s="21">
        <f t="shared" si="474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58"/>
        <v>28177779.013274338</v>
      </c>
      <c r="AJ1593" s="19">
        <f t="shared" si="459"/>
        <v>4727216.6376190251</v>
      </c>
      <c r="AK1593" s="20">
        <f t="shared" si="466"/>
        <v>0.1677639900359808</v>
      </c>
      <c r="AL1593" s="17"/>
      <c r="AM1593" s="17"/>
      <c r="AN1593" s="17"/>
      <c r="AO1593" s="17"/>
      <c r="AP1593" s="28" t="str">
        <f t="shared" si="467"/>
        <v>20235</v>
      </c>
      <c r="AQ1593" s="28" t="str">
        <f t="shared" si="468"/>
        <v>20235RMB</v>
      </c>
      <c r="AR1593" s="206" t="str">
        <f t="shared" si="469"/>
        <v>YAMAHA_Mounter</v>
      </c>
      <c r="AS1593" s="22">
        <f t="shared" si="470"/>
        <v>3</v>
      </c>
      <c r="AT1593" s="24" t="str">
        <f t="shared" si="471"/>
        <v>0-3 months</v>
      </c>
      <c r="AU1593" s="22" t="s">
        <v>3240</v>
      </c>
    </row>
    <row r="1594" spans="1:47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55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2491</v>
      </c>
      <c r="K1594" s="155" t="s">
        <v>2492</v>
      </c>
      <c r="L1594" s="17" t="s">
        <v>67</v>
      </c>
      <c r="M1594" s="13" t="s">
        <v>60</v>
      </c>
      <c r="N1594" s="13">
        <v>1</v>
      </c>
      <c r="O1594" s="13"/>
      <c r="P1594" s="33" t="str">
        <f t="shared" si="463"/>
        <v>MAIN UNIT</v>
      </c>
      <c r="Q1594" s="13" t="s">
        <v>61</v>
      </c>
      <c r="R1594" s="13" t="s">
        <v>62</v>
      </c>
      <c r="S1594" s="13" t="s">
        <v>50</v>
      </c>
      <c r="T1594" s="13" t="s">
        <v>194</v>
      </c>
      <c r="U1594" s="13" t="s">
        <v>70</v>
      </c>
      <c r="V1594" s="13" t="s">
        <v>94</v>
      </c>
      <c r="W1594" s="13" t="s">
        <v>64</v>
      </c>
      <c r="X1594" s="135">
        <v>754000</v>
      </c>
      <c r="Y1594" s="157" t="str">
        <f>IF(W1594="RMB","1.13", "1")</f>
        <v>1.13</v>
      </c>
      <c r="Z1594" s="18">
        <f t="shared" si="472"/>
        <v>754000</v>
      </c>
      <c r="AA1594" s="13">
        <v>1.135</v>
      </c>
      <c r="AB1594" s="21">
        <f t="shared" si="474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58"/>
        <v>28177779.013274338</v>
      </c>
      <c r="AJ1594" s="19">
        <f t="shared" si="459"/>
        <v>4727216.6376190251</v>
      </c>
      <c r="AK1594" s="20">
        <f t="shared" si="466"/>
        <v>0.1677639900359808</v>
      </c>
      <c r="AL1594" s="17"/>
      <c r="AM1594" s="17"/>
      <c r="AN1594" s="17"/>
      <c r="AO1594" s="17"/>
      <c r="AP1594" s="28" t="str">
        <f t="shared" si="467"/>
        <v>20235</v>
      </c>
      <c r="AQ1594" s="28" t="str">
        <f t="shared" si="468"/>
        <v>20235RMB</v>
      </c>
      <c r="AR1594" s="206" t="str">
        <f t="shared" si="469"/>
        <v>YAMAHA_Mounter</v>
      </c>
      <c r="AS1594" s="22">
        <f t="shared" si="470"/>
        <v>3</v>
      </c>
      <c r="AT1594" s="24" t="str">
        <f t="shared" si="471"/>
        <v>0-3 months</v>
      </c>
      <c r="AU1594" s="22" t="s">
        <v>3240</v>
      </c>
    </row>
    <row r="1595" spans="1:47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55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2491</v>
      </c>
      <c r="K1595" s="155" t="s">
        <v>2492</v>
      </c>
      <c r="L1595" s="17" t="s">
        <v>92</v>
      </c>
      <c r="M1595" s="13" t="s">
        <v>60</v>
      </c>
      <c r="N1595" s="13">
        <v>1</v>
      </c>
      <c r="O1595" s="13"/>
      <c r="P1595" s="33" t="str">
        <f t="shared" si="463"/>
        <v>MAIN UNIT</v>
      </c>
      <c r="Q1595" s="13" t="s">
        <v>61</v>
      </c>
      <c r="R1595" s="13" t="s">
        <v>62</v>
      </c>
      <c r="S1595" s="13" t="s">
        <v>50</v>
      </c>
      <c r="T1595" s="13" t="s">
        <v>194</v>
      </c>
      <c r="U1595" s="13" t="s">
        <v>70</v>
      </c>
      <c r="V1595" s="13" t="s">
        <v>94</v>
      </c>
      <c r="W1595" s="13" t="s">
        <v>64</v>
      </c>
      <c r="X1595" s="135">
        <v>800000</v>
      </c>
      <c r="Y1595" s="157" t="str">
        <f>IF(W1595="RMB","1.13", "1")</f>
        <v>1.13</v>
      </c>
      <c r="Z1595" s="18">
        <f t="shared" si="472"/>
        <v>800000</v>
      </c>
      <c r="AA1595" s="13">
        <v>1.135</v>
      </c>
      <c r="AB1595" s="21">
        <f t="shared" si="474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58"/>
        <v>28177779.013274338</v>
      </c>
      <c r="AJ1595" s="19">
        <f t="shared" si="459"/>
        <v>4727216.6376190251</v>
      </c>
      <c r="AK1595" s="20">
        <f t="shared" si="466"/>
        <v>0.1677639900359808</v>
      </c>
      <c r="AL1595" s="17"/>
      <c r="AM1595" s="17"/>
      <c r="AN1595" s="17"/>
      <c r="AO1595" s="17"/>
      <c r="AP1595" s="28" t="str">
        <f t="shared" si="467"/>
        <v>20235</v>
      </c>
      <c r="AQ1595" s="28" t="str">
        <f t="shared" si="468"/>
        <v>20235RMB</v>
      </c>
      <c r="AR1595" s="206" t="str">
        <f t="shared" si="469"/>
        <v>YAMAHA_Mounter</v>
      </c>
      <c r="AS1595" s="22">
        <f t="shared" si="470"/>
        <v>3</v>
      </c>
      <c r="AT1595" s="24" t="str">
        <f t="shared" si="471"/>
        <v>0-3 months</v>
      </c>
      <c r="AU1595" s="22" t="s">
        <v>3240</v>
      </c>
    </row>
    <row r="1596" spans="1:47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55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2491</v>
      </c>
      <c r="K1596" s="155" t="s">
        <v>2492</v>
      </c>
      <c r="L1596" s="17" t="s">
        <v>92</v>
      </c>
      <c r="M1596" s="13" t="s">
        <v>60</v>
      </c>
      <c r="N1596" s="13">
        <v>1</v>
      </c>
      <c r="O1596" s="13"/>
      <c r="P1596" s="33" t="str">
        <f t="shared" si="463"/>
        <v>MAIN UNIT</v>
      </c>
      <c r="Q1596" s="13" t="s">
        <v>61</v>
      </c>
      <c r="R1596" s="13" t="s">
        <v>62</v>
      </c>
      <c r="S1596" s="13" t="s">
        <v>50</v>
      </c>
      <c r="T1596" s="13" t="s">
        <v>194</v>
      </c>
      <c r="U1596" s="13" t="s">
        <v>70</v>
      </c>
      <c r="V1596" s="13" t="s">
        <v>94</v>
      </c>
      <c r="W1596" s="13" t="s">
        <v>64</v>
      </c>
      <c r="X1596" s="135">
        <v>800000</v>
      </c>
      <c r="Y1596" s="157" t="str">
        <f>IF(W1596="RMB","1.13", "1")</f>
        <v>1.13</v>
      </c>
      <c r="Z1596" s="18">
        <f t="shared" si="472"/>
        <v>800000</v>
      </c>
      <c r="AA1596" s="13">
        <v>1.135</v>
      </c>
      <c r="AB1596" s="21">
        <f t="shared" si="474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58"/>
        <v>28177779.013274338</v>
      </c>
      <c r="AJ1596" s="19">
        <f t="shared" si="459"/>
        <v>4727216.6376190251</v>
      </c>
      <c r="AK1596" s="20">
        <f t="shared" si="466"/>
        <v>0.1677639900359808</v>
      </c>
      <c r="AL1596" s="17"/>
      <c r="AM1596" s="17"/>
      <c r="AN1596" s="17"/>
      <c r="AO1596" s="17"/>
      <c r="AP1596" s="28" t="str">
        <f t="shared" si="467"/>
        <v>20235</v>
      </c>
      <c r="AQ1596" s="28" t="str">
        <f t="shared" si="468"/>
        <v>20235RMB</v>
      </c>
      <c r="AR1596" s="206" t="str">
        <f t="shared" si="469"/>
        <v>YAMAHA_Mounter</v>
      </c>
      <c r="AS1596" s="22">
        <f t="shared" si="470"/>
        <v>3</v>
      </c>
      <c r="AT1596" s="24" t="str">
        <f t="shared" si="471"/>
        <v>0-3 months</v>
      </c>
      <c r="AU1596" s="22" t="s">
        <v>3240</v>
      </c>
    </row>
    <row r="1597" spans="1:47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41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407</v>
      </c>
      <c r="K1597" s="155" t="s">
        <v>408</v>
      </c>
      <c r="L1597" s="17" t="s">
        <v>59</v>
      </c>
      <c r="M1597" s="13" t="s">
        <v>60</v>
      </c>
      <c r="N1597" s="13">
        <v>1</v>
      </c>
      <c r="O1597" s="13"/>
      <c r="P1597" s="33" t="str">
        <f t="shared" si="463"/>
        <v>MAIN UNIT</v>
      </c>
      <c r="Q1597" s="13" t="s">
        <v>61</v>
      </c>
      <c r="R1597" s="13" t="s">
        <v>62</v>
      </c>
      <c r="S1597" s="13" t="s">
        <v>50</v>
      </c>
      <c r="T1597" s="13" t="s">
        <v>101</v>
      </c>
      <c r="U1597" s="13" t="s">
        <v>409</v>
      </c>
      <c r="V1597" s="13" t="s">
        <v>94</v>
      </c>
      <c r="W1597" s="13" t="s">
        <v>64</v>
      </c>
      <c r="X1597" s="135">
        <v>615000</v>
      </c>
      <c r="Y1597" s="156">
        <v>1.1599999999999999</v>
      </c>
      <c r="Z1597" s="18">
        <f t="shared" si="472"/>
        <v>615000</v>
      </c>
      <c r="AA1597" s="13">
        <v>1.18</v>
      </c>
      <c r="AB1597" s="21">
        <f t="shared" si="474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58"/>
        <v>29946107.503386207</v>
      </c>
      <c r="AJ1597" s="19">
        <f t="shared" si="459"/>
        <v>3987206.4954923098</v>
      </c>
      <c r="AK1597" s="20">
        <f t="shared" si="466"/>
        <v>0.13314606898547499</v>
      </c>
      <c r="AL1597" s="17"/>
      <c r="AM1597" s="17"/>
      <c r="AN1597" s="17"/>
      <c r="AO1597" s="17"/>
      <c r="AP1597" s="28" t="str">
        <f t="shared" si="467"/>
        <v>20187</v>
      </c>
      <c r="AQ1597" s="28" t="str">
        <f t="shared" si="468"/>
        <v>20187RMB</v>
      </c>
      <c r="AR1597" s="206" t="str">
        <f t="shared" si="469"/>
        <v>YAMAHA_Mounter</v>
      </c>
      <c r="AS1597" s="22">
        <f t="shared" si="470"/>
        <v>1</v>
      </c>
      <c r="AT1597" s="24" t="str">
        <f t="shared" si="471"/>
        <v>0-3 months</v>
      </c>
      <c r="AU1597" s="22" t="s">
        <v>3240</v>
      </c>
    </row>
    <row r="1598" spans="1:47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41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467</v>
      </c>
      <c r="K1598" s="155" t="s">
        <v>408</v>
      </c>
      <c r="L1598" s="17" t="s">
        <v>77</v>
      </c>
      <c r="M1598" s="13" t="s">
        <v>60</v>
      </c>
      <c r="N1598" s="13">
        <v>1</v>
      </c>
      <c r="O1598" s="13"/>
      <c r="P1598" s="33" t="str">
        <f t="shared" si="463"/>
        <v>MAIN UNIT</v>
      </c>
      <c r="Q1598" s="13" t="s">
        <v>68</v>
      </c>
      <c r="R1598" s="13" t="s">
        <v>62</v>
      </c>
      <c r="S1598" s="13" t="s">
        <v>50</v>
      </c>
      <c r="T1598" s="13" t="s">
        <v>194</v>
      </c>
      <c r="U1598" s="13" t="s">
        <v>70</v>
      </c>
      <c r="V1598" s="13" t="s">
        <v>94</v>
      </c>
      <c r="W1598" s="13" t="s">
        <v>64</v>
      </c>
      <c r="X1598" s="135">
        <v>1088000</v>
      </c>
      <c r="Y1598" s="156">
        <v>1.1599999999999999</v>
      </c>
      <c r="Z1598" s="18">
        <f t="shared" si="472"/>
        <v>1088000</v>
      </c>
      <c r="AA1598" s="13">
        <v>1.18</v>
      </c>
      <c r="AB1598" s="21">
        <f t="shared" si="474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58"/>
        <v>29946107.503386207</v>
      </c>
      <c r="AJ1598" s="19">
        <f t="shared" si="459"/>
        <v>3987206.4954923098</v>
      </c>
      <c r="AK1598" s="20">
        <f t="shared" si="466"/>
        <v>0.13314606898547499</v>
      </c>
      <c r="AL1598" s="17"/>
      <c r="AM1598" s="17"/>
      <c r="AN1598" s="17"/>
      <c r="AO1598" s="17"/>
      <c r="AP1598" s="28" t="str">
        <f t="shared" si="467"/>
        <v>20187</v>
      </c>
      <c r="AQ1598" s="28" t="str">
        <f t="shared" si="468"/>
        <v>20187RMB</v>
      </c>
      <c r="AR1598" s="206" t="str">
        <f t="shared" si="469"/>
        <v>YAMAHA_Mounter</v>
      </c>
      <c r="AS1598" s="22">
        <f t="shared" si="470"/>
        <v>2</v>
      </c>
      <c r="AT1598" s="24" t="str">
        <f t="shared" si="471"/>
        <v>0-3 months</v>
      </c>
      <c r="AU1598" s="22" t="s">
        <v>3240</v>
      </c>
    </row>
    <row r="1599" spans="1:47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53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1691</v>
      </c>
      <c r="K1599" s="155" t="s">
        <v>1692</v>
      </c>
      <c r="L1599" s="17" t="s">
        <v>67</v>
      </c>
      <c r="M1599" s="13" t="s">
        <v>60</v>
      </c>
      <c r="N1599" s="13">
        <v>1</v>
      </c>
      <c r="O1599" s="13"/>
      <c r="P1599" s="33" t="str">
        <f t="shared" si="463"/>
        <v>MAIN UNIT</v>
      </c>
      <c r="Q1599" s="13" t="s">
        <v>68</v>
      </c>
      <c r="R1599" s="13" t="s">
        <v>62</v>
      </c>
      <c r="S1599" s="13" t="s">
        <v>50</v>
      </c>
      <c r="T1599" s="13" t="s">
        <v>194</v>
      </c>
      <c r="U1599" s="13" t="s">
        <v>70</v>
      </c>
      <c r="V1599" s="13" t="s">
        <v>94</v>
      </c>
      <c r="W1599" s="13" t="s">
        <v>64</v>
      </c>
      <c r="X1599" s="135">
        <v>598000</v>
      </c>
      <c r="Y1599" s="157" t="str">
        <f>IF(W1599="RMB","1.13", "1")</f>
        <v>1.13</v>
      </c>
      <c r="Z1599" s="18">
        <f t="shared" si="472"/>
        <v>598000</v>
      </c>
      <c r="AA1599" s="13">
        <v>1.18</v>
      </c>
      <c r="AB1599" s="21">
        <f t="shared" si="474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58"/>
        <v>43684091.636631854</v>
      </c>
      <c r="AJ1599" s="19">
        <f t="shared" si="459"/>
        <v>6483951.8242071122</v>
      </c>
      <c r="AK1599" s="20">
        <f t="shared" si="466"/>
        <v>0.14842821680123736</v>
      </c>
      <c r="AL1599" s="17"/>
      <c r="AM1599" s="17"/>
      <c r="AN1599" s="17"/>
      <c r="AO1599" s="17"/>
      <c r="AP1599" s="28" t="str">
        <f t="shared" si="467"/>
        <v>20214</v>
      </c>
      <c r="AQ1599" s="28" t="str">
        <f t="shared" si="468"/>
        <v>20214RMB</v>
      </c>
      <c r="AR1599" s="206" t="str">
        <f t="shared" si="469"/>
        <v>YAMAHA_Mounter</v>
      </c>
      <c r="AS1599" s="22">
        <f t="shared" si="470"/>
        <v>2</v>
      </c>
      <c r="AT1599" s="24" t="str">
        <f t="shared" si="471"/>
        <v>0-3 months</v>
      </c>
      <c r="AU1599" s="22" t="s">
        <v>3240</v>
      </c>
    </row>
    <row r="1600" spans="1:47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53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1691</v>
      </c>
      <c r="K1600" s="155" t="s">
        <v>1692</v>
      </c>
      <c r="L1600" s="17" t="s">
        <v>92</v>
      </c>
      <c r="M1600" s="13" t="s">
        <v>60</v>
      </c>
      <c r="N1600" s="13">
        <v>1</v>
      </c>
      <c r="O1600" s="13"/>
      <c r="P1600" s="33" t="str">
        <f t="shared" si="463"/>
        <v>MAIN UNIT</v>
      </c>
      <c r="Q1600" s="13" t="s">
        <v>68</v>
      </c>
      <c r="R1600" s="13" t="s">
        <v>62</v>
      </c>
      <c r="S1600" s="13" t="s">
        <v>50</v>
      </c>
      <c r="T1600" s="13" t="s">
        <v>194</v>
      </c>
      <c r="U1600" s="13" t="s">
        <v>70</v>
      </c>
      <c r="V1600" s="13" t="s">
        <v>94</v>
      </c>
      <c r="W1600" s="13" t="s">
        <v>64</v>
      </c>
      <c r="X1600" s="135">
        <v>800000</v>
      </c>
      <c r="Y1600" s="157" t="str">
        <f>IF(W1600="RMB","1.13", "1")</f>
        <v>1.13</v>
      </c>
      <c r="Z1600" s="18">
        <f t="shared" si="472"/>
        <v>800000</v>
      </c>
      <c r="AA1600" s="13">
        <v>1.18</v>
      </c>
      <c r="AB1600" s="21">
        <f t="shared" si="474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58"/>
        <v>43684091.636631854</v>
      </c>
      <c r="AJ1600" s="19">
        <f t="shared" si="459"/>
        <v>6483951.8242071122</v>
      </c>
      <c r="AK1600" s="20">
        <f t="shared" si="466"/>
        <v>0.14842821680123736</v>
      </c>
      <c r="AL1600" s="17"/>
      <c r="AM1600" s="17"/>
      <c r="AN1600" s="17"/>
      <c r="AO1600" s="17"/>
      <c r="AP1600" s="28" t="str">
        <f t="shared" si="467"/>
        <v>20214</v>
      </c>
      <c r="AQ1600" s="28" t="str">
        <f t="shared" si="468"/>
        <v>20214RMB</v>
      </c>
      <c r="AR1600" s="206" t="str">
        <f t="shared" si="469"/>
        <v>YAMAHA_Mounter</v>
      </c>
      <c r="AS1600" s="22">
        <f t="shared" si="470"/>
        <v>2</v>
      </c>
      <c r="AT1600" s="24" t="str">
        <f t="shared" si="471"/>
        <v>0-3 months</v>
      </c>
      <c r="AU1600" s="22" t="s">
        <v>3240</v>
      </c>
    </row>
    <row r="1601" spans="1:47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3340</v>
      </c>
      <c r="K1601" s="29" t="s">
        <v>3341</v>
      </c>
      <c r="L1601" s="17" t="s">
        <v>92</v>
      </c>
      <c r="M1601" s="22" t="s">
        <v>60</v>
      </c>
      <c r="N1601" s="22">
        <v>1</v>
      </c>
      <c r="O1601" s="22"/>
      <c r="P1601" s="33" t="str">
        <f t="shared" si="463"/>
        <v>MAIN UNIT</v>
      </c>
      <c r="Q1601" s="13" t="s">
        <v>61</v>
      </c>
      <c r="R1601" s="22" t="s">
        <v>62</v>
      </c>
      <c r="S1601" s="22" t="s">
        <v>49</v>
      </c>
      <c r="T1601" s="22" t="s">
        <v>78</v>
      </c>
      <c r="U1601" s="22" t="s">
        <v>78</v>
      </c>
      <c r="V1601" s="22" t="s">
        <v>112</v>
      </c>
      <c r="W1601" s="22" t="s">
        <v>109</v>
      </c>
      <c r="X1601" s="30">
        <v>11000000</v>
      </c>
      <c r="Y1601" s="31" t="str">
        <f>IF(W1601="","",IF(W1601="RMB","1.13", "1"))</f>
        <v>1</v>
      </c>
      <c r="Z1601" s="18">
        <f t="shared" si="472"/>
        <v>11000000</v>
      </c>
      <c r="AA1601" s="13">
        <v>5.0999999999999997E-2</v>
      </c>
      <c r="AB1601" s="21">
        <f t="shared" si="474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58"/>
        <v>27308925.887079656</v>
      </c>
      <c r="AJ1601" s="27">
        <f t="shared" si="459"/>
        <v>3319273.860338124</v>
      </c>
      <c r="AK1601" s="28">
        <f t="shared" si="466"/>
        <v>0.12154538314919709</v>
      </c>
      <c r="AL1601" s="24"/>
      <c r="AM1601" s="24"/>
      <c r="AN1601" s="24"/>
      <c r="AO1601" s="24"/>
      <c r="AP1601" s="28" t="str">
        <f t="shared" si="467"/>
        <v>20246</v>
      </c>
      <c r="AQ1601" s="28" t="str">
        <f t="shared" si="468"/>
        <v>20246JPY</v>
      </c>
      <c r="AR1601" s="206" t="str">
        <f t="shared" si="469"/>
        <v>YAMAHA_Mounter</v>
      </c>
      <c r="AS1601" s="22">
        <f t="shared" si="470"/>
        <v>3</v>
      </c>
      <c r="AT1601" s="24" t="str">
        <f t="shared" si="471"/>
        <v>0-3 months</v>
      </c>
      <c r="AU1601" s="22" t="s">
        <v>3745</v>
      </c>
    </row>
    <row r="1602" spans="1:47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3340</v>
      </c>
      <c r="K1602" s="29" t="s">
        <v>3341</v>
      </c>
      <c r="L1602" s="17" t="s">
        <v>92</v>
      </c>
      <c r="M1602" s="22" t="s">
        <v>60</v>
      </c>
      <c r="N1602" s="22">
        <v>1</v>
      </c>
      <c r="O1602" s="22"/>
      <c r="P1602" s="33" t="str">
        <f t="shared" si="463"/>
        <v>MAIN UNIT</v>
      </c>
      <c r="Q1602" s="13" t="s">
        <v>61</v>
      </c>
      <c r="R1602" s="22" t="s">
        <v>62</v>
      </c>
      <c r="S1602" s="22" t="s">
        <v>49</v>
      </c>
      <c r="T1602" s="22" t="s">
        <v>78</v>
      </c>
      <c r="U1602" s="22" t="s">
        <v>78</v>
      </c>
      <c r="V1602" s="22" t="s">
        <v>112</v>
      </c>
      <c r="W1602" s="22" t="s">
        <v>109</v>
      </c>
      <c r="X1602" s="30">
        <v>11000000</v>
      </c>
      <c r="Y1602" s="31" t="str">
        <f>IF(W1602="","",IF(W1602="RMB","1.13", "1"))</f>
        <v>1</v>
      </c>
      <c r="Z1602" s="18">
        <f t="shared" si="472"/>
        <v>11000000</v>
      </c>
      <c r="AA1602" s="13">
        <v>5.0999999999999997E-2</v>
      </c>
      <c r="AB1602" s="21">
        <f t="shared" si="474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ref="AI1602:AI1665" si="475">IF(P1602="C66 SERVICE","",SUMIFS(AB:AB,F:F,F1602,G:G,G1602,E:E,E1602))</f>
        <v>27308925.887079656</v>
      </c>
      <c r="AJ1602" s="27">
        <f t="shared" ref="AJ1602:AJ1665" si="476">IF(P1602="C66 SERVICE","",SUMIFS(AC:AC,F:F,F1602,G:G,G1602,E:E,E1602))</f>
        <v>3319273.860338124</v>
      </c>
      <c r="AK1602" s="28">
        <f t="shared" si="466"/>
        <v>0.12154538314919709</v>
      </c>
      <c r="AL1602" s="24"/>
      <c r="AM1602" s="24"/>
      <c r="AN1602" s="24"/>
      <c r="AO1602" s="24"/>
      <c r="AP1602" s="28" t="str">
        <f t="shared" si="467"/>
        <v>20246</v>
      </c>
      <c r="AQ1602" s="28" t="str">
        <f t="shared" si="468"/>
        <v>20246JPY</v>
      </c>
      <c r="AR1602" s="206" t="str">
        <f t="shared" si="469"/>
        <v>YAMAHA_Mounter</v>
      </c>
      <c r="AS1602" s="22">
        <f t="shared" si="470"/>
        <v>3</v>
      </c>
      <c r="AT1602" s="24" t="str">
        <f t="shared" si="471"/>
        <v>0-3 months</v>
      </c>
      <c r="AU1602" s="22" t="s">
        <v>3745</v>
      </c>
    </row>
    <row r="1603" spans="1:47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3340</v>
      </c>
      <c r="K1603" s="29" t="s">
        <v>3341</v>
      </c>
      <c r="L1603" s="17" t="s">
        <v>92</v>
      </c>
      <c r="M1603" s="22" t="s">
        <v>60</v>
      </c>
      <c r="N1603" s="22">
        <v>1</v>
      </c>
      <c r="O1603" s="22"/>
      <c r="P1603" s="33" t="str">
        <f t="shared" si="463"/>
        <v>MAIN UNIT</v>
      </c>
      <c r="Q1603" s="13" t="s">
        <v>61</v>
      </c>
      <c r="R1603" s="22" t="s">
        <v>62</v>
      </c>
      <c r="S1603" s="22" t="s">
        <v>49</v>
      </c>
      <c r="T1603" s="22" t="s">
        <v>78</v>
      </c>
      <c r="U1603" s="22" t="s">
        <v>78</v>
      </c>
      <c r="V1603" s="22" t="s">
        <v>112</v>
      </c>
      <c r="W1603" s="22" t="s">
        <v>109</v>
      </c>
      <c r="X1603" s="226">
        <v>11000000</v>
      </c>
      <c r="Y1603" s="31" t="str">
        <f>IF(W1603="","",IF(W1603="RMB","1.13", "1"))</f>
        <v>1</v>
      </c>
      <c r="Z1603" s="18">
        <f t="shared" si="472"/>
        <v>11000000</v>
      </c>
      <c r="AA1603" s="13">
        <v>5.0999999999999997E-2</v>
      </c>
      <c r="AB1603" s="21">
        <f t="shared" si="474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75"/>
        <v>27308925.887079656</v>
      </c>
      <c r="AJ1603" s="27">
        <f t="shared" si="476"/>
        <v>3319273.860338124</v>
      </c>
      <c r="AK1603" s="28">
        <f t="shared" si="466"/>
        <v>0.12154538314919709</v>
      </c>
      <c r="AL1603" s="24"/>
      <c r="AM1603" s="24"/>
      <c r="AN1603" s="24"/>
      <c r="AO1603" s="24"/>
      <c r="AP1603" s="28" t="str">
        <f t="shared" si="467"/>
        <v>20246</v>
      </c>
      <c r="AQ1603" s="28" t="str">
        <f t="shared" si="468"/>
        <v>20246JPY</v>
      </c>
      <c r="AR1603" s="206" t="str">
        <f t="shared" si="469"/>
        <v>YAMAHA_Mounter</v>
      </c>
      <c r="AS1603" s="22">
        <f t="shared" si="470"/>
        <v>3</v>
      </c>
      <c r="AT1603" s="24" t="str">
        <f t="shared" si="471"/>
        <v>0-3 months</v>
      </c>
      <c r="AU1603" s="22" t="s">
        <v>3745</v>
      </c>
    </row>
    <row r="1604" spans="1:47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3135</v>
      </c>
      <c r="K1604" s="29" t="s">
        <v>3136</v>
      </c>
      <c r="L1604" s="17" t="s">
        <v>92</v>
      </c>
      <c r="M1604" s="22" t="s">
        <v>60</v>
      </c>
      <c r="N1604" s="22">
        <v>1</v>
      </c>
      <c r="O1604" s="22"/>
      <c r="P1604" s="33" t="str">
        <f t="shared" si="463"/>
        <v>MAIN UNIT</v>
      </c>
      <c r="Q1604" s="13" t="s">
        <v>61</v>
      </c>
      <c r="R1604" s="22" t="s">
        <v>62</v>
      </c>
      <c r="S1604" s="22" t="s">
        <v>50</v>
      </c>
      <c r="T1604" s="22" t="s">
        <v>194</v>
      </c>
      <c r="U1604" s="22" t="s">
        <v>70</v>
      </c>
      <c r="V1604" s="22" t="s">
        <v>94</v>
      </c>
      <c r="W1604" s="22" t="s">
        <v>64</v>
      </c>
      <c r="X1604" s="30">
        <v>663000</v>
      </c>
      <c r="Y1604" s="31" t="str">
        <f>IF(W1604="","",IF(W1604="RMB","1.13", "1"))</f>
        <v>1.13</v>
      </c>
      <c r="Z1604" s="18">
        <f t="shared" si="472"/>
        <v>663000</v>
      </c>
      <c r="AA1604" s="22">
        <v>1.095</v>
      </c>
      <c r="AB1604" s="21">
        <f t="shared" si="474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75"/>
        <v>10271727.486725664</v>
      </c>
      <c r="AJ1604" s="27">
        <f t="shared" si="476"/>
        <v>1227228.7260761063</v>
      </c>
      <c r="AK1604" s="28">
        <f t="shared" si="466"/>
        <v>0.11947637120066472</v>
      </c>
      <c r="AL1604" s="24"/>
      <c r="AM1604" s="24"/>
      <c r="AN1604" s="24"/>
      <c r="AO1604" s="24"/>
      <c r="AP1604" s="28" t="str">
        <f t="shared" si="467"/>
        <v>202312</v>
      </c>
      <c r="AQ1604" s="28" t="str">
        <f t="shared" si="468"/>
        <v>202312RMB</v>
      </c>
      <c r="AR1604" s="206" t="str">
        <f t="shared" si="469"/>
        <v>YAMAHA_Mounter</v>
      </c>
      <c r="AS1604" s="22">
        <f t="shared" si="470"/>
        <v>0</v>
      </c>
      <c r="AT1604" s="24" t="str">
        <f t="shared" si="471"/>
        <v>0-3 months</v>
      </c>
      <c r="AU1604" s="22" t="s">
        <v>3240</v>
      </c>
    </row>
    <row r="1605" spans="1:47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41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287</v>
      </c>
      <c r="K1605" s="155" t="s">
        <v>288</v>
      </c>
      <c r="L1605" s="17" t="s">
        <v>77</v>
      </c>
      <c r="M1605" s="13" t="s">
        <v>60</v>
      </c>
      <c r="N1605" s="13">
        <v>1</v>
      </c>
      <c r="O1605" s="13"/>
      <c r="P1605" s="33" t="str">
        <f t="shared" si="463"/>
        <v>MAIN UNIT</v>
      </c>
      <c r="Q1605" s="13" t="s">
        <v>61</v>
      </c>
      <c r="R1605" s="13" t="s">
        <v>62</v>
      </c>
      <c r="S1605" s="13" t="s">
        <v>50</v>
      </c>
      <c r="T1605" s="13" t="s">
        <v>101</v>
      </c>
      <c r="U1605" s="13" t="s">
        <v>70</v>
      </c>
      <c r="V1605" s="13" t="s">
        <v>94</v>
      </c>
      <c r="W1605" s="13" t="s">
        <v>64</v>
      </c>
      <c r="X1605" s="135">
        <v>760000</v>
      </c>
      <c r="Y1605" s="156">
        <v>1.1599999999999999</v>
      </c>
      <c r="Z1605" s="18">
        <f t="shared" si="472"/>
        <v>760000</v>
      </c>
      <c r="AA1605" s="13">
        <v>1.1499999999999999</v>
      </c>
      <c r="AB1605" s="21">
        <f t="shared" si="474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75"/>
        <v>26492741.106427077</v>
      </c>
      <c r="AJ1605" s="19">
        <f t="shared" si="476"/>
        <v>3348032.1325698122</v>
      </c>
      <c r="AK1605" s="20">
        <f t="shared" si="466"/>
        <v>0.12637545201985867</v>
      </c>
      <c r="AL1605" s="17"/>
      <c r="AM1605" s="17"/>
      <c r="AN1605" s="17"/>
      <c r="AO1605" s="17"/>
      <c r="AP1605" s="28" t="str">
        <f t="shared" si="467"/>
        <v>20189</v>
      </c>
      <c r="AQ1605" s="28" t="str">
        <f t="shared" si="468"/>
        <v>20189RMB</v>
      </c>
      <c r="AR1605" s="206" t="str">
        <f t="shared" si="469"/>
        <v>YAMAHA_Mounter</v>
      </c>
      <c r="AS1605" s="22">
        <f t="shared" si="470"/>
        <v>1</v>
      </c>
      <c r="AT1605" s="24" t="str">
        <f t="shared" si="471"/>
        <v>0-3 months</v>
      </c>
      <c r="AU1605" s="22" t="s">
        <v>3240</v>
      </c>
    </row>
    <row r="1606" spans="1:47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41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426</v>
      </c>
      <c r="K1606" s="155" t="s">
        <v>427</v>
      </c>
      <c r="L1606" s="17" t="s">
        <v>67</v>
      </c>
      <c r="M1606" s="13" t="s">
        <v>60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68</v>
      </c>
      <c r="R1606" s="13" t="s">
        <v>62</v>
      </c>
      <c r="S1606" s="13" t="s">
        <v>50</v>
      </c>
      <c r="T1606" s="13" t="s">
        <v>101</v>
      </c>
      <c r="U1606" s="13"/>
      <c r="V1606" s="13" t="s">
        <v>94</v>
      </c>
      <c r="W1606" s="13" t="s">
        <v>64</v>
      </c>
      <c r="X1606" s="135">
        <v>640000</v>
      </c>
      <c r="Y1606" s="156">
        <v>1.1599999999999999</v>
      </c>
      <c r="Z1606" s="18">
        <f t="shared" si="472"/>
        <v>640000</v>
      </c>
      <c r="AA1606" s="13">
        <v>1.1499999999999999</v>
      </c>
      <c r="AB1606" s="21">
        <f t="shared" si="474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si="475"/>
        <v>26492741.106427077</v>
      </c>
      <c r="AJ1606" s="19">
        <f t="shared" si="476"/>
        <v>3348032.1325698122</v>
      </c>
      <c r="AK1606" s="20">
        <f t="shared" ref="AK1606:AK1669" si="483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4">IF(F1606="","",F1606&amp;G1606)</f>
        <v>20189</v>
      </c>
      <c r="AQ1606" s="28" t="str">
        <f t="shared" ref="AQ1606:AQ1669" si="485">IF(W1606="","",F1606&amp;G1606&amp;W1606)</f>
        <v>20189RMB</v>
      </c>
      <c r="AR1606" s="206" t="str">
        <f t="shared" ref="AR1606:AR1669" si="486">IFERROR(IF(AND(M1606="YAMAHA", R1606="C28"), "YAMAHA_Non_Mounter", IF(AND(M1606="YAMAHA", R1606="C49"), "YAMAHA_Mounter", M1606)),"")</f>
        <v>YAMAHA_Mounter</v>
      </c>
      <c r="AS1606" s="22">
        <f t="shared" ref="AS1606:AS1669" si="487">IFERROR(IF(OR(G1606="TBA", G1606=""), "", DATEDIF(DATE(B1606, C1606, 1), DATE(F1606, G1606, 1), "M")),"")</f>
        <v>3</v>
      </c>
      <c r="AT1606" s="24" t="str">
        <f t="shared" ref="AT1606:AT1669" si="488">IF(ISNUMBER(AS1606), IF(AS1606&gt;=0, IF(AS1606&lt;=3, "0-3 months", IF(AS1606&lt;=6, "4-6 months", "&gt; 6 months"))), "")</f>
        <v>0-3 months</v>
      </c>
      <c r="AU1606" s="22" t="s">
        <v>3240</v>
      </c>
    </row>
    <row r="1607" spans="1:47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48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1292</v>
      </c>
      <c r="K1607" s="155" t="s">
        <v>427</v>
      </c>
      <c r="L1607" s="17" t="s">
        <v>92</v>
      </c>
      <c r="M1607" s="13" t="s">
        <v>60</v>
      </c>
      <c r="N1607" s="13">
        <v>1</v>
      </c>
      <c r="O1607" s="13"/>
      <c r="P1607" s="33" t="str">
        <f t="shared" si="480"/>
        <v>MAIN UNIT</v>
      </c>
      <c r="Q1607" s="13" t="s">
        <v>61</v>
      </c>
      <c r="R1607" s="13" t="s">
        <v>62</v>
      </c>
      <c r="S1607" s="13" t="s">
        <v>50</v>
      </c>
      <c r="T1607" s="13" t="s">
        <v>194</v>
      </c>
      <c r="U1607" s="13" t="s">
        <v>70</v>
      </c>
      <c r="V1607" s="13" t="s">
        <v>94</v>
      </c>
      <c r="W1607" s="13" t="s">
        <v>64</v>
      </c>
      <c r="X1607" s="135">
        <v>980000</v>
      </c>
      <c r="Y1607" s="156" t="s">
        <v>1058</v>
      </c>
      <c r="Z1607" s="18">
        <f t="shared" si="472"/>
        <v>980000</v>
      </c>
      <c r="AA1607" s="13">
        <v>1.095</v>
      </c>
      <c r="AB1607" s="21">
        <f t="shared" si="474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75"/>
        <v>28065694.408805311</v>
      </c>
      <c r="AJ1607" s="19">
        <f t="shared" si="476"/>
        <v>4157433.2906989697</v>
      </c>
      <c r="AK1607" s="20">
        <f t="shared" si="483"/>
        <v>0.14813220831602228</v>
      </c>
      <c r="AL1607" s="17"/>
      <c r="AM1607" s="17"/>
      <c r="AN1607" s="17"/>
      <c r="AO1607" s="17"/>
      <c r="AP1607" s="28" t="str">
        <f t="shared" si="484"/>
        <v>20205</v>
      </c>
      <c r="AQ1607" s="28" t="str">
        <f t="shared" si="485"/>
        <v>20205RMB</v>
      </c>
      <c r="AR1607" s="206" t="str">
        <f t="shared" si="486"/>
        <v>YAMAHA_Mounter</v>
      </c>
      <c r="AS1607" s="22">
        <f t="shared" si="487"/>
        <v>0</v>
      </c>
      <c r="AT1607" s="24" t="str">
        <f t="shared" si="488"/>
        <v>0-3 months</v>
      </c>
      <c r="AU1607" s="22" t="s">
        <v>3240</v>
      </c>
    </row>
    <row r="1608" spans="1:47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41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192</v>
      </c>
      <c r="K1608" s="155" t="s">
        <v>193</v>
      </c>
      <c r="L1608" s="17" t="s">
        <v>100</v>
      </c>
      <c r="M1608" s="13" t="s">
        <v>60</v>
      </c>
      <c r="N1608" s="13">
        <v>1</v>
      </c>
      <c r="O1608" s="13"/>
      <c r="P1608" s="33" t="str">
        <f t="shared" si="480"/>
        <v>MAIN UNIT</v>
      </c>
      <c r="Q1608" s="13" t="s">
        <v>61</v>
      </c>
      <c r="R1608" s="13" t="s">
        <v>62</v>
      </c>
      <c r="S1608" s="13" t="s">
        <v>50</v>
      </c>
      <c r="T1608" s="13" t="s">
        <v>194</v>
      </c>
      <c r="U1608" s="13" t="s">
        <v>70</v>
      </c>
      <c r="V1608" s="13" t="s">
        <v>94</v>
      </c>
      <c r="W1608" s="13" t="s">
        <v>64</v>
      </c>
      <c r="X1608" s="135">
        <v>870600</v>
      </c>
      <c r="Y1608" s="156">
        <v>1.17</v>
      </c>
      <c r="Z1608" s="18">
        <f t="shared" si="472"/>
        <v>870600</v>
      </c>
      <c r="AA1608" s="13">
        <v>1.23</v>
      </c>
      <c r="AB1608" s="21">
        <f t="shared" si="474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75"/>
        <v>29288201.603076916</v>
      </c>
      <c r="AJ1608" s="19">
        <f t="shared" si="476"/>
        <v>3870159.1769246152</v>
      </c>
      <c r="AK1608" s="20">
        <f t="shared" si="483"/>
        <v>0.13214055370740244</v>
      </c>
      <c r="AL1608" s="17" t="s">
        <v>195</v>
      </c>
      <c r="AM1608" s="17">
        <v>870600</v>
      </c>
      <c r="AN1608" s="17" t="s">
        <v>196</v>
      </c>
      <c r="AO1608" s="17"/>
      <c r="AP1608" s="28" t="str">
        <f t="shared" si="484"/>
        <v>20184</v>
      </c>
      <c r="AQ1608" s="28" t="str">
        <f t="shared" si="485"/>
        <v>20184RMB</v>
      </c>
      <c r="AR1608" s="206" t="str">
        <f t="shared" si="486"/>
        <v>YAMAHA_Mounter</v>
      </c>
      <c r="AS1608" s="22">
        <f t="shared" si="487"/>
        <v>0</v>
      </c>
      <c r="AT1608" s="24" t="str">
        <f t="shared" si="488"/>
        <v>0-3 months</v>
      </c>
      <c r="AU1608" s="22" t="s">
        <v>3240</v>
      </c>
    </row>
    <row r="1609" spans="1:47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47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673</v>
      </c>
      <c r="K1609" s="155" t="s">
        <v>193</v>
      </c>
      <c r="L1609" s="17" t="s">
        <v>77</v>
      </c>
      <c r="M1609" s="13" t="s">
        <v>60</v>
      </c>
      <c r="N1609" s="13">
        <v>1</v>
      </c>
      <c r="O1609" s="13"/>
      <c r="P1609" s="33" t="str">
        <f t="shared" si="480"/>
        <v>MAIN UNIT</v>
      </c>
      <c r="Q1609" s="13" t="s">
        <v>61</v>
      </c>
      <c r="R1609" s="13" t="s">
        <v>62</v>
      </c>
      <c r="S1609" s="13" t="s">
        <v>50</v>
      </c>
      <c r="T1609" s="13" t="s">
        <v>194</v>
      </c>
      <c r="U1609" s="13" t="s">
        <v>70</v>
      </c>
      <c r="V1609" s="13" t="s">
        <v>94</v>
      </c>
      <c r="W1609" s="13" t="s">
        <v>64</v>
      </c>
      <c r="X1609" s="135">
        <v>851500</v>
      </c>
      <c r="Y1609" s="156">
        <v>1.1299999999999999</v>
      </c>
      <c r="Z1609" s="18">
        <f t="shared" si="472"/>
        <v>851500</v>
      </c>
      <c r="AA1609" s="13">
        <v>1.135</v>
      </c>
      <c r="AB1609" s="21">
        <f t="shared" si="474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75"/>
        <v>21386017.707964607</v>
      </c>
      <c r="AJ1609" s="19">
        <f t="shared" si="476"/>
        <v>2238764.3265707968</v>
      </c>
      <c r="AK1609" s="20">
        <f t="shared" si="483"/>
        <v>0.10468355339185161</v>
      </c>
      <c r="AL1609" s="17"/>
      <c r="AM1609" s="17"/>
      <c r="AN1609" s="17"/>
      <c r="AO1609" s="17"/>
      <c r="AP1609" s="28" t="str">
        <f t="shared" si="484"/>
        <v>20198</v>
      </c>
      <c r="AQ1609" s="28" t="str">
        <f t="shared" si="485"/>
        <v>20198RMB</v>
      </c>
      <c r="AR1609" s="206" t="str">
        <f t="shared" si="486"/>
        <v>YAMAHA_Mounter</v>
      </c>
      <c r="AS1609" s="22">
        <f t="shared" si="487"/>
        <v>0</v>
      </c>
      <c r="AT1609" s="24" t="str">
        <f t="shared" si="488"/>
        <v>0-3 months</v>
      </c>
      <c r="AU1609" s="22" t="s">
        <v>3240</v>
      </c>
    </row>
    <row r="1610" spans="1:47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48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1430</v>
      </c>
      <c r="K1610" s="155" t="s">
        <v>193</v>
      </c>
      <c r="L1610" s="17" t="s">
        <v>67</v>
      </c>
      <c r="M1610" s="13" t="s">
        <v>60</v>
      </c>
      <c r="N1610" s="13">
        <v>1</v>
      </c>
      <c r="O1610" s="13"/>
      <c r="P1610" s="33" t="str">
        <f t="shared" si="480"/>
        <v>MAIN UNIT</v>
      </c>
      <c r="Q1610" s="13" t="s">
        <v>61</v>
      </c>
      <c r="R1610" s="13" t="s">
        <v>62</v>
      </c>
      <c r="S1610" s="13" t="s">
        <v>50</v>
      </c>
      <c r="T1610" s="13" t="s">
        <v>194</v>
      </c>
      <c r="U1610" s="13" t="s">
        <v>70</v>
      </c>
      <c r="V1610" s="13" t="s">
        <v>94</v>
      </c>
      <c r="W1610" s="13" t="s">
        <v>64</v>
      </c>
      <c r="X1610" s="135">
        <v>677000</v>
      </c>
      <c r="Y1610" s="157" t="str">
        <f>IF(W1610="RMB","1.13", "1")</f>
        <v>1.13</v>
      </c>
      <c r="Z1610" s="18">
        <f t="shared" ref="Z1610:Z1673" si="489">IF(X1610="","",X1610*MAX(O1610,N1610))</f>
        <v>677000</v>
      </c>
      <c r="AA1610" s="13">
        <v>1.155</v>
      </c>
      <c r="AB1610" s="21">
        <f t="shared" si="474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75"/>
        <v>44078731.611185849</v>
      </c>
      <c r="AJ1610" s="19">
        <f t="shared" si="476"/>
        <v>5508173.2163771465</v>
      </c>
      <c r="AK1610" s="20">
        <f t="shared" si="483"/>
        <v>0.12496215328889679</v>
      </c>
      <c r="AL1610" s="17"/>
      <c r="AM1610" s="17"/>
      <c r="AN1610" s="17"/>
      <c r="AO1610" s="17"/>
      <c r="AP1610" s="28" t="str">
        <f t="shared" si="484"/>
        <v>202011</v>
      </c>
      <c r="AQ1610" s="28" t="str">
        <f t="shared" si="485"/>
        <v>202011RMB</v>
      </c>
      <c r="AR1610" s="206" t="str">
        <f t="shared" si="486"/>
        <v>YAMAHA_Mounter</v>
      </c>
      <c r="AS1610" s="22">
        <f t="shared" si="487"/>
        <v>2</v>
      </c>
      <c r="AT1610" s="24" t="str">
        <f t="shared" si="488"/>
        <v>0-3 months</v>
      </c>
      <c r="AU1610" s="22" t="s">
        <v>3240</v>
      </c>
    </row>
    <row r="1611" spans="1:47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3121</v>
      </c>
      <c r="K1611" s="155" t="s">
        <v>193</v>
      </c>
      <c r="L1611" s="17" t="s">
        <v>2620</v>
      </c>
      <c r="M1611" s="13" t="s">
        <v>60</v>
      </c>
      <c r="N1611" s="13">
        <v>1</v>
      </c>
      <c r="O1611" s="13"/>
      <c r="P1611" s="33" t="str">
        <f t="shared" si="480"/>
        <v>MAIN UNIT</v>
      </c>
      <c r="Q1611" s="13" t="s">
        <v>61</v>
      </c>
      <c r="R1611" s="13" t="s">
        <v>2055</v>
      </c>
      <c r="S1611" s="13" t="s">
        <v>50</v>
      </c>
      <c r="T1611" s="13" t="s">
        <v>194</v>
      </c>
      <c r="U1611" s="13" t="s">
        <v>70</v>
      </c>
      <c r="V1611" s="13" t="s">
        <v>94</v>
      </c>
      <c r="W1611" s="13" t="s">
        <v>64</v>
      </c>
      <c r="X1611" s="135">
        <v>350000</v>
      </c>
      <c r="Y1611" s="157" t="str">
        <f>IF(W1611="","",IF(W1611="RMB","1.13", "1"))</f>
        <v>1.13</v>
      </c>
      <c r="Z1611" s="18">
        <f t="shared" si="489"/>
        <v>350000</v>
      </c>
      <c r="AA1611" s="13">
        <v>1.0900000000000001</v>
      </c>
      <c r="AB1611" s="21">
        <f t="shared" si="474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75"/>
        <v>10524262.405309737</v>
      </c>
      <c r="AJ1611" s="19">
        <f t="shared" si="476"/>
        <v>1479050.9527127435</v>
      </c>
      <c r="AK1611" s="20">
        <f t="shared" si="483"/>
        <v>0.14053725532028996</v>
      </c>
      <c r="AL1611" s="17"/>
      <c r="AM1611" s="17"/>
      <c r="AN1611" s="17"/>
      <c r="AO1611" s="17"/>
      <c r="AP1611" s="28" t="str">
        <f t="shared" si="484"/>
        <v>20242</v>
      </c>
      <c r="AQ1611" s="28" t="str">
        <f t="shared" si="485"/>
        <v>20242RMB</v>
      </c>
      <c r="AR1611" s="206" t="str">
        <f t="shared" si="486"/>
        <v>YAMAHA_Non_Mounter</v>
      </c>
      <c r="AS1611" s="22">
        <f t="shared" si="487"/>
        <v>3</v>
      </c>
      <c r="AT1611" s="24" t="str">
        <f t="shared" si="488"/>
        <v>0-3 months</v>
      </c>
      <c r="AU1611" s="22" t="s">
        <v>3240</v>
      </c>
    </row>
    <row r="1612" spans="1:47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3340</v>
      </c>
      <c r="K1612" s="29" t="s">
        <v>3341</v>
      </c>
      <c r="L1612" s="17" t="s">
        <v>92</v>
      </c>
      <c r="M1612" s="22" t="s">
        <v>60</v>
      </c>
      <c r="N1612" s="22">
        <v>1</v>
      </c>
      <c r="O1612" s="22"/>
      <c r="P1612" s="33" t="str">
        <f t="shared" si="480"/>
        <v>MAIN UNIT</v>
      </c>
      <c r="Q1612" s="13" t="s">
        <v>61</v>
      </c>
      <c r="R1612" s="22" t="s">
        <v>62</v>
      </c>
      <c r="S1612" s="22" t="s">
        <v>49</v>
      </c>
      <c r="T1612" s="22" t="s">
        <v>78</v>
      </c>
      <c r="U1612" s="22" t="s">
        <v>78</v>
      </c>
      <c r="V1612" s="22" t="s">
        <v>112</v>
      </c>
      <c r="W1612" s="22" t="s">
        <v>109</v>
      </c>
      <c r="X1612" s="226">
        <v>11000000</v>
      </c>
      <c r="Y1612" s="31" t="str">
        <f>IF(W1612="","",IF(W1612="RMB","1.13", "1"))</f>
        <v>1</v>
      </c>
      <c r="Z1612" s="18">
        <f t="shared" si="489"/>
        <v>11000000</v>
      </c>
      <c r="AA1612" s="13">
        <v>5.0999999999999997E-2</v>
      </c>
      <c r="AB1612" s="21">
        <f t="shared" si="474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75"/>
        <v>27308925.887079656</v>
      </c>
      <c r="AJ1612" s="27">
        <f t="shared" si="476"/>
        <v>3319273.860338124</v>
      </c>
      <c r="AK1612" s="28">
        <f t="shared" si="483"/>
        <v>0.12154538314919709</v>
      </c>
      <c r="AL1612" s="24"/>
      <c r="AM1612" s="24"/>
      <c r="AN1612" s="24"/>
      <c r="AO1612" s="24"/>
      <c r="AP1612" s="28" t="str">
        <f t="shared" si="484"/>
        <v>20246</v>
      </c>
      <c r="AQ1612" s="28" t="str">
        <f t="shared" si="485"/>
        <v>20246JPY</v>
      </c>
      <c r="AR1612" s="206" t="str">
        <f t="shared" si="486"/>
        <v>YAMAHA_Mounter</v>
      </c>
      <c r="AS1612" s="22">
        <f t="shared" si="487"/>
        <v>3</v>
      </c>
      <c r="AT1612" s="24" t="str">
        <f t="shared" si="488"/>
        <v>0-3 months</v>
      </c>
      <c r="AU1612" s="22" t="s">
        <v>3745</v>
      </c>
    </row>
    <row r="1613" spans="1:47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3340</v>
      </c>
      <c r="K1613" s="29" t="s">
        <v>3341</v>
      </c>
      <c r="L1613" s="17" t="s">
        <v>67</v>
      </c>
      <c r="M1613" s="22" t="s">
        <v>60</v>
      </c>
      <c r="N1613" s="22">
        <v>1</v>
      </c>
      <c r="O1613" s="22"/>
      <c r="P1613" s="33" t="str">
        <f t="shared" si="480"/>
        <v>MAIN UNIT</v>
      </c>
      <c r="Q1613" s="13" t="s">
        <v>61</v>
      </c>
      <c r="R1613" s="22" t="s">
        <v>62</v>
      </c>
      <c r="S1613" s="22" t="s">
        <v>49</v>
      </c>
      <c r="T1613" s="22" t="s">
        <v>78</v>
      </c>
      <c r="U1613" s="22" t="s">
        <v>78</v>
      </c>
      <c r="V1613" s="22" t="s">
        <v>112</v>
      </c>
      <c r="W1613" s="22" t="s">
        <v>109</v>
      </c>
      <c r="X1613" s="30">
        <v>9652900</v>
      </c>
      <c r="Y1613" s="31" t="str">
        <f>IF(W1613="","",IF(W1613="RMB","1.13", "1"))</f>
        <v>1</v>
      </c>
      <c r="Z1613" s="18">
        <f t="shared" si="489"/>
        <v>9652900</v>
      </c>
      <c r="AA1613" s="13">
        <v>5.0999999999999997E-2</v>
      </c>
      <c r="AB1613" s="21">
        <f t="shared" si="474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75"/>
        <v>27308925.887079656</v>
      </c>
      <c r="AJ1613" s="27">
        <f t="shared" si="476"/>
        <v>3319273.860338124</v>
      </c>
      <c r="AK1613" s="28">
        <f t="shared" si="483"/>
        <v>0.12154538314919709</v>
      </c>
      <c r="AL1613" s="24"/>
      <c r="AM1613" s="24"/>
      <c r="AN1613" s="24"/>
      <c r="AO1613" s="24"/>
      <c r="AP1613" s="28" t="str">
        <f t="shared" si="484"/>
        <v>20246</v>
      </c>
      <c r="AQ1613" s="28" t="str">
        <f t="shared" si="485"/>
        <v>20246JPY</v>
      </c>
      <c r="AR1613" s="206" t="str">
        <f t="shared" si="486"/>
        <v>YAMAHA_Mounter</v>
      </c>
      <c r="AS1613" s="22">
        <f t="shared" si="487"/>
        <v>3</v>
      </c>
      <c r="AT1613" s="24" t="str">
        <f t="shared" si="488"/>
        <v>0-3 months</v>
      </c>
      <c r="AU1613" s="22" t="s">
        <v>3745</v>
      </c>
    </row>
    <row r="1614" spans="1:47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54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2277</v>
      </c>
      <c r="K1614" s="155" t="s">
        <v>2278</v>
      </c>
      <c r="L1614" s="17" t="s">
        <v>67</v>
      </c>
      <c r="M1614" s="13" t="s">
        <v>60</v>
      </c>
      <c r="N1614" s="13">
        <v>1</v>
      </c>
      <c r="O1614" s="13"/>
      <c r="P1614" s="33" t="str">
        <f t="shared" si="480"/>
        <v>MAIN UNIT</v>
      </c>
      <c r="Q1614" s="13" t="s">
        <v>68</v>
      </c>
      <c r="R1614" s="13" t="s">
        <v>62</v>
      </c>
      <c r="S1614" s="13" t="s">
        <v>50</v>
      </c>
      <c r="T1614" s="13" t="s">
        <v>194</v>
      </c>
      <c r="U1614" s="13" t="s">
        <v>70</v>
      </c>
      <c r="V1614" s="13" t="s">
        <v>1010</v>
      </c>
      <c r="W1614" s="13" t="s">
        <v>64</v>
      </c>
      <c r="X1614" s="135">
        <v>560000</v>
      </c>
      <c r="Y1614" s="157" t="str">
        <f>IF(W1614="RMB","1.13", "1")</f>
        <v>1.13</v>
      </c>
      <c r="Z1614" s="18">
        <f t="shared" si="489"/>
        <v>560000</v>
      </c>
      <c r="AA1614" s="13">
        <v>1.135</v>
      </c>
      <c r="AB1614" s="21">
        <f t="shared" si="474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75"/>
        <v>15948576.102654871</v>
      </c>
      <c r="AJ1614" s="19">
        <f t="shared" si="476"/>
        <v>2739848.7004853105</v>
      </c>
      <c r="AK1614" s="20">
        <f t="shared" si="483"/>
        <v>0.17179268436567344</v>
      </c>
      <c r="AL1614" s="17"/>
      <c r="AM1614" s="17"/>
      <c r="AN1614" s="17"/>
      <c r="AO1614" s="17"/>
      <c r="AP1614" s="28" t="str">
        <f t="shared" si="484"/>
        <v>20229</v>
      </c>
      <c r="AQ1614" s="28" t="str">
        <f t="shared" si="485"/>
        <v>20229RMB</v>
      </c>
      <c r="AR1614" s="206" t="str">
        <f t="shared" si="486"/>
        <v>YAMAHA_Mounter</v>
      </c>
      <c r="AS1614" s="22">
        <f t="shared" si="487"/>
        <v>1</v>
      </c>
      <c r="AT1614" s="24" t="str">
        <f t="shared" si="488"/>
        <v>0-3 months</v>
      </c>
      <c r="AU1614" s="22" t="s">
        <v>3240</v>
      </c>
    </row>
    <row r="1615" spans="1:47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41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2813</v>
      </c>
      <c r="K1615" s="155" t="s">
        <v>2814</v>
      </c>
      <c r="L1615" s="17" t="s">
        <v>2788</v>
      </c>
      <c r="M1615" s="13" t="s">
        <v>2607</v>
      </c>
      <c r="N1615" s="13">
        <v>2</v>
      </c>
      <c r="O1615" s="13"/>
      <c r="P1615" s="33" t="str">
        <f t="shared" si="480"/>
        <v>MAIN UNIT</v>
      </c>
      <c r="Q1615" s="13" t="s">
        <v>61</v>
      </c>
      <c r="R1615" s="13" t="s">
        <v>2055</v>
      </c>
      <c r="S1615" s="13" t="s">
        <v>50</v>
      </c>
      <c r="T1615" s="13" t="s">
        <v>194</v>
      </c>
      <c r="U1615" s="13" t="s">
        <v>70</v>
      </c>
      <c r="V1615" s="13" t="s">
        <v>94</v>
      </c>
      <c r="W1615" s="13" t="s">
        <v>64</v>
      </c>
      <c r="X1615" s="135">
        <v>285000</v>
      </c>
      <c r="Y1615" s="156">
        <v>1.17</v>
      </c>
      <c r="Z1615" s="18">
        <f t="shared" si="489"/>
        <v>570000</v>
      </c>
      <c r="AA1615" s="13">
        <v>1.23</v>
      </c>
      <c r="AB1615" s="21">
        <f t="shared" si="474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75"/>
        <v>29288201.603076916</v>
      </c>
      <c r="AJ1615" s="19">
        <f t="shared" si="476"/>
        <v>3870159.1769246152</v>
      </c>
      <c r="AK1615" s="20">
        <f t="shared" si="483"/>
        <v>0.13214055370740244</v>
      </c>
      <c r="AL1615" s="17"/>
      <c r="AM1615" s="17"/>
      <c r="AN1615" s="17"/>
      <c r="AO1615" s="17"/>
      <c r="AP1615" s="28" t="str">
        <f t="shared" si="484"/>
        <v>20184</v>
      </c>
      <c r="AQ1615" s="28" t="str">
        <f t="shared" si="485"/>
        <v>20184RMB</v>
      </c>
      <c r="AR1615" s="206" t="str">
        <f t="shared" si="486"/>
        <v>HELLER</v>
      </c>
      <c r="AS1615" s="22">
        <f t="shared" si="487"/>
        <v>1</v>
      </c>
      <c r="AT1615" s="24" t="str">
        <f t="shared" si="488"/>
        <v>0-3 months</v>
      </c>
      <c r="AU1615" s="22" t="s">
        <v>3240</v>
      </c>
    </row>
    <row r="1616" spans="1:47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48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2939</v>
      </c>
      <c r="K1616" s="155" t="s">
        <v>2814</v>
      </c>
      <c r="L1616" s="17" t="s">
        <v>2940</v>
      </c>
      <c r="M1616" s="13" t="s">
        <v>2607</v>
      </c>
      <c r="N1616" s="13">
        <v>1</v>
      </c>
      <c r="O1616" s="13"/>
      <c r="P1616" s="33" t="str">
        <f t="shared" si="480"/>
        <v>MAIN UNIT</v>
      </c>
      <c r="Q1616" s="13" t="s">
        <v>61</v>
      </c>
      <c r="R1616" s="13" t="s">
        <v>2055</v>
      </c>
      <c r="S1616" s="13" t="s">
        <v>50</v>
      </c>
      <c r="T1616" s="13" t="s">
        <v>194</v>
      </c>
      <c r="U1616" s="13" t="s">
        <v>70</v>
      </c>
      <c r="V1616" s="13" t="s">
        <v>94</v>
      </c>
      <c r="W1616" s="13" t="s">
        <v>64</v>
      </c>
      <c r="X1616" s="135">
        <v>380000</v>
      </c>
      <c r="Y1616" s="157" t="str">
        <f>IF(W1616="RMB","1.13", "1")</f>
        <v>1.13</v>
      </c>
      <c r="Z1616" s="18">
        <f t="shared" si="489"/>
        <v>380000</v>
      </c>
      <c r="AA1616" s="13">
        <v>1.175</v>
      </c>
      <c r="AB1616" s="21">
        <f t="shared" si="474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75"/>
        <v>48763143.537654862</v>
      </c>
      <c r="AJ1616" s="19">
        <f t="shared" si="476"/>
        <v>5924029.9702154724</v>
      </c>
      <c r="AK1616" s="20">
        <f t="shared" si="483"/>
        <v>0.1214858095774925</v>
      </c>
      <c r="AL1616" s="17"/>
      <c r="AM1616" s="17"/>
      <c r="AN1616" s="17"/>
      <c r="AO1616" s="17"/>
      <c r="AP1616" s="28" t="str">
        <f t="shared" si="484"/>
        <v>202012</v>
      </c>
      <c r="AQ1616" s="28" t="str">
        <f t="shared" si="485"/>
        <v>202012RMB</v>
      </c>
      <c r="AR1616" s="206" t="str">
        <f t="shared" si="486"/>
        <v>HELLER</v>
      </c>
      <c r="AS1616" s="22">
        <f t="shared" si="487"/>
        <v>2</v>
      </c>
      <c r="AT1616" s="24" t="str">
        <f t="shared" si="488"/>
        <v>0-3 months</v>
      </c>
      <c r="AU1616" s="22" t="s">
        <v>3240</v>
      </c>
    </row>
    <row r="1617" spans="1:47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53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2958</v>
      </c>
      <c r="K1617" s="155" t="s">
        <v>2814</v>
      </c>
      <c r="L1617" s="17" t="s">
        <v>2788</v>
      </c>
      <c r="M1617" s="13" t="s">
        <v>2607</v>
      </c>
      <c r="N1617" s="13">
        <v>1</v>
      </c>
      <c r="O1617" s="13"/>
      <c r="P1617" s="33" t="str">
        <f t="shared" si="480"/>
        <v>MAIN UNIT</v>
      </c>
      <c r="Q1617" s="13" t="s">
        <v>61</v>
      </c>
      <c r="R1617" s="13" t="s">
        <v>2055</v>
      </c>
      <c r="S1617" s="13" t="s">
        <v>50</v>
      </c>
      <c r="T1617" s="13" t="s">
        <v>194</v>
      </c>
      <c r="U1617" s="13" t="s">
        <v>70</v>
      </c>
      <c r="V1617" s="13" t="s">
        <v>94</v>
      </c>
      <c r="W1617" s="13" t="s">
        <v>64</v>
      </c>
      <c r="X1617" s="135">
        <v>380000</v>
      </c>
      <c r="Y1617" s="157" t="str">
        <f>IF(W1617="RMB","1.13", "1")</f>
        <v>1.13</v>
      </c>
      <c r="Z1617" s="18">
        <f t="shared" si="489"/>
        <v>380000</v>
      </c>
      <c r="AA1617" s="13">
        <v>1.2</v>
      </c>
      <c r="AB1617" s="21">
        <f t="shared" si="474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75"/>
        <v>47458373.787610628</v>
      </c>
      <c r="AJ1617" s="19">
        <f t="shared" si="476"/>
        <v>7436880.1411522133</v>
      </c>
      <c r="AK1617" s="20">
        <f t="shared" si="483"/>
        <v>0.15670322321692506</v>
      </c>
      <c r="AL1617" s="17"/>
      <c r="AM1617" s="17"/>
      <c r="AN1617" s="17"/>
      <c r="AO1617" s="17"/>
      <c r="AP1617" s="28" t="str">
        <f t="shared" si="484"/>
        <v>20218</v>
      </c>
      <c r="AQ1617" s="28" t="str">
        <f t="shared" si="485"/>
        <v>20218RMB</v>
      </c>
      <c r="AR1617" s="206" t="str">
        <f t="shared" si="486"/>
        <v>HELLER</v>
      </c>
      <c r="AS1617" s="22">
        <f t="shared" si="487"/>
        <v>3</v>
      </c>
      <c r="AT1617" s="24" t="str">
        <f t="shared" si="488"/>
        <v>0-3 months</v>
      </c>
      <c r="AU1617" s="22" t="s">
        <v>3240</v>
      </c>
    </row>
    <row r="1618" spans="1:47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54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2272</v>
      </c>
      <c r="K1618" s="155" t="s">
        <v>2273</v>
      </c>
      <c r="L1618" s="17" t="s">
        <v>67</v>
      </c>
      <c r="M1618" s="13" t="s">
        <v>60</v>
      </c>
      <c r="N1618" s="13">
        <v>1</v>
      </c>
      <c r="O1618" s="13"/>
      <c r="P1618" s="33" t="str">
        <f t="shared" si="480"/>
        <v>MAIN UNIT</v>
      </c>
      <c r="Q1618" s="13" t="s">
        <v>68</v>
      </c>
      <c r="R1618" s="13" t="s">
        <v>62</v>
      </c>
      <c r="S1618" s="13" t="s">
        <v>50</v>
      </c>
      <c r="T1618" s="13" t="s">
        <v>194</v>
      </c>
      <c r="U1618" s="13" t="s">
        <v>70</v>
      </c>
      <c r="V1618" s="13" t="s">
        <v>1010</v>
      </c>
      <c r="W1618" s="13" t="s">
        <v>64</v>
      </c>
      <c r="X1618" s="135">
        <v>560000</v>
      </c>
      <c r="Y1618" s="157" t="str">
        <f>IF(W1618="RMB","1.13", "1")</f>
        <v>1.13</v>
      </c>
      <c r="Z1618" s="18">
        <f t="shared" si="489"/>
        <v>560000</v>
      </c>
      <c r="AA1618" s="13">
        <v>1.135</v>
      </c>
      <c r="AB1618" s="21">
        <f t="shared" si="474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75"/>
        <v>15948576.102654871</v>
      </c>
      <c r="AJ1618" s="19">
        <f t="shared" si="476"/>
        <v>2739848.7004853105</v>
      </c>
      <c r="AK1618" s="20">
        <f t="shared" si="483"/>
        <v>0.17179268436567344</v>
      </c>
      <c r="AL1618" s="17"/>
      <c r="AM1618" s="17"/>
      <c r="AN1618" s="17"/>
      <c r="AO1618" s="17"/>
      <c r="AP1618" s="28" t="str">
        <f t="shared" si="484"/>
        <v>20229</v>
      </c>
      <c r="AQ1618" s="28" t="str">
        <f t="shared" si="485"/>
        <v>20229RMB</v>
      </c>
      <c r="AR1618" s="206" t="str">
        <f t="shared" si="486"/>
        <v>YAMAHA_Mounter</v>
      </c>
      <c r="AS1618" s="22">
        <f t="shared" si="487"/>
        <v>1</v>
      </c>
      <c r="AT1618" s="24" t="str">
        <f t="shared" si="488"/>
        <v>0-3 months</v>
      </c>
      <c r="AU1618" s="22" t="s">
        <v>3240</v>
      </c>
    </row>
    <row r="1619" spans="1:47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48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1384</v>
      </c>
      <c r="K1619" s="155" t="s">
        <v>1385</v>
      </c>
      <c r="L1619" s="17" t="s">
        <v>67</v>
      </c>
      <c r="M1619" s="13" t="s">
        <v>60</v>
      </c>
      <c r="N1619" s="13">
        <v>1</v>
      </c>
      <c r="O1619" s="13"/>
      <c r="P1619" s="33" t="str">
        <f t="shared" si="480"/>
        <v>MAIN UNIT</v>
      </c>
      <c r="Q1619" s="13" t="s">
        <v>68</v>
      </c>
      <c r="R1619" s="13" t="s">
        <v>62</v>
      </c>
      <c r="S1619" s="13" t="s">
        <v>50</v>
      </c>
      <c r="T1619" s="13" t="s">
        <v>93</v>
      </c>
      <c r="U1619" s="13" t="s">
        <v>70</v>
      </c>
      <c r="V1619" s="13" t="s">
        <v>1010</v>
      </c>
      <c r="W1619" s="13" t="s">
        <v>64</v>
      </c>
      <c r="X1619" s="135">
        <v>585000</v>
      </c>
      <c r="Y1619" s="156" t="s">
        <v>1110</v>
      </c>
      <c r="Z1619" s="18">
        <f t="shared" si="489"/>
        <v>585000</v>
      </c>
      <c r="AA1619" s="13">
        <v>1.1299999999999999</v>
      </c>
      <c r="AB1619" s="21">
        <f t="shared" si="474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75"/>
        <v>47907808.356810622</v>
      </c>
      <c r="AJ1619" s="19">
        <f t="shared" si="476"/>
        <v>6027384.8806384448</v>
      </c>
      <c r="AK1619" s="20">
        <f t="shared" si="483"/>
        <v>0.12581216063459488</v>
      </c>
      <c r="AL1619" s="17"/>
      <c r="AM1619" s="17"/>
      <c r="AN1619" s="17"/>
      <c r="AO1619" s="17"/>
      <c r="AP1619" s="28" t="str">
        <f t="shared" si="484"/>
        <v>20209</v>
      </c>
      <c r="AQ1619" s="28" t="str">
        <f t="shared" si="485"/>
        <v>20209RMB</v>
      </c>
      <c r="AR1619" s="206" t="str">
        <f t="shared" si="486"/>
        <v>YAMAHA_Mounter</v>
      </c>
      <c r="AS1619" s="22">
        <f t="shared" si="487"/>
        <v>1</v>
      </c>
      <c r="AT1619" s="24" t="str">
        <f t="shared" si="488"/>
        <v>0-3 months</v>
      </c>
      <c r="AU1619" s="22" t="s">
        <v>3240</v>
      </c>
    </row>
    <row r="1620" spans="1:47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48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1384</v>
      </c>
      <c r="K1620" s="155" t="s">
        <v>1385</v>
      </c>
      <c r="L1620" s="17" t="s">
        <v>67</v>
      </c>
      <c r="M1620" s="13" t="s">
        <v>60</v>
      </c>
      <c r="N1620" s="13">
        <v>1</v>
      </c>
      <c r="O1620" s="13"/>
      <c r="P1620" s="33" t="str">
        <f t="shared" si="480"/>
        <v>MAIN UNIT</v>
      </c>
      <c r="Q1620" s="13" t="s">
        <v>68</v>
      </c>
      <c r="R1620" s="13" t="s">
        <v>62</v>
      </c>
      <c r="S1620" s="13" t="s">
        <v>50</v>
      </c>
      <c r="T1620" s="13" t="s">
        <v>93</v>
      </c>
      <c r="U1620" s="13" t="s">
        <v>70</v>
      </c>
      <c r="V1620" s="13" t="s">
        <v>1010</v>
      </c>
      <c r="W1620" s="13" t="s">
        <v>64</v>
      </c>
      <c r="X1620" s="135">
        <v>585000</v>
      </c>
      <c r="Y1620" s="156" t="s">
        <v>1110</v>
      </c>
      <c r="Z1620" s="18">
        <f t="shared" si="489"/>
        <v>585000</v>
      </c>
      <c r="AA1620" s="13">
        <v>1.1299999999999999</v>
      </c>
      <c r="AB1620" s="21">
        <f t="shared" si="474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75"/>
        <v>47907808.356810622</v>
      </c>
      <c r="AJ1620" s="19">
        <f t="shared" si="476"/>
        <v>6027384.8806384448</v>
      </c>
      <c r="AK1620" s="20">
        <f t="shared" si="483"/>
        <v>0.12581216063459488</v>
      </c>
      <c r="AL1620" s="17"/>
      <c r="AM1620" s="17"/>
      <c r="AN1620" s="17"/>
      <c r="AO1620" s="17"/>
      <c r="AP1620" s="28" t="str">
        <f t="shared" si="484"/>
        <v>20209</v>
      </c>
      <c r="AQ1620" s="28" t="str">
        <f t="shared" si="485"/>
        <v>20209RMB</v>
      </c>
      <c r="AR1620" s="206" t="str">
        <f t="shared" si="486"/>
        <v>YAMAHA_Mounter</v>
      </c>
      <c r="AS1620" s="22">
        <f t="shared" si="487"/>
        <v>1</v>
      </c>
      <c r="AT1620" s="24" t="str">
        <f t="shared" si="488"/>
        <v>0-3 months</v>
      </c>
      <c r="AU1620" s="22" t="s">
        <v>3240</v>
      </c>
    </row>
    <row r="1621" spans="1:47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41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222</v>
      </c>
      <c r="K1621" s="155" t="s">
        <v>223</v>
      </c>
      <c r="L1621" s="17" t="s">
        <v>59</v>
      </c>
      <c r="M1621" s="13" t="s">
        <v>60</v>
      </c>
      <c r="N1621" s="13">
        <v>1</v>
      </c>
      <c r="O1621" s="13"/>
      <c r="P1621" s="33" t="str">
        <f t="shared" si="480"/>
        <v>MAIN UNIT</v>
      </c>
      <c r="Q1621" s="13" t="s">
        <v>68</v>
      </c>
      <c r="R1621" s="13" t="s">
        <v>62</v>
      </c>
      <c r="S1621" s="13" t="s">
        <v>50</v>
      </c>
      <c r="T1621" s="13" t="s">
        <v>194</v>
      </c>
      <c r="U1621" s="13" t="s">
        <v>70</v>
      </c>
      <c r="V1621" s="13" t="s">
        <v>94</v>
      </c>
      <c r="W1621" s="13" t="s">
        <v>64</v>
      </c>
      <c r="X1621" s="135">
        <v>500000</v>
      </c>
      <c r="Y1621" s="156">
        <v>1.1599999999999999</v>
      </c>
      <c r="Z1621" s="18">
        <f t="shared" si="489"/>
        <v>500000</v>
      </c>
      <c r="AA1621" s="13">
        <v>1.23</v>
      </c>
      <c r="AB1621" s="21">
        <f t="shared" si="474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75"/>
        <v>24398045.86045352</v>
      </c>
      <c r="AJ1621" s="19">
        <f t="shared" si="476"/>
        <v>3478417.4064663448</v>
      </c>
      <c r="AK1621" s="20">
        <f t="shared" si="483"/>
        <v>0.14256950849102498</v>
      </c>
      <c r="AL1621" s="17"/>
      <c r="AM1621" s="17"/>
      <c r="AN1621" s="17"/>
      <c r="AO1621" s="17" t="s">
        <v>224</v>
      </c>
      <c r="AP1621" s="28" t="str">
        <f t="shared" si="484"/>
        <v>20186</v>
      </c>
      <c r="AQ1621" s="28" t="str">
        <f t="shared" si="485"/>
        <v>20186RMB</v>
      </c>
      <c r="AR1621" s="206" t="str">
        <f t="shared" si="486"/>
        <v>YAMAHA_Mounter</v>
      </c>
      <c r="AS1621" s="22">
        <f t="shared" si="487"/>
        <v>2</v>
      </c>
      <c r="AT1621" s="24" t="str">
        <f t="shared" si="488"/>
        <v>0-3 months</v>
      </c>
      <c r="AU1621" s="22" t="s">
        <v>3240</v>
      </c>
    </row>
    <row r="1622" spans="1:47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54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2453</v>
      </c>
      <c r="K1622" s="155" t="s">
        <v>2454</v>
      </c>
      <c r="L1622" s="17" t="s">
        <v>67</v>
      </c>
      <c r="M1622" s="13" t="s">
        <v>60</v>
      </c>
      <c r="N1622" s="13">
        <v>1</v>
      </c>
      <c r="O1622" s="13"/>
      <c r="P1622" s="33" t="str">
        <f t="shared" si="480"/>
        <v>MAIN UNIT</v>
      </c>
      <c r="Q1622" s="13" t="s">
        <v>68</v>
      </c>
      <c r="R1622" s="13" t="s">
        <v>62</v>
      </c>
      <c r="S1622" s="13" t="s">
        <v>50</v>
      </c>
      <c r="T1622" s="13" t="s">
        <v>93</v>
      </c>
      <c r="U1622" s="13" t="s">
        <v>89</v>
      </c>
      <c r="V1622" s="13" t="s">
        <v>84</v>
      </c>
      <c r="W1622" s="13" t="s">
        <v>64</v>
      </c>
      <c r="X1622" s="135">
        <v>650000</v>
      </c>
      <c r="Y1622" s="157" t="str">
        <f>IF(W1622="RMB","1.13", "1")</f>
        <v>1.13</v>
      </c>
      <c r="Z1622" s="18">
        <f t="shared" si="489"/>
        <v>650000</v>
      </c>
      <c r="AA1622" s="13">
        <v>1.1299999999999999</v>
      </c>
      <c r="AB1622" s="21">
        <f t="shared" si="474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75"/>
        <v>33543315.897345133</v>
      </c>
      <c r="AJ1622" s="19">
        <f t="shared" si="476"/>
        <v>4706169.3252984071</v>
      </c>
      <c r="AK1622" s="20">
        <f t="shared" si="483"/>
        <v>0.14030125523967318</v>
      </c>
      <c r="AL1622" s="17"/>
      <c r="AM1622" s="17"/>
      <c r="AN1622" s="17"/>
      <c r="AO1622" s="17"/>
      <c r="AP1622" s="28" t="str">
        <f t="shared" si="484"/>
        <v>20233</v>
      </c>
      <c r="AQ1622" s="28" t="str">
        <f t="shared" si="485"/>
        <v>20233RMB</v>
      </c>
      <c r="AR1622" s="206" t="str">
        <f t="shared" si="486"/>
        <v>YAMAHA_Mounter</v>
      </c>
      <c r="AS1622" s="22">
        <f t="shared" si="487"/>
        <v>0</v>
      </c>
      <c r="AT1622" s="24" t="str">
        <f t="shared" si="488"/>
        <v>0-3 months</v>
      </c>
      <c r="AU1622" s="22" t="s">
        <v>3240</v>
      </c>
    </row>
    <row r="1623" spans="1:47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185</v>
      </c>
      <c r="F1623" s="13" t="s">
        <v>185</v>
      </c>
      <c r="G1623" s="152" t="s">
        <v>1616</v>
      </c>
      <c r="H1623" s="155" t="s">
        <v>1617</v>
      </c>
      <c r="I1623" s="33" t="str">
        <f t="shared" si="479"/>
        <v>Cancel</v>
      </c>
      <c r="J1623" s="186" t="s">
        <v>2093</v>
      </c>
      <c r="K1623" s="155" t="s">
        <v>2094</v>
      </c>
      <c r="L1623" s="17" t="s">
        <v>67</v>
      </c>
      <c r="M1623" s="13" t="s">
        <v>60</v>
      </c>
      <c r="N1623" s="13">
        <v>1</v>
      </c>
      <c r="O1623" s="13"/>
      <c r="P1623" s="33" t="str">
        <f t="shared" si="480"/>
        <v>MAIN UNIT</v>
      </c>
      <c r="Q1623" s="13" t="s">
        <v>68</v>
      </c>
      <c r="R1623" s="13" t="s">
        <v>62</v>
      </c>
      <c r="S1623" s="13" t="s">
        <v>49</v>
      </c>
      <c r="T1623" s="13" t="s">
        <v>78</v>
      </c>
      <c r="U1623" s="13" t="s">
        <v>79</v>
      </c>
      <c r="V1623" s="13" t="s">
        <v>121</v>
      </c>
      <c r="W1623" s="13" t="s">
        <v>109</v>
      </c>
      <c r="X1623" s="135">
        <v>9225000</v>
      </c>
      <c r="Y1623" s="157" t="str">
        <f>IF(W1623="RMB","1.13", "1")</f>
        <v>1</v>
      </c>
      <c r="Z1623" s="18">
        <f t="shared" si="489"/>
        <v>9225000</v>
      </c>
      <c r="AA1623" s="13">
        <v>6.25E-2</v>
      </c>
      <c r="AB1623" s="21">
        <f t="shared" si="474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75"/>
        <v>499582152.5142017</v>
      </c>
      <c r="AJ1623" s="19">
        <f t="shared" si="476"/>
        <v>59520528.679470733</v>
      </c>
      <c r="AK1623" s="20">
        <f t="shared" si="483"/>
        <v>0.11914062257814291</v>
      </c>
      <c r="AL1623" s="17"/>
      <c r="AM1623" s="17"/>
      <c r="AN1623" s="17"/>
      <c r="AO1623" s="17"/>
      <c r="AP1623" s="28" t="str">
        <f t="shared" si="484"/>
        <v>CancelCANCEL</v>
      </c>
      <c r="AQ1623" s="28" t="str">
        <f t="shared" si="485"/>
        <v>CancelCANCELJPY</v>
      </c>
      <c r="AR1623" s="206" t="str">
        <f t="shared" si="486"/>
        <v>YAMAHA_Mounter</v>
      </c>
      <c r="AS1623" s="22" t="str">
        <f t="shared" si="487"/>
        <v/>
      </c>
      <c r="AT1623" s="24" t="str">
        <f t="shared" si="488"/>
        <v/>
      </c>
      <c r="AU1623" s="22" t="s">
        <v>3745</v>
      </c>
    </row>
    <row r="1624" spans="1:47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185</v>
      </c>
      <c r="F1624" s="13" t="s">
        <v>185</v>
      </c>
      <c r="G1624" s="152" t="s">
        <v>1616</v>
      </c>
      <c r="H1624" s="155" t="s">
        <v>1617</v>
      </c>
      <c r="I1624" s="33" t="str">
        <f t="shared" si="479"/>
        <v>Cancel</v>
      </c>
      <c r="J1624" s="186" t="s">
        <v>2093</v>
      </c>
      <c r="K1624" s="155" t="s">
        <v>2094</v>
      </c>
      <c r="L1624" s="17" t="s">
        <v>67</v>
      </c>
      <c r="M1624" s="13" t="s">
        <v>60</v>
      </c>
      <c r="N1624" s="13">
        <v>1</v>
      </c>
      <c r="O1624" s="13"/>
      <c r="P1624" s="33" t="str">
        <f t="shared" si="480"/>
        <v>MAIN UNIT</v>
      </c>
      <c r="Q1624" s="13" t="s">
        <v>68</v>
      </c>
      <c r="R1624" s="13" t="s">
        <v>62</v>
      </c>
      <c r="S1624" s="13" t="s">
        <v>49</v>
      </c>
      <c r="T1624" s="13" t="s">
        <v>78</v>
      </c>
      <c r="U1624" s="13" t="s">
        <v>79</v>
      </c>
      <c r="V1624" s="13" t="s">
        <v>121</v>
      </c>
      <c r="W1624" s="13" t="s">
        <v>109</v>
      </c>
      <c r="X1624" s="135">
        <v>9225000</v>
      </c>
      <c r="Y1624" s="157" t="str">
        <f>IF(W1624="RMB","1.13", "1")</f>
        <v>1</v>
      </c>
      <c r="Z1624" s="18">
        <f t="shared" si="489"/>
        <v>9225000</v>
      </c>
      <c r="AA1624" s="13">
        <v>6.25E-2</v>
      </c>
      <c r="AB1624" s="21">
        <f t="shared" si="474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75"/>
        <v>499582152.5142017</v>
      </c>
      <c r="AJ1624" s="19">
        <f t="shared" si="476"/>
        <v>59520528.679470733</v>
      </c>
      <c r="AK1624" s="20">
        <f t="shared" si="483"/>
        <v>0.11914062257814291</v>
      </c>
      <c r="AL1624" s="17"/>
      <c r="AM1624" s="17"/>
      <c r="AN1624" s="17"/>
      <c r="AO1624" s="17"/>
      <c r="AP1624" s="28" t="str">
        <f t="shared" si="484"/>
        <v>CancelCANCEL</v>
      </c>
      <c r="AQ1624" s="28" t="str">
        <f t="shared" si="485"/>
        <v>CancelCANCELJPY</v>
      </c>
      <c r="AR1624" s="206" t="str">
        <f t="shared" si="486"/>
        <v>YAMAHA_Mounter</v>
      </c>
      <c r="AS1624" s="22" t="str">
        <f t="shared" si="487"/>
        <v/>
      </c>
      <c r="AT1624" s="24" t="str">
        <f t="shared" si="488"/>
        <v/>
      </c>
      <c r="AU1624" s="22" t="s">
        <v>3745</v>
      </c>
    </row>
    <row r="1625" spans="1:47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54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2182</v>
      </c>
      <c r="K1625" s="155" t="s">
        <v>2183</v>
      </c>
      <c r="L1625" s="17" t="s">
        <v>92</v>
      </c>
      <c r="M1625" s="13" t="s">
        <v>60</v>
      </c>
      <c r="N1625" s="13">
        <v>1</v>
      </c>
      <c r="O1625" s="13"/>
      <c r="P1625" s="33" t="str">
        <f t="shared" si="480"/>
        <v>MAIN UNIT</v>
      </c>
      <c r="Q1625" s="13" t="s">
        <v>61</v>
      </c>
      <c r="R1625" s="13" t="s">
        <v>2135</v>
      </c>
      <c r="S1625" s="13" t="s">
        <v>52</v>
      </c>
      <c r="T1625" s="13" t="s">
        <v>141</v>
      </c>
      <c r="U1625" s="13" t="s">
        <v>1077</v>
      </c>
      <c r="V1625" s="13" t="s">
        <v>143</v>
      </c>
      <c r="W1625" s="13" t="s">
        <v>64</v>
      </c>
      <c r="X1625" s="135">
        <v>979433</v>
      </c>
      <c r="Y1625" s="157" t="str">
        <f>IF(W1625="RMB","1.13", "1")</f>
        <v>1.13</v>
      </c>
      <c r="Z1625" s="18">
        <f t="shared" si="489"/>
        <v>979433</v>
      </c>
      <c r="AA1625" s="13">
        <v>1.175</v>
      </c>
      <c r="AB1625" s="21">
        <f t="shared" si="474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75"/>
        <v>35682787.057522126</v>
      </c>
      <c r="AJ1625" s="19">
        <f t="shared" si="476"/>
        <v>5833368.3789623892</v>
      </c>
      <c r="AK1625" s="20">
        <f t="shared" si="483"/>
        <v>0.16347849649632912</v>
      </c>
      <c r="AL1625" s="17"/>
      <c r="AM1625" s="17"/>
      <c r="AN1625" s="17"/>
      <c r="AO1625" s="17"/>
      <c r="AP1625" s="28" t="str">
        <f t="shared" si="484"/>
        <v>20226</v>
      </c>
      <c r="AQ1625" s="28" t="str">
        <f t="shared" si="485"/>
        <v>20226RMB</v>
      </c>
      <c r="AR1625" s="206" t="str">
        <f t="shared" si="486"/>
        <v>YAMAHA_Mounter</v>
      </c>
      <c r="AS1625" s="22">
        <f t="shared" si="487"/>
        <v>4</v>
      </c>
      <c r="AT1625" s="24" t="str">
        <f t="shared" si="488"/>
        <v>4-6 months</v>
      </c>
      <c r="AU1625" s="22" t="s">
        <v>3240</v>
      </c>
    </row>
    <row r="1626" spans="1:47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47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800</v>
      </c>
      <c r="K1626" s="155" t="s">
        <v>801</v>
      </c>
      <c r="L1626" s="17" t="s">
        <v>67</v>
      </c>
      <c r="M1626" s="13" t="s">
        <v>60</v>
      </c>
      <c r="N1626" s="13">
        <v>1</v>
      </c>
      <c r="O1626" s="13"/>
      <c r="P1626" s="33" t="str">
        <f t="shared" si="480"/>
        <v>MAIN UNIT</v>
      </c>
      <c r="Q1626" s="13" t="s">
        <v>61</v>
      </c>
      <c r="R1626" s="13" t="s">
        <v>62</v>
      </c>
      <c r="S1626" s="13" t="s">
        <v>52</v>
      </c>
      <c r="T1626" s="13" t="s">
        <v>141</v>
      </c>
      <c r="U1626" s="13" t="s">
        <v>142</v>
      </c>
      <c r="V1626" s="13" t="s">
        <v>143</v>
      </c>
      <c r="W1626" s="13" t="s">
        <v>64</v>
      </c>
      <c r="X1626" s="135">
        <v>752000</v>
      </c>
      <c r="Y1626" s="156">
        <v>1.1299999999999999</v>
      </c>
      <c r="Z1626" s="18">
        <f t="shared" si="489"/>
        <v>752000</v>
      </c>
      <c r="AA1626" s="13">
        <v>1.135</v>
      </c>
      <c r="AB1626" s="21">
        <f t="shared" si="474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75"/>
        <v>31296887.037898075</v>
      </c>
      <c r="AJ1626" s="19">
        <f t="shared" si="476"/>
        <v>3588873.9502021763</v>
      </c>
      <c r="AK1626" s="20">
        <f t="shared" si="483"/>
        <v>0.11467191436184473</v>
      </c>
      <c r="AL1626" s="17"/>
      <c r="AM1626" s="17"/>
      <c r="AN1626" s="17"/>
      <c r="AO1626" s="17"/>
      <c r="AP1626" s="28" t="str">
        <f t="shared" si="484"/>
        <v>20196</v>
      </c>
      <c r="AQ1626" s="28" t="str">
        <f t="shared" si="485"/>
        <v>20196RMB</v>
      </c>
      <c r="AR1626" s="206" t="str">
        <f t="shared" si="486"/>
        <v>YAMAHA_Mounter</v>
      </c>
      <c r="AS1626" s="22">
        <f t="shared" si="487"/>
        <v>2</v>
      </c>
      <c r="AT1626" s="24" t="str">
        <f t="shared" si="488"/>
        <v>0-3 months</v>
      </c>
      <c r="AU1626" s="22" t="s">
        <v>3240</v>
      </c>
    </row>
    <row r="1627" spans="1:47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54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2385</v>
      </c>
      <c r="K1627" s="155" t="s">
        <v>801</v>
      </c>
      <c r="L1627" s="17" t="s">
        <v>67</v>
      </c>
      <c r="M1627" s="13" t="s">
        <v>60</v>
      </c>
      <c r="N1627" s="13">
        <v>1</v>
      </c>
      <c r="O1627" s="13"/>
      <c r="P1627" s="33" t="str">
        <f t="shared" si="480"/>
        <v>MAIN UNIT</v>
      </c>
      <c r="Q1627" s="13" t="s">
        <v>61</v>
      </c>
      <c r="R1627" s="13" t="s">
        <v>62</v>
      </c>
      <c r="S1627" s="13" t="s">
        <v>52</v>
      </c>
      <c r="T1627" s="13" t="s">
        <v>141</v>
      </c>
      <c r="U1627" s="13" t="s">
        <v>1077</v>
      </c>
      <c r="V1627" s="13" t="s">
        <v>143</v>
      </c>
      <c r="W1627" s="13" t="s">
        <v>64</v>
      </c>
      <c r="X1627" s="135">
        <v>550000</v>
      </c>
      <c r="Y1627" s="157" t="str">
        <f t="shared" ref="Y1627:Y1632" si="490">IF(W1627="RMB","1.13", "1")</f>
        <v>1.13</v>
      </c>
      <c r="Z1627" s="18">
        <f t="shared" si="489"/>
        <v>550000</v>
      </c>
      <c r="AA1627" s="13">
        <v>1.08</v>
      </c>
      <c r="AB1627" s="21">
        <f t="shared" si="474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75"/>
        <v>31017966.201968137</v>
      </c>
      <c r="AJ1627" s="19">
        <f t="shared" si="476"/>
        <v>4704250.3347305888</v>
      </c>
      <c r="AK1627" s="20">
        <f t="shared" si="483"/>
        <v>0.15166211427595458</v>
      </c>
      <c r="AL1627" s="17"/>
      <c r="AM1627" s="17"/>
      <c r="AN1627" s="17"/>
      <c r="AO1627" s="17"/>
      <c r="AP1627" s="28" t="str">
        <f t="shared" si="484"/>
        <v>202211</v>
      </c>
      <c r="AQ1627" s="28" t="str">
        <f t="shared" si="485"/>
        <v>202211RMB</v>
      </c>
      <c r="AR1627" s="206" t="str">
        <f t="shared" si="486"/>
        <v>YAMAHA_Mounter</v>
      </c>
      <c r="AS1627" s="22">
        <f t="shared" si="487"/>
        <v>0</v>
      </c>
      <c r="AT1627" s="24" t="str">
        <f t="shared" si="488"/>
        <v>0-3 months</v>
      </c>
      <c r="AU1627" s="22" t="s">
        <v>3240</v>
      </c>
    </row>
    <row r="1628" spans="1:47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54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2151</v>
      </c>
      <c r="K1628" s="155" t="s">
        <v>2152</v>
      </c>
      <c r="L1628" s="17" t="s">
        <v>92</v>
      </c>
      <c r="M1628" s="13" t="s">
        <v>60</v>
      </c>
      <c r="N1628" s="13">
        <v>1</v>
      </c>
      <c r="O1628" s="13"/>
      <c r="P1628" s="33" t="str">
        <f t="shared" si="480"/>
        <v>MAIN UNIT</v>
      </c>
      <c r="Q1628" s="13" t="s">
        <v>68</v>
      </c>
      <c r="R1628" s="13" t="s">
        <v>2135</v>
      </c>
      <c r="S1628" s="13" t="s">
        <v>52</v>
      </c>
      <c r="T1628" s="13" t="s">
        <v>141</v>
      </c>
      <c r="U1628" s="13" t="s">
        <v>1077</v>
      </c>
      <c r="V1628" s="13" t="s">
        <v>143</v>
      </c>
      <c r="W1628" s="13" t="s">
        <v>64</v>
      </c>
      <c r="X1628" s="135">
        <v>1000000</v>
      </c>
      <c r="Y1628" s="157" t="str">
        <f t="shared" si="490"/>
        <v>1.13</v>
      </c>
      <c r="Z1628" s="18">
        <f t="shared" si="489"/>
        <v>1000000</v>
      </c>
      <c r="AA1628" s="13">
        <v>1.22</v>
      </c>
      <c r="AB1628" s="21">
        <f t="shared" si="474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75"/>
        <v>46600814.041769907</v>
      </c>
      <c r="AJ1628" s="19">
        <f t="shared" si="476"/>
        <v>5956366.3435927071</v>
      </c>
      <c r="AK1628" s="20">
        <f t="shared" si="483"/>
        <v>0.1278167874546958</v>
      </c>
      <c r="AL1628" s="17"/>
      <c r="AM1628" s="17"/>
      <c r="AN1628" s="17"/>
      <c r="AO1628" s="17"/>
      <c r="AP1628" s="28" t="str">
        <f t="shared" si="484"/>
        <v>20224</v>
      </c>
      <c r="AQ1628" s="28" t="str">
        <f t="shared" si="485"/>
        <v>20224RMB</v>
      </c>
      <c r="AR1628" s="206" t="str">
        <f t="shared" si="486"/>
        <v>YAMAHA_Mounter</v>
      </c>
      <c r="AS1628" s="22">
        <f t="shared" si="487"/>
        <v>2</v>
      </c>
      <c r="AT1628" s="24" t="str">
        <f t="shared" si="488"/>
        <v>0-3 months</v>
      </c>
      <c r="AU1628" s="22" t="s">
        <v>3240</v>
      </c>
    </row>
    <row r="1629" spans="1:47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54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2151</v>
      </c>
      <c r="K1629" s="155" t="s">
        <v>2152</v>
      </c>
      <c r="L1629" s="17" t="s">
        <v>67</v>
      </c>
      <c r="M1629" s="13" t="s">
        <v>60</v>
      </c>
      <c r="N1629" s="13">
        <v>1</v>
      </c>
      <c r="O1629" s="13"/>
      <c r="P1629" s="33" t="str">
        <f t="shared" si="480"/>
        <v>MAIN UNIT</v>
      </c>
      <c r="Q1629" s="13" t="s">
        <v>68</v>
      </c>
      <c r="R1629" s="13" t="s">
        <v>2135</v>
      </c>
      <c r="S1629" s="13" t="s">
        <v>52</v>
      </c>
      <c r="T1629" s="13" t="s">
        <v>141</v>
      </c>
      <c r="U1629" s="13" t="s">
        <v>1077</v>
      </c>
      <c r="V1629" s="13" t="s">
        <v>143</v>
      </c>
      <c r="W1629" s="13" t="s">
        <v>64</v>
      </c>
      <c r="X1629" s="135">
        <v>810000</v>
      </c>
      <c r="Y1629" s="157" t="str">
        <f t="shared" si="490"/>
        <v>1.13</v>
      </c>
      <c r="Z1629" s="18">
        <f t="shared" si="489"/>
        <v>810000</v>
      </c>
      <c r="AA1629" s="13">
        <v>1.22</v>
      </c>
      <c r="AB1629" s="21">
        <f t="shared" si="474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75"/>
        <v>46600814.041769907</v>
      </c>
      <c r="AJ1629" s="19">
        <f t="shared" si="476"/>
        <v>5956366.3435927071</v>
      </c>
      <c r="AK1629" s="20">
        <f t="shared" si="483"/>
        <v>0.1278167874546958</v>
      </c>
      <c r="AL1629" s="17"/>
      <c r="AM1629" s="17"/>
      <c r="AN1629" s="17"/>
      <c r="AO1629" s="17"/>
      <c r="AP1629" s="28" t="str">
        <f t="shared" si="484"/>
        <v>20224</v>
      </c>
      <c r="AQ1629" s="28" t="str">
        <f t="shared" si="485"/>
        <v>20224RMB</v>
      </c>
      <c r="AR1629" s="206" t="str">
        <f t="shared" si="486"/>
        <v>YAMAHA_Mounter</v>
      </c>
      <c r="AS1629" s="22">
        <f t="shared" si="487"/>
        <v>2</v>
      </c>
      <c r="AT1629" s="24" t="str">
        <f t="shared" si="488"/>
        <v>0-3 months</v>
      </c>
      <c r="AU1629" s="22" t="s">
        <v>3240</v>
      </c>
    </row>
    <row r="1630" spans="1:47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53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1674</v>
      </c>
      <c r="K1630" s="155" t="s">
        <v>1675</v>
      </c>
      <c r="L1630" s="17" t="s">
        <v>67</v>
      </c>
      <c r="M1630" s="13" t="s">
        <v>60</v>
      </c>
      <c r="N1630" s="13">
        <v>1</v>
      </c>
      <c r="O1630" s="13"/>
      <c r="P1630" s="33" t="str">
        <f t="shared" si="480"/>
        <v>MAIN UNIT</v>
      </c>
      <c r="Q1630" s="13" t="s">
        <v>68</v>
      </c>
      <c r="R1630" s="13" t="s">
        <v>62</v>
      </c>
      <c r="S1630" s="13" t="s">
        <v>49</v>
      </c>
      <c r="T1630" s="13" t="s">
        <v>78</v>
      </c>
      <c r="U1630" s="13" t="s">
        <v>79</v>
      </c>
      <c r="V1630" s="13" t="s">
        <v>112</v>
      </c>
      <c r="W1630" s="13" t="s">
        <v>109</v>
      </c>
      <c r="X1630" s="135">
        <v>8835532</v>
      </c>
      <c r="Y1630" s="157" t="str">
        <f t="shared" si="490"/>
        <v>1</v>
      </c>
      <c r="Z1630" s="18">
        <f t="shared" si="489"/>
        <v>8835532</v>
      </c>
      <c r="AA1630" s="13">
        <v>7.17E-2</v>
      </c>
      <c r="AB1630" s="21">
        <f t="shared" si="474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75"/>
        <v>43684091.636631854</v>
      </c>
      <c r="AJ1630" s="19">
        <f t="shared" si="476"/>
        <v>6483951.8242071122</v>
      </c>
      <c r="AK1630" s="20">
        <f t="shared" si="483"/>
        <v>0.14842821680123736</v>
      </c>
      <c r="AL1630" s="17"/>
      <c r="AM1630" s="17"/>
      <c r="AN1630" s="17"/>
      <c r="AO1630" s="17"/>
      <c r="AP1630" s="28" t="str">
        <f t="shared" si="484"/>
        <v>20214</v>
      </c>
      <c r="AQ1630" s="28" t="str">
        <f t="shared" si="485"/>
        <v>20214JPY</v>
      </c>
      <c r="AR1630" s="206" t="str">
        <f t="shared" si="486"/>
        <v>YAMAHA_Mounter</v>
      </c>
      <c r="AS1630" s="22">
        <f t="shared" si="487"/>
        <v>3</v>
      </c>
      <c r="AT1630" s="24" t="str">
        <f t="shared" si="488"/>
        <v>0-3 months</v>
      </c>
      <c r="AU1630" s="22" t="s">
        <v>3745</v>
      </c>
    </row>
    <row r="1631" spans="1:47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185</v>
      </c>
      <c r="F1631" s="13" t="s">
        <v>185</v>
      </c>
      <c r="G1631" s="152" t="s">
        <v>185</v>
      </c>
      <c r="H1631" s="155" t="s">
        <v>1617</v>
      </c>
      <c r="I1631" s="33" t="str">
        <f t="shared" si="479"/>
        <v>Cancel</v>
      </c>
      <c r="J1631" s="186" t="s">
        <v>2101</v>
      </c>
      <c r="K1631" s="155" t="s">
        <v>1675</v>
      </c>
      <c r="L1631" s="17" t="s">
        <v>67</v>
      </c>
      <c r="M1631" s="13" t="s">
        <v>60</v>
      </c>
      <c r="N1631" s="13">
        <v>1</v>
      </c>
      <c r="O1631" s="13"/>
      <c r="P1631" s="33" t="str">
        <f t="shared" si="480"/>
        <v>MAIN UNIT</v>
      </c>
      <c r="Q1631" s="13" t="s">
        <v>61</v>
      </c>
      <c r="R1631" s="13" t="s">
        <v>62</v>
      </c>
      <c r="S1631" s="13" t="s">
        <v>49</v>
      </c>
      <c r="T1631" s="13" t="s">
        <v>78</v>
      </c>
      <c r="U1631" s="13" t="s">
        <v>79</v>
      </c>
      <c r="V1631" s="13" t="s">
        <v>112</v>
      </c>
      <c r="W1631" s="13" t="s">
        <v>109</v>
      </c>
      <c r="X1631" s="135">
        <v>7600000</v>
      </c>
      <c r="Y1631" s="157" t="str">
        <f t="shared" si="490"/>
        <v>1</v>
      </c>
      <c r="Z1631" s="18">
        <f t="shared" si="489"/>
        <v>7600000</v>
      </c>
      <c r="AA1631" s="13">
        <v>6.25E-2</v>
      </c>
      <c r="AB1631" s="21">
        <f t="shared" si="474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75"/>
        <v>499582152.5142017</v>
      </c>
      <c r="AJ1631" s="19">
        <f t="shared" si="476"/>
        <v>59520528.679470733</v>
      </c>
      <c r="AK1631" s="20">
        <f t="shared" si="483"/>
        <v>0.11914062257814291</v>
      </c>
      <c r="AL1631" s="17"/>
      <c r="AM1631" s="17"/>
      <c r="AN1631" s="17"/>
      <c r="AO1631" s="17"/>
      <c r="AP1631" s="28" t="str">
        <f t="shared" si="484"/>
        <v>CancelCancel</v>
      </c>
      <c r="AQ1631" s="28" t="str">
        <f t="shared" si="485"/>
        <v>CancelCancelJPY</v>
      </c>
      <c r="AR1631" s="206" t="str">
        <f t="shared" si="486"/>
        <v>YAMAHA_Mounter</v>
      </c>
      <c r="AS1631" s="22" t="str">
        <f t="shared" si="487"/>
        <v/>
      </c>
      <c r="AT1631" s="24" t="str">
        <f t="shared" si="488"/>
        <v/>
      </c>
      <c r="AU1631" s="22" t="s">
        <v>3745</v>
      </c>
    </row>
    <row r="1632" spans="1:47" s="12" customFormat="1">
      <c r="A1632" s="33" t="str">
        <f t="shared" si="477"/>
        <v/>
      </c>
      <c r="B1632" s="152" t="s">
        <v>2584</v>
      </c>
      <c r="C1632" s="152" t="s">
        <v>2584</v>
      </c>
      <c r="D1632" s="33" t="b">
        <f t="shared" si="478"/>
        <v>0</v>
      </c>
      <c r="E1632" s="33" t="s">
        <v>2584</v>
      </c>
      <c r="F1632" s="152" t="s">
        <v>2584</v>
      </c>
      <c r="G1632" s="152" t="s">
        <v>2584</v>
      </c>
      <c r="H1632" s="155"/>
      <c r="I1632" s="33" t="str">
        <f t="shared" si="479"/>
        <v>TBA</v>
      </c>
      <c r="J1632" s="186" t="s">
        <v>2584</v>
      </c>
      <c r="K1632" s="155" t="s">
        <v>2600</v>
      </c>
      <c r="L1632" s="17" t="s">
        <v>67</v>
      </c>
      <c r="M1632" s="13" t="s">
        <v>60</v>
      </c>
      <c r="N1632" s="13">
        <v>1</v>
      </c>
      <c r="O1632" s="13"/>
      <c r="P1632" s="33" t="str">
        <f t="shared" si="480"/>
        <v>MAIN UNIT</v>
      </c>
      <c r="Q1632" s="13" t="s">
        <v>68</v>
      </c>
      <c r="R1632" s="13" t="s">
        <v>62</v>
      </c>
      <c r="S1632" s="13" t="s">
        <v>51</v>
      </c>
      <c r="T1632" s="13" t="s">
        <v>2601</v>
      </c>
      <c r="U1632" s="13" t="s">
        <v>149</v>
      </c>
      <c r="V1632" s="13" t="s">
        <v>134</v>
      </c>
      <c r="W1632" s="13" t="s">
        <v>64</v>
      </c>
      <c r="X1632" s="135">
        <v>500000</v>
      </c>
      <c r="Y1632" s="157" t="str">
        <f t="shared" si="490"/>
        <v>1.13</v>
      </c>
      <c r="Z1632" s="18">
        <f t="shared" si="489"/>
        <v>500000</v>
      </c>
      <c r="AA1632" s="13">
        <v>1.095</v>
      </c>
      <c r="AB1632" s="21">
        <f t="shared" si="474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75"/>
        <v>30033846.584070798</v>
      </c>
      <c r="AJ1632" s="19">
        <f t="shared" si="476"/>
        <v>3534936.4750884958</v>
      </c>
      <c r="AK1632" s="20">
        <f t="shared" si="483"/>
        <v>0.11769842618039268</v>
      </c>
      <c r="AL1632" s="17"/>
      <c r="AM1632" s="17"/>
      <c r="AN1632" s="17"/>
      <c r="AO1632" s="17"/>
      <c r="AP1632" s="28" t="str">
        <f t="shared" si="484"/>
        <v>TBATBA</v>
      </c>
      <c r="AQ1632" s="28" t="str">
        <f t="shared" si="485"/>
        <v>TBATBARMB</v>
      </c>
      <c r="AR1632" s="206" t="str">
        <f t="shared" si="486"/>
        <v>YAMAHA_Mounter</v>
      </c>
      <c r="AS1632" s="22" t="str">
        <f t="shared" si="487"/>
        <v/>
      </c>
      <c r="AT1632" s="24" t="str">
        <f t="shared" si="488"/>
        <v/>
      </c>
      <c r="AU1632" s="22" t="s">
        <v>3240</v>
      </c>
    </row>
    <row r="1633" spans="1:47" s="12" customFormat="1">
      <c r="A1633" s="33" t="str">
        <f t="shared" si="477"/>
        <v>cancel</v>
      </c>
      <c r="B1633" s="152"/>
      <c r="C1633" s="152" t="s">
        <v>185</v>
      </c>
      <c r="D1633" s="33" t="str">
        <f t="shared" si="478"/>
        <v/>
      </c>
      <c r="E1633" s="33" t="s">
        <v>185</v>
      </c>
      <c r="F1633" s="13" t="s">
        <v>185</v>
      </c>
      <c r="G1633" s="152" t="s">
        <v>185</v>
      </c>
      <c r="H1633" s="155"/>
      <c r="I1633" s="33" t="str">
        <f t="shared" si="479"/>
        <v>Cancel</v>
      </c>
      <c r="J1633" s="186" t="s">
        <v>2725</v>
      </c>
      <c r="K1633" s="155" t="s">
        <v>2726</v>
      </c>
      <c r="L1633" s="17" t="s">
        <v>92</v>
      </c>
      <c r="M1633" s="13" t="s">
        <v>60</v>
      </c>
      <c r="N1633" s="13">
        <v>1</v>
      </c>
      <c r="O1633" s="13"/>
      <c r="P1633" s="33" t="str">
        <f t="shared" si="480"/>
        <v>MAIN UNIT</v>
      </c>
      <c r="Q1633" s="13" t="s">
        <v>68</v>
      </c>
      <c r="R1633" s="13" t="s">
        <v>62</v>
      </c>
      <c r="S1633" s="13" t="s">
        <v>51</v>
      </c>
      <c r="T1633" s="13" t="s">
        <v>2601</v>
      </c>
      <c r="U1633" s="13" t="s">
        <v>149</v>
      </c>
      <c r="V1633" s="13" t="s">
        <v>564</v>
      </c>
      <c r="W1633" s="13" t="s">
        <v>64</v>
      </c>
      <c r="X1633" s="135">
        <v>1000000</v>
      </c>
      <c r="Y1633" s="156">
        <v>1.1299999999999999</v>
      </c>
      <c r="Z1633" s="18">
        <f t="shared" si="489"/>
        <v>1000000</v>
      </c>
      <c r="AA1633" s="13">
        <v>1.1299999999999999</v>
      </c>
      <c r="AB1633" s="21">
        <f t="shared" si="474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75"/>
        <v>499582152.5142017</v>
      </c>
      <c r="AJ1633" s="19">
        <f t="shared" si="476"/>
        <v>59520528.679470733</v>
      </c>
      <c r="AK1633" s="20">
        <f t="shared" si="483"/>
        <v>0.11914062257814291</v>
      </c>
      <c r="AL1633" s="17"/>
      <c r="AM1633" s="17"/>
      <c r="AN1633" s="17"/>
      <c r="AO1633" s="17"/>
      <c r="AP1633" s="28" t="str">
        <f t="shared" si="484"/>
        <v>CancelCancel</v>
      </c>
      <c r="AQ1633" s="28" t="str">
        <f t="shared" si="485"/>
        <v>CancelCancelRMB</v>
      </c>
      <c r="AR1633" s="206" t="str">
        <f t="shared" si="486"/>
        <v>YAMAHA_Mounter</v>
      </c>
      <c r="AS1633" s="22" t="str">
        <f t="shared" si="487"/>
        <v/>
      </c>
      <c r="AT1633" s="24" t="str">
        <f t="shared" si="488"/>
        <v/>
      </c>
      <c r="AU1633" s="22" t="s">
        <v>3240</v>
      </c>
    </row>
    <row r="1634" spans="1:47" s="12" customFormat="1">
      <c r="A1634" s="33" t="str">
        <f t="shared" si="477"/>
        <v>cancel</v>
      </c>
      <c r="B1634" s="152"/>
      <c r="C1634" s="152" t="s">
        <v>185</v>
      </c>
      <c r="D1634" s="33" t="str">
        <f t="shared" si="478"/>
        <v/>
      </c>
      <c r="E1634" s="33" t="s">
        <v>185</v>
      </c>
      <c r="F1634" s="13" t="s">
        <v>185</v>
      </c>
      <c r="G1634" s="152" t="s">
        <v>185</v>
      </c>
      <c r="H1634" s="155"/>
      <c r="I1634" s="33" t="str">
        <f t="shared" si="479"/>
        <v>Cancel</v>
      </c>
      <c r="J1634" s="186" t="s">
        <v>2725</v>
      </c>
      <c r="K1634" s="155" t="s">
        <v>2726</v>
      </c>
      <c r="L1634" s="17" t="s">
        <v>67</v>
      </c>
      <c r="M1634" s="13" t="s">
        <v>60</v>
      </c>
      <c r="N1634" s="13">
        <v>1</v>
      </c>
      <c r="O1634" s="13"/>
      <c r="P1634" s="33" t="str">
        <f t="shared" si="480"/>
        <v>MAIN UNIT</v>
      </c>
      <c r="Q1634" s="13" t="s">
        <v>68</v>
      </c>
      <c r="R1634" s="13" t="s">
        <v>62</v>
      </c>
      <c r="S1634" s="13" t="s">
        <v>51</v>
      </c>
      <c r="T1634" s="13" t="s">
        <v>2601</v>
      </c>
      <c r="U1634" s="13" t="s">
        <v>149</v>
      </c>
      <c r="V1634" s="13" t="s">
        <v>564</v>
      </c>
      <c r="W1634" s="13" t="s">
        <v>64</v>
      </c>
      <c r="X1634" s="135">
        <v>550000</v>
      </c>
      <c r="Y1634" s="156">
        <v>1.1299999999999999</v>
      </c>
      <c r="Z1634" s="18">
        <f t="shared" si="489"/>
        <v>550000</v>
      </c>
      <c r="AA1634" s="13">
        <v>1.1299999999999999</v>
      </c>
      <c r="AB1634" s="21">
        <f t="shared" si="474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75"/>
        <v>499582152.5142017</v>
      </c>
      <c r="AJ1634" s="19">
        <f t="shared" si="476"/>
        <v>59520528.679470733</v>
      </c>
      <c r="AK1634" s="20">
        <f t="shared" si="483"/>
        <v>0.11914062257814291</v>
      </c>
      <c r="AL1634" s="17"/>
      <c r="AM1634" s="17"/>
      <c r="AN1634" s="17"/>
      <c r="AO1634" s="17"/>
      <c r="AP1634" s="28" t="str">
        <f t="shared" si="484"/>
        <v>CancelCancel</v>
      </c>
      <c r="AQ1634" s="28" t="str">
        <f t="shared" si="485"/>
        <v>CancelCancelRMB</v>
      </c>
      <c r="AR1634" s="206" t="str">
        <f t="shared" si="486"/>
        <v>YAMAHA_Mounter</v>
      </c>
      <c r="AS1634" s="22" t="str">
        <f t="shared" si="487"/>
        <v/>
      </c>
      <c r="AT1634" s="24" t="str">
        <f t="shared" si="488"/>
        <v/>
      </c>
      <c r="AU1634" s="22" t="s">
        <v>3240</v>
      </c>
    </row>
    <row r="1635" spans="1:47" s="12" customFormat="1">
      <c r="A1635" s="33" t="str">
        <f t="shared" si="477"/>
        <v>cancel</v>
      </c>
      <c r="B1635" s="152"/>
      <c r="C1635" s="152" t="s">
        <v>185</v>
      </c>
      <c r="D1635" s="33" t="str">
        <f t="shared" si="478"/>
        <v/>
      </c>
      <c r="E1635" s="33" t="s">
        <v>185</v>
      </c>
      <c r="F1635" s="13" t="s">
        <v>185</v>
      </c>
      <c r="G1635" s="152" t="s">
        <v>185</v>
      </c>
      <c r="H1635" s="155"/>
      <c r="I1635" s="33" t="str">
        <f t="shared" si="479"/>
        <v>Cancel</v>
      </c>
      <c r="J1635" s="186" t="s">
        <v>2725</v>
      </c>
      <c r="K1635" s="155" t="s">
        <v>2726</v>
      </c>
      <c r="L1635" s="17" t="s">
        <v>67</v>
      </c>
      <c r="M1635" s="13" t="s">
        <v>60</v>
      </c>
      <c r="N1635" s="13">
        <v>1</v>
      </c>
      <c r="O1635" s="13"/>
      <c r="P1635" s="33" t="str">
        <f t="shared" si="480"/>
        <v>MAIN UNIT</v>
      </c>
      <c r="Q1635" s="13" t="s">
        <v>68</v>
      </c>
      <c r="R1635" s="13" t="s">
        <v>62</v>
      </c>
      <c r="S1635" s="13" t="s">
        <v>51</v>
      </c>
      <c r="T1635" s="13" t="s">
        <v>2601</v>
      </c>
      <c r="U1635" s="13" t="s">
        <v>149</v>
      </c>
      <c r="V1635" s="13" t="s">
        <v>564</v>
      </c>
      <c r="W1635" s="13" t="s">
        <v>64</v>
      </c>
      <c r="X1635" s="135">
        <v>588550</v>
      </c>
      <c r="Y1635" s="156">
        <v>1.1299999999999999</v>
      </c>
      <c r="Z1635" s="18">
        <f t="shared" si="489"/>
        <v>588550</v>
      </c>
      <c r="AA1635" s="13">
        <v>1.1299999999999999</v>
      </c>
      <c r="AB1635" s="21">
        <f t="shared" si="474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75"/>
        <v>499582152.5142017</v>
      </c>
      <c r="AJ1635" s="19">
        <f t="shared" si="476"/>
        <v>59520528.679470733</v>
      </c>
      <c r="AK1635" s="20">
        <f t="shared" si="483"/>
        <v>0.11914062257814291</v>
      </c>
      <c r="AL1635" s="17"/>
      <c r="AM1635" s="17"/>
      <c r="AN1635" s="17"/>
      <c r="AO1635" s="17"/>
      <c r="AP1635" s="28" t="str">
        <f t="shared" si="484"/>
        <v>CancelCancel</v>
      </c>
      <c r="AQ1635" s="28" t="str">
        <f t="shared" si="485"/>
        <v>CancelCancelRMB</v>
      </c>
      <c r="AR1635" s="206" t="str">
        <f t="shared" si="486"/>
        <v>YAMAHA_Mounter</v>
      </c>
      <c r="AS1635" s="22" t="str">
        <f t="shared" si="487"/>
        <v/>
      </c>
      <c r="AT1635" s="24" t="str">
        <f t="shared" si="488"/>
        <v/>
      </c>
      <c r="AU1635" s="22" t="s">
        <v>3240</v>
      </c>
    </row>
    <row r="1636" spans="1:47" s="12" customFormat="1">
      <c r="A1636" s="33" t="str">
        <f t="shared" si="477"/>
        <v>cancel</v>
      </c>
      <c r="B1636" s="152"/>
      <c r="C1636" s="152" t="s">
        <v>185</v>
      </c>
      <c r="D1636" s="33" t="str">
        <f t="shared" si="478"/>
        <v/>
      </c>
      <c r="E1636" s="33" t="s">
        <v>185</v>
      </c>
      <c r="F1636" s="13" t="s">
        <v>185</v>
      </c>
      <c r="G1636" s="152" t="s">
        <v>185</v>
      </c>
      <c r="H1636" s="155"/>
      <c r="I1636" s="33" t="str">
        <f t="shared" si="479"/>
        <v>Cancel</v>
      </c>
      <c r="J1636" s="186" t="s">
        <v>2725</v>
      </c>
      <c r="K1636" s="155" t="s">
        <v>2726</v>
      </c>
      <c r="L1636" s="17" t="s">
        <v>67</v>
      </c>
      <c r="M1636" s="13" t="s">
        <v>60</v>
      </c>
      <c r="N1636" s="13">
        <v>1</v>
      </c>
      <c r="O1636" s="13"/>
      <c r="P1636" s="33" t="str">
        <f t="shared" si="480"/>
        <v>MAIN UNIT</v>
      </c>
      <c r="Q1636" s="13" t="s">
        <v>68</v>
      </c>
      <c r="R1636" s="13" t="s">
        <v>62</v>
      </c>
      <c r="S1636" s="13" t="s">
        <v>51</v>
      </c>
      <c r="T1636" s="13" t="s">
        <v>2601</v>
      </c>
      <c r="U1636" s="13" t="s">
        <v>149</v>
      </c>
      <c r="V1636" s="13" t="s">
        <v>564</v>
      </c>
      <c r="W1636" s="13" t="s">
        <v>64</v>
      </c>
      <c r="X1636" s="135">
        <v>588550</v>
      </c>
      <c r="Y1636" s="156">
        <v>1.1299999999999999</v>
      </c>
      <c r="Z1636" s="18">
        <f t="shared" si="489"/>
        <v>588550</v>
      </c>
      <c r="AA1636" s="13">
        <v>1.1299999999999999</v>
      </c>
      <c r="AB1636" s="21">
        <f t="shared" si="474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75"/>
        <v>499582152.5142017</v>
      </c>
      <c r="AJ1636" s="19">
        <f t="shared" si="476"/>
        <v>59520528.679470733</v>
      </c>
      <c r="AK1636" s="20">
        <f t="shared" si="483"/>
        <v>0.11914062257814291</v>
      </c>
      <c r="AL1636" s="17"/>
      <c r="AM1636" s="17"/>
      <c r="AN1636" s="17"/>
      <c r="AO1636" s="17"/>
      <c r="AP1636" s="28" t="str">
        <f t="shared" si="484"/>
        <v>CancelCancel</v>
      </c>
      <c r="AQ1636" s="28" t="str">
        <f t="shared" si="485"/>
        <v>CancelCancelRMB</v>
      </c>
      <c r="AR1636" s="206" t="str">
        <f t="shared" si="486"/>
        <v>YAMAHA_Mounter</v>
      </c>
      <c r="AS1636" s="22" t="str">
        <f t="shared" si="487"/>
        <v/>
      </c>
      <c r="AT1636" s="24" t="str">
        <f t="shared" si="488"/>
        <v/>
      </c>
      <c r="AU1636" s="22" t="s">
        <v>3240</v>
      </c>
    </row>
    <row r="1637" spans="1:47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47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670</v>
      </c>
      <c r="K1637" s="155" t="s">
        <v>671</v>
      </c>
      <c r="L1637" s="17" t="s">
        <v>92</v>
      </c>
      <c r="M1637" s="13" t="s">
        <v>60</v>
      </c>
      <c r="N1637" s="13">
        <v>1</v>
      </c>
      <c r="O1637" s="13"/>
      <c r="P1637" s="33" t="str">
        <f t="shared" si="480"/>
        <v>MAIN UNIT</v>
      </c>
      <c r="Q1637" s="13" t="s">
        <v>68</v>
      </c>
      <c r="R1637" s="13" t="s">
        <v>62</v>
      </c>
      <c r="S1637" s="13" t="s">
        <v>49</v>
      </c>
      <c r="T1637" s="13" t="s">
        <v>120</v>
      </c>
      <c r="U1637" s="13" t="s">
        <v>79</v>
      </c>
      <c r="V1637" s="13" t="s">
        <v>672</v>
      </c>
      <c r="W1637" s="13" t="s">
        <v>64</v>
      </c>
      <c r="X1637" s="135">
        <v>820000</v>
      </c>
      <c r="Y1637" s="156">
        <v>1.1299999999999999</v>
      </c>
      <c r="Z1637" s="18">
        <f t="shared" si="489"/>
        <v>820000</v>
      </c>
      <c r="AA1637" s="13">
        <v>1.135</v>
      </c>
      <c r="AB1637" s="21">
        <f t="shared" si="474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75"/>
        <v>21386017.707964607</v>
      </c>
      <c r="AJ1637" s="19">
        <f t="shared" si="476"/>
        <v>2238764.3265707968</v>
      </c>
      <c r="AK1637" s="20">
        <f t="shared" si="483"/>
        <v>0.10468355339185161</v>
      </c>
      <c r="AL1637" s="17"/>
      <c r="AM1637" s="17"/>
      <c r="AN1637" s="17"/>
      <c r="AO1637" s="17"/>
      <c r="AP1637" s="28" t="str">
        <f t="shared" si="484"/>
        <v>20198</v>
      </c>
      <c r="AQ1637" s="28" t="str">
        <f t="shared" si="485"/>
        <v>20198RMB</v>
      </c>
      <c r="AR1637" s="206" t="str">
        <f t="shared" si="486"/>
        <v>YAMAHA_Mounter</v>
      </c>
      <c r="AS1637" s="22">
        <f t="shared" si="487"/>
        <v>0</v>
      </c>
      <c r="AT1637" s="24" t="str">
        <f t="shared" si="488"/>
        <v>0-3 months</v>
      </c>
      <c r="AU1637" s="22" t="s">
        <v>3744</v>
      </c>
    </row>
    <row r="1638" spans="1:47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48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1230</v>
      </c>
      <c r="K1638" s="155" t="s">
        <v>671</v>
      </c>
      <c r="L1638" s="17" t="s">
        <v>67</v>
      </c>
      <c r="M1638" s="13" t="s">
        <v>60</v>
      </c>
      <c r="N1638" s="13">
        <v>1</v>
      </c>
      <c r="O1638" s="13"/>
      <c r="P1638" s="33" t="str">
        <f t="shared" si="480"/>
        <v>MAIN UNIT</v>
      </c>
      <c r="Q1638" s="13" t="s">
        <v>61</v>
      </c>
      <c r="R1638" s="13" t="s">
        <v>62</v>
      </c>
      <c r="S1638" s="13" t="s">
        <v>49</v>
      </c>
      <c r="T1638" s="13" t="s">
        <v>120</v>
      </c>
      <c r="U1638" s="13" t="s">
        <v>79</v>
      </c>
      <c r="V1638" s="13" t="s">
        <v>672</v>
      </c>
      <c r="W1638" s="13" t="s">
        <v>64</v>
      </c>
      <c r="X1638" s="135">
        <v>570000</v>
      </c>
      <c r="Y1638" s="156">
        <v>1.1299999999999999</v>
      </c>
      <c r="Z1638" s="18">
        <f t="shared" si="489"/>
        <v>570000</v>
      </c>
      <c r="AA1638" s="13">
        <v>1.089</v>
      </c>
      <c r="AB1638" s="21">
        <f t="shared" si="474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75"/>
        <v>29183109.05575221</v>
      </c>
      <c r="AJ1638" s="19">
        <f t="shared" si="476"/>
        <v>3741266.5648721238</v>
      </c>
      <c r="AK1638" s="20">
        <f t="shared" si="483"/>
        <v>0.12819972531798121</v>
      </c>
      <c r="AL1638" s="17"/>
      <c r="AM1638" s="17"/>
      <c r="AN1638" s="17"/>
      <c r="AO1638" s="17"/>
      <c r="AP1638" s="28" t="str">
        <f t="shared" si="484"/>
        <v>20206</v>
      </c>
      <c r="AQ1638" s="28" t="str">
        <f t="shared" si="485"/>
        <v>20206RMB</v>
      </c>
      <c r="AR1638" s="206" t="str">
        <f t="shared" si="486"/>
        <v>YAMAHA_Mounter</v>
      </c>
      <c r="AS1638" s="22">
        <f t="shared" si="487"/>
        <v>1</v>
      </c>
      <c r="AT1638" s="24" t="str">
        <f t="shared" si="488"/>
        <v>0-3 months</v>
      </c>
      <c r="AU1638" s="22" t="s">
        <v>3744</v>
      </c>
    </row>
    <row r="1639" spans="1:47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48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1044</v>
      </c>
      <c r="K1639" s="155" t="s">
        <v>1045</v>
      </c>
      <c r="L1639" s="17" t="s">
        <v>67</v>
      </c>
      <c r="M1639" s="13" t="s">
        <v>60</v>
      </c>
      <c r="N1639" s="13">
        <v>1</v>
      </c>
      <c r="O1639" s="13"/>
      <c r="P1639" s="33" t="str">
        <f t="shared" si="480"/>
        <v>MAIN UNIT</v>
      </c>
      <c r="Q1639" s="13" t="s">
        <v>61</v>
      </c>
      <c r="R1639" s="13" t="s">
        <v>701</v>
      </c>
      <c r="S1639" s="13" t="s">
        <v>49</v>
      </c>
      <c r="T1639" s="13" t="s">
        <v>249</v>
      </c>
      <c r="U1639" s="13" t="s">
        <v>79</v>
      </c>
      <c r="V1639" s="13" t="s">
        <v>770</v>
      </c>
      <c r="W1639" s="13" t="s">
        <v>1046</v>
      </c>
      <c r="X1639" s="135">
        <v>7367500</v>
      </c>
      <c r="Y1639" s="156">
        <v>1</v>
      </c>
      <c r="Z1639" s="18">
        <f t="shared" si="489"/>
        <v>7367500</v>
      </c>
      <c r="AA1639" s="13">
        <v>7.3599999999999999E-2</v>
      </c>
      <c r="AB1639" s="21">
        <f t="shared" si="474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75"/>
        <v>33477255.428389374</v>
      </c>
      <c r="AJ1639" s="19">
        <f t="shared" si="476"/>
        <v>4578663.362915583</v>
      </c>
      <c r="AK1639" s="20">
        <f t="shared" si="483"/>
        <v>0.13676937682988152</v>
      </c>
      <c r="AL1639" s="17"/>
      <c r="AM1639" s="17"/>
      <c r="AN1639" s="17"/>
      <c r="AO1639" s="17"/>
      <c r="AP1639" s="28" t="str">
        <f t="shared" si="484"/>
        <v>20204</v>
      </c>
      <c r="AQ1639" s="28" t="str">
        <f t="shared" si="485"/>
        <v>20204JPY</v>
      </c>
      <c r="AR1639" s="206" t="str">
        <f t="shared" si="486"/>
        <v>YAMAHA_Mounter</v>
      </c>
      <c r="AS1639" s="22">
        <f t="shared" si="487"/>
        <v>1</v>
      </c>
      <c r="AT1639" s="24" t="str">
        <f t="shared" si="488"/>
        <v>0-3 months</v>
      </c>
      <c r="AU1639" s="22" t="s">
        <v>3745</v>
      </c>
    </row>
    <row r="1640" spans="1:47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48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1044</v>
      </c>
      <c r="K1640" s="155" t="s">
        <v>1045</v>
      </c>
      <c r="L1640" s="17" t="s">
        <v>67</v>
      </c>
      <c r="M1640" s="13" t="s">
        <v>60</v>
      </c>
      <c r="N1640" s="13">
        <v>1</v>
      </c>
      <c r="O1640" s="13"/>
      <c r="P1640" s="33" t="str">
        <f t="shared" si="480"/>
        <v>MAIN UNIT</v>
      </c>
      <c r="Q1640" s="13" t="s">
        <v>61</v>
      </c>
      <c r="R1640" s="13" t="s">
        <v>701</v>
      </c>
      <c r="S1640" s="13" t="s">
        <v>49</v>
      </c>
      <c r="T1640" s="13" t="s">
        <v>249</v>
      </c>
      <c r="U1640" s="13" t="s">
        <v>79</v>
      </c>
      <c r="V1640" s="13" t="s">
        <v>770</v>
      </c>
      <c r="W1640" s="13" t="s">
        <v>1046</v>
      </c>
      <c r="X1640" s="135">
        <v>7367500</v>
      </c>
      <c r="Y1640" s="156">
        <v>1</v>
      </c>
      <c r="Z1640" s="18">
        <f t="shared" si="489"/>
        <v>7367500</v>
      </c>
      <c r="AA1640" s="13">
        <v>7.3599999999999999E-2</v>
      </c>
      <c r="AB1640" s="21">
        <f t="shared" si="474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75"/>
        <v>33477255.428389374</v>
      </c>
      <c r="AJ1640" s="19">
        <f t="shared" si="476"/>
        <v>4578663.362915583</v>
      </c>
      <c r="AK1640" s="20">
        <f t="shared" si="483"/>
        <v>0.13676937682988152</v>
      </c>
      <c r="AL1640" s="17"/>
      <c r="AM1640" s="17"/>
      <c r="AN1640" s="17"/>
      <c r="AO1640" s="17"/>
      <c r="AP1640" s="28" t="str">
        <f t="shared" si="484"/>
        <v>20204</v>
      </c>
      <c r="AQ1640" s="28" t="str">
        <f t="shared" si="485"/>
        <v>20204JPY</v>
      </c>
      <c r="AR1640" s="206" t="str">
        <f t="shared" si="486"/>
        <v>YAMAHA_Mounter</v>
      </c>
      <c r="AS1640" s="22">
        <f t="shared" si="487"/>
        <v>1</v>
      </c>
      <c r="AT1640" s="24" t="str">
        <f t="shared" si="488"/>
        <v>0-3 months</v>
      </c>
      <c r="AU1640" s="22" t="s">
        <v>3745</v>
      </c>
    </row>
    <row r="1641" spans="1:47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48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1044</v>
      </c>
      <c r="K1641" s="155" t="s">
        <v>1045</v>
      </c>
      <c r="L1641" s="17" t="s">
        <v>67</v>
      </c>
      <c r="M1641" s="13" t="s">
        <v>60</v>
      </c>
      <c r="N1641" s="13">
        <v>1</v>
      </c>
      <c r="O1641" s="13"/>
      <c r="P1641" s="33" t="str">
        <f t="shared" si="480"/>
        <v>MAIN UNIT</v>
      </c>
      <c r="Q1641" s="13" t="s">
        <v>61</v>
      </c>
      <c r="R1641" s="13" t="s">
        <v>701</v>
      </c>
      <c r="S1641" s="13" t="s">
        <v>49</v>
      </c>
      <c r="T1641" s="13" t="s">
        <v>249</v>
      </c>
      <c r="U1641" s="13" t="s">
        <v>79</v>
      </c>
      <c r="V1641" s="13" t="s">
        <v>770</v>
      </c>
      <c r="W1641" s="13" t="s">
        <v>1046</v>
      </c>
      <c r="X1641" s="135">
        <v>7367500</v>
      </c>
      <c r="Y1641" s="156">
        <v>1</v>
      </c>
      <c r="Z1641" s="18">
        <f t="shared" si="489"/>
        <v>7367500</v>
      </c>
      <c r="AA1641" s="13">
        <v>7.3599999999999999E-2</v>
      </c>
      <c r="AB1641" s="21">
        <f t="shared" si="474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75"/>
        <v>33477255.428389374</v>
      </c>
      <c r="AJ1641" s="19">
        <f t="shared" si="476"/>
        <v>4578663.362915583</v>
      </c>
      <c r="AK1641" s="20">
        <f t="shared" si="483"/>
        <v>0.13676937682988152</v>
      </c>
      <c r="AL1641" s="17"/>
      <c r="AM1641" s="17"/>
      <c r="AN1641" s="17"/>
      <c r="AO1641" s="17"/>
      <c r="AP1641" s="28" t="str">
        <f t="shared" si="484"/>
        <v>20204</v>
      </c>
      <c r="AQ1641" s="28" t="str">
        <f t="shared" si="485"/>
        <v>20204JPY</v>
      </c>
      <c r="AR1641" s="206" t="str">
        <f t="shared" si="486"/>
        <v>YAMAHA_Mounter</v>
      </c>
      <c r="AS1641" s="22">
        <f t="shared" si="487"/>
        <v>1</v>
      </c>
      <c r="AT1641" s="24" t="str">
        <f t="shared" si="488"/>
        <v>0-3 months</v>
      </c>
      <c r="AU1641" s="22" t="s">
        <v>3745</v>
      </c>
    </row>
    <row r="1642" spans="1:47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48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1044</v>
      </c>
      <c r="K1642" s="155" t="s">
        <v>1045</v>
      </c>
      <c r="L1642" s="17" t="s">
        <v>67</v>
      </c>
      <c r="M1642" s="13" t="s">
        <v>60</v>
      </c>
      <c r="N1642" s="13">
        <v>1</v>
      </c>
      <c r="O1642" s="13"/>
      <c r="P1642" s="33" t="str">
        <f t="shared" si="480"/>
        <v>MAIN UNIT</v>
      </c>
      <c r="Q1642" s="13" t="s">
        <v>61</v>
      </c>
      <c r="R1642" s="13" t="s">
        <v>701</v>
      </c>
      <c r="S1642" s="13" t="s">
        <v>49</v>
      </c>
      <c r="T1642" s="13" t="s">
        <v>249</v>
      </c>
      <c r="U1642" s="13" t="s">
        <v>79</v>
      </c>
      <c r="V1642" s="13" t="s">
        <v>770</v>
      </c>
      <c r="W1642" s="13" t="s">
        <v>1046</v>
      </c>
      <c r="X1642" s="135">
        <v>7367500</v>
      </c>
      <c r="Y1642" s="156">
        <v>1</v>
      </c>
      <c r="Z1642" s="18">
        <f t="shared" si="489"/>
        <v>7367500</v>
      </c>
      <c r="AA1642" s="13">
        <v>7.3599999999999999E-2</v>
      </c>
      <c r="AB1642" s="21">
        <f t="shared" si="474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75"/>
        <v>33477255.428389374</v>
      </c>
      <c r="AJ1642" s="19">
        <f t="shared" si="476"/>
        <v>4578663.362915583</v>
      </c>
      <c r="AK1642" s="20">
        <f t="shared" si="483"/>
        <v>0.13676937682988152</v>
      </c>
      <c r="AL1642" s="17"/>
      <c r="AM1642" s="17"/>
      <c r="AN1642" s="17"/>
      <c r="AO1642" s="17"/>
      <c r="AP1642" s="28" t="str">
        <f t="shared" si="484"/>
        <v>20204</v>
      </c>
      <c r="AQ1642" s="28" t="str">
        <f t="shared" si="485"/>
        <v>20204JPY</v>
      </c>
      <c r="AR1642" s="206" t="str">
        <f t="shared" si="486"/>
        <v>YAMAHA_Mounter</v>
      </c>
      <c r="AS1642" s="22">
        <f t="shared" si="487"/>
        <v>1</v>
      </c>
      <c r="AT1642" s="24" t="str">
        <f t="shared" si="488"/>
        <v>0-3 months</v>
      </c>
      <c r="AU1642" s="22" t="s">
        <v>3745</v>
      </c>
    </row>
    <row r="1643" spans="1:47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48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1356</v>
      </c>
      <c r="K1643" s="155" t="s">
        <v>1045</v>
      </c>
      <c r="L1643" s="17" t="s">
        <v>67</v>
      </c>
      <c r="M1643" s="13" t="s">
        <v>60</v>
      </c>
      <c r="N1643" s="13">
        <v>1</v>
      </c>
      <c r="O1643" s="13"/>
      <c r="P1643" s="33" t="str">
        <f t="shared" si="480"/>
        <v>MAIN UNIT</v>
      </c>
      <c r="Q1643" s="13" t="s">
        <v>61</v>
      </c>
      <c r="R1643" s="13" t="s">
        <v>62</v>
      </c>
      <c r="S1643" s="13" t="s">
        <v>49</v>
      </c>
      <c r="T1643" s="13" t="s">
        <v>78</v>
      </c>
      <c r="U1643" s="13" t="s">
        <v>79</v>
      </c>
      <c r="V1643" s="13" t="s">
        <v>112</v>
      </c>
      <c r="W1643" s="13" t="s">
        <v>64</v>
      </c>
      <c r="X1643" s="135">
        <v>815000</v>
      </c>
      <c r="Y1643" s="156">
        <v>1.1299999999999999</v>
      </c>
      <c r="Z1643" s="18">
        <f t="shared" si="489"/>
        <v>815000</v>
      </c>
      <c r="AA1643" s="13">
        <v>1.1299999999999999</v>
      </c>
      <c r="AB1643" s="21">
        <f t="shared" si="474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75"/>
        <v>47907808.356810622</v>
      </c>
      <c r="AJ1643" s="19">
        <f t="shared" si="476"/>
        <v>6027384.8806384448</v>
      </c>
      <c r="AK1643" s="20">
        <f t="shared" si="483"/>
        <v>0.12581216063459488</v>
      </c>
      <c r="AL1643" s="17"/>
      <c r="AM1643" s="17"/>
      <c r="AN1643" s="17"/>
      <c r="AO1643" s="17"/>
      <c r="AP1643" s="28" t="str">
        <f t="shared" si="484"/>
        <v>20209</v>
      </c>
      <c r="AQ1643" s="28" t="str">
        <f t="shared" si="485"/>
        <v>20209RMB</v>
      </c>
      <c r="AR1643" s="206" t="str">
        <f t="shared" si="486"/>
        <v>YAMAHA_Mounter</v>
      </c>
      <c r="AS1643" s="22">
        <f t="shared" si="487"/>
        <v>1</v>
      </c>
      <c r="AT1643" s="24" t="str">
        <f t="shared" si="488"/>
        <v>0-3 months</v>
      </c>
      <c r="AU1643" s="22" t="s">
        <v>3744</v>
      </c>
    </row>
    <row r="1644" spans="1:47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48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1356</v>
      </c>
      <c r="K1644" s="155" t="s">
        <v>1045</v>
      </c>
      <c r="L1644" s="17" t="s">
        <v>67</v>
      </c>
      <c r="M1644" s="13" t="s">
        <v>60</v>
      </c>
      <c r="N1644" s="13">
        <v>1</v>
      </c>
      <c r="O1644" s="13"/>
      <c r="P1644" s="33" t="str">
        <f t="shared" si="480"/>
        <v>MAIN UNIT</v>
      </c>
      <c r="Q1644" s="13" t="s">
        <v>61</v>
      </c>
      <c r="R1644" s="13" t="s">
        <v>62</v>
      </c>
      <c r="S1644" s="13" t="s">
        <v>49</v>
      </c>
      <c r="T1644" s="13" t="s">
        <v>78</v>
      </c>
      <c r="U1644" s="13" t="s">
        <v>79</v>
      </c>
      <c r="V1644" s="13" t="s">
        <v>112</v>
      </c>
      <c r="W1644" s="13" t="s">
        <v>64</v>
      </c>
      <c r="X1644" s="135">
        <v>815000</v>
      </c>
      <c r="Y1644" s="156">
        <v>1.1299999999999999</v>
      </c>
      <c r="Z1644" s="18">
        <f t="shared" si="489"/>
        <v>815000</v>
      </c>
      <c r="AA1644" s="13">
        <v>1.1299999999999999</v>
      </c>
      <c r="AB1644" s="21">
        <f t="shared" si="474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75"/>
        <v>47907808.356810622</v>
      </c>
      <c r="AJ1644" s="19">
        <f t="shared" si="476"/>
        <v>6027384.8806384448</v>
      </c>
      <c r="AK1644" s="20">
        <f t="shared" si="483"/>
        <v>0.12581216063459488</v>
      </c>
      <c r="AL1644" s="17"/>
      <c r="AM1644" s="17"/>
      <c r="AN1644" s="17"/>
      <c r="AO1644" s="17"/>
      <c r="AP1644" s="28" t="str">
        <f t="shared" si="484"/>
        <v>20209</v>
      </c>
      <c r="AQ1644" s="28" t="str">
        <f t="shared" si="485"/>
        <v>20209RMB</v>
      </c>
      <c r="AR1644" s="206" t="str">
        <f t="shared" si="486"/>
        <v>YAMAHA_Mounter</v>
      </c>
      <c r="AS1644" s="22">
        <f t="shared" si="487"/>
        <v>1</v>
      </c>
      <c r="AT1644" s="24" t="str">
        <f t="shared" si="488"/>
        <v>0-3 months</v>
      </c>
      <c r="AU1644" s="22" t="s">
        <v>3744</v>
      </c>
    </row>
    <row r="1645" spans="1:47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48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1356</v>
      </c>
      <c r="K1645" s="155" t="s">
        <v>1045</v>
      </c>
      <c r="L1645" s="17" t="s">
        <v>67</v>
      </c>
      <c r="M1645" s="13" t="s">
        <v>60</v>
      </c>
      <c r="N1645" s="13">
        <v>1</v>
      </c>
      <c r="O1645" s="13"/>
      <c r="P1645" s="33" t="str">
        <f t="shared" si="480"/>
        <v>MAIN UNIT</v>
      </c>
      <c r="Q1645" s="13" t="s">
        <v>61</v>
      </c>
      <c r="R1645" s="13" t="s">
        <v>62</v>
      </c>
      <c r="S1645" s="13" t="s">
        <v>49</v>
      </c>
      <c r="T1645" s="13" t="s">
        <v>78</v>
      </c>
      <c r="U1645" s="13" t="s">
        <v>79</v>
      </c>
      <c r="V1645" s="13" t="s">
        <v>112</v>
      </c>
      <c r="W1645" s="13" t="s">
        <v>64</v>
      </c>
      <c r="X1645" s="135">
        <v>815000</v>
      </c>
      <c r="Y1645" s="156">
        <v>1.1299999999999999</v>
      </c>
      <c r="Z1645" s="18">
        <f t="shared" si="489"/>
        <v>815000</v>
      </c>
      <c r="AA1645" s="13">
        <v>1.1299999999999999</v>
      </c>
      <c r="AB1645" s="21">
        <f t="shared" si="474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75"/>
        <v>47907808.356810622</v>
      </c>
      <c r="AJ1645" s="19">
        <f t="shared" si="476"/>
        <v>6027384.8806384448</v>
      </c>
      <c r="AK1645" s="20">
        <f t="shared" si="483"/>
        <v>0.12581216063459488</v>
      </c>
      <c r="AL1645" s="17"/>
      <c r="AM1645" s="17"/>
      <c r="AN1645" s="17"/>
      <c r="AO1645" s="17"/>
      <c r="AP1645" s="28" t="str">
        <f t="shared" si="484"/>
        <v>20209</v>
      </c>
      <c r="AQ1645" s="28" t="str">
        <f t="shared" si="485"/>
        <v>20209RMB</v>
      </c>
      <c r="AR1645" s="206" t="str">
        <f t="shared" si="486"/>
        <v>YAMAHA_Mounter</v>
      </c>
      <c r="AS1645" s="22">
        <f t="shared" si="487"/>
        <v>1</v>
      </c>
      <c r="AT1645" s="24" t="str">
        <f t="shared" si="488"/>
        <v>0-3 months</v>
      </c>
      <c r="AU1645" s="22" t="s">
        <v>3744</v>
      </c>
    </row>
    <row r="1646" spans="1:47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48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1356</v>
      </c>
      <c r="K1646" s="155" t="s">
        <v>1045</v>
      </c>
      <c r="L1646" s="17" t="s">
        <v>67</v>
      </c>
      <c r="M1646" s="13" t="s">
        <v>60</v>
      </c>
      <c r="N1646" s="13">
        <v>1</v>
      </c>
      <c r="O1646" s="13"/>
      <c r="P1646" s="33" t="str">
        <f t="shared" si="480"/>
        <v>MAIN UNIT</v>
      </c>
      <c r="Q1646" s="13" t="s">
        <v>61</v>
      </c>
      <c r="R1646" s="13" t="s">
        <v>62</v>
      </c>
      <c r="S1646" s="13" t="s">
        <v>49</v>
      </c>
      <c r="T1646" s="13" t="s">
        <v>78</v>
      </c>
      <c r="U1646" s="13" t="s">
        <v>79</v>
      </c>
      <c r="V1646" s="13" t="s">
        <v>112</v>
      </c>
      <c r="W1646" s="13" t="s">
        <v>64</v>
      </c>
      <c r="X1646" s="135">
        <v>815000</v>
      </c>
      <c r="Y1646" s="156">
        <v>1.1299999999999999</v>
      </c>
      <c r="Z1646" s="18">
        <f t="shared" si="489"/>
        <v>815000</v>
      </c>
      <c r="AA1646" s="13">
        <v>1.1299999999999999</v>
      </c>
      <c r="AB1646" s="21">
        <f t="shared" si="474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75"/>
        <v>47907808.356810622</v>
      </c>
      <c r="AJ1646" s="19">
        <f t="shared" si="476"/>
        <v>6027384.8806384448</v>
      </c>
      <c r="AK1646" s="20">
        <f t="shared" si="483"/>
        <v>0.12581216063459488</v>
      </c>
      <c r="AL1646" s="17"/>
      <c r="AM1646" s="17"/>
      <c r="AN1646" s="17"/>
      <c r="AO1646" s="17"/>
      <c r="AP1646" s="28" t="str">
        <f t="shared" si="484"/>
        <v>20209</v>
      </c>
      <c r="AQ1646" s="28" t="str">
        <f t="shared" si="485"/>
        <v>20209RMB</v>
      </c>
      <c r="AR1646" s="206" t="str">
        <f t="shared" si="486"/>
        <v>YAMAHA_Mounter</v>
      </c>
      <c r="AS1646" s="22">
        <f t="shared" si="487"/>
        <v>1</v>
      </c>
      <c r="AT1646" s="24" t="str">
        <f t="shared" si="488"/>
        <v>0-3 months</v>
      </c>
      <c r="AU1646" s="22" t="s">
        <v>3744</v>
      </c>
    </row>
    <row r="1647" spans="1:47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53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1867</v>
      </c>
      <c r="K1647" s="155" t="s">
        <v>1045</v>
      </c>
      <c r="L1647" s="17" t="s">
        <v>67</v>
      </c>
      <c r="M1647" s="13" t="s">
        <v>60</v>
      </c>
      <c r="N1647" s="13">
        <v>1</v>
      </c>
      <c r="O1647" s="13"/>
      <c r="P1647" s="33" t="str">
        <f t="shared" si="480"/>
        <v>MAIN UNIT</v>
      </c>
      <c r="Q1647" s="13" t="s">
        <v>61</v>
      </c>
      <c r="R1647" s="13" t="s">
        <v>62</v>
      </c>
      <c r="S1647" s="13" t="s">
        <v>49</v>
      </c>
      <c r="T1647" s="13" t="s">
        <v>78</v>
      </c>
      <c r="U1647" s="13" t="s">
        <v>79</v>
      </c>
      <c r="V1647" s="13" t="s">
        <v>112</v>
      </c>
      <c r="W1647" s="13" t="s">
        <v>64</v>
      </c>
      <c r="X1647" s="135">
        <v>544000</v>
      </c>
      <c r="Y1647" s="157" t="str">
        <f t="shared" ref="Y1647:Y1659" si="491">IF(W1647="RMB","1.13", "1")</f>
        <v>1.13</v>
      </c>
      <c r="Z1647" s="18">
        <f t="shared" si="489"/>
        <v>544000</v>
      </c>
      <c r="AA1647" s="13">
        <v>1.2</v>
      </c>
      <c r="AB1647" s="21">
        <f t="shared" si="474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75"/>
        <v>10844605.840707963</v>
      </c>
      <c r="AJ1647" s="19">
        <f t="shared" si="476"/>
        <v>1523130.9860707966</v>
      </c>
      <c r="AK1647" s="20">
        <f t="shared" si="483"/>
        <v>0.14045056209911663</v>
      </c>
      <c r="AL1647" s="17"/>
      <c r="AM1647" s="17"/>
      <c r="AN1647" s="17"/>
      <c r="AO1647" s="17"/>
      <c r="AP1647" s="28" t="str">
        <f t="shared" si="484"/>
        <v>20219</v>
      </c>
      <c r="AQ1647" s="28" t="str">
        <f t="shared" si="485"/>
        <v>20219RMB</v>
      </c>
      <c r="AR1647" s="206" t="str">
        <f t="shared" si="486"/>
        <v>YAMAHA_Mounter</v>
      </c>
      <c r="AS1647" s="22">
        <f t="shared" si="487"/>
        <v>2</v>
      </c>
      <c r="AT1647" s="24" t="str">
        <f t="shared" si="488"/>
        <v>0-3 months</v>
      </c>
      <c r="AU1647" s="22" t="s">
        <v>3751</v>
      </c>
    </row>
    <row r="1648" spans="1:47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53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1867</v>
      </c>
      <c r="K1648" s="155" t="s">
        <v>1045</v>
      </c>
      <c r="L1648" s="17" t="s">
        <v>67</v>
      </c>
      <c r="M1648" s="13" t="s">
        <v>60</v>
      </c>
      <c r="N1648" s="13">
        <v>1</v>
      </c>
      <c r="O1648" s="13"/>
      <c r="P1648" s="33" t="str">
        <f t="shared" si="480"/>
        <v>MAIN UNIT</v>
      </c>
      <c r="Q1648" s="13" t="s">
        <v>61</v>
      </c>
      <c r="R1648" s="13" t="s">
        <v>62</v>
      </c>
      <c r="S1648" s="13" t="s">
        <v>49</v>
      </c>
      <c r="T1648" s="13" t="s">
        <v>78</v>
      </c>
      <c r="U1648" s="13" t="s">
        <v>79</v>
      </c>
      <c r="V1648" s="13" t="s">
        <v>112</v>
      </c>
      <c r="W1648" s="13" t="s">
        <v>64</v>
      </c>
      <c r="X1648" s="135">
        <v>544000</v>
      </c>
      <c r="Y1648" s="157" t="str">
        <f t="shared" si="491"/>
        <v>1.13</v>
      </c>
      <c r="Z1648" s="18">
        <f t="shared" si="489"/>
        <v>544000</v>
      </c>
      <c r="AA1648" s="13">
        <v>1.2</v>
      </c>
      <c r="AB1648" s="21">
        <f t="shared" si="474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75"/>
        <v>10844605.840707963</v>
      </c>
      <c r="AJ1648" s="19">
        <f t="shared" si="476"/>
        <v>1523130.9860707966</v>
      </c>
      <c r="AK1648" s="20">
        <f t="shared" si="483"/>
        <v>0.14045056209911663</v>
      </c>
      <c r="AL1648" s="17"/>
      <c r="AM1648" s="17"/>
      <c r="AN1648" s="17"/>
      <c r="AO1648" s="17"/>
      <c r="AP1648" s="28" t="str">
        <f t="shared" si="484"/>
        <v>20219</v>
      </c>
      <c r="AQ1648" s="28" t="str">
        <f t="shared" si="485"/>
        <v>20219RMB</v>
      </c>
      <c r="AR1648" s="206" t="str">
        <f t="shared" si="486"/>
        <v>YAMAHA_Mounter</v>
      </c>
      <c r="AS1648" s="22">
        <f t="shared" si="487"/>
        <v>2</v>
      </c>
      <c r="AT1648" s="24" t="str">
        <f t="shared" si="488"/>
        <v>0-3 months</v>
      </c>
      <c r="AU1648" s="22" t="s">
        <v>3751</v>
      </c>
    </row>
    <row r="1649" spans="1:47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53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1867</v>
      </c>
      <c r="K1649" s="155" t="s">
        <v>1045</v>
      </c>
      <c r="L1649" s="17" t="s">
        <v>67</v>
      </c>
      <c r="M1649" s="13" t="s">
        <v>60</v>
      </c>
      <c r="N1649" s="13">
        <v>1</v>
      </c>
      <c r="O1649" s="13"/>
      <c r="P1649" s="33" t="str">
        <f t="shared" si="480"/>
        <v>MAIN UNIT</v>
      </c>
      <c r="Q1649" s="13" t="s">
        <v>61</v>
      </c>
      <c r="R1649" s="13" t="s">
        <v>62</v>
      </c>
      <c r="S1649" s="13" t="s">
        <v>49</v>
      </c>
      <c r="T1649" s="13" t="s">
        <v>78</v>
      </c>
      <c r="U1649" s="13" t="s">
        <v>79</v>
      </c>
      <c r="V1649" s="13" t="s">
        <v>112</v>
      </c>
      <c r="W1649" s="13" t="s">
        <v>64</v>
      </c>
      <c r="X1649" s="135">
        <v>544000</v>
      </c>
      <c r="Y1649" s="157" t="str">
        <f t="shared" si="491"/>
        <v>1.13</v>
      </c>
      <c r="Z1649" s="18">
        <f t="shared" si="489"/>
        <v>544000</v>
      </c>
      <c r="AA1649" s="13">
        <v>1.2</v>
      </c>
      <c r="AB1649" s="21">
        <f t="shared" si="474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75"/>
        <v>10844605.840707963</v>
      </c>
      <c r="AJ1649" s="19">
        <f t="shared" si="476"/>
        <v>1523130.9860707966</v>
      </c>
      <c r="AK1649" s="20">
        <f t="shared" si="483"/>
        <v>0.14045056209911663</v>
      </c>
      <c r="AL1649" s="17"/>
      <c r="AM1649" s="17"/>
      <c r="AN1649" s="17"/>
      <c r="AO1649" s="17"/>
      <c r="AP1649" s="28" t="str">
        <f t="shared" si="484"/>
        <v>20219</v>
      </c>
      <c r="AQ1649" s="28" t="str">
        <f t="shared" si="485"/>
        <v>20219RMB</v>
      </c>
      <c r="AR1649" s="206" t="str">
        <f t="shared" si="486"/>
        <v>YAMAHA_Mounter</v>
      </c>
      <c r="AS1649" s="22">
        <f t="shared" si="487"/>
        <v>2</v>
      </c>
      <c r="AT1649" s="24" t="str">
        <f t="shared" si="488"/>
        <v>0-3 months</v>
      </c>
      <c r="AU1649" s="22" t="s">
        <v>3751</v>
      </c>
    </row>
    <row r="1650" spans="1:47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53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1867</v>
      </c>
      <c r="K1650" s="155" t="s">
        <v>1045</v>
      </c>
      <c r="L1650" s="17" t="s">
        <v>67</v>
      </c>
      <c r="M1650" s="13" t="s">
        <v>60</v>
      </c>
      <c r="N1650" s="13">
        <v>1</v>
      </c>
      <c r="O1650" s="13"/>
      <c r="P1650" s="33" t="str">
        <f t="shared" si="480"/>
        <v>MAIN UNIT</v>
      </c>
      <c r="Q1650" s="13" t="s">
        <v>61</v>
      </c>
      <c r="R1650" s="13" t="s">
        <v>62</v>
      </c>
      <c r="S1650" s="13" t="s">
        <v>49</v>
      </c>
      <c r="T1650" s="13" t="s">
        <v>78</v>
      </c>
      <c r="U1650" s="13" t="s">
        <v>79</v>
      </c>
      <c r="V1650" s="13" t="s">
        <v>112</v>
      </c>
      <c r="W1650" s="13" t="s">
        <v>64</v>
      </c>
      <c r="X1650" s="135">
        <v>544000</v>
      </c>
      <c r="Y1650" s="157" t="str">
        <f t="shared" si="491"/>
        <v>1.13</v>
      </c>
      <c r="Z1650" s="18">
        <f t="shared" si="489"/>
        <v>544000</v>
      </c>
      <c r="AA1650" s="13">
        <v>1.2</v>
      </c>
      <c r="AB1650" s="21">
        <f t="shared" si="474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75"/>
        <v>10844605.840707963</v>
      </c>
      <c r="AJ1650" s="19">
        <f t="shared" si="476"/>
        <v>1523130.9860707966</v>
      </c>
      <c r="AK1650" s="20">
        <f t="shared" si="483"/>
        <v>0.14045056209911663</v>
      </c>
      <c r="AL1650" s="17"/>
      <c r="AM1650" s="17"/>
      <c r="AN1650" s="17"/>
      <c r="AO1650" s="17"/>
      <c r="AP1650" s="28" t="str">
        <f t="shared" si="484"/>
        <v>20219</v>
      </c>
      <c r="AQ1650" s="28" t="str">
        <f t="shared" si="485"/>
        <v>20219RMB</v>
      </c>
      <c r="AR1650" s="206" t="str">
        <f t="shared" si="486"/>
        <v>YAMAHA_Mounter</v>
      </c>
      <c r="AS1650" s="22">
        <f t="shared" si="487"/>
        <v>2</v>
      </c>
      <c r="AT1650" s="24" t="str">
        <f t="shared" si="488"/>
        <v>0-3 months</v>
      </c>
      <c r="AU1650" s="22" t="s">
        <v>3751</v>
      </c>
    </row>
    <row r="1651" spans="1:47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54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2147</v>
      </c>
      <c r="K1651" s="155" t="s">
        <v>1045</v>
      </c>
      <c r="L1651" s="17" t="s">
        <v>67</v>
      </c>
      <c r="M1651" s="13" t="s">
        <v>60</v>
      </c>
      <c r="N1651" s="13">
        <v>1</v>
      </c>
      <c r="O1651" s="13"/>
      <c r="P1651" s="33" t="str">
        <f t="shared" si="480"/>
        <v>MAIN UNIT</v>
      </c>
      <c r="Q1651" s="13" t="s">
        <v>61</v>
      </c>
      <c r="R1651" s="13" t="s">
        <v>62</v>
      </c>
      <c r="S1651" s="13" t="s">
        <v>50</v>
      </c>
      <c r="T1651" s="13" t="s">
        <v>78</v>
      </c>
      <c r="U1651" s="13" t="s">
        <v>79</v>
      </c>
      <c r="V1651" s="13" t="s">
        <v>112</v>
      </c>
      <c r="W1651" s="13" t="s">
        <v>64</v>
      </c>
      <c r="X1651" s="135">
        <v>747200</v>
      </c>
      <c r="Y1651" s="157" t="str">
        <f t="shared" si="491"/>
        <v>1.13</v>
      </c>
      <c r="Z1651" s="18">
        <f t="shared" si="489"/>
        <v>747200</v>
      </c>
      <c r="AA1651" s="13">
        <v>1.22</v>
      </c>
      <c r="AB1651" s="21">
        <f t="shared" si="474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75"/>
        <v>46600814.041769907</v>
      </c>
      <c r="AJ1651" s="19">
        <f t="shared" si="476"/>
        <v>5956366.3435927071</v>
      </c>
      <c r="AK1651" s="20">
        <f t="shared" si="483"/>
        <v>0.1278167874546958</v>
      </c>
      <c r="AL1651" s="17"/>
      <c r="AM1651" s="17"/>
      <c r="AN1651" s="17"/>
      <c r="AO1651" s="17" t="s">
        <v>2148</v>
      </c>
      <c r="AP1651" s="28" t="str">
        <f t="shared" si="484"/>
        <v>20224</v>
      </c>
      <c r="AQ1651" s="28" t="str">
        <f t="shared" si="485"/>
        <v>20224RMB</v>
      </c>
      <c r="AR1651" s="206" t="str">
        <f t="shared" si="486"/>
        <v>YAMAHA_Mounter</v>
      </c>
      <c r="AS1651" s="22">
        <f t="shared" si="487"/>
        <v>3</v>
      </c>
      <c r="AT1651" s="24" t="str">
        <f t="shared" si="488"/>
        <v>0-3 months</v>
      </c>
      <c r="AU1651" s="22" t="s">
        <v>3751</v>
      </c>
    </row>
    <row r="1652" spans="1:47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54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2147</v>
      </c>
      <c r="K1652" s="155" t="s">
        <v>1045</v>
      </c>
      <c r="L1652" s="17" t="s">
        <v>67</v>
      </c>
      <c r="M1652" s="13" t="s">
        <v>60</v>
      </c>
      <c r="N1652" s="13">
        <v>1</v>
      </c>
      <c r="O1652" s="13"/>
      <c r="P1652" s="33" t="str">
        <f t="shared" si="480"/>
        <v>MAIN UNIT</v>
      </c>
      <c r="Q1652" s="13" t="s">
        <v>61</v>
      </c>
      <c r="R1652" s="13" t="s">
        <v>62</v>
      </c>
      <c r="S1652" s="13" t="s">
        <v>50</v>
      </c>
      <c r="T1652" s="13" t="s">
        <v>78</v>
      </c>
      <c r="U1652" s="13" t="s">
        <v>79</v>
      </c>
      <c r="V1652" s="13" t="s">
        <v>112</v>
      </c>
      <c r="W1652" s="13" t="s">
        <v>64</v>
      </c>
      <c r="X1652" s="135">
        <v>747200</v>
      </c>
      <c r="Y1652" s="157" t="str">
        <f t="shared" si="491"/>
        <v>1.13</v>
      </c>
      <c r="Z1652" s="18">
        <f t="shared" si="489"/>
        <v>747200</v>
      </c>
      <c r="AA1652" s="13">
        <v>1.22</v>
      </c>
      <c r="AB1652" s="21">
        <f t="shared" si="474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75"/>
        <v>46600814.041769907</v>
      </c>
      <c r="AJ1652" s="19">
        <f t="shared" si="476"/>
        <v>5956366.3435927071</v>
      </c>
      <c r="AK1652" s="20">
        <f t="shared" si="483"/>
        <v>0.1278167874546958</v>
      </c>
      <c r="AL1652" s="17"/>
      <c r="AM1652" s="17"/>
      <c r="AN1652" s="17"/>
      <c r="AO1652" s="17" t="s">
        <v>2148</v>
      </c>
      <c r="AP1652" s="28" t="str">
        <f t="shared" si="484"/>
        <v>20224</v>
      </c>
      <c r="AQ1652" s="28" t="str">
        <f t="shared" si="485"/>
        <v>20224RMB</v>
      </c>
      <c r="AR1652" s="206" t="str">
        <f t="shared" si="486"/>
        <v>YAMAHA_Mounter</v>
      </c>
      <c r="AS1652" s="22">
        <f t="shared" si="487"/>
        <v>3</v>
      </c>
      <c r="AT1652" s="24" t="str">
        <f t="shared" si="488"/>
        <v>0-3 months</v>
      </c>
      <c r="AU1652" s="22" t="s">
        <v>3751</v>
      </c>
    </row>
    <row r="1653" spans="1:47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54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2147</v>
      </c>
      <c r="K1653" s="155" t="s">
        <v>1045</v>
      </c>
      <c r="L1653" s="17" t="s">
        <v>67</v>
      </c>
      <c r="M1653" s="13" t="s">
        <v>60</v>
      </c>
      <c r="N1653" s="13">
        <v>1</v>
      </c>
      <c r="O1653" s="13"/>
      <c r="P1653" s="33" t="str">
        <f t="shared" si="480"/>
        <v>MAIN UNIT</v>
      </c>
      <c r="Q1653" s="13" t="s">
        <v>61</v>
      </c>
      <c r="R1653" s="13" t="s">
        <v>62</v>
      </c>
      <c r="S1653" s="13" t="s">
        <v>50</v>
      </c>
      <c r="T1653" s="13" t="s">
        <v>78</v>
      </c>
      <c r="U1653" s="13" t="s">
        <v>79</v>
      </c>
      <c r="V1653" s="13" t="s">
        <v>112</v>
      </c>
      <c r="W1653" s="13" t="s">
        <v>64</v>
      </c>
      <c r="X1653" s="135">
        <v>747200</v>
      </c>
      <c r="Y1653" s="157" t="str">
        <f t="shared" si="491"/>
        <v>1.13</v>
      </c>
      <c r="Z1653" s="18">
        <f t="shared" si="489"/>
        <v>747200</v>
      </c>
      <c r="AA1653" s="13">
        <v>1.22</v>
      </c>
      <c r="AB1653" s="21">
        <f t="shared" si="474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75"/>
        <v>46600814.041769907</v>
      </c>
      <c r="AJ1653" s="19">
        <f t="shared" si="476"/>
        <v>5956366.3435927071</v>
      </c>
      <c r="AK1653" s="20">
        <f t="shared" si="483"/>
        <v>0.1278167874546958</v>
      </c>
      <c r="AL1653" s="17"/>
      <c r="AM1653" s="17"/>
      <c r="AN1653" s="17"/>
      <c r="AO1653" s="17" t="s">
        <v>2148</v>
      </c>
      <c r="AP1653" s="28" t="str">
        <f t="shared" si="484"/>
        <v>20224</v>
      </c>
      <c r="AQ1653" s="28" t="str">
        <f t="shared" si="485"/>
        <v>20224RMB</v>
      </c>
      <c r="AR1653" s="206" t="str">
        <f t="shared" si="486"/>
        <v>YAMAHA_Mounter</v>
      </c>
      <c r="AS1653" s="22">
        <f t="shared" si="487"/>
        <v>3</v>
      </c>
      <c r="AT1653" s="24" t="str">
        <f t="shared" si="488"/>
        <v>0-3 months</v>
      </c>
      <c r="AU1653" s="22" t="s">
        <v>3751</v>
      </c>
    </row>
    <row r="1654" spans="1:47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54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2147</v>
      </c>
      <c r="K1654" s="155" t="s">
        <v>1045</v>
      </c>
      <c r="L1654" s="17" t="s">
        <v>67</v>
      </c>
      <c r="M1654" s="13" t="s">
        <v>60</v>
      </c>
      <c r="N1654" s="13">
        <v>1</v>
      </c>
      <c r="O1654" s="13"/>
      <c r="P1654" s="33" t="str">
        <f t="shared" si="480"/>
        <v>MAIN UNIT</v>
      </c>
      <c r="Q1654" s="13" t="s">
        <v>61</v>
      </c>
      <c r="R1654" s="13" t="s">
        <v>62</v>
      </c>
      <c r="S1654" s="13" t="s">
        <v>50</v>
      </c>
      <c r="T1654" s="13" t="s">
        <v>78</v>
      </c>
      <c r="U1654" s="13" t="s">
        <v>79</v>
      </c>
      <c r="V1654" s="13" t="s">
        <v>112</v>
      </c>
      <c r="W1654" s="13" t="s">
        <v>64</v>
      </c>
      <c r="X1654" s="135">
        <v>747200</v>
      </c>
      <c r="Y1654" s="157" t="str">
        <f t="shared" si="491"/>
        <v>1.13</v>
      </c>
      <c r="Z1654" s="18">
        <f t="shared" si="489"/>
        <v>747200</v>
      </c>
      <c r="AA1654" s="13">
        <v>1.22</v>
      </c>
      <c r="AB1654" s="21">
        <f t="shared" ref="AB1654:AB1717" si="492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75"/>
        <v>46600814.041769907</v>
      </c>
      <c r="AJ1654" s="19">
        <f t="shared" si="476"/>
        <v>5956366.3435927071</v>
      </c>
      <c r="AK1654" s="20">
        <f t="shared" si="483"/>
        <v>0.1278167874546958</v>
      </c>
      <c r="AL1654" s="17"/>
      <c r="AM1654" s="17"/>
      <c r="AN1654" s="17"/>
      <c r="AO1654" s="17" t="s">
        <v>2148</v>
      </c>
      <c r="AP1654" s="28" t="str">
        <f t="shared" si="484"/>
        <v>20224</v>
      </c>
      <c r="AQ1654" s="28" t="str">
        <f t="shared" si="485"/>
        <v>20224RMB</v>
      </c>
      <c r="AR1654" s="206" t="str">
        <f t="shared" si="486"/>
        <v>YAMAHA_Mounter</v>
      </c>
      <c r="AS1654" s="22">
        <f t="shared" si="487"/>
        <v>3</v>
      </c>
      <c r="AT1654" s="24" t="str">
        <f t="shared" si="488"/>
        <v>0-3 months</v>
      </c>
      <c r="AU1654" s="22" t="s">
        <v>3751</v>
      </c>
    </row>
    <row r="1655" spans="1:47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54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2147</v>
      </c>
      <c r="K1655" s="155" t="s">
        <v>1045</v>
      </c>
      <c r="L1655" s="17" t="s">
        <v>67</v>
      </c>
      <c r="M1655" s="13" t="s">
        <v>60</v>
      </c>
      <c r="N1655" s="13">
        <v>1</v>
      </c>
      <c r="O1655" s="13"/>
      <c r="P1655" s="33" t="str">
        <f t="shared" si="480"/>
        <v>MAIN UNIT</v>
      </c>
      <c r="Q1655" s="13" t="s">
        <v>61</v>
      </c>
      <c r="R1655" s="13" t="s">
        <v>62</v>
      </c>
      <c r="S1655" s="13" t="s">
        <v>50</v>
      </c>
      <c r="T1655" s="13" t="s">
        <v>78</v>
      </c>
      <c r="U1655" s="13" t="s">
        <v>79</v>
      </c>
      <c r="V1655" s="13" t="s">
        <v>112</v>
      </c>
      <c r="W1655" s="13" t="s">
        <v>64</v>
      </c>
      <c r="X1655" s="135">
        <v>747200</v>
      </c>
      <c r="Y1655" s="157" t="str">
        <f t="shared" si="491"/>
        <v>1.13</v>
      </c>
      <c r="Z1655" s="18">
        <f t="shared" si="489"/>
        <v>747200</v>
      </c>
      <c r="AA1655" s="13">
        <v>1.22</v>
      </c>
      <c r="AB1655" s="21">
        <f t="shared" si="492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75"/>
        <v>46600814.041769907</v>
      </c>
      <c r="AJ1655" s="19">
        <f t="shared" si="476"/>
        <v>5956366.3435927071</v>
      </c>
      <c r="AK1655" s="20">
        <f t="shared" si="483"/>
        <v>0.1278167874546958</v>
      </c>
      <c r="AL1655" s="17"/>
      <c r="AM1655" s="17"/>
      <c r="AN1655" s="17"/>
      <c r="AO1655" s="17" t="s">
        <v>2148</v>
      </c>
      <c r="AP1655" s="28" t="str">
        <f t="shared" si="484"/>
        <v>20224</v>
      </c>
      <c r="AQ1655" s="28" t="str">
        <f t="shared" si="485"/>
        <v>20224RMB</v>
      </c>
      <c r="AR1655" s="206" t="str">
        <f t="shared" si="486"/>
        <v>YAMAHA_Mounter</v>
      </c>
      <c r="AS1655" s="22">
        <f t="shared" si="487"/>
        <v>3</v>
      </c>
      <c r="AT1655" s="24" t="str">
        <f t="shared" si="488"/>
        <v>0-3 months</v>
      </c>
      <c r="AU1655" s="22" t="s">
        <v>3751</v>
      </c>
    </row>
    <row r="1656" spans="1:47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55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2514</v>
      </c>
      <c r="K1656" s="155" t="s">
        <v>1045</v>
      </c>
      <c r="L1656" s="17" t="s">
        <v>67</v>
      </c>
      <c r="M1656" s="13" t="s">
        <v>60</v>
      </c>
      <c r="N1656" s="13">
        <v>1</v>
      </c>
      <c r="O1656" s="13"/>
      <c r="P1656" s="33" t="str">
        <f t="shared" si="480"/>
        <v>MAIN UNIT</v>
      </c>
      <c r="Q1656" s="13" t="s">
        <v>61</v>
      </c>
      <c r="R1656" s="13" t="s">
        <v>62</v>
      </c>
      <c r="S1656" s="13" t="s">
        <v>49</v>
      </c>
      <c r="T1656" s="13" t="s">
        <v>78</v>
      </c>
      <c r="U1656" s="13" t="s">
        <v>79</v>
      </c>
      <c r="V1656" s="13" t="s">
        <v>112</v>
      </c>
      <c r="W1656" s="13" t="s">
        <v>64</v>
      </c>
      <c r="X1656" s="135">
        <v>710000</v>
      </c>
      <c r="Y1656" s="157" t="str">
        <f t="shared" si="491"/>
        <v>1.13</v>
      </c>
      <c r="Z1656" s="18">
        <f t="shared" si="489"/>
        <v>710000</v>
      </c>
      <c r="AA1656" s="13">
        <v>1.105</v>
      </c>
      <c r="AB1656" s="21">
        <f t="shared" si="492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75"/>
        <v>13640480.497522123</v>
      </c>
      <c r="AJ1656" s="19">
        <f t="shared" si="476"/>
        <v>1928605.8020906283</v>
      </c>
      <c r="AK1656" s="20">
        <f t="shared" si="483"/>
        <v>0.1413884065477731</v>
      </c>
      <c r="AL1656" s="17"/>
      <c r="AM1656" s="17"/>
      <c r="AN1656" s="17"/>
      <c r="AO1656" s="17"/>
      <c r="AP1656" s="28" t="str">
        <f t="shared" si="484"/>
        <v>20236</v>
      </c>
      <c r="AQ1656" s="28" t="str">
        <f t="shared" si="485"/>
        <v>20236RMB</v>
      </c>
      <c r="AR1656" s="206" t="str">
        <f t="shared" si="486"/>
        <v>YAMAHA_Mounter</v>
      </c>
      <c r="AS1656" s="22">
        <f t="shared" si="487"/>
        <v>4</v>
      </c>
      <c r="AT1656" s="24" t="str">
        <f t="shared" si="488"/>
        <v>4-6 months</v>
      </c>
      <c r="AU1656" s="22" t="s">
        <v>3751</v>
      </c>
    </row>
    <row r="1657" spans="1:47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53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2950</v>
      </c>
      <c r="K1657" s="155" t="s">
        <v>1045</v>
      </c>
      <c r="L1657" s="17" t="s">
        <v>2620</v>
      </c>
      <c r="M1657" s="13" t="s">
        <v>60</v>
      </c>
      <c r="N1657" s="13">
        <v>1</v>
      </c>
      <c r="O1657" s="13"/>
      <c r="P1657" s="33" t="str">
        <f t="shared" si="480"/>
        <v>MAIN UNIT</v>
      </c>
      <c r="Q1657" s="13" t="s">
        <v>61</v>
      </c>
      <c r="R1657" s="13" t="s">
        <v>2055</v>
      </c>
      <c r="S1657" s="13" t="s">
        <v>49</v>
      </c>
      <c r="T1657" s="13" t="s">
        <v>1071</v>
      </c>
      <c r="U1657" s="13" t="s">
        <v>2110</v>
      </c>
      <c r="V1657" s="13" t="s">
        <v>63</v>
      </c>
      <c r="W1657" s="13" t="s">
        <v>109</v>
      </c>
      <c r="X1657" s="135">
        <v>13880000</v>
      </c>
      <c r="Y1657" s="157" t="str">
        <f t="shared" si="491"/>
        <v>1</v>
      </c>
      <c r="Z1657" s="18">
        <f t="shared" si="489"/>
        <v>13880000</v>
      </c>
      <c r="AA1657" s="13">
        <v>7.2800000000000004E-2</v>
      </c>
      <c r="AB1657" s="21">
        <f t="shared" si="492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75"/>
        <v>63006605.696460173</v>
      </c>
      <c r="AJ1657" s="19">
        <f t="shared" si="476"/>
        <v>8897485.660753984</v>
      </c>
      <c r="AK1657" s="20">
        <f t="shared" si="483"/>
        <v>0.141215124388995</v>
      </c>
      <c r="AL1657" s="17"/>
      <c r="AM1657" s="17"/>
      <c r="AN1657" s="17"/>
      <c r="AO1657" s="17"/>
      <c r="AP1657" s="28" t="str">
        <f t="shared" si="484"/>
        <v>20215</v>
      </c>
      <c r="AQ1657" s="28" t="str">
        <f t="shared" si="485"/>
        <v>20215JPY</v>
      </c>
      <c r="AR1657" s="206" t="str">
        <f t="shared" si="486"/>
        <v>YAMAHA_Non_Mounter</v>
      </c>
      <c r="AS1657" s="22">
        <f t="shared" si="487"/>
        <v>4</v>
      </c>
      <c r="AT1657" s="24" t="str">
        <f t="shared" si="488"/>
        <v>4-6 months</v>
      </c>
      <c r="AU1657" s="22" t="s">
        <v>3745</v>
      </c>
    </row>
    <row r="1658" spans="1:47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55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2553</v>
      </c>
      <c r="K1658" s="155" t="s">
        <v>2554</v>
      </c>
      <c r="L1658" s="17" t="s">
        <v>67</v>
      </c>
      <c r="M1658" s="13" t="s">
        <v>60</v>
      </c>
      <c r="N1658" s="13">
        <v>1</v>
      </c>
      <c r="O1658" s="13"/>
      <c r="P1658" s="33" t="str">
        <f t="shared" si="480"/>
        <v>MAIN UNIT</v>
      </c>
      <c r="Q1658" s="13" t="s">
        <v>68</v>
      </c>
      <c r="R1658" s="13" t="s">
        <v>62</v>
      </c>
      <c r="S1658" s="13" t="s">
        <v>49</v>
      </c>
      <c r="T1658" s="13" t="s">
        <v>78</v>
      </c>
      <c r="U1658" s="13" t="s">
        <v>79</v>
      </c>
      <c r="V1658" s="13" t="s">
        <v>112</v>
      </c>
      <c r="W1658" s="13" t="s">
        <v>109</v>
      </c>
      <c r="X1658" s="135">
        <v>7100000</v>
      </c>
      <c r="Y1658" s="157" t="str">
        <f t="shared" si="491"/>
        <v>1</v>
      </c>
      <c r="Z1658" s="18">
        <f t="shared" si="489"/>
        <v>7100000</v>
      </c>
      <c r="AA1658" s="13">
        <v>5.6099999999999997E-2</v>
      </c>
      <c r="AB1658" s="21">
        <f t="shared" si="492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75"/>
        <v>22953677.784070797</v>
      </c>
      <c r="AJ1658" s="19">
        <f t="shared" si="476"/>
        <v>4168706.6744155753</v>
      </c>
      <c r="AK1658" s="20">
        <f t="shared" si="483"/>
        <v>0.18161388835511752</v>
      </c>
      <c r="AL1658" s="17"/>
      <c r="AM1658" s="17"/>
      <c r="AN1658" s="17"/>
      <c r="AO1658" s="17"/>
      <c r="AP1658" s="28" t="str">
        <f t="shared" si="484"/>
        <v>20238</v>
      </c>
      <c r="AQ1658" s="28" t="str">
        <f t="shared" si="485"/>
        <v>20238JPY</v>
      </c>
      <c r="AR1658" s="206" t="str">
        <f t="shared" si="486"/>
        <v>YAMAHA_Mounter</v>
      </c>
      <c r="AS1658" s="22">
        <f t="shared" si="487"/>
        <v>1</v>
      </c>
      <c r="AT1658" s="24" t="str">
        <f t="shared" si="488"/>
        <v>0-3 months</v>
      </c>
      <c r="AU1658" s="22" t="s">
        <v>3745</v>
      </c>
    </row>
    <row r="1659" spans="1:47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55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2553</v>
      </c>
      <c r="K1659" s="155" t="s">
        <v>2554</v>
      </c>
      <c r="L1659" s="17" t="s">
        <v>67</v>
      </c>
      <c r="M1659" s="13" t="s">
        <v>60</v>
      </c>
      <c r="N1659" s="13">
        <v>1</v>
      </c>
      <c r="O1659" s="13"/>
      <c r="P1659" s="33" t="str">
        <f t="shared" si="480"/>
        <v>MAIN UNIT</v>
      </c>
      <c r="Q1659" s="13" t="s">
        <v>68</v>
      </c>
      <c r="R1659" s="13" t="s">
        <v>62</v>
      </c>
      <c r="S1659" s="13" t="s">
        <v>49</v>
      </c>
      <c r="T1659" s="13" t="s">
        <v>78</v>
      </c>
      <c r="U1659" s="13" t="s">
        <v>79</v>
      </c>
      <c r="V1659" s="13" t="s">
        <v>112</v>
      </c>
      <c r="W1659" s="13" t="s">
        <v>109</v>
      </c>
      <c r="X1659" s="135">
        <v>7100000</v>
      </c>
      <c r="Y1659" s="157" t="str">
        <f t="shared" si="491"/>
        <v>1</v>
      </c>
      <c r="Z1659" s="18">
        <f t="shared" si="489"/>
        <v>7100000</v>
      </c>
      <c r="AA1659" s="13">
        <v>5.6099999999999997E-2</v>
      </c>
      <c r="AB1659" s="21">
        <f t="shared" si="492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75"/>
        <v>22953677.784070797</v>
      </c>
      <c r="AJ1659" s="19">
        <f t="shared" si="476"/>
        <v>4168706.6744155753</v>
      </c>
      <c r="AK1659" s="20">
        <f t="shared" si="483"/>
        <v>0.18161388835511752</v>
      </c>
      <c r="AL1659" s="17"/>
      <c r="AM1659" s="17"/>
      <c r="AN1659" s="17"/>
      <c r="AO1659" s="17"/>
      <c r="AP1659" s="28" t="str">
        <f t="shared" si="484"/>
        <v>20238</v>
      </c>
      <c r="AQ1659" s="28" t="str">
        <f t="shared" si="485"/>
        <v>20238JPY</v>
      </c>
      <c r="AR1659" s="206" t="str">
        <f t="shared" si="486"/>
        <v>YAMAHA_Mounter</v>
      </c>
      <c r="AS1659" s="22">
        <f t="shared" si="487"/>
        <v>1</v>
      </c>
      <c r="AT1659" s="24" t="str">
        <f t="shared" si="488"/>
        <v>0-3 months</v>
      </c>
      <c r="AU1659" s="22" t="s">
        <v>3745</v>
      </c>
    </row>
    <row r="1660" spans="1:47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41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504</v>
      </c>
      <c r="K1660" s="155" t="s">
        <v>505</v>
      </c>
      <c r="L1660" s="17" t="s">
        <v>77</v>
      </c>
      <c r="M1660" s="13" t="s">
        <v>60</v>
      </c>
      <c r="N1660" s="13">
        <v>2</v>
      </c>
      <c r="O1660" s="13"/>
      <c r="P1660" s="33" t="str">
        <f t="shared" si="480"/>
        <v>MAIN UNIT</v>
      </c>
      <c r="Q1660" s="13" t="s">
        <v>68</v>
      </c>
      <c r="R1660" s="13" t="s">
        <v>62</v>
      </c>
      <c r="S1660" s="13" t="s">
        <v>51</v>
      </c>
      <c r="T1660" s="13" t="s">
        <v>506</v>
      </c>
      <c r="U1660" s="13" t="s">
        <v>149</v>
      </c>
      <c r="V1660" s="13" t="s">
        <v>507</v>
      </c>
      <c r="W1660" s="13" t="s">
        <v>64</v>
      </c>
      <c r="X1660" s="135">
        <v>870000</v>
      </c>
      <c r="Y1660" s="156">
        <v>1.1599999999999999</v>
      </c>
      <c r="Z1660" s="18">
        <f t="shared" si="489"/>
        <v>1740000</v>
      </c>
      <c r="AA1660" s="13">
        <v>1.125</v>
      </c>
      <c r="AB1660" s="21">
        <f t="shared" si="492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75"/>
        <v>29840797.698275864</v>
      </c>
      <c r="AJ1660" s="19">
        <f t="shared" si="476"/>
        <v>3940167.6555448272</v>
      </c>
      <c r="AK1660" s="20">
        <f t="shared" si="483"/>
        <v>0.13203962224416277</v>
      </c>
      <c r="AL1660" s="17"/>
      <c r="AM1660" s="17"/>
      <c r="AN1660" s="17"/>
      <c r="AO1660" s="17"/>
      <c r="AP1660" s="28" t="str">
        <f t="shared" si="484"/>
        <v>201812</v>
      </c>
      <c r="AQ1660" s="28" t="str">
        <f t="shared" si="485"/>
        <v>201812RMB</v>
      </c>
      <c r="AR1660" s="206" t="str">
        <f t="shared" si="486"/>
        <v>YAMAHA_Mounter</v>
      </c>
      <c r="AS1660" s="22">
        <f t="shared" si="487"/>
        <v>2</v>
      </c>
      <c r="AT1660" s="24" t="str">
        <f t="shared" si="488"/>
        <v>0-3 months</v>
      </c>
      <c r="AU1660" s="22" t="s">
        <v>3240</v>
      </c>
    </row>
    <row r="1661" spans="1:47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47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636</v>
      </c>
      <c r="K1661" s="155" t="s">
        <v>505</v>
      </c>
      <c r="L1661" s="17" t="s">
        <v>67</v>
      </c>
      <c r="M1661" s="13" t="s">
        <v>60</v>
      </c>
      <c r="N1661" s="13">
        <v>4</v>
      </c>
      <c r="O1661" s="13"/>
      <c r="P1661" s="33" t="str">
        <f t="shared" si="480"/>
        <v>MAIN UNIT</v>
      </c>
      <c r="Q1661" s="13" t="s">
        <v>61</v>
      </c>
      <c r="R1661" s="13" t="s">
        <v>62</v>
      </c>
      <c r="S1661" s="13" t="s">
        <v>51</v>
      </c>
      <c r="T1661" s="13" t="s">
        <v>506</v>
      </c>
      <c r="U1661" s="13" t="s">
        <v>149</v>
      </c>
      <c r="V1661" s="13" t="s">
        <v>507</v>
      </c>
      <c r="W1661" s="13" t="s">
        <v>64</v>
      </c>
      <c r="X1661" s="135">
        <v>698510</v>
      </c>
      <c r="Y1661" s="156">
        <v>1.1299999999999999</v>
      </c>
      <c r="Z1661" s="18">
        <f t="shared" si="489"/>
        <v>2794040</v>
      </c>
      <c r="AA1661" s="13">
        <v>1.1599999999999999</v>
      </c>
      <c r="AB1661" s="21">
        <f t="shared" si="492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75"/>
        <v>32843736.557277881</v>
      </c>
      <c r="AJ1661" s="19">
        <f t="shared" si="476"/>
        <v>3921470.6822663117</v>
      </c>
      <c r="AK1661" s="20">
        <f t="shared" si="483"/>
        <v>0.11939782416131177</v>
      </c>
      <c r="AL1661" s="17"/>
      <c r="AM1661" s="17"/>
      <c r="AN1661" s="17"/>
      <c r="AO1661" s="17"/>
      <c r="AP1661" s="28" t="str">
        <f t="shared" si="484"/>
        <v>20194</v>
      </c>
      <c r="AQ1661" s="28" t="str">
        <f t="shared" si="485"/>
        <v>20194RMB</v>
      </c>
      <c r="AR1661" s="206" t="str">
        <f t="shared" si="486"/>
        <v>YAMAHA_Mounter</v>
      </c>
      <c r="AS1661" s="22">
        <f t="shared" si="487"/>
        <v>0</v>
      </c>
      <c r="AT1661" s="24" t="str">
        <f t="shared" si="488"/>
        <v>0-3 months</v>
      </c>
      <c r="AU1661" s="22" t="s">
        <v>3240</v>
      </c>
    </row>
    <row r="1662" spans="1:47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47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778</v>
      </c>
      <c r="K1662" s="155" t="s">
        <v>779</v>
      </c>
      <c r="L1662" s="17" t="s">
        <v>67</v>
      </c>
      <c r="M1662" s="13" t="s">
        <v>60</v>
      </c>
      <c r="N1662" s="13">
        <v>1</v>
      </c>
      <c r="O1662" s="13"/>
      <c r="P1662" s="33" t="str">
        <f t="shared" si="480"/>
        <v>MAIN UNIT</v>
      </c>
      <c r="Q1662" s="13" t="s">
        <v>61</v>
      </c>
      <c r="R1662" s="13" t="s">
        <v>701</v>
      </c>
      <c r="S1662" s="13" t="s">
        <v>49</v>
      </c>
      <c r="T1662" s="13" t="s">
        <v>78</v>
      </c>
      <c r="U1662" s="13" t="s">
        <v>79</v>
      </c>
      <c r="V1662" s="13" t="s">
        <v>780</v>
      </c>
      <c r="W1662" s="13" t="s">
        <v>64</v>
      </c>
      <c r="X1662" s="135">
        <v>650000</v>
      </c>
      <c r="Y1662" s="156">
        <v>1.1299999999999999</v>
      </c>
      <c r="Z1662" s="18">
        <f t="shared" si="489"/>
        <v>650000</v>
      </c>
      <c r="AA1662" s="13">
        <v>1.135</v>
      </c>
      <c r="AB1662" s="21">
        <f t="shared" si="492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75"/>
        <v>34015877.71150443</v>
      </c>
      <c r="AJ1662" s="19">
        <f t="shared" si="476"/>
        <v>4446292.375441948</v>
      </c>
      <c r="AK1662" s="20">
        <f t="shared" si="483"/>
        <v>0.13071226364205143</v>
      </c>
      <c r="AL1662" s="17"/>
      <c r="AM1662" s="17"/>
      <c r="AN1662" s="17"/>
      <c r="AO1662" s="17"/>
      <c r="AP1662" s="28" t="str">
        <f t="shared" si="484"/>
        <v>20197</v>
      </c>
      <c r="AQ1662" s="28" t="str">
        <f t="shared" si="485"/>
        <v>20197RMB</v>
      </c>
      <c r="AR1662" s="206" t="str">
        <f t="shared" si="486"/>
        <v>YAMAHA_Mounter</v>
      </c>
      <c r="AS1662" s="22">
        <f t="shared" si="487"/>
        <v>1</v>
      </c>
      <c r="AT1662" s="24" t="str">
        <f t="shared" si="488"/>
        <v>0-3 months</v>
      </c>
      <c r="AU1662" s="22" t="s">
        <v>3744</v>
      </c>
    </row>
    <row r="1663" spans="1:47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47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781</v>
      </c>
      <c r="K1663" s="155" t="s">
        <v>779</v>
      </c>
      <c r="L1663" s="17" t="s">
        <v>67</v>
      </c>
      <c r="M1663" s="13" t="s">
        <v>60</v>
      </c>
      <c r="N1663" s="13">
        <v>1</v>
      </c>
      <c r="O1663" s="13"/>
      <c r="P1663" s="33" t="str">
        <f t="shared" si="480"/>
        <v>MAIN UNIT</v>
      </c>
      <c r="Q1663" s="13" t="s">
        <v>61</v>
      </c>
      <c r="R1663" s="13" t="s">
        <v>701</v>
      </c>
      <c r="S1663" s="13" t="s">
        <v>49</v>
      </c>
      <c r="T1663" s="13" t="s">
        <v>78</v>
      </c>
      <c r="U1663" s="13" t="s">
        <v>79</v>
      </c>
      <c r="V1663" s="13" t="s">
        <v>780</v>
      </c>
      <c r="W1663" s="13" t="s">
        <v>64</v>
      </c>
      <c r="X1663" s="135">
        <v>650000</v>
      </c>
      <c r="Y1663" s="156">
        <v>1.1299999999999999</v>
      </c>
      <c r="Z1663" s="18">
        <f t="shared" si="489"/>
        <v>650000</v>
      </c>
      <c r="AA1663" s="13">
        <v>1.135</v>
      </c>
      <c r="AB1663" s="21">
        <f t="shared" si="492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75"/>
        <v>34015877.71150443</v>
      </c>
      <c r="AJ1663" s="19">
        <f t="shared" si="476"/>
        <v>4446292.375441948</v>
      </c>
      <c r="AK1663" s="20">
        <f t="shared" si="483"/>
        <v>0.13071226364205143</v>
      </c>
      <c r="AL1663" s="17"/>
      <c r="AM1663" s="17"/>
      <c r="AN1663" s="17"/>
      <c r="AO1663" s="17"/>
      <c r="AP1663" s="28" t="str">
        <f t="shared" si="484"/>
        <v>20197</v>
      </c>
      <c r="AQ1663" s="28" t="str">
        <f t="shared" si="485"/>
        <v>20197RMB</v>
      </c>
      <c r="AR1663" s="206" t="str">
        <f t="shared" si="486"/>
        <v>YAMAHA_Mounter</v>
      </c>
      <c r="AS1663" s="22">
        <f t="shared" si="487"/>
        <v>1</v>
      </c>
      <c r="AT1663" s="24" t="str">
        <f t="shared" si="488"/>
        <v>0-3 months</v>
      </c>
      <c r="AU1663" s="22" t="s">
        <v>3744</v>
      </c>
    </row>
    <row r="1664" spans="1:47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47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781</v>
      </c>
      <c r="K1664" s="155" t="s">
        <v>779</v>
      </c>
      <c r="L1664" s="17" t="s">
        <v>92</v>
      </c>
      <c r="M1664" s="13" t="s">
        <v>60</v>
      </c>
      <c r="N1664" s="13">
        <v>1</v>
      </c>
      <c r="O1664" s="13"/>
      <c r="P1664" s="33" t="str">
        <f t="shared" si="480"/>
        <v>MAIN UNIT</v>
      </c>
      <c r="Q1664" s="13" t="s">
        <v>61</v>
      </c>
      <c r="R1664" s="13" t="s">
        <v>701</v>
      </c>
      <c r="S1664" s="13" t="s">
        <v>49</v>
      </c>
      <c r="T1664" s="13" t="s">
        <v>78</v>
      </c>
      <c r="U1664" s="13" t="s">
        <v>79</v>
      </c>
      <c r="V1664" s="13" t="s">
        <v>780</v>
      </c>
      <c r="W1664" s="13" t="s">
        <v>64</v>
      </c>
      <c r="X1664" s="135">
        <v>900000</v>
      </c>
      <c r="Y1664" s="156">
        <v>1.1299999999999999</v>
      </c>
      <c r="Z1664" s="18">
        <f t="shared" si="489"/>
        <v>900000</v>
      </c>
      <c r="AA1664" s="13">
        <v>1.135</v>
      </c>
      <c r="AB1664" s="21">
        <f t="shared" si="492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75"/>
        <v>34015877.71150443</v>
      </c>
      <c r="AJ1664" s="19">
        <f t="shared" si="476"/>
        <v>4446292.375441948</v>
      </c>
      <c r="AK1664" s="20">
        <f t="shared" si="483"/>
        <v>0.13071226364205143</v>
      </c>
      <c r="AL1664" s="17"/>
      <c r="AM1664" s="17"/>
      <c r="AN1664" s="17"/>
      <c r="AO1664" s="17"/>
      <c r="AP1664" s="28" t="str">
        <f t="shared" si="484"/>
        <v>20197</v>
      </c>
      <c r="AQ1664" s="28" t="str">
        <f t="shared" si="485"/>
        <v>20197RMB</v>
      </c>
      <c r="AR1664" s="206" t="str">
        <f t="shared" si="486"/>
        <v>YAMAHA_Mounter</v>
      </c>
      <c r="AS1664" s="22">
        <f t="shared" si="487"/>
        <v>1</v>
      </c>
      <c r="AT1664" s="24" t="str">
        <f t="shared" si="488"/>
        <v>0-3 months</v>
      </c>
      <c r="AU1664" s="22" t="s">
        <v>3240</v>
      </c>
    </row>
    <row r="1665" spans="1:47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47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781</v>
      </c>
      <c r="K1665" s="155" t="s">
        <v>779</v>
      </c>
      <c r="L1665" s="17" t="s">
        <v>92</v>
      </c>
      <c r="M1665" s="13" t="s">
        <v>60</v>
      </c>
      <c r="N1665" s="13">
        <v>1</v>
      </c>
      <c r="O1665" s="13"/>
      <c r="P1665" s="33" t="str">
        <f t="shared" si="480"/>
        <v>MAIN UNIT</v>
      </c>
      <c r="Q1665" s="13" t="s">
        <v>61</v>
      </c>
      <c r="R1665" s="13" t="s">
        <v>701</v>
      </c>
      <c r="S1665" s="13" t="s">
        <v>49</v>
      </c>
      <c r="T1665" s="13" t="s">
        <v>78</v>
      </c>
      <c r="U1665" s="13" t="s">
        <v>79</v>
      </c>
      <c r="V1665" s="13" t="s">
        <v>780</v>
      </c>
      <c r="W1665" s="13" t="s">
        <v>64</v>
      </c>
      <c r="X1665" s="135">
        <v>900000</v>
      </c>
      <c r="Y1665" s="156">
        <v>1.1299999999999999</v>
      </c>
      <c r="Z1665" s="18">
        <f t="shared" si="489"/>
        <v>900000</v>
      </c>
      <c r="AA1665" s="13">
        <v>1.135</v>
      </c>
      <c r="AB1665" s="21">
        <f t="shared" si="492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75"/>
        <v>34015877.71150443</v>
      </c>
      <c r="AJ1665" s="19">
        <f t="shared" si="476"/>
        <v>4446292.375441948</v>
      </c>
      <c r="AK1665" s="20">
        <f t="shared" si="483"/>
        <v>0.13071226364205143</v>
      </c>
      <c r="AL1665" s="17"/>
      <c r="AM1665" s="17"/>
      <c r="AN1665" s="17"/>
      <c r="AO1665" s="17"/>
      <c r="AP1665" s="28" t="str">
        <f t="shared" si="484"/>
        <v>20197</v>
      </c>
      <c r="AQ1665" s="28" t="str">
        <f t="shared" si="485"/>
        <v>20197RMB</v>
      </c>
      <c r="AR1665" s="206" t="str">
        <f t="shared" si="486"/>
        <v>YAMAHA_Mounter</v>
      </c>
      <c r="AS1665" s="22">
        <f t="shared" si="487"/>
        <v>1</v>
      </c>
      <c r="AT1665" s="24" t="str">
        <f t="shared" si="488"/>
        <v>0-3 months</v>
      </c>
      <c r="AU1665" s="22" t="s">
        <v>3240</v>
      </c>
    </row>
    <row r="1666" spans="1:47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185</v>
      </c>
      <c r="F1666" s="13" t="s">
        <v>185</v>
      </c>
      <c r="G1666" s="152" t="s">
        <v>185</v>
      </c>
      <c r="H1666" s="155"/>
      <c r="I1666" s="33" t="str">
        <f t="shared" si="479"/>
        <v>Cancel</v>
      </c>
      <c r="J1666" s="186" t="s">
        <v>631</v>
      </c>
      <c r="K1666" s="155" t="s">
        <v>632</v>
      </c>
      <c r="L1666" s="17" t="s">
        <v>67</v>
      </c>
      <c r="M1666" s="13" t="s">
        <v>60</v>
      </c>
      <c r="N1666" s="13">
        <v>1</v>
      </c>
      <c r="O1666" s="13"/>
      <c r="P1666" s="33" t="str">
        <f t="shared" si="480"/>
        <v>MAIN UNIT</v>
      </c>
      <c r="Q1666" s="13" t="s">
        <v>61</v>
      </c>
      <c r="R1666" s="13" t="s">
        <v>62</v>
      </c>
      <c r="S1666" s="13" t="s">
        <v>49</v>
      </c>
      <c r="T1666" s="13" t="s">
        <v>78</v>
      </c>
      <c r="U1666" s="13" t="s">
        <v>79</v>
      </c>
      <c r="V1666" s="13" t="s">
        <v>126</v>
      </c>
      <c r="W1666" s="13" t="s">
        <v>109</v>
      </c>
      <c r="X1666" s="135">
        <v>8600000</v>
      </c>
      <c r="Y1666" s="156">
        <v>1</v>
      </c>
      <c r="Z1666" s="18">
        <f t="shared" si="489"/>
        <v>8600000</v>
      </c>
      <c r="AA1666" s="13">
        <v>6.2799999999999995E-2</v>
      </c>
      <c r="AB1666" s="21">
        <f t="shared" si="492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ref="AI1666:AI1729" si="493">IF(P1666="C66 SERVICE","",SUMIFS(AB:AB,F:F,F1666,G:G,G1666,E:E,E1666))</f>
        <v>499582152.5142017</v>
      </c>
      <c r="AJ1666" s="19">
        <f t="shared" ref="AJ1666:AJ1729" si="494">IF(P1666="C66 SERVICE","",SUMIFS(AC:AC,F:F,F1666,G:G,G1666,E:E,E1666))</f>
        <v>59520528.679470733</v>
      </c>
      <c r="AK1666" s="20">
        <f t="shared" si="483"/>
        <v>0.11914062257814291</v>
      </c>
      <c r="AL1666" s="17"/>
      <c r="AM1666" s="17"/>
      <c r="AN1666" s="17"/>
      <c r="AO1666" s="17"/>
      <c r="AP1666" s="28" t="str">
        <f t="shared" si="484"/>
        <v>CancelCancel</v>
      </c>
      <c r="AQ1666" s="28" t="str">
        <f t="shared" si="485"/>
        <v>CancelCancelJPY</v>
      </c>
      <c r="AR1666" s="206" t="str">
        <f t="shared" si="486"/>
        <v>YAMAHA_Mounter</v>
      </c>
      <c r="AS1666" s="22" t="str">
        <f t="shared" si="487"/>
        <v/>
      </c>
      <c r="AT1666" s="24" t="str">
        <f t="shared" si="488"/>
        <v/>
      </c>
      <c r="AU1666" s="22" t="s">
        <v>3745</v>
      </c>
    </row>
    <row r="1667" spans="1:47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47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959</v>
      </c>
      <c r="K1667" s="155" t="s">
        <v>960</v>
      </c>
      <c r="L1667" s="17" t="s">
        <v>67</v>
      </c>
      <c r="M1667" s="13" t="s">
        <v>60</v>
      </c>
      <c r="N1667" s="13">
        <v>1</v>
      </c>
      <c r="O1667" s="13"/>
      <c r="P1667" s="33" t="str">
        <f t="shared" si="480"/>
        <v>MAIN UNIT</v>
      </c>
      <c r="Q1667" s="13" t="s">
        <v>61</v>
      </c>
      <c r="R1667" s="13" t="s">
        <v>62</v>
      </c>
      <c r="S1667" s="13" t="s">
        <v>49</v>
      </c>
      <c r="T1667" s="13" t="s">
        <v>78</v>
      </c>
      <c r="U1667" s="13" t="s">
        <v>79</v>
      </c>
      <c r="V1667" s="13" t="s">
        <v>126</v>
      </c>
      <c r="W1667" s="13" t="s">
        <v>64</v>
      </c>
      <c r="X1667" s="135">
        <v>590000</v>
      </c>
      <c r="Y1667" s="156">
        <v>1.1299999999999999</v>
      </c>
      <c r="Z1667" s="18">
        <f t="shared" si="489"/>
        <v>590000</v>
      </c>
      <c r="AA1667" s="13">
        <v>1.095</v>
      </c>
      <c r="AB1667" s="21">
        <f t="shared" si="492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93"/>
        <v>37599388.802345134</v>
      </c>
      <c r="AJ1667" s="19">
        <f t="shared" si="494"/>
        <v>4866784.3630338367</v>
      </c>
      <c r="AK1667" s="20">
        <f t="shared" si="483"/>
        <v>0.12943785838163113</v>
      </c>
      <c r="AL1667" s="17"/>
      <c r="AM1667" s="17"/>
      <c r="AN1667" s="17"/>
      <c r="AO1667" s="17"/>
      <c r="AP1667" s="28" t="str">
        <f t="shared" si="484"/>
        <v>20199</v>
      </c>
      <c r="AQ1667" s="28" t="str">
        <f t="shared" si="485"/>
        <v>20199RMB</v>
      </c>
      <c r="AR1667" s="206" t="str">
        <f t="shared" si="486"/>
        <v>YAMAHA_Mounter</v>
      </c>
      <c r="AS1667" s="22">
        <f t="shared" si="487"/>
        <v>1</v>
      </c>
      <c r="AT1667" s="24" t="str">
        <f t="shared" si="488"/>
        <v>0-3 months</v>
      </c>
      <c r="AU1667" s="22" t="s">
        <v>3744</v>
      </c>
    </row>
    <row r="1668" spans="1:47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53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1941</v>
      </c>
      <c r="K1668" s="155" t="s">
        <v>960</v>
      </c>
      <c r="L1668" s="17" t="s">
        <v>92</v>
      </c>
      <c r="M1668" s="13" t="s">
        <v>60</v>
      </c>
      <c r="N1668" s="13">
        <v>1</v>
      </c>
      <c r="O1668" s="13"/>
      <c r="P1668" s="33" t="str">
        <f t="shared" si="480"/>
        <v>MAIN UNIT</v>
      </c>
      <c r="Q1668" s="13" t="s">
        <v>61</v>
      </c>
      <c r="R1668" s="13" t="s">
        <v>62</v>
      </c>
      <c r="S1668" s="13" t="s">
        <v>49</v>
      </c>
      <c r="T1668" s="13" t="s">
        <v>78</v>
      </c>
      <c r="U1668" s="13" t="s">
        <v>79</v>
      </c>
      <c r="V1668" s="13" t="s">
        <v>126</v>
      </c>
      <c r="W1668" s="13" t="s">
        <v>109</v>
      </c>
      <c r="X1668" s="135">
        <v>12270000</v>
      </c>
      <c r="Y1668" s="157" t="str">
        <f>IF(W1668="RMB","1.13", "1")</f>
        <v>1</v>
      </c>
      <c r="Z1668" s="18">
        <f t="shared" si="489"/>
        <v>12270000</v>
      </c>
      <c r="AA1668" s="13">
        <v>6.9199999999999998E-2</v>
      </c>
      <c r="AB1668" s="21">
        <f t="shared" si="492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93"/>
        <v>26407088.359292038</v>
      </c>
      <c r="AJ1668" s="19">
        <f t="shared" si="494"/>
        <v>3424510.6998470789</v>
      </c>
      <c r="AK1668" s="20">
        <f t="shared" si="483"/>
        <v>0.12968149510667554</v>
      </c>
      <c r="AL1668" s="17"/>
      <c r="AM1668" s="17"/>
      <c r="AN1668" s="17"/>
      <c r="AO1668" s="17"/>
      <c r="AP1668" s="28" t="str">
        <f t="shared" si="484"/>
        <v>20221</v>
      </c>
      <c r="AQ1668" s="28" t="str">
        <f t="shared" si="485"/>
        <v>20221JPY</v>
      </c>
      <c r="AR1668" s="206" t="str">
        <f t="shared" si="486"/>
        <v>YAMAHA_Mounter</v>
      </c>
      <c r="AS1668" s="22">
        <f t="shared" si="487"/>
        <v>7</v>
      </c>
      <c r="AT1668" s="24" t="str">
        <f t="shared" si="488"/>
        <v>&gt; 6 months</v>
      </c>
      <c r="AU1668" s="22" t="s">
        <v>3240</v>
      </c>
    </row>
    <row r="1669" spans="1:47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54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1941</v>
      </c>
      <c r="K1669" s="155" t="s">
        <v>960</v>
      </c>
      <c r="L1669" s="17" t="s">
        <v>92</v>
      </c>
      <c r="M1669" s="13" t="s">
        <v>60</v>
      </c>
      <c r="N1669" s="13">
        <v>1</v>
      </c>
      <c r="O1669" s="13"/>
      <c r="P1669" s="33" t="str">
        <f t="shared" si="480"/>
        <v>MAIN UNIT</v>
      </c>
      <c r="Q1669" s="13" t="s">
        <v>61</v>
      </c>
      <c r="R1669" s="13" t="s">
        <v>62</v>
      </c>
      <c r="S1669" s="13" t="s">
        <v>49</v>
      </c>
      <c r="T1669" s="13" t="s">
        <v>78</v>
      </c>
      <c r="U1669" s="13" t="s">
        <v>79</v>
      </c>
      <c r="V1669" s="13" t="s">
        <v>126</v>
      </c>
      <c r="W1669" s="13" t="s">
        <v>109</v>
      </c>
      <c r="X1669" s="135">
        <v>12270000</v>
      </c>
      <c r="Y1669" s="157" t="str">
        <f>IF(W1669="RMB","1.13", "1")</f>
        <v>1</v>
      </c>
      <c r="Z1669" s="18">
        <f t="shared" si="489"/>
        <v>12270000</v>
      </c>
      <c r="AA1669" s="13">
        <v>6.25E-2</v>
      </c>
      <c r="AB1669" s="21">
        <f t="shared" si="492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93"/>
        <v>35682787.057522126</v>
      </c>
      <c r="AJ1669" s="19">
        <f t="shared" si="494"/>
        <v>5833368.3789623892</v>
      </c>
      <c r="AK1669" s="20">
        <f t="shared" si="483"/>
        <v>0.16347849649632912</v>
      </c>
      <c r="AL1669" s="17"/>
      <c r="AM1669" s="17"/>
      <c r="AN1669" s="17"/>
      <c r="AO1669" s="17"/>
      <c r="AP1669" s="28" t="str">
        <f t="shared" si="484"/>
        <v>20226</v>
      </c>
      <c r="AQ1669" s="28" t="str">
        <f t="shared" si="485"/>
        <v>20226JPY</v>
      </c>
      <c r="AR1669" s="206" t="str">
        <f t="shared" si="486"/>
        <v>YAMAHA_Mounter</v>
      </c>
      <c r="AS1669" s="22">
        <f t="shared" si="487"/>
        <v>12</v>
      </c>
      <c r="AT1669" s="24" t="str">
        <f t="shared" si="488"/>
        <v>&gt; 6 months</v>
      </c>
      <c r="AU1669" s="22" t="s">
        <v>3240</v>
      </c>
    </row>
    <row r="1670" spans="1:47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54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1941</v>
      </c>
      <c r="K1670" s="155" t="s">
        <v>960</v>
      </c>
      <c r="L1670" s="17" t="s">
        <v>92</v>
      </c>
      <c r="M1670" s="13" t="s">
        <v>60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61</v>
      </c>
      <c r="R1670" s="13" t="s">
        <v>62</v>
      </c>
      <c r="S1670" s="13" t="s">
        <v>49</v>
      </c>
      <c r="T1670" s="13" t="s">
        <v>78</v>
      </c>
      <c r="U1670" s="13" t="s">
        <v>79</v>
      </c>
      <c r="V1670" s="13" t="s">
        <v>126</v>
      </c>
      <c r="W1670" s="13" t="s">
        <v>109</v>
      </c>
      <c r="X1670" s="135">
        <v>12270000</v>
      </c>
      <c r="Y1670" s="157" t="str">
        <f>IF(W1670="RMB","1.13", "1")</f>
        <v>1</v>
      </c>
      <c r="Z1670" s="18">
        <f t="shared" si="489"/>
        <v>12270000</v>
      </c>
      <c r="AA1670" s="13">
        <v>6.25E-2</v>
      </c>
      <c r="AB1670" s="21">
        <f t="shared" si="492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si="493"/>
        <v>35682787.057522126</v>
      </c>
      <c r="AJ1670" s="19">
        <f t="shared" si="494"/>
        <v>5833368.3789623892</v>
      </c>
      <c r="AK1670" s="20">
        <f t="shared" ref="AK1670:AK1733" si="501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2">IF(F1670="","",F1670&amp;G1670)</f>
        <v>20226</v>
      </c>
      <c r="AQ1670" s="28" t="str">
        <f t="shared" ref="AQ1670:AQ1733" si="503">IF(W1670="","",F1670&amp;G1670&amp;W1670)</f>
        <v>20226JPY</v>
      </c>
      <c r="AR1670" s="206" t="str">
        <f t="shared" ref="AR1670:AR1733" si="504">IFERROR(IF(AND(M1670="YAMAHA", R1670="C28"), "YAMAHA_Non_Mounter", IF(AND(M1670="YAMAHA", R1670="C49"), "YAMAHA_Mounter", M1670)),"")</f>
        <v>YAMAHA_Mounter</v>
      </c>
      <c r="AS1670" s="22">
        <f t="shared" ref="AS1670:AS1733" si="505">IFERROR(IF(OR(G1670="TBA", G1670=""), "", DATEDIF(DATE(B1670, C1670, 1), DATE(F1670, G1670, 1), "M")),"")</f>
        <v>12</v>
      </c>
      <c r="AT1670" s="24" t="str">
        <f t="shared" ref="AT1670:AT1733" si="506">IF(ISNUMBER(AS1670), IF(AS1670&gt;=0, IF(AS1670&lt;=3, "0-3 months", IF(AS1670&lt;=6, "4-6 months", "&gt; 6 months"))), "")</f>
        <v>&gt; 6 months</v>
      </c>
      <c r="AU1670" s="22" t="s">
        <v>3240</v>
      </c>
    </row>
    <row r="1671" spans="1:47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55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2461</v>
      </c>
      <c r="K1671" s="155" t="s">
        <v>960</v>
      </c>
      <c r="L1671" s="17" t="s">
        <v>67</v>
      </c>
      <c r="M1671" s="13" t="s">
        <v>60</v>
      </c>
      <c r="N1671" s="13">
        <v>1</v>
      </c>
      <c r="O1671" s="13"/>
      <c r="P1671" s="33" t="str">
        <f t="shared" si="498"/>
        <v>MAIN UNIT</v>
      </c>
      <c r="Q1671" s="13" t="s">
        <v>61</v>
      </c>
      <c r="R1671" s="13" t="s">
        <v>62</v>
      </c>
      <c r="S1671" s="13" t="s">
        <v>49</v>
      </c>
      <c r="T1671" s="13" t="s">
        <v>78</v>
      </c>
      <c r="U1671" s="13" t="s">
        <v>79</v>
      </c>
      <c r="V1671" s="13" t="s">
        <v>126</v>
      </c>
      <c r="W1671" s="13" t="s">
        <v>64</v>
      </c>
      <c r="X1671" s="135">
        <v>739000</v>
      </c>
      <c r="Y1671" s="157" t="str">
        <f>IF(W1671="RMB","1.13", "1")</f>
        <v>1.13</v>
      </c>
      <c r="Z1671" s="18">
        <f t="shared" si="489"/>
        <v>739000</v>
      </c>
      <c r="AA1671" s="13">
        <v>1.1399999999999999</v>
      </c>
      <c r="AB1671" s="21">
        <f t="shared" si="492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493"/>
        <v>30573205.452778768</v>
      </c>
      <c r="AJ1671" s="19">
        <f t="shared" si="494"/>
        <v>3790930.1683151261</v>
      </c>
      <c r="AK1671" s="20">
        <f t="shared" si="501"/>
        <v>0.12399518179964254</v>
      </c>
      <c r="AL1671" s="17"/>
      <c r="AM1671" s="17"/>
      <c r="AN1671" s="17"/>
      <c r="AO1671" s="17"/>
      <c r="AP1671" s="28" t="str">
        <f t="shared" si="502"/>
        <v>20234</v>
      </c>
      <c r="AQ1671" s="28" t="str">
        <f t="shared" si="503"/>
        <v>20234RMB</v>
      </c>
      <c r="AR1671" s="206" t="str">
        <f t="shared" si="504"/>
        <v>YAMAHA_Mounter</v>
      </c>
      <c r="AS1671" s="22">
        <f t="shared" si="505"/>
        <v>2</v>
      </c>
      <c r="AT1671" s="24" t="str">
        <f t="shared" si="506"/>
        <v>0-3 months</v>
      </c>
      <c r="AU1671" s="22" t="s">
        <v>3751</v>
      </c>
    </row>
    <row r="1672" spans="1:47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3187</v>
      </c>
      <c r="K1672" s="29" t="s">
        <v>960</v>
      </c>
      <c r="L1672" s="17" t="s">
        <v>67</v>
      </c>
      <c r="M1672" s="13" t="s">
        <v>60</v>
      </c>
      <c r="N1672" s="22">
        <v>1</v>
      </c>
      <c r="O1672" s="22"/>
      <c r="P1672" s="33" t="str">
        <f t="shared" si="498"/>
        <v>MAIN UNIT</v>
      </c>
      <c r="Q1672" s="13" t="s">
        <v>61</v>
      </c>
      <c r="R1672" s="22" t="s">
        <v>62</v>
      </c>
      <c r="S1672" s="22" t="s">
        <v>49</v>
      </c>
      <c r="T1672" s="22" t="s">
        <v>78</v>
      </c>
      <c r="U1672" s="22" t="s">
        <v>78</v>
      </c>
      <c r="V1672" s="22" t="s">
        <v>126</v>
      </c>
      <c r="W1672" s="22" t="s">
        <v>109</v>
      </c>
      <c r="X1672" s="30">
        <v>8120000</v>
      </c>
      <c r="Y1672" s="31" t="str">
        <f>IF(W1672="","",IF(W1672="RMB","1.13", "1"))</f>
        <v>1</v>
      </c>
      <c r="Z1672" s="18">
        <f t="shared" si="489"/>
        <v>8120000</v>
      </c>
      <c r="AA1672" s="22">
        <v>5.3100000000000001E-2</v>
      </c>
      <c r="AB1672" s="21">
        <f t="shared" si="492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493"/>
        <v>21241742.157380536</v>
      </c>
      <c r="AJ1672" s="27">
        <f t="shared" si="494"/>
        <v>2987081.1613773629</v>
      </c>
      <c r="AK1672" s="28">
        <f t="shared" si="501"/>
        <v>0.14062317201884914</v>
      </c>
      <c r="AL1672" s="24"/>
      <c r="AM1672" s="24"/>
      <c r="AN1672" s="24"/>
      <c r="AO1672" s="24"/>
      <c r="AP1672" s="28" t="str">
        <f t="shared" si="502"/>
        <v>20243</v>
      </c>
      <c r="AQ1672" s="28" t="str">
        <f t="shared" si="503"/>
        <v>20243JPY</v>
      </c>
      <c r="AR1672" s="206" t="str">
        <f t="shared" si="504"/>
        <v>YAMAHA_Mounter</v>
      </c>
      <c r="AS1672" s="22">
        <f t="shared" si="505"/>
        <v>1</v>
      </c>
      <c r="AT1672" s="24" t="str">
        <f t="shared" si="506"/>
        <v>0-3 months</v>
      </c>
      <c r="AU1672" s="22" t="s">
        <v>3745</v>
      </c>
    </row>
    <row r="1673" spans="1:47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185</v>
      </c>
      <c r="F1673" s="13" t="s">
        <v>185</v>
      </c>
      <c r="G1673" s="152" t="s">
        <v>1616</v>
      </c>
      <c r="H1673" s="155"/>
      <c r="I1673" s="33" t="str">
        <f t="shared" si="497"/>
        <v>Cancel</v>
      </c>
      <c r="J1673" s="186" t="s">
        <v>2089</v>
      </c>
      <c r="K1673" s="155" t="s">
        <v>2090</v>
      </c>
      <c r="L1673" s="17" t="s">
        <v>67</v>
      </c>
      <c r="M1673" s="13" t="s">
        <v>60</v>
      </c>
      <c r="N1673" s="13">
        <v>1</v>
      </c>
      <c r="O1673" s="13"/>
      <c r="P1673" s="33" t="str">
        <f t="shared" si="498"/>
        <v>MAIN UNIT</v>
      </c>
      <c r="Q1673" s="13" t="s">
        <v>68</v>
      </c>
      <c r="R1673" s="13" t="s">
        <v>62</v>
      </c>
      <c r="S1673" s="13" t="s">
        <v>50</v>
      </c>
      <c r="T1673" s="13" t="s">
        <v>88</v>
      </c>
      <c r="U1673" s="13" t="s">
        <v>70</v>
      </c>
      <c r="V1673" s="13" t="s">
        <v>1010</v>
      </c>
      <c r="W1673" s="13" t="s">
        <v>64</v>
      </c>
      <c r="X1673" s="135">
        <v>585200</v>
      </c>
      <c r="Y1673" s="157" t="str">
        <f>IF(W1673="RMB","1.13", "1")</f>
        <v>1.13</v>
      </c>
      <c r="Z1673" s="18">
        <f t="shared" si="489"/>
        <v>585200</v>
      </c>
      <c r="AA1673" s="13">
        <v>1.1950000000000001</v>
      </c>
      <c r="AB1673" s="21">
        <f t="shared" si="492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493"/>
        <v>499582152.5142017</v>
      </c>
      <c r="AJ1673" s="19">
        <f t="shared" si="494"/>
        <v>59520528.679470733</v>
      </c>
      <c r="AK1673" s="20">
        <f t="shared" si="501"/>
        <v>0.11914062257814291</v>
      </c>
      <c r="AL1673" s="17"/>
      <c r="AM1673" s="17"/>
      <c r="AN1673" s="17"/>
      <c r="AO1673" s="17" t="s">
        <v>2091</v>
      </c>
      <c r="AP1673" s="28" t="str">
        <f t="shared" si="502"/>
        <v>CancelCANCEL</v>
      </c>
      <c r="AQ1673" s="28" t="str">
        <f t="shared" si="503"/>
        <v>CancelCANCELRMB</v>
      </c>
      <c r="AR1673" s="206" t="str">
        <f t="shared" si="504"/>
        <v>YAMAHA_Mounter</v>
      </c>
      <c r="AS1673" s="22" t="str">
        <f t="shared" si="505"/>
        <v/>
      </c>
      <c r="AT1673" s="24" t="str">
        <f t="shared" si="506"/>
        <v/>
      </c>
      <c r="AU1673" s="22" t="s">
        <v>3240</v>
      </c>
    </row>
    <row r="1674" spans="1:47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185</v>
      </c>
      <c r="F1674" s="13" t="s">
        <v>185</v>
      </c>
      <c r="G1674" s="152" t="s">
        <v>1616</v>
      </c>
      <c r="H1674" s="155"/>
      <c r="I1674" s="33" t="str">
        <f t="shared" si="497"/>
        <v>Cancel</v>
      </c>
      <c r="J1674" s="186" t="s">
        <v>2089</v>
      </c>
      <c r="K1674" s="155" t="s">
        <v>2090</v>
      </c>
      <c r="L1674" s="17" t="s">
        <v>67</v>
      </c>
      <c r="M1674" s="13" t="s">
        <v>60</v>
      </c>
      <c r="N1674" s="13">
        <v>1</v>
      </c>
      <c r="O1674" s="13"/>
      <c r="P1674" s="33" t="str">
        <f t="shared" si="498"/>
        <v>MAIN UNIT</v>
      </c>
      <c r="Q1674" s="13" t="s">
        <v>68</v>
      </c>
      <c r="R1674" s="13" t="s">
        <v>62</v>
      </c>
      <c r="S1674" s="13" t="s">
        <v>50</v>
      </c>
      <c r="T1674" s="13" t="s">
        <v>88</v>
      </c>
      <c r="U1674" s="13" t="s">
        <v>70</v>
      </c>
      <c r="V1674" s="13" t="s">
        <v>1010</v>
      </c>
      <c r="W1674" s="13" t="s">
        <v>64</v>
      </c>
      <c r="X1674" s="135">
        <v>585200</v>
      </c>
      <c r="Y1674" s="157" t="str">
        <f>IF(W1674="RMB","1.13", "1")</f>
        <v>1.13</v>
      </c>
      <c r="Z1674" s="18">
        <f t="shared" ref="Z1674:Z1737" si="507">IF(X1674="","",X1674*MAX(O1674,N1674))</f>
        <v>585200</v>
      </c>
      <c r="AA1674" s="13">
        <v>1.1950000000000001</v>
      </c>
      <c r="AB1674" s="21">
        <f t="shared" si="492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493"/>
        <v>499582152.5142017</v>
      </c>
      <c r="AJ1674" s="19">
        <f t="shared" si="494"/>
        <v>59520528.679470733</v>
      </c>
      <c r="AK1674" s="20">
        <f t="shared" si="501"/>
        <v>0.11914062257814291</v>
      </c>
      <c r="AL1674" s="17"/>
      <c r="AM1674" s="17"/>
      <c r="AN1674" s="17"/>
      <c r="AO1674" s="17" t="s">
        <v>2091</v>
      </c>
      <c r="AP1674" s="28" t="str">
        <f t="shared" si="502"/>
        <v>CancelCANCEL</v>
      </c>
      <c r="AQ1674" s="28" t="str">
        <f t="shared" si="503"/>
        <v>CancelCANCELRMB</v>
      </c>
      <c r="AR1674" s="206" t="str">
        <f t="shared" si="504"/>
        <v>YAMAHA_Mounter</v>
      </c>
      <c r="AS1674" s="22" t="str">
        <f t="shared" si="505"/>
        <v/>
      </c>
      <c r="AT1674" s="24" t="str">
        <f t="shared" si="506"/>
        <v/>
      </c>
      <c r="AU1674" s="22" t="s">
        <v>3240</v>
      </c>
    </row>
    <row r="1675" spans="1:47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41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362</v>
      </c>
      <c r="K1675" s="155" t="s">
        <v>363</v>
      </c>
      <c r="L1675" s="17" t="s">
        <v>77</v>
      </c>
      <c r="M1675" s="13" t="s">
        <v>60</v>
      </c>
      <c r="N1675" s="13">
        <v>1</v>
      </c>
      <c r="O1675" s="13"/>
      <c r="P1675" s="33" t="str">
        <f t="shared" si="498"/>
        <v>MAIN UNIT</v>
      </c>
      <c r="Q1675" s="13" t="s">
        <v>68</v>
      </c>
      <c r="R1675" s="13" t="s">
        <v>62</v>
      </c>
      <c r="S1675" s="13" t="s">
        <v>49</v>
      </c>
      <c r="T1675" s="13" t="s">
        <v>78</v>
      </c>
      <c r="U1675" s="13" t="s">
        <v>79</v>
      </c>
      <c r="V1675" s="13" t="s">
        <v>311</v>
      </c>
      <c r="W1675" s="13" t="s">
        <v>109</v>
      </c>
      <c r="X1675" s="135">
        <v>9800000</v>
      </c>
      <c r="Y1675" s="156">
        <v>1</v>
      </c>
      <c r="Z1675" s="18">
        <f t="shared" si="507"/>
        <v>9800000</v>
      </c>
      <c r="AA1675" s="13">
        <v>7.2099999999999997E-2</v>
      </c>
      <c r="AB1675" s="21">
        <f t="shared" si="492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493"/>
        <v>26492741.106427077</v>
      </c>
      <c r="AJ1675" s="19">
        <f t="shared" si="494"/>
        <v>3348032.1325698122</v>
      </c>
      <c r="AK1675" s="20">
        <f t="shared" si="501"/>
        <v>0.12637545201985867</v>
      </c>
      <c r="AL1675" s="17"/>
      <c r="AM1675" s="17"/>
      <c r="AN1675" s="17"/>
      <c r="AO1675" s="17"/>
      <c r="AP1675" s="28" t="str">
        <f t="shared" si="502"/>
        <v>20189</v>
      </c>
      <c r="AQ1675" s="28" t="str">
        <f t="shared" si="503"/>
        <v>20189JPY</v>
      </c>
      <c r="AR1675" s="206" t="str">
        <f t="shared" si="504"/>
        <v>YAMAHA_Mounter</v>
      </c>
      <c r="AS1675" s="22">
        <f t="shared" si="505"/>
        <v>8</v>
      </c>
      <c r="AT1675" s="24" t="str">
        <f t="shared" si="506"/>
        <v>&gt; 6 months</v>
      </c>
      <c r="AU1675" s="22" t="s">
        <v>3745</v>
      </c>
    </row>
    <row r="1676" spans="1:47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54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2206</v>
      </c>
      <c r="K1676" s="155" t="s">
        <v>363</v>
      </c>
      <c r="L1676" s="17" t="s">
        <v>67</v>
      </c>
      <c r="M1676" s="13" t="s">
        <v>60</v>
      </c>
      <c r="N1676" s="13">
        <v>1</v>
      </c>
      <c r="O1676" s="13"/>
      <c r="P1676" s="33" t="str">
        <f t="shared" si="498"/>
        <v>MAIN UNIT</v>
      </c>
      <c r="Q1676" s="13" t="s">
        <v>61</v>
      </c>
      <c r="R1676" s="13" t="s">
        <v>62</v>
      </c>
      <c r="S1676" s="13" t="s">
        <v>49</v>
      </c>
      <c r="T1676" s="13" t="s">
        <v>78</v>
      </c>
      <c r="U1676" s="13" t="s">
        <v>79</v>
      </c>
      <c r="V1676" s="13" t="s">
        <v>311</v>
      </c>
      <c r="W1676" s="13" t="s">
        <v>64</v>
      </c>
      <c r="X1676" s="135">
        <v>460000</v>
      </c>
      <c r="Y1676" s="157" t="str">
        <f>IF(W1676="RMB","1.13", "1")</f>
        <v>1.13</v>
      </c>
      <c r="Z1676" s="18">
        <f t="shared" si="507"/>
        <v>460000</v>
      </c>
      <c r="AA1676" s="13">
        <v>1.175</v>
      </c>
      <c r="AB1676" s="21">
        <f t="shared" si="492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493"/>
        <v>35682787.057522126</v>
      </c>
      <c r="AJ1676" s="19">
        <f t="shared" si="494"/>
        <v>5833368.3789623892</v>
      </c>
      <c r="AK1676" s="20">
        <f t="shared" si="501"/>
        <v>0.16347849649632912</v>
      </c>
      <c r="AL1676" s="17"/>
      <c r="AM1676" s="17"/>
      <c r="AN1676" s="17"/>
      <c r="AO1676" s="17"/>
      <c r="AP1676" s="28" t="str">
        <f t="shared" si="502"/>
        <v>20226</v>
      </c>
      <c r="AQ1676" s="28" t="str">
        <f t="shared" si="503"/>
        <v>20226RMB</v>
      </c>
      <c r="AR1676" s="206" t="str">
        <f t="shared" si="504"/>
        <v>YAMAHA_Mounter</v>
      </c>
      <c r="AS1676" s="22">
        <f t="shared" si="505"/>
        <v>0</v>
      </c>
      <c r="AT1676" s="24" t="str">
        <f t="shared" si="506"/>
        <v>0-3 months</v>
      </c>
      <c r="AU1676" s="22" t="s">
        <v>3751</v>
      </c>
    </row>
    <row r="1677" spans="1:47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47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889</v>
      </c>
      <c r="K1677" s="155" t="s">
        <v>890</v>
      </c>
      <c r="L1677" s="17" t="s">
        <v>92</v>
      </c>
      <c r="M1677" s="13" t="s">
        <v>60</v>
      </c>
      <c r="N1677" s="13">
        <v>1</v>
      </c>
      <c r="O1677" s="13"/>
      <c r="P1677" s="33" t="str">
        <f t="shared" si="498"/>
        <v>MAIN UNIT</v>
      </c>
      <c r="Q1677" s="13" t="s">
        <v>61</v>
      </c>
      <c r="R1677" s="13" t="s">
        <v>62</v>
      </c>
      <c r="S1677" s="13" t="s">
        <v>49</v>
      </c>
      <c r="T1677" s="13" t="s">
        <v>78</v>
      </c>
      <c r="U1677" s="13" t="s">
        <v>79</v>
      </c>
      <c r="V1677" s="13" t="s">
        <v>311</v>
      </c>
      <c r="W1677" s="13" t="s">
        <v>109</v>
      </c>
      <c r="X1677" s="135">
        <v>11000000</v>
      </c>
      <c r="Y1677" s="156">
        <v>1</v>
      </c>
      <c r="Z1677" s="18">
        <f t="shared" si="507"/>
        <v>11000000</v>
      </c>
      <c r="AA1677" s="13">
        <v>7.3499999999999996E-2</v>
      </c>
      <c r="AB1677" s="21">
        <f t="shared" si="492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493"/>
        <v>26147030.909862842</v>
      </c>
      <c r="AJ1677" s="19">
        <f t="shared" si="494"/>
        <v>2743862.8630715334</v>
      </c>
      <c r="AK1677" s="20">
        <f t="shared" si="501"/>
        <v>0.10493974908778378</v>
      </c>
      <c r="AL1677" s="17"/>
      <c r="AM1677" s="17"/>
      <c r="AN1677" s="17"/>
      <c r="AO1677" s="17"/>
      <c r="AP1677" s="28" t="str">
        <f t="shared" si="502"/>
        <v>201911</v>
      </c>
      <c r="AQ1677" s="28" t="str">
        <f t="shared" si="503"/>
        <v>201911JPY</v>
      </c>
      <c r="AR1677" s="206" t="str">
        <f t="shared" si="504"/>
        <v>YAMAHA_Mounter</v>
      </c>
      <c r="AS1677" s="22">
        <f t="shared" si="505"/>
        <v>0</v>
      </c>
      <c r="AT1677" s="24" t="str">
        <f t="shared" si="506"/>
        <v>0-3 months</v>
      </c>
      <c r="AU1677" s="22" t="s">
        <v>3745</v>
      </c>
    </row>
    <row r="1678" spans="1:47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53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1720</v>
      </c>
      <c r="K1678" s="155" t="s">
        <v>1721</v>
      </c>
      <c r="L1678" s="17" t="s">
        <v>92</v>
      </c>
      <c r="M1678" s="13" t="s">
        <v>60</v>
      </c>
      <c r="N1678" s="13">
        <v>1</v>
      </c>
      <c r="O1678" s="13"/>
      <c r="P1678" s="33" t="str">
        <f t="shared" si="498"/>
        <v>MAIN UNIT</v>
      </c>
      <c r="Q1678" s="13" t="s">
        <v>68</v>
      </c>
      <c r="R1678" s="13" t="s">
        <v>62</v>
      </c>
      <c r="S1678" s="13" t="s">
        <v>49</v>
      </c>
      <c r="T1678" s="13" t="s">
        <v>78</v>
      </c>
      <c r="U1678" s="13" t="s">
        <v>79</v>
      </c>
      <c r="V1678" s="13" t="s">
        <v>311</v>
      </c>
      <c r="W1678" s="13" t="s">
        <v>109</v>
      </c>
      <c r="X1678" s="135">
        <v>12700000</v>
      </c>
      <c r="Y1678" s="157" t="str">
        <f>IF(W1678="RMB","1.13", "1")</f>
        <v>1</v>
      </c>
      <c r="Z1678" s="18">
        <f t="shared" si="507"/>
        <v>12700000</v>
      </c>
      <c r="AA1678" s="13">
        <v>7.2800000000000004E-2</v>
      </c>
      <c r="AB1678" s="21">
        <f t="shared" si="492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493"/>
        <v>63006605.696460173</v>
      </c>
      <c r="AJ1678" s="19">
        <f t="shared" si="494"/>
        <v>8897485.660753984</v>
      </c>
      <c r="AK1678" s="20">
        <f t="shared" si="501"/>
        <v>0.141215124388995</v>
      </c>
      <c r="AL1678" s="17"/>
      <c r="AM1678" s="17"/>
      <c r="AN1678" s="17"/>
      <c r="AO1678" s="17"/>
      <c r="AP1678" s="28" t="str">
        <f t="shared" si="502"/>
        <v>20215</v>
      </c>
      <c r="AQ1678" s="28" t="str">
        <f t="shared" si="503"/>
        <v>20215JPY</v>
      </c>
      <c r="AR1678" s="206" t="str">
        <f t="shared" si="504"/>
        <v>YAMAHA_Mounter</v>
      </c>
      <c r="AS1678" s="22">
        <f t="shared" si="505"/>
        <v>3</v>
      </c>
      <c r="AT1678" s="24" t="str">
        <f t="shared" si="506"/>
        <v>0-3 months</v>
      </c>
      <c r="AU1678" s="22" t="s">
        <v>3745</v>
      </c>
    </row>
    <row r="1679" spans="1:47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53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1902</v>
      </c>
      <c r="K1679" s="155" t="s">
        <v>1721</v>
      </c>
      <c r="L1679" s="17" t="s">
        <v>92</v>
      </c>
      <c r="M1679" s="13" t="s">
        <v>60</v>
      </c>
      <c r="N1679" s="13">
        <v>1</v>
      </c>
      <c r="O1679" s="13"/>
      <c r="P1679" s="33" t="str">
        <f t="shared" si="498"/>
        <v>MAIN UNIT</v>
      </c>
      <c r="Q1679" s="13" t="s">
        <v>61</v>
      </c>
      <c r="R1679" s="13" t="s">
        <v>62</v>
      </c>
      <c r="S1679" s="13" t="s">
        <v>49</v>
      </c>
      <c r="T1679" s="13" t="s">
        <v>78</v>
      </c>
      <c r="U1679" s="13" t="s">
        <v>79</v>
      </c>
      <c r="V1679" s="13" t="s">
        <v>311</v>
      </c>
      <c r="W1679" s="13" t="s">
        <v>109</v>
      </c>
      <c r="X1679" s="135">
        <v>14000000</v>
      </c>
      <c r="Y1679" s="157" t="str">
        <f>IF(W1679="RMB","1.13", "1")</f>
        <v>1</v>
      </c>
      <c r="Z1679" s="18">
        <f t="shared" si="507"/>
        <v>14000000</v>
      </c>
      <c r="AA1679" s="13">
        <v>7.0000000000000007E-2</v>
      </c>
      <c r="AB1679" s="21">
        <f t="shared" si="492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493"/>
        <v>29500529.005044252</v>
      </c>
      <c r="AJ1679" s="19">
        <f t="shared" si="494"/>
        <v>3253064.846231177</v>
      </c>
      <c r="AK1679" s="20">
        <f t="shared" si="501"/>
        <v>0.11027140718984871</v>
      </c>
      <c r="AL1679" s="17"/>
      <c r="AM1679" s="17"/>
      <c r="AN1679" s="17"/>
      <c r="AO1679" s="17"/>
      <c r="AP1679" s="28" t="str">
        <f t="shared" si="502"/>
        <v>202111</v>
      </c>
      <c r="AQ1679" s="28" t="str">
        <f t="shared" si="503"/>
        <v>202111JPY</v>
      </c>
      <c r="AR1679" s="206" t="str">
        <f t="shared" si="504"/>
        <v>YAMAHA_Mounter</v>
      </c>
      <c r="AS1679" s="22">
        <f t="shared" si="505"/>
        <v>3</v>
      </c>
      <c r="AT1679" s="24" t="str">
        <f t="shared" si="506"/>
        <v>0-3 months</v>
      </c>
      <c r="AU1679" s="22" t="s">
        <v>3745</v>
      </c>
    </row>
    <row r="1680" spans="1:47" s="12" customFormat="1">
      <c r="A1680" s="33" t="str">
        <f t="shared" si="495"/>
        <v>cancel</v>
      </c>
      <c r="B1680" s="152"/>
      <c r="C1680" s="152" t="s">
        <v>185</v>
      </c>
      <c r="D1680" s="33" t="str">
        <f t="shared" si="496"/>
        <v/>
      </c>
      <c r="E1680" s="33" t="s">
        <v>185</v>
      </c>
      <c r="F1680" s="13" t="s">
        <v>185</v>
      </c>
      <c r="G1680" s="152" t="s">
        <v>185</v>
      </c>
      <c r="H1680" s="155"/>
      <c r="I1680" s="33" t="str">
        <f t="shared" si="497"/>
        <v>Cancel</v>
      </c>
      <c r="J1680" s="186" t="s">
        <v>2709</v>
      </c>
      <c r="K1680" s="155" t="s">
        <v>1721</v>
      </c>
      <c r="L1680" s="17" t="s">
        <v>92</v>
      </c>
      <c r="M1680" s="13" t="s">
        <v>60</v>
      </c>
      <c r="N1680" s="13">
        <v>1</v>
      </c>
      <c r="O1680" s="13"/>
      <c r="P1680" s="33" t="str">
        <f t="shared" si="498"/>
        <v>MAIN UNIT</v>
      </c>
      <c r="Q1680" s="13" t="s">
        <v>68</v>
      </c>
      <c r="R1680" s="13" t="s">
        <v>62</v>
      </c>
      <c r="S1680" s="13" t="s">
        <v>49</v>
      </c>
      <c r="T1680" s="13" t="s">
        <v>78</v>
      </c>
      <c r="U1680" s="13" t="s">
        <v>79</v>
      </c>
      <c r="V1680" s="13" t="s">
        <v>311</v>
      </c>
      <c r="W1680" s="13" t="s">
        <v>109</v>
      </c>
      <c r="X1680" s="135">
        <v>11998800</v>
      </c>
      <c r="Y1680" s="156">
        <v>1</v>
      </c>
      <c r="Z1680" s="18">
        <f t="shared" si="507"/>
        <v>11998800</v>
      </c>
      <c r="AA1680" s="13">
        <v>7.3599999999999999E-2</v>
      </c>
      <c r="AB1680" s="21">
        <f t="shared" si="492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493"/>
        <v>499582152.5142017</v>
      </c>
      <c r="AJ1680" s="19">
        <f t="shared" si="494"/>
        <v>59520528.679470733</v>
      </c>
      <c r="AK1680" s="20">
        <f t="shared" si="501"/>
        <v>0.11914062257814291</v>
      </c>
      <c r="AL1680" s="17"/>
      <c r="AM1680" s="17"/>
      <c r="AN1680" s="17"/>
      <c r="AO1680" s="17"/>
      <c r="AP1680" s="28" t="str">
        <f t="shared" si="502"/>
        <v>CancelCancel</v>
      </c>
      <c r="AQ1680" s="28" t="str">
        <f t="shared" si="503"/>
        <v>CancelCancelJPY</v>
      </c>
      <c r="AR1680" s="206" t="str">
        <f t="shared" si="504"/>
        <v>YAMAHA_Mounter</v>
      </c>
      <c r="AS1680" s="22" t="str">
        <f t="shared" si="505"/>
        <v/>
      </c>
      <c r="AT1680" s="24" t="str">
        <f t="shared" si="506"/>
        <v/>
      </c>
      <c r="AU1680" s="22" t="s">
        <v>3745</v>
      </c>
    </row>
    <row r="1681" spans="1:47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53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1872</v>
      </c>
      <c r="K1681" s="155" t="s">
        <v>1873</v>
      </c>
      <c r="L1681" s="17" t="s">
        <v>92</v>
      </c>
      <c r="M1681" s="13" t="s">
        <v>60</v>
      </c>
      <c r="N1681" s="13">
        <v>1</v>
      </c>
      <c r="O1681" s="13"/>
      <c r="P1681" s="33" t="str">
        <f t="shared" si="498"/>
        <v>MAIN UNIT</v>
      </c>
      <c r="Q1681" s="13" t="s">
        <v>68</v>
      </c>
      <c r="R1681" s="13" t="s">
        <v>62</v>
      </c>
      <c r="S1681" s="13" t="s">
        <v>49</v>
      </c>
      <c r="T1681" s="13" t="s">
        <v>78</v>
      </c>
      <c r="U1681" s="13" t="s">
        <v>79</v>
      </c>
      <c r="V1681" s="13" t="s">
        <v>131</v>
      </c>
      <c r="W1681" s="13" t="s">
        <v>109</v>
      </c>
      <c r="X1681" s="135">
        <v>13500000</v>
      </c>
      <c r="Y1681" s="157" t="str">
        <f>IF(W1681="RMB","1.13", "1")</f>
        <v>1</v>
      </c>
      <c r="Z1681" s="18">
        <f t="shared" si="507"/>
        <v>13500000</v>
      </c>
      <c r="AA1681" s="13">
        <v>7.0999999999999994E-2</v>
      </c>
      <c r="AB1681" s="21">
        <f t="shared" si="492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493"/>
        <v>15533177.71460177</v>
      </c>
      <c r="AJ1681" s="19">
        <f t="shared" si="494"/>
        <v>1819298.5437526547</v>
      </c>
      <c r="AK1681" s="20">
        <f t="shared" si="501"/>
        <v>0.11712339723265033</v>
      </c>
      <c r="AL1681" s="17"/>
      <c r="AM1681" s="17"/>
      <c r="AN1681" s="17"/>
      <c r="AO1681" s="17"/>
      <c r="AP1681" s="28" t="str">
        <f t="shared" si="502"/>
        <v>202110</v>
      </c>
      <c r="AQ1681" s="28" t="str">
        <f t="shared" si="503"/>
        <v>202110JPY</v>
      </c>
      <c r="AR1681" s="206" t="str">
        <f t="shared" si="504"/>
        <v>YAMAHA_Mounter</v>
      </c>
      <c r="AS1681" s="22">
        <f t="shared" si="505"/>
        <v>6</v>
      </c>
      <c r="AT1681" s="24" t="str">
        <f t="shared" si="506"/>
        <v>4-6 months</v>
      </c>
      <c r="AU1681" s="22" t="s">
        <v>3746</v>
      </c>
    </row>
    <row r="1682" spans="1:47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53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1872</v>
      </c>
      <c r="K1682" s="155" t="s">
        <v>1873</v>
      </c>
      <c r="L1682" s="17" t="s">
        <v>67</v>
      </c>
      <c r="M1682" s="13" t="s">
        <v>60</v>
      </c>
      <c r="N1682" s="13">
        <v>1</v>
      </c>
      <c r="O1682" s="13"/>
      <c r="P1682" s="33" t="str">
        <f t="shared" si="498"/>
        <v>MAIN UNIT</v>
      </c>
      <c r="Q1682" s="13" t="s">
        <v>68</v>
      </c>
      <c r="R1682" s="13" t="s">
        <v>62</v>
      </c>
      <c r="S1682" s="13" t="s">
        <v>49</v>
      </c>
      <c r="T1682" s="13" t="s">
        <v>78</v>
      </c>
      <c r="U1682" s="13" t="s">
        <v>79</v>
      </c>
      <c r="V1682" s="13" t="s">
        <v>131</v>
      </c>
      <c r="W1682" s="13" t="s">
        <v>109</v>
      </c>
      <c r="X1682" s="135">
        <v>8900000</v>
      </c>
      <c r="Y1682" s="157" t="str">
        <f>IF(W1682="RMB","1.13", "1")</f>
        <v>1</v>
      </c>
      <c r="Z1682" s="18">
        <f t="shared" si="507"/>
        <v>8900000</v>
      </c>
      <c r="AA1682" s="13">
        <v>6.9199999999999998E-2</v>
      </c>
      <c r="AB1682" s="21">
        <f t="shared" si="492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493"/>
        <v>28726768.133805312</v>
      </c>
      <c r="AJ1682" s="19">
        <f t="shared" si="494"/>
        <v>3853638.1988864429</v>
      </c>
      <c r="AK1682" s="20">
        <f t="shared" si="501"/>
        <v>0.1341479898099476</v>
      </c>
      <c r="AL1682" s="17"/>
      <c r="AM1682" s="17"/>
      <c r="AN1682" s="17"/>
      <c r="AO1682" s="17"/>
      <c r="AP1682" s="28" t="str">
        <f t="shared" si="502"/>
        <v>20223</v>
      </c>
      <c r="AQ1682" s="28" t="str">
        <f t="shared" si="503"/>
        <v>20223JPY</v>
      </c>
      <c r="AR1682" s="206" t="str">
        <f t="shared" si="504"/>
        <v>YAMAHA_Mounter</v>
      </c>
      <c r="AS1682" s="22">
        <f t="shared" si="505"/>
        <v>11</v>
      </c>
      <c r="AT1682" s="24" t="str">
        <f t="shared" si="506"/>
        <v>&gt; 6 months</v>
      </c>
      <c r="AU1682" s="22" t="s">
        <v>3746</v>
      </c>
    </row>
    <row r="1683" spans="1:47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41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456</v>
      </c>
      <c r="K1683" s="155" t="s">
        <v>457</v>
      </c>
      <c r="L1683" s="17" t="s">
        <v>67</v>
      </c>
      <c r="M1683" s="13" t="s">
        <v>60</v>
      </c>
      <c r="N1683" s="13">
        <v>2</v>
      </c>
      <c r="O1683" s="13"/>
      <c r="P1683" s="33" t="str">
        <f t="shared" si="498"/>
        <v>MAIN UNIT</v>
      </c>
      <c r="Q1683" s="13" t="s">
        <v>68</v>
      </c>
      <c r="R1683" s="13" t="s">
        <v>62</v>
      </c>
      <c r="S1683" s="13" t="s">
        <v>49</v>
      </c>
      <c r="T1683" s="13" t="s">
        <v>444</v>
      </c>
      <c r="U1683" s="13" t="s">
        <v>79</v>
      </c>
      <c r="V1683" s="13" t="s">
        <v>112</v>
      </c>
      <c r="W1683" s="13" t="s">
        <v>109</v>
      </c>
      <c r="X1683" s="135">
        <v>9071880</v>
      </c>
      <c r="Y1683" s="156">
        <v>1</v>
      </c>
      <c r="Z1683" s="18">
        <f t="shared" si="507"/>
        <v>18143760</v>
      </c>
      <c r="AA1683" s="13">
        <v>7.2300000000000003E-2</v>
      </c>
      <c r="AB1683" s="21">
        <f t="shared" si="492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493"/>
        <v>34109166.105589926</v>
      </c>
      <c r="AJ1683" s="19">
        <f t="shared" si="494"/>
        <v>4642032.7199573703</v>
      </c>
      <c r="AK1683" s="20">
        <f t="shared" si="501"/>
        <v>0.13609340977692849</v>
      </c>
      <c r="AL1683" s="17"/>
      <c r="AM1683" s="17"/>
      <c r="AN1683" s="17"/>
      <c r="AO1683" s="17"/>
      <c r="AP1683" s="28" t="str">
        <f t="shared" si="502"/>
        <v>20185</v>
      </c>
      <c r="AQ1683" s="28" t="str">
        <f t="shared" si="503"/>
        <v>20185JPY</v>
      </c>
      <c r="AR1683" s="206" t="str">
        <f t="shared" si="504"/>
        <v>YAMAHA_Mounter</v>
      </c>
      <c r="AS1683" s="22">
        <f t="shared" si="505"/>
        <v>2</v>
      </c>
      <c r="AT1683" s="24" t="str">
        <f t="shared" si="506"/>
        <v>0-3 months</v>
      </c>
      <c r="AU1683" s="22" t="s">
        <v>3745</v>
      </c>
    </row>
    <row r="1684" spans="1:47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185</v>
      </c>
      <c r="F1684" s="13" t="s">
        <v>185</v>
      </c>
      <c r="G1684" s="152" t="s">
        <v>185</v>
      </c>
      <c r="H1684" s="155"/>
      <c r="I1684" s="33" t="str">
        <f t="shared" si="497"/>
        <v>Cancel</v>
      </c>
      <c r="J1684" s="186" t="s">
        <v>623</v>
      </c>
      <c r="K1684" s="155" t="s">
        <v>624</v>
      </c>
      <c r="L1684" s="17" t="s">
        <v>67</v>
      </c>
      <c r="M1684" s="13" t="s">
        <v>60</v>
      </c>
      <c r="N1684" s="13">
        <v>2</v>
      </c>
      <c r="O1684" s="13"/>
      <c r="P1684" s="33" t="str">
        <f t="shared" si="498"/>
        <v>MAIN UNIT</v>
      </c>
      <c r="Q1684" s="13" t="s">
        <v>68</v>
      </c>
      <c r="R1684" s="13" t="s">
        <v>62</v>
      </c>
      <c r="S1684" s="13" t="s">
        <v>49</v>
      </c>
      <c r="T1684" s="13" t="s">
        <v>444</v>
      </c>
      <c r="U1684" s="13" t="s">
        <v>79</v>
      </c>
      <c r="V1684" s="13" t="s">
        <v>112</v>
      </c>
      <c r="W1684" s="13" t="s">
        <v>109</v>
      </c>
      <c r="X1684" s="135">
        <v>9071880</v>
      </c>
      <c r="Y1684" s="156">
        <v>1</v>
      </c>
      <c r="Z1684" s="18">
        <f t="shared" si="507"/>
        <v>18143760</v>
      </c>
      <c r="AA1684" s="13">
        <v>7.3200000000000001E-2</v>
      </c>
      <c r="AB1684" s="21">
        <f t="shared" si="492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493"/>
        <v>499582152.5142017</v>
      </c>
      <c r="AJ1684" s="19">
        <f t="shared" si="494"/>
        <v>59520528.679470733</v>
      </c>
      <c r="AK1684" s="20">
        <f t="shared" si="501"/>
        <v>0.11914062257814291</v>
      </c>
      <c r="AL1684" s="17"/>
      <c r="AM1684" s="17"/>
      <c r="AN1684" s="17"/>
      <c r="AO1684" s="17"/>
      <c r="AP1684" s="28" t="str">
        <f t="shared" si="502"/>
        <v>CancelCancel</v>
      </c>
      <c r="AQ1684" s="28" t="str">
        <f t="shared" si="503"/>
        <v>CancelCancelJPY</v>
      </c>
      <c r="AR1684" s="206" t="str">
        <f t="shared" si="504"/>
        <v>YAMAHA_Mounter</v>
      </c>
      <c r="AS1684" s="22" t="str">
        <f t="shared" si="505"/>
        <v/>
      </c>
      <c r="AT1684" s="24" t="str">
        <f t="shared" si="506"/>
        <v/>
      </c>
      <c r="AU1684" s="22" t="s">
        <v>3745</v>
      </c>
    </row>
    <row r="1685" spans="1:47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48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1651</v>
      </c>
      <c r="K1685" s="155" t="s">
        <v>624</v>
      </c>
      <c r="L1685" s="17" t="s">
        <v>67</v>
      </c>
      <c r="M1685" s="13" t="s">
        <v>60</v>
      </c>
      <c r="N1685" s="13">
        <v>1</v>
      </c>
      <c r="O1685" s="13"/>
      <c r="P1685" s="33" t="str">
        <f t="shared" si="498"/>
        <v>MAIN UNIT</v>
      </c>
      <c r="Q1685" s="13" t="s">
        <v>61</v>
      </c>
      <c r="R1685" s="13" t="s">
        <v>62</v>
      </c>
      <c r="S1685" s="13" t="s">
        <v>49</v>
      </c>
      <c r="T1685" s="13" t="s">
        <v>78</v>
      </c>
      <c r="U1685" s="13" t="s">
        <v>79</v>
      </c>
      <c r="V1685" s="13" t="s">
        <v>112</v>
      </c>
      <c r="W1685" s="13" t="s">
        <v>109</v>
      </c>
      <c r="X1685" s="135">
        <v>7100000</v>
      </c>
      <c r="Y1685" s="157" t="str">
        <f>IF(W1685="RMB","1.13", "1")</f>
        <v>1</v>
      </c>
      <c r="Z1685" s="18">
        <f t="shared" si="507"/>
        <v>7100000</v>
      </c>
      <c r="AA1685" s="13">
        <v>7.5700000000000003E-2</v>
      </c>
      <c r="AB1685" s="21">
        <f t="shared" si="492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493"/>
        <v>31097187.02948761</v>
      </c>
      <c r="AJ1685" s="19">
        <f t="shared" si="494"/>
        <v>3892353.6644401965</v>
      </c>
      <c r="AK1685" s="20">
        <f t="shared" si="501"/>
        <v>0.12516738767237401</v>
      </c>
      <c r="AL1685" s="17"/>
      <c r="AM1685" s="17"/>
      <c r="AN1685" s="17"/>
      <c r="AO1685" s="17"/>
      <c r="AP1685" s="28" t="str">
        <f t="shared" si="502"/>
        <v>20212</v>
      </c>
      <c r="AQ1685" s="28" t="str">
        <f t="shared" si="503"/>
        <v>20212JPY</v>
      </c>
      <c r="AR1685" s="206" t="str">
        <f t="shared" si="504"/>
        <v>YAMAHA_Mounter</v>
      </c>
      <c r="AS1685" s="22">
        <f t="shared" si="505"/>
        <v>1</v>
      </c>
      <c r="AT1685" s="24" t="str">
        <f t="shared" si="506"/>
        <v>0-3 months</v>
      </c>
      <c r="AU1685" s="22" t="s">
        <v>3745</v>
      </c>
    </row>
    <row r="1686" spans="1:47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47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661</v>
      </c>
      <c r="K1686" s="155" t="s">
        <v>662</v>
      </c>
      <c r="L1686" s="17" t="s">
        <v>67</v>
      </c>
      <c r="M1686" s="13" t="s">
        <v>60</v>
      </c>
      <c r="N1686" s="13">
        <v>1</v>
      </c>
      <c r="O1686" s="13"/>
      <c r="P1686" s="33" t="str">
        <f t="shared" si="498"/>
        <v>MAIN UNIT</v>
      </c>
      <c r="Q1686" s="13" t="s">
        <v>68</v>
      </c>
      <c r="R1686" s="13" t="s">
        <v>62</v>
      </c>
      <c r="S1686" s="13" t="s">
        <v>49</v>
      </c>
      <c r="T1686" s="13" t="s">
        <v>78</v>
      </c>
      <c r="U1686" s="13" t="s">
        <v>79</v>
      </c>
      <c r="V1686" s="13" t="s">
        <v>134</v>
      </c>
      <c r="W1686" s="13" t="s">
        <v>109</v>
      </c>
      <c r="X1686" s="135">
        <v>10000000</v>
      </c>
      <c r="Y1686" s="156">
        <v>1</v>
      </c>
      <c r="Z1686" s="18">
        <f t="shared" si="507"/>
        <v>10000000</v>
      </c>
      <c r="AA1686" s="13">
        <v>7.2300000000000003E-2</v>
      </c>
      <c r="AB1686" s="21">
        <f t="shared" si="492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493"/>
        <v>32843736.557277881</v>
      </c>
      <c r="AJ1686" s="19">
        <f t="shared" si="494"/>
        <v>3921470.6822663117</v>
      </c>
      <c r="AK1686" s="20">
        <f t="shared" si="501"/>
        <v>0.11939782416131177</v>
      </c>
      <c r="AL1686" s="17"/>
      <c r="AM1686" s="17"/>
      <c r="AN1686" s="17"/>
      <c r="AO1686" s="17"/>
      <c r="AP1686" s="28" t="str">
        <f t="shared" si="502"/>
        <v>20194</v>
      </c>
      <c r="AQ1686" s="28" t="str">
        <f t="shared" si="503"/>
        <v>20194JPY</v>
      </c>
      <c r="AR1686" s="206" t="str">
        <f t="shared" si="504"/>
        <v>YAMAHA_Mounter</v>
      </c>
      <c r="AS1686" s="22">
        <f t="shared" si="505"/>
        <v>1</v>
      </c>
      <c r="AT1686" s="24" t="str">
        <f t="shared" si="506"/>
        <v>0-3 months</v>
      </c>
      <c r="AU1686" s="22" t="s">
        <v>3745</v>
      </c>
    </row>
    <row r="1687" spans="1:47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47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661</v>
      </c>
      <c r="K1687" s="155" t="s">
        <v>662</v>
      </c>
      <c r="L1687" s="17" t="s">
        <v>92</v>
      </c>
      <c r="M1687" s="13" t="s">
        <v>60</v>
      </c>
      <c r="N1687" s="13">
        <v>1</v>
      </c>
      <c r="O1687" s="13"/>
      <c r="P1687" s="33" t="str">
        <f t="shared" si="498"/>
        <v>MAIN UNIT</v>
      </c>
      <c r="Q1687" s="13" t="s">
        <v>68</v>
      </c>
      <c r="R1687" s="13" t="s">
        <v>62</v>
      </c>
      <c r="S1687" s="13" t="s">
        <v>49</v>
      </c>
      <c r="T1687" s="13" t="s">
        <v>78</v>
      </c>
      <c r="U1687" s="13" t="s">
        <v>79</v>
      </c>
      <c r="V1687" s="13" t="s">
        <v>134</v>
      </c>
      <c r="W1687" s="13" t="s">
        <v>109</v>
      </c>
      <c r="X1687" s="135">
        <v>13000000</v>
      </c>
      <c r="Y1687" s="156">
        <v>1</v>
      </c>
      <c r="Z1687" s="18">
        <f t="shared" si="507"/>
        <v>13000000</v>
      </c>
      <c r="AA1687" s="13">
        <v>7.2300000000000003E-2</v>
      </c>
      <c r="AB1687" s="21">
        <f t="shared" si="492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493"/>
        <v>32843736.557277881</v>
      </c>
      <c r="AJ1687" s="19">
        <f t="shared" si="494"/>
        <v>3921470.6822663117</v>
      </c>
      <c r="AK1687" s="20">
        <f t="shared" si="501"/>
        <v>0.11939782416131177</v>
      </c>
      <c r="AL1687" s="17"/>
      <c r="AM1687" s="17"/>
      <c r="AN1687" s="17"/>
      <c r="AO1687" s="17"/>
      <c r="AP1687" s="28" t="str">
        <f t="shared" si="502"/>
        <v>20194</v>
      </c>
      <c r="AQ1687" s="28" t="str">
        <f t="shared" si="503"/>
        <v>20194JPY</v>
      </c>
      <c r="AR1687" s="206" t="str">
        <f t="shared" si="504"/>
        <v>YAMAHA_Mounter</v>
      </c>
      <c r="AS1687" s="22">
        <f t="shared" si="505"/>
        <v>1</v>
      </c>
      <c r="AT1687" s="24" t="str">
        <f t="shared" si="506"/>
        <v>0-3 months</v>
      </c>
      <c r="AU1687" s="22" t="s">
        <v>3745</v>
      </c>
    </row>
    <row r="1688" spans="1:47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47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817</v>
      </c>
      <c r="K1688" s="155" t="s">
        <v>818</v>
      </c>
      <c r="L1688" s="17" t="s">
        <v>92</v>
      </c>
      <c r="M1688" s="13" t="s">
        <v>60</v>
      </c>
      <c r="N1688" s="13">
        <v>1</v>
      </c>
      <c r="O1688" s="13"/>
      <c r="P1688" s="33" t="str">
        <f t="shared" si="498"/>
        <v>MAIN UNIT</v>
      </c>
      <c r="Q1688" s="13" t="s">
        <v>61</v>
      </c>
      <c r="R1688" s="13" t="s">
        <v>701</v>
      </c>
      <c r="S1688" s="13" t="s">
        <v>49</v>
      </c>
      <c r="T1688" s="13" t="s">
        <v>78</v>
      </c>
      <c r="U1688" s="13" t="s">
        <v>79</v>
      </c>
      <c r="V1688" s="13" t="s">
        <v>780</v>
      </c>
      <c r="W1688" s="13" t="s">
        <v>773</v>
      </c>
      <c r="X1688" s="135">
        <v>1010000</v>
      </c>
      <c r="Y1688" s="156">
        <v>1.1299999999999999</v>
      </c>
      <c r="Z1688" s="18">
        <f t="shared" si="507"/>
        <v>1010000</v>
      </c>
      <c r="AA1688" s="13">
        <v>1.135</v>
      </c>
      <c r="AB1688" s="21">
        <f t="shared" si="492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493"/>
        <v>31296887.037898075</v>
      </c>
      <c r="AJ1688" s="19">
        <f t="shared" si="494"/>
        <v>3588873.9502021763</v>
      </c>
      <c r="AK1688" s="20">
        <f t="shared" si="501"/>
        <v>0.11467191436184473</v>
      </c>
      <c r="AL1688" s="17"/>
      <c r="AM1688" s="17"/>
      <c r="AN1688" s="17"/>
      <c r="AO1688" s="17"/>
      <c r="AP1688" s="28" t="str">
        <f t="shared" si="502"/>
        <v>20196</v>
      </c>
      <c r="AQ1688" s="28" t="str">
        <f t="shared" si="503"/>
        <v>20196RMB</v>
      </c>
      <c r="AR1688" s="206" t="str">
        <f t="shared" si="504"/>
        <v>YAMAHA_Mounter</v>
      </c>
      <c r="AS1688" s="22">
        <f t="shared" si="505"/>
        <v>0</v>
      </c>
      <c r="AT1688" s="24" t="str">
        <f t="shared" si="506"/>
        <v>0-3 months</v>
      </c>
      <c r="AU1688" s="22" t="s">
        <v>3744</v>
      </c>
    </row>
    <row r="1689" spans="1:47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53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1679</v>
      </c>
      <c r="K1689" s="155" t="s">
        <v>1680</v>
      </c>
      <c r="L1689" s="17" t="s">
        <v>92</v>
      </c>
      <c r="M1689" s="13" t="s">
        <v>60</v>
      </c>
      <c r="N1689" s="13">
        <v>1</v>
      </c>
      <c r="O1689" s="13"/>
      <c r="P1689" s="33" t="str">
        <f t="shared" si="498"/>
        <v>MAIN UNIT</v>
      </c>
      <c r="Q1689" s="13" t="s">
        <v>61</v>
      </c>
      <c r="R1689" s="13" t="s">
        <v>62</v>
      </c>
      <c r="S1689" s="13" t="s">
        <v>49</v>
      </c>
      <c r="T1689" s="13" t="s">
        <v>78</v>
      </c>
      <c r="U1689" s="13" t="s">
        <v>79</v>
      </c>
      <c r="V1689" s="13" t="s">
        <v>1516</v>
      </c>
      <c r="W1689" s="13" t="s">
        <v>109</v>
      </c>
      <c r="X1689" s="135">
        <v>14200000</v>
      </c>
      <c r="Y1689" s="157" t="str">
        <f>IF(W1689="RMB","1.13", "1")</f>
        <v>1</v>
      </c>
      <c r="Z1689" s="18">
        <f t="shared" si="507"/>
        <v>14200000</v>
      </c>
      <c r="AA1689" s="13">
        <v>7.17E-2</v>
      </c>
      <c r="AB1689" s="21">
        <f t="shared" si="492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493"/>
        <v>43684091.636631854</v>
      </c>
      <c r="AJ1689" s="19">
        <f t="shared" si="494"/>
        <v>6483951.8242071122</v>
      </c>
      <c r="AK1689" s="20">
        <f t="shared" si="501"/>
        <v>0.14842821680123736</v>
      </c>
      <c r="AL1689" s="17"/>
      <c r="AM1689" s="17"/>
      <c r="AN1689" s="17"/>
      <c r="AO1689" s="17"/>
      <c r="AP1689" s="28" t="str">
        <f t="shared" si="502"/>
        <v>20214</v>
      </c>
      <c r="AQ1689" s="28" t="str">
        <f t="shared" si="503"/>
        <v>20214JPY</v>
      </c>
      <c r="AR1689" s="206" t="str">
        <f t="shared" si="504"/>
        <v>YAMAHA_Mounter</v>
      </c>
      <c r="AS1689" s="22">
        <f t="shared" si="505"/>
        <v>2</v>
      </c>
      <c r="AT1689" s="24" t="str">
        <f t="shared" si="506"/>
        <v>0-3 months</v>
      </c>
      <c r="AU1689" s="22" t="s">
        <v>3745</v>
      </c>
    </row>
    <row r="1690" spans="1:47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54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2270</v>
      </c>
      <c r="K1690" s="155" t="s">
        <v>1680</v>
      </c>
      <c r="L1690" s="17" t="s">
        <v>67</v>
      </c>
      <c r="M1690" s="13" t="s">
        <v>60</v>
      </c>
      <c r="N1690" s="13">
        <v>1</v>
      </c>
      <c r="O1690" s="13"/>
      <c r="P1690" s="33" t="str">
        <f t="shared" si="498"/>
        <v>MAIN UNIT</v>
      </c>
      <c r="Q1690" s="13" t="s">
        <v>61</v>
      </c>
      <c r="R1690" s="13" t="s">
        <v>62</v>
      </c>
      <c r="S1690" s="13" t="s">
        <v>49</v>
      </c>
      <c r="T1690" s="13" t="s">
        <v>78</v>
      </c>
      <c r="U1690" s="13" t="s">
        <v>79</v>
      </c>
      <c r="V1690" s="13" t="s">
        <v>1407</v>
      </c>
      <c r="W1690" s="13" t="s">
        <v>109</v>
      </c>
      <c r="X1690" s="135">
        <v>11200000</v>
      </c>
      <c r="Y1690" s="157" t="str">
        <f>IF(W1690="RMB","1.13", "1")</f>
        <v>1</v>
      </c>
      <c r="Z1690" s="18">
        <f t="shared" si="507"/>
        <v>11200000</v>
      </c>
      <c r="AA1690" s="13">
        <v>5.7799999999999997E-2</v>
      </c>
      <c r="AB1690" s="21">
        <f t="shared" si="492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493"/>
        <v>15948576.102654871</v>
      </c>
      <c r="AJ1690" s="19">
        <f t="shared" si="494"/>
        <v>2739848.7004853105</v>
      </c>
      <c r="AK1690" s="20">
        <f t="shared" si="501"/>
        <v>0.17179268436567344</v>
      </c>
      <c r="AL1690" s="17"/>
      <c r="AM1690" s="17"/>
      <c r="AN1690" s="17"/>
      <c r="AO1690" s="17"/>
      <c r="AP1690" s="28" t="str">
        <f t="shared" si="502"/>
        <v>20229</v>
      </c>
      <c r="AQ1690" s="28" t="str">
        <f t="shared" si="503"/>
        <v>20229JPY</v>
      </c>
      <c r="AR1690" s="206" t="str">
        <f t="shared" si="504"/>
        <v>YAMAHA_Mounter</v>
      </c>
      <c r="AS1690" s="22">
        <f t="shared" si="505"/>
        <v>8</v>
      </c>
      <c r="AT1690" s="24" t="str">
        <f t="shared" si="506"/>
        <v>&gt; 6 months</v>
      </c>
      <c r="AU1690" s="22" t="s">
        <v>3745</v>
      </c>
    </row>
    <row r="1691" spans="1:47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47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792</v>
      </c>
      <c r="K1691" s="155" t="s">
        <v>793</v>
      </c>
      <c r="L1691" s="17" t="s">
        <v>67</v>
      </c>
      <c r="M1691" s="13" t="s">
        <v>60</v>
      </c>
      <c r="N1691" s="13">
        <v>1</v>
      </c>
      <c r="O1691" s="13"/>
      <c r="P1691" s="33" t="str">
        <f t="shared" si="498"/>
        <v>MAIN UNIT</v>
      </c>
      <c r="Q1691" s="13" t="s">
        <v>68</v>
      </c>
      <c r="R1691" s="13" t="s">
        <v>62</v>
      </c>
      <c r="S1691" s="13" t="s">
        <v>49</v>
      </c>
      <c r="T1691" s="13" t="s">
        <v>78</v>
      </c>
      <c r="U1691" s="13" t="s">
        <v>79</v>
      </c>
      <c r="V1691" s="13" t="s">
        <v>134</v>
      </c>
      <c r="W1691" s="13" t="s">
        <v>64</v>
      </c>
      <c r="X1691" s="135">
        <v>720000</v>
      </c>
      <c r="Y1691" s="156">
        <v>1.1299999999999999</v>
      </c>
      <c r="Z1691" s="18">
        <f t="shared" si="507"/>
        <v>720000</v>
      </c>
      <c r="AA1691" s="13">
        <v>1.135</v>
      </c>
      <c r="AB1691" s="21">
        <f t="shared" si="492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493"/>
        <v>34015877.71150443</v>
      </c>
      <c r="AJ1691" s="19">
        <f t="shared" si="494"/>
        <v>4446292.375441948</v>
      </c>
      <c r="AK1691" s="20">
        <f t="shared" si="501"/>
        <v>0.13071226364205143</v>
      </c>
      <c r="AL1691" s="17"/>
      <c r="AM1691" s="17"/>
      <c r="AN1691" s="17"/>
      <c r="AO1691" s="17"/>
      <c r="AP1691" s="28" t="str">
        <f t="shared" si="502"/>
        <v>20197</v>
      </c>
      <c r="AQ1691" s="28" t="str">
        <f t="shared" si="503"/>
        <v>20197RMB</v>
      </c>
      <c r="AR1691" s="206" t="str">
        <f t="shared" si="504"/>
        <v>YAMAHA_Mounter</v>
      </c>
      <c r="AS1691" s="22">
        <f t="shared" si="505"/>
        <v>2</v>
      </c>
      <c r="AT1691" s="24" t="str">
        <f t="shared" si="506"/>
        <v>0-3 months</v>
      </c>
      <c r="AU1691" s="22" t="s">
        <v>3744</v>
      </c>
    </row>
    <row r="1692" spans="1:47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41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113</v>
      </c>
      <c r="K1692" s="155" t="s">
        <v>114</v>
      </c>
      <c r="L1692" s="17" t="s">
        <v>77</v>
      </c>
      <c r="M1692" s="13" t="s">
        <v>60</v>
      </c>
      <c r="N1692" s="13">
        <v>1</v>
      </c>
      <c r="O1692" s="13"/>
      <c r="P1692" s="33" t="str">
        <f t="shared" si="498"/>
        <v>MAIN UNIT</v>
      </c>
      <c r="Q1692" s="13" t="s">
        <v>68</v>
      </c>
      <c r="R1692" s="13" t="s">
        <v>62</v>
      </c>
      <c r="S1692" s="13" t="s">
        <v>49</v>
      </c>
      <c r="T1692" s="13"/>
      <c r="U1692" s="13" t="s">
        <v>79</v>
      </c>
      <c r="V1692" s="13" t="s">
        <v>63</v>
      </c>
      <c r="W1692" s="13" t="s">
        <v>109</v>
      </c>
      <c r="X1692" s="135">
        <v>11327150</v>
      </c>
      <c r="Y1692" s="156">
        <v>1</v>
      </c>
      <c r="Z1692" s="18">
        <f t="shared" si="507"/>
        <v>11327150</v>
      </c>
      <c r="AA1692" s="13">
        <v>7.2099999999999997E-2</v>
      </c>
      <c r="AB1692" s="21">
        <f t="shared" si="492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493"/>
        <v>26754147.763010349</v>
      </c>
      <c r="AJ1692" s="19">
        <f t="shared" si="494"/>
        <v>3429137.9965357962</v>
      </c>
      <c r="AK1692" s="20">
        <f t="shared" si="501"/>
        <v>0.12817220069617921</v>
      </c>
      <c r="AL1692" s="17"/>
      <c r="AM1692" s="17"/>
      <c r="AN1692" s="17"/>
      <c r="AO1692" s="17"/>
      <c r="AP1692" s="28" t="str">
        <f t="shared" si="502"/>
        <v>20188</v>
      </c>
      <c r="AQ1692" s="28" t="str">
        <f t="shared" si="503"/>
        <v>20188JPY</v>
      </c>
      <c r="AR1692" s="206" t="str">
        <f t="shared" si="504"/>
        <v>YAMAHA_Mounter</v>
      </c>
      <c r="AS1692" s="22">
        <f t="shared" si="505"/>
        <v>18</v>
      </c>
      <c r="AT1692" s="24" t="str">
        <f t="shared" si="506"/>
        <v>&gt; 6 months</v>
      </c>
      <c r="AU1692" s="22" t="s">
        <v>3745</v>
      </c>
    </row>
    <row r="1693" spans="1:47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53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1825</v>
      </c>
      <c r="K1693" s="155" t="s">
        <v>1826</v>
      </c>
      <c r="L1693" s="17" t="s">
        <v>92</v>
      </c>
      <c r="M1693" s="13" t="s">
        <v>60</v>
      </c>
      <c r="N1693" s="13">
        <v>1</v>
      </c>
      <c r="O1693" s="13"/>
      <c r="P1693" s="33" t="str">
        <f t="shared" si="498"/>
        <v>MAIN UNIT</v>
      </c>
      <c r="Q1693" s="13" t="s">
        <v>68</v>
      </c>
      <c r="R1693" s="13" t="s">
        <v>62</v>
      </c>
      <c r="S1693" s="13" t="s">
        <v>49</v>
      </c>
      <c r="T1693" s="13" t="s">
        <v>78</v>
      </c>
      <c r="U1693" s="13" t="s">
        <v>79</v>
      </c>
      <c r="V1693" s="13" t="s">
        <v>112</v>
      </c>
      <c r="W1693" s="13" t="s">
        <v>109</v>
      </c>
      <c r="X1693" s="135">
        <v>13000000</v>
      </c>
      <c r="Y1693" s="157" t="str">
        <f t="shared" ref="Y1693:Y1700" si="508">IF(W1693="RMB","1.13", "1")</f>
        <v>1</v>
      </c>
      <c r="Z1693" s="18">
        <f t="shared" si="507"/>
        <v>13000000</v>
      </c>
      <c r="AA1693" s="13">
        <v>7.17E-2</v>
      </c>
      <c r="AB1693" s="21">
        <f t="shared" si="492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493"/>
        <v>41443303.53761062</v>
      </c>
      <c r="AJ1693" s="19">
        <f t="shared" si="494"/>
        <v>6194988.76643031</v>
      </c>
      <c r="AK1693" s="20">
        <f t="shared" si="501"/>
        <v>0.1494810557466355</v>
      </c>
      <c r="AL1693" s="17"/>
      <c r="AM1693" s="17"/>
      <c r="AN1693" s="17"/>
      <c r="AO1693" s="17"/>
      <c r="AP1693" s="28" t="str">
        <f t="shared" si="502"/>
        <v>20217</v>
      </c>
      <c r="AQ1693" s="28" t="str">
        <f t="shared" si="503"/>
        <v>20217JPY</v>
      </c>
      <c r="AR1693" s="206" t="str">
        <f t="shared" si="504"/>
        <v>YAMAHA_Mounter</v>
      </c>
      <c r="AS1693" s="22">
        <f t="shared" si="505"/>
        <v>4</v>
      </c>
      <c r="AT1693" s="24" t="str">
        <f t="shared" si="506"/>
        <v>4-6 months</v>
      </c>
      <c r="AU1693" s="22" t="s">
        <v>3745</v>
      </c>
    </row>
    <row r="1694" spans="1:47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53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1825</v>
      </c>
      <c r="K1694" s="155" t="s">
        <v>1826</v>
      </c>
      <c r="L1694" s="17" t="s">
        <v>67</v>
      </c>
      <c r="M1694" s="13" t="s">
        <v>60</v>
      </c>
      <c r="N1694" s="13">
        <v>1</v>
      </c>
      <c r="O1694" s="13"/>
      <c r="P1694" s="33" t="str">
        <f t="shared" si="498"/>
        <v>MAIN UNIT</v>
      </c>
      <c r="Q1694" s="13" t="s">
        <v>68</v>
      </c>
      <c r="R1694" s="13" t="s">
        <v>62</v>
      </c>
      <c r="S1694" s="13" t="s">
        <v>49</v>
      </c>
      <c r="T1694" s="13" t="s">
        <v>78</v>
      </c>
      <c r="U1694" s="13" t="s">
        <v>79</v>
      </c>
      <c r="V1694" s="13" t="s">
        <v>112</v>
      </c>
      <c r="W1694" s="13" t="s">
        <v>109</v>
      </c>
      <c r="X1694" s="135">
        <v>9200000</v>
      </c>
      <c r="Y1694" s="157" t="str">
        <f t="shared" si="508"/>
        <v>1</v>
      </c>
      <c r="Z1694" s="18">
        <f t="shared" si="507"/>
        <v>9200000</v>
      </c>
      <c r="AA1694" s="13">
        <v>7.17E-2</v>
      </c>
      <c r="AB1694" s="21">
        <f t="shared" si="492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493"/>
        <v>41443303.53761062</v>
      </c>
      <c r="AJ1694" s="19">
        <f t="shared" si="494"/>
        <v>6194988.76643031</v>
      </c>
      <c r="AK1694" s="20">
        <f t="shared" si="501"/>
        <v>0.1494810557466355</v>
      </c>
      <c r="AL1694" s="17"/>
      <c r="AM1694" s="17"/>
      <c r="AN1694" s="17"/>
      <c r="AO1694" s="17"/>
      <c r="AP1694" s="28" t="str">
        <f t="shared" si="502"/>
        <v>20217</v>
      </c>
      <c r="AQ1694" s="28" t="str">
        <f t="shared" si="503"/>
        <v>20217JPY</v>
      </c>
      <c r="AR1694" s="206" t="str">
        <f t="shared" si="504"/>
        <v>YAMAHA_Mounter</v>
      </c>
      <c r="AS1694" s="22">
        <f t="shared" si="505"/>
        <v>4</v>
      </c>
      <c r="AT1694" s="24" t="str">
        <f t="shared" si="506"/>
        <v>4-6 months</v>
      </c>
      <c r="AU1694" s="22" t="s">
        <v>3745</v>
      </c>
    </row>
    <row r="1695" spans="1:47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54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2005</v>
      </c>
      <c r="K1695" s="155" t="s">
        <v>2006</v>
      </c>
      <c r="L1695" s="17" t="s">
        <v>92</v>
      </c>
      <c r="M1695" s="13" t="s">
        <v>60</v>
      </c>
      <c r="N1695" s="13">
        <v>1</v>
      </c>
      <c r="O1695" s="13"/>
      <c r="P1695" s="33" t="str">
        <f t="shared" si="498"/>
        <v>MAIN UNIT</v>
      </c>
      <c r="Q1695" s="13" t="s">
        <v>68</v>
      </c>
      <c r="R1695" s="13" t="s">
        <v>62</v>
      </c>
      <c r="S1695" s="13" t="s">
        <v>49</v>
      </c>
      <c r="T1695" s="13" t="s">
        <v>78</v>
      </c>
      <c r="U1695" s="13" t="s">
        <v>79</v>
      </c>
      <c r="V1695" s="13" t="s">
        <v>112</v>
      </c>
      <c r="W1695" s="13" t="s">
        <v>109</v>
      </c>
      <c r="X1695" s="135">
        <v>14300000</v>
      </c>
      <c r="Y1695" s="157" t="str">
        <f t="shared" si="508"/>
        <v>1</v>
      </c>
      <c r="Z1695" s="18">
        <f t="shared" si="507"/>
        <v>14300000</v>
      </c>
      <c r="AA1695" s="13">
        <v>6.54E-2</v>
      </c>
      <c r="AB1695" s="21">
        <f t="shared" si="492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493"/>
        <v>46600814.041769907</v>
      </c>
      <c r="AJ1695" s="19">
        <f t="shared" si="494"/>
        <v>5956366.3435927071</v>
      </c>
      <c r="AK1695" s="20">
        <f t="shared" si="501"/>
        <v>0.1278167874546958</v>
      </c>
      <c r="AL1695" s="17"/>
      <c r="AM1695" s="17"/>
      <c r="AN1695" s="17"/>
      <c r="AO1695" s="17"/>
      <c r="AP1695" s="28" t="str">
        <f t="shared" si="502"/>
        <v>20224</v>
      </c>
      <c r="AQ1695" s="28" t="str">
        <f t="shared" si="503"/>
        <v>20224JPY</v>
      </c>
      <c r="AR1695" s="206" t="str">
        <f t="shared" si="504"/>
        <v>YAMAHA_Mounter</v>
      </c>
      <c r="AS1695" s="22">
        <f t="shared" si="505"/>
        <v>6</v>
      </c>
      <c r="AT1695" s="24" t="str">
        <f t="shared" si="506"/>
        <v>4-6 months</v>
      </c>
      <c r="AU1695" s="22" t="s">
        <v>3745</v>
      </c>
    </row>
    <row r="1696" spans="1:47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54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2177</v>
      </c>
      <c r="K1696" s="155" t="s">
        <v>2006</v>
      </c>
      <c r="L1696" s="17" t="s">
        <v>67</v>
      </c>
      <c r="M1696" s="13" t="s">
        <v>60</v>
      </c>
      <c r="N1696" s="13">
        <v>1</v>
      </c>
      <c r="O1696" s="13"/>
      <c r="P1696" s="33" t="str">
        <f t="shared" si="498"/>
        <v>MAIN UNIT</v>
      </c>
      <c r="Q1696" s="13" t="s">
        <v>61</v>
      </c>
      <c r="R1696" s="13" t="s">
        <v>62</v>
      </c>
      <c r="S1696" s="13" t="s">
        <v>49</v>
      </c>
      <c r="T1696" s="13" t="s">
        <v>78</v>
      </c>
      <c r="U1696" s="13" t="s">
        <v>79</v>
      </c>
      <c r="V1696" s="13" t="s">
        <v>112</v>
      </c>
      <c r="W1696" s="13" t="s">
        <v>109</v>
      </c>
      <c r="X1696" s="135">
        <v>9393000</v>
      </c>
      <c r="Y1696" s="157" t="str">
        <f t="shared" si="508"/>
        <v>1</v>
      </c>
      <c r="Z1696" s="18">
        <f t="shared" si="507"/>
        <v>9393000</v>
      </c>
      <c r="AA1696" s="13">
        <v>6.2799999999999995E-2</v>
      </c>
      <c r="AB1696" s="21">
        <f t="shared" si="492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493"/>
        <v>44014086.982070789</v>
      </c>
      <c r="AJ1696" s="19">
        <f t="shared" si="494"/>
        <v>6419974.0221889298</v>
      </c>
      <c r="AK1696" s="20">
        <f t="shared" si="501"/>
        <v>0.14586180158193709</v>
      </c>
      <c r="AL1696" s="17"/>
      <c r="AM1696" s="17"/>
      <c r="AN1696" s="17"/>
      <c r="AO1696" s="17"/>
      <c r="AP1696" s="28" t="str">
        <f t="shared" si="502"/>
        <v>20225</v>
      </c>
      <c r="AQ1696" s="28" t="str">
        <f t="shared" si="503"/>
        <v>20225JPY</v>
      </c>
      <c r="AR1696" s="206" t="str">
        <f t="shared" si="504"/>
        <v>YAMAHA_Mounter</v>
      </c>
      <c r="AS1696" s="22">
        <f t="shared" si="505"/>
        <v>1</v>
      </c>
      <c r="AT1696" s="24" t="str">
        <f t="shared" si="506"/>
        <v>0-3 months</v>
      </c>
      <c r="AU1696" s="22" t="s">
        <v>3745</v>
      </c>
    </row>
    <row r="1697" spans="1:47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54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2177</v>
      </c>
      <c r="K1697" s="155" t="s">
        <v>2006</v>
      </c>
      <c r="L1697" s="17" t="s">
        <v>67</v>
      </c>
      <c r="M1697" s="13" t="s">
        <v>60</v>
      </c>
      <c r="N1697" s="13">
        <v>1</v>
      </c>
      <c r="O1697" s="13"/>
      <c r="P1697" s="33" t="str">
        <f t="shared" si="498"/>
        <v>MAIN UNIT</v>
      </c>
      <c r="Q1697" s="13" t="s">
        <v>61</v>
      </c>
      <c r="R1697" s="13" t="s">
        <v>62</v>
      </c>
      <c r="S1697" s="13" t="s">
        <v>49</v>
      </c>
      <c r="T1697" s="13" t="s">
        <v>78</v>
      </c>
      <c r="U1697" s="13" t="s">
        <v>79</v>
      </c>
      <c r="V1697" s="13" t="s">
        <v>112</v>
      </c>
      <c r="W1697" s="13" t="s">
        <v>109</v>
      </c>
      <c r="X1697" s="135">
        <v>9393000</v>
      </c>
      <c r="Y1697" s="157" t="str">
        <f t="shared" si="508"/>
        <v>1</v>
      </c>
      <c r="Z1697" s="18">
        <f t="shared" si="507"/>
        <v>9393000</v>
      </c>
      <c r="AA1697" s="13">
        <v>6.2799999999999995E-2</v>
      </c>
      <c r="AB1697" s="21">
        <f t="shared" si="492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493"/>
        <v>44014086.982070789</v>
      </c>
      <c r="AJ1697" s="19">
        <f t="shared" si="494"/>
        <v>6419974.0221889298</v>
      </c>
      <c r="AK1697" s="20">
        <f t="shared" si="501"/>
        <v>0.14586180158193709</v>
      </c>
      <c r="AL1697" s="17"/>
      <c r="AM1697" s="17"/>
      <c r="AN1697" s="17"/>
      <c r="AO1697" s="17"/>
      <c r="AP1697" s="28" t="str">
        <f t="shared" si="502"/>
        <v>20225</v>
      </c>
      <c r="AQ1697" s="28" t="str">
        <f t="shared" si="503"/>
        <v>20225JPY</v>
      </c>
      <c r="AR1697" s="206" t="str">
        <f t="shared" si="504"/>
        <v>YAMAHA_Mounter</v>
      </c>
      <c r="AS1697" s="22">
        <f t="shared" si="505"/>
        <v>1</v>
      </c>
      <c r="AT1697" s="24" t="str">
        <f t="shared" si="506"/>
        <v>0-3 months</v>
      </c>
      <c r="AU1697" s="22" t="s">
        <v>3745</v>
      </c>
    </row>
    <row r="1698" spans="1:47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185</v>
      </c>
      <c r="F1698" s="13" t="s">
        <v>185</v>
      </c>
      <c r="G1698" s="152" t="s">
        <v>185</v>
      </c>
      <c r="H1698" s="155"/>
      <c r="I1698" s="33" t="str">
        <f t="shared" si="497"/>
        <v>Cancel</v>
      </c>
      <c r="J1698" s="186" t="s">
        <v>2580</v>
      </c>
      <c r="K1698" s="155" t="s">
        <v>2006</v>
      </c>
      <c r="L1698" s="17" t="s">
        <v>67</v>
      </c>
      <c r="M1698" s="13" t="s">
        <v>60</v>
      </c>
      <c r="N1698" s="13">
        <v>1</v>
      </c>
      <c r="O1698" s="13"/>
      <c r="P1698" s="33" t="str">
        <f t="shared" si="498"/>
        <v>MAIN UNIT</v>
      </c>
      <c r="Q1698" s="13" t="s">
        <v>61</v>
      </c>
      <c r="R1698" s="13" t="s">
        <v>62</v>
      </c>
      <c r="S1698" s="13" t="s">
        <v>49</v>
      </c>
      <c r="T1698" s="13" t="s">
        <v>78</v>
      </c>
      <c r="U1698" s="13" t="s">
        <v>79</v>
      </c>
      <c r="V1698" s="13" t="s">
        <v>112</v>
      </c>
      <c r="W1698" s="13" t="s">
        <v>64</v>
      </c>
      <c r="X1698" s="135">
        <v>550000</v>
      </c>
      <c r="Y1698" s="157" t="str">
        <f t="shared" si="508"/>
        <v>1.13</v>
      </c>
      <c r="Z1698" s="18">
        <f t="shared" si="507"/>
        <v>550000</v>
      </c>
      <c r="AA1698" s="13">
        <v>1.1000000000000001</v>
      </c>
      <c r="AB1698" s="21">
        <f t="shared" si="492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493"/>
        <v>499582152.5142017</v>
      </c>
      <c r="AJ1698" s="19">
        <f t="shared" si="494"/>
        <v>59520528.679470733</v>
      </c>
      <c r="AK1698" s="20">
        <f t="shared" si="501"/>
        <v>0.11914062257814291</v>
      </c>
      <c r="AL1698" s="17"/>
      <c r="AM1698" s="17"/>
      <c r="AN1698" s="17"/>
      <c r="AO1698" s="17"/>
      <c r="AP1698" s="28" t="str">
        <f t="shared" si="502"/>
        <v>CancelCancel</v>
      </c>
      <c r="AQ1698" s="28" t="str">
        <f t="shared" si="503"/>
        <v>CancelCancelRMB</v>
      </c>
      <c r="AR1698" s="206" t="str">
        <f t="shared" si="504"/>
        <v>YAMAHA_Mounter</v>
      </c>
      <c r="AS1698" s="22" t="str">
        <f t="shared" si="505"/>
        <v/>
      </c>
      <c r="AT1698" s="24" t="str">
        <f t="shared" si="506"/>
        <v/>
      </c>
      <c r="AU1698" s="22" t="s">
        <v>3751</v>
      </c>
    </row>
    <row r="1699" spans="1:47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185</v>
      </c>
      <c r="F1699" s="13" t="s">
        <v>185</v>
      </c>
      <c r="G1699" s="152" t="s">
        <v>185</v>
      </c>
      <c r="H1699" s="155"/>
      <c r="I1699" s="33" t="str">
        <f t="shared" si="497"/>
        <v>Cancel</v>
      </c>
      <c r="J1699" s="186" t="s">
        <v>2580</v>
      </c>
      <c r="K1699" s="155" t="s">
        <v>2006</v>
      </c>
      <c r="L1699" s="17" t="s">
        <v>92</v>
      </c>
      <c r="M1699" s="13" t="s">
        <v>60</v>
      </c>
      <c r="N1699" s="13">
        <v>1</v>
      </c>
      <c r="O1699" s="13"/>
      <c r="P1699" s="33" t="str">
        <f t="shared" si="498"/>
        <v>MAIN UNIT</v>
      </c>
      <c r="Q1699" s="13" t="s">
        <v>61</v>
      </c>
      <c r="R1699" s="13" t="s">
        <v>62</v>
      </c>
      <c r="S1699" s="13" t="s">
        <v>49</v>
      </c>
      <c r="T1699" s="13" t="s">
        <v>78</v>
      </c>
      <c r="U1699" s="13" t="s">
        <v>79</v>
      </c>
      <c r="V1699" s="13" t="s">
        <v>112</v>
      </c>
      <c r="W1699" s="13" t="s">
        <v>64</v>
      </c>
      <c r="X1699" s="135">
        <v>1000000</v>
      </c>
      <c r="Y1699" s="157" t="str">
        <f t="shared" si="508"/>
        <v>1.13</v>
      </c>
      <c r="Z1699" s="18">
        <f t="shared" si="507"/>
        <v>1000000</v>
      </c>
      <c r="AA1699" s="13">
        <v>1.1000000000000001</v>
      </c>
      <c r="AB1699" s="21">
        <f t="shared" si="492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493"/>
        <v>499582152.5142017</v>
      </c>
      <c r="AJ1699" s="19">
        <f t="shared" si="494"/>
        <v>59520528.679470733</v>
      </c>
      <c r="AK1699" s="20">
        <f t="shared" si="501"/>
        <v>0.11914062257814291</v>
      </c>
      <c r="AL1699" s="17"/>
      <c r="AM1699" s="17"/>
      <c r="AN1699" s="17"/>
      <c r="AO1699" s="17"/>
      <c r="AP1699" s="28" t="str">
        <f t="shared" si="502"/>
        <v>CancelCancel</v>
      </c>
      <c r="AQ1699" s="28" t="str">
        <f t="shared" si="503"/>
        <v>CancelCancelRMB</v>
      </c>
      <c r="AR1699" s="206" t="str">
        <f t="shared" si="504"/>
        <v>YAMAHA_Mounter</v>
      </c>
      <c r="AS1699" s="22" t="str">
        <f t="shared" si="505"/>
        <v/>
      </c>
      <c r="AT1699" s="24" t="str">
        <f t="shared" si="506"/>
        <v/>
      </c>
      <c r="AU1699" s="22" t="s">
        <v>3751</v>
      </c>
    </row>
    <row r="1700" spans="1:47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55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2531</v>
      </c>
      <c r="K1700" s="155" t="s">
        <v>2532</v>
      </c>
      <c r="L1700" s="17" t="s">
        <v>92</v>
      </c>
      <c r="M1700" s="13" t="s">
        <v>60</v>
      </c>
      <c r="N1700" s="13">
        <v>1</v>
      </c>
      <c r="O1700" s="13"/>
      <c r="P1700" s="33" t="str">
        <f t="shared" si="498"/>
        <v>MAIN UNIT</v>
      </c>
      <c r="Q1700" s="13" t="s">
        <v>68</v>
      </c>
      <c r="R1700" s="13" t="s">
        <v>62</v>
      </c>
      <c r="S1700" s="13" t="s">
        <v>49</v>
      </c>
      <c r="T1700" s="13" t="s">
        <v>78</v>
      </c>
      <c r="U1700" s="13" t="s">
        <v>2533</v>
      </c>
      <c r="V1700" s="13" t="s">
        <v>2534</v>
      </c>
      <c r="W1700" s="13" t="s">
        <v>64</v>
      </c>
      <c r="X1700" s="135">
        <v>778000</v>
      </c>
      <c r="Y1700" s="157" t="str">
        <f t="shared" si="508"/>
        <v>1.13</v>
      </c>
      <c r="Z1700" s="18">
        <f t="shared" si="507"/>
        <v>778000</v>
      </c>
      <c r="AA1700" s="13">
        <v>1.081</v>
      </c>
      <c r="AB1700" s="21">
        <f t="shared" si="492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493"/>
        <v>15951056.41591504</v>
      </c>
      <c r="AJ1700" s="19">
        <f t="shared" si="494"/>
        <v>1966354.6022462982</v>
      </c>
      <c r="AK1700" s="20">
        <f t="shared" si="501"/>
        <v>0.12327425538313459</v>
      </c>
      <c r="AL1700" s="17"/>
      <c r="AM1700" s="17"/>
      <c r="AN1700" s="17"/>
      <c r="AO1700" s="17"/>
      <c r="AP1700" s="28" t="str">
        <f t="shared" si="502"/>
        <v>20237</v>
      </c>
      <c r="AQ1700" s="28" t="str">
        <f t="shared" si="503"/>
        <v>20237RMB</v>
      </c>
      <c r="AR1700" s="206" t="str">
        <f t="shared" si="504"/>
        <v>YAMAHA_Mounter</v>
      </c>
      <c r="AS1700" s="22">
        <f t="shared" si="505"/>
        <v>1</v>
      </c>
      <c r="AT1700" s="24" t="str">
        <f t="shared" si="506"/>
        <v>0-3 months</v>
      </c>
      <c r="AU1700" s="22" t="s">
        <v>3751</v>
      </c>
    </row>
    <row r="1701" spans="1:47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48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1210</v>
      </c>
      <c r="K1701" s="155" t="s">
        <v>1211</v>
      </c>
      <c r="L1701" s="17" t="s">
        <v>67</v>
      </c>
      <c r="M1701" s="13" t="s">
        <v>60</v>
      </c>
      <c r="N1701" s="13">
        <v>1</v>
      </c>
      <c r="O1701" s="13"/>
      <c r="P1701" s="33" t="str">
        <f t="shared" si="498"/>
        <v>MAIN UNIT</v>
      </c>
      <c r="Q1701" s="13" t="s">
        <v>68</v>
      </c>
      <c r="R1701" s="13" t="s">
        <v>62</v>
      </c>
      <c r="S1701" s="13" t="s">
        <v>49</v>
      </c>
      <c r="T1701" s="13" t="s">
        <v>78</v>
      </c>
      <c r="U1701" s="13" t="s">
        <v>79</v>
      </c>
      <c r="V1701" s="13" t="s">
        <v>1212</v>
      </c>
      <c r="W1701" s="13" t="s">
        <v>64</v>
      </c>
      <c r="X1701" s="135">
        <v>643012</v>
      </c>
      <c r="Y1701" s="156">
        <v>1.1299999999999999</v>
      </c>
      <c r="Z1701" s="18">
        <f t="shared" si="507"/>
        <v>643012</v>
      </c>
      <c r="AA1701" s="13">
        <v>1.089</v>
      </c>
      <c r="AB1701" s="21">
        <f t="shared" si="492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493"/>
        <v>29183109.05575221</v>
      </c>
      <c r="AJ1701" s="19">
        <f t="shared" si="494"/>
        <v>3741266.5648721238</v>
      </c>
      <c r="AK1701" s="20">
        <f t="shared" si="501"/>
        <v>0.12819972531798121</v>
      </c>
      <c r="AL1701" s="17"/>
      <c r="AM1701" s="17"/>
      <c r="AN1701" s="17"/>
      <c r="AO1701" s="17"/>
      <c r="AP1701" s="28" t="str">
        <f t="shared" si="502"/>
        <v>20206</v>
      </c>
      <c r="AQ1701" s="28" t="str">
        <f t="shared" si="503"/>
        <v>20206RMB</v>
      </c>
      <c r="AR1701" s="206" t="str">
        <f t="shared" si="504"/>
        <v>YAMAHA_Mounter</v>
      </c>
      <c r="AS1701" s="22">
        <f t="shared" si="505"/>
        <v>2</v>
      </c>
      <c r="AT1701" s="24" t="str">
        <f t="shared" si="506"/>
        <v>0-3 months</v>
      </c>
      <c r="AU1701" s="22" t="s">
        <v>3744</v>
      </c>
    </row>
    <row r="1702" spans="1:47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53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1737</v>
      </c>
      <c r="K1702" s="155" t="s">
        <v>1211</v>
      </c>
      <c r="L1702" s="17" t="s">
        <v>92</v>
      </c>
      <c r="M1702" s="13" t="s">
        <v>60</v>
      </c>
      <c r="N1702" s="13">
        <v>1</v>
      </c>
      <c r="O1702" s="13"/>
      <c r="P1702" s="33" t="str">
        <f t="shared" si="498"/>
        <v>MAIN UNIT</v>
      </c>
      <c r="Q1702" s="13" t="s">
        <v>61</v>
      </c>
      <c r="R1702" s="13" t="s">
        <v>62</v>
      </c>
      <c r="S1702" s="13" t="s">
        <v>49</v>
      </c>
      <c r="T1702" s="13" t="s">
        <v>78</v>
      </c>
      <c r="U1702" s="13" t="s">
        <v>79</v>
      </c>
      <c r="V1702" s="13" t="s">
        <v>471</v>
      </c>
      <c r="W1702" s="13" t="s">
        <v>109</v>
      </c>
      <c r="X1702" s="135">
        <v>13193000</v>
      </c>
      <c r="Y1702" s="157" t="str">
        <f>IF(W1702="RMB","1.13", "1")</f>
        <v>1</v>
      </c>
      <c r="Z1702" s="18">
        <f t="shared" si="507"/>
        <v>13193000</v>
      </c>
      <c r="AA1702" s="13">
        <v>7.2800000000000004E-2</v>
      </c>
      <c r="AB1702" s="21">
        <f t="shared" si="492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493"/>
        <v>63006605.696460173</v>
      </c>
      <c r="AJ1702" s="19">
        <f t="shared" si="494"/>
        <v>8897485.660753984</v>
      </c>
      <c r="AK1702" s="20">
        <f t="shared" si="501"/>
        <v>0.141215124388995</v>
      </c>
      <c r="AL1702" s="17"/>
      <c r="AM1702" s="17"/>
      <c r="AN1702" s="17"/>
      <c r="AO1702" s="17"/>
      <c r="AP1702" s="28" t="str">
        <f t="shared" si="502"/>
        <v>20215</v>
      </c>
      <c r="AQ1702" s="28" t="str">
        <f t="shared" si="503"/>
        <v>20215JPY</v>
      </c>
      <c r="AR1702" s="206" t="str">
        <f t="shared" si="504"/>
        <v>YAMAHA_Mounter</v>
      </c>
      <c r="AS1702" s="22">
        <f t="shared" si="505"/>
        <v>2</v>
      </c>
      <c r="AT1702" s="24" t="str">
        <f t="shared" si="506"/>
        <v>0-3 months</v>
      </c>
      <c r="AU1702" s="22" t="s">
        <v>3745</v>
      </c>
    </row>
    <row r="1703" spans="1:47" s="12" customFormat="1">
      <c r="A1703" s="33" t="str">
        <f t="shared" si="495"/>
        <v>cancel</v>
      </c>
      <c r="B1703" s="152">
        <v>2023</v>
      </c>
      <c r="C1703" s="152" t="s">
        <v>185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185</v>
      </c>
      <c r="G1703" s="152" t="s">
        <v>185</v>
      </c>
      <c r="H1703" s="155"/>
      <c r="I1703" s="33" t="str">
        <f t="shared" si="497"/>
        <v>Cancel</v>
      </c>
      <c r="J1703" s="186" t="s">
        <v>3120</v>
      </c>
      <c r="K1703" s="155" t="s">
        <v>1211</v>
      </c>
      <c r="L1703" s="17" t="s">
        <v>92</v>
      </c>
      <c r="M1703" s="13" t="s">
        <v>60</v>
      </c>
      <c r="N1703" s="13">
        <v>1</v>
      </c>
      <c r="O1703" s="13"/>
      <c r="P1703" s="33" t="str">
        <f t="shared" si="498"/>
        <v>MAIN UNIT</v>
      </c>
      <c r="Q1703" s="13" t="s">
        <v>61</v>
      </c>
      <c r="R1703" s="13" t="s">
        <v>62</v>
      </c>
      <c r="S1703" s="13" t="s">
        <v>49</v>
      </c>
      <c r="T1703" s="13" t="s">
        <v>78</v>
      </c>
      <c r="U1703" s="13" t="s">
        <v>79</v>
      </c>
      <c r="V1703" s="13" t="s">
        <v>471</v>
      </c>
      <c r="W1703" s="13" t="s">
        <v>109</v>
      </c>
      <c r="X1703" s="135">
        <v>12000000</v>
      </c>
      <c r="Y1703" s="157" t="str">
        <f>IF(W1703="","",IF(W1703="RMB","1.13", "1"))</f>
        <v>1</v>
      </c>
      <c r="Z1703" s="18">
        <f t="shared" si="507"/>
        <v>12000000</v>
      </c>
      <c r="AA1703" s="13">
        <v>5.4199999999999998E-2</v>
      </c>
      <c r="AB1703" s="21">
        <f t="shared" si="492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493"/>
        <v>499582152.5142017</v>
      </c>
      <c r="AJ1703" s="19">
        <f t="shared" si="494"/>
        <v>59520528.679470733</v>
      </c>
      <c r="AK1703" s="20">
        <f t="shared" si="501"/>
        <v>0.11914062257814291</v>
      </c>
      <c r="AL1703" s="17"/>
      <c r="AM1703" s="17"/>
      <c r="AN1703" s="17"/>
      <c r="AO1703" s="17"/>
      <c r="AP1703" s="28" t="str">
        <f t="shared" si="502"/>
        <v>CancelCancel</v>
      </c>
      <c r="AQ1703" s="28" t="str">
        <f t="shared" si="503"/>
        <v>CancelCancelJPY</v>
      </c>
      <c r="AR1703" s="206" t="str">
        <f t="shared" si="504"/>
        <v>YAMAHA_Mounter</v>
      </c>
      <c r="AS1703" s="22" t="str">
        <f t="shared" si="505"/>
        <v/>
      </c>
      <c r="AT1703" s="24" t="str">
        <f t="shared" si="506"/>
        <v/>
      </c>
      <c r="AU1703" s="22" t="s">
        <v>3745</v>
      </c>
    </row>
    <row r="1704" spans="1:47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185</v>
      </c>
      <c r="F1704" s="13" t="s">
        <v>185</v>
      </c>
      <c r="G1704" s="152" t="s">
        <v>1616</v>
      </c>
      <c r="H1704" s="155" t="s">
        <v>2070</v>
      </c>
      <c r="I1704" s="33" t="str">
        <f t="shared" si="497"/>
        <v>Cancel</v>
      </c>
      <c r="J1704" s="186" t="s">
        <v>2071</v>
      </c>
      <c r="K1704" s="155" t="s">
        <v>2072</v>
      </c>
      <c r="L1704" s="17" t="s">
        <v>67</v>
      </c>
      <c r="M1704" s="13" t="s">
        <v>60</v>
      </c>
      <c r="N1704" s="13">
        <v>1</v>
      </c>
      <c r="O1704" s="13"/>
      <c r="P1704" s="33" t="str">
        <f t="shared" si="498"/>
        <v>MAIN UNIT</v>
      </c>
      <c r="Q1704" s="13" t="s">
        <v>68</v>
      </c>
      <c r="R1704" s="13" t="s">
        <v>62</v>
      </c>
      <c r="S1704" s="13" t="s">
        <v>49</v>
      </c>
      <c r="T1704" s="13" t="s">
        <v>78</v>
      </c>
      <c r="U1704" s="13" t="s">
        <v>79</v>
      </c>
      <c r="V1704" s="13" t="s">
        <v>121</v>
      </c>
      <c r="W1704" s="13" t="s">
        <v>64</v>
      </c>
      <c r="X1704" s="135">
        <v>575000</v>
      </c>
      <c r="Y1704" s="157" t="str">
        <f>IF(W1704="RMB","1.13", "1")</f>
        <v>1.13</v>
      </c>
      <c r="Z1704" s="18">
        <f t="shared" si="507"/>
        <v>575000</v>
      </c>
      <c r="AA1704" s="13">
        <v>1.18</v>
      </c>
      <c r="AB1704" s="21">
        <f t="shared" si="492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493"/>
        <v>499582152.5142017</v>
      </c>
      <c r="AJ1704" s="19">
        <f t="shared" si="494"/>
        <v>59520528.679470733</v>
      </c>
      <c r="AK1704" s="20">
        <f t="shared" si="501"/>
        <v>0.11914062257814291</v>
      </c>
      <c r="AL1704" s="17"/>
      <c r="AM1704" s="17"/>
      <c r="AN1704" s="17"/>
      <c r="AO1704" s="17"/>
      <c r="AP1704" s="28" t="str">
        <f t="shared" si="502"/>
        <v>CancelCANCEL</v>
      </c>
      <c r="AQ1704" s="28" t="str">
        <f t="shared" si="503"/>
        <v>CancelCANCELRMB</v>
      </c>
      <c r="AR1704" s="206" t="str">
        <f t="shared" si="504"/>
        <v>YAMAHA_Mounter</v>
      </c>
      <c r="AS1704" s="22" t="str">
        <f t="shared" si="505"/>
        <v/>
      </c>
      <c r="AT1704" s="24" t="str">
        <f t="shared" si="506"/>
        <v/>
      </c>
      <c r="AU1704" s="22" t="s">
        <v>3751</v>
      </c>
    </row>
    <row r="1705" spans="1:47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185</v>
      </c>
      <c r="F1705" s="13" t="s">
        <v>185</v>
      </c>
      <c r="G1705" s="152" t="s">
        <v>1616</v>
      </c>
      <c r="H1705" s="155" t="s">
        <v>2070</v>
      </c>
      <c r="I1705" s="33" t="str">
        <f t="shared" si="497"/>
        <v>Cancel</v>
      </c>
      <c r="J1705" s="186" t="s">
        <v>2071</v>
      </c>
      <c r="K1705" s="155" t="s">
        <v>2072</v>
      </c>
      <c r="L1705" s="17" t="s">
        <v>67</v>
      </c>
      <c r="M1705" s="13" t="s">
        <v>60</v>
      </c>
      <c r="N1705" s="13">
        <v>1</v>
      </c>
      <c r="O1705" s="13"/>
      <c r="P1705" s="33" t="str">
        <f t="shared" si="498"/>
        <v>MAIN UNIT</v>
      </c>
      <c r="Q1705" s="13" t="s">
        <v>68</v>
      </c>
      <c r="R1705" s="13" t="s">
        <v>62</v>
      </c>
      <c r="S1705" s="13" t="s">
        <v>49</v>
      </c>
      <c r="T1705" s="13" t="s">
        <v>78</v>
      </c>
      <c r="U1705" s="13" t="s">
        <v>79</v>
      </c>
      <c r="V1705" s="13" t="s">
        <v>121</v>
      </c>
      <c r="W1705" s="13" t="s">
        <v>64</v>
      </c>
      <c r="X1705" s="135">
        <v>575000</v>
      </c>
      <c r="Y1705" s="157" t="str">
        <f>IF(W1705="RMB","1.13", "1")</f>
        <v>1.13</v>
      </c>
      <c r="Z1705" s="18">
        <f t="shared" si="507"/>
        <v>575000</v>
      </c>
      <c r="AA1705" s="13">
        <v>1.18</v>
      </c>
      <c r="AB1705" s="21">
        <f t="shared" si="492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493"/>
        <v>499582152.5142017</v>
      </c>
      <c r="AJ1705" s="19">
        <f t="shared" si="494"/>
        <v>59520528.679470733</v>
      </c>
      <c r="AK1705" s="20">
        <f t="shared" si="501"/>
        <v>0.11914062257814291</v>
      </c>
      <c r="AL1705" s="17"/>
      <c r="AM1705" s="17"/>
      <c r="AN1705" s="17"/>
      <c r="AO1705" s="17"/>
      <c r="AP1705" s="28" t="str">
        <f t="shared" si="502"/>
        <v>CancelCANCEL</v>
      </c>
      <c r="AQ1705" s="28" t="str">
        <f t="shared" si="503"/>
        <v>CancelCANCELRMB</v>
      </c>
      <c r="AR1705" s="206" t="str">
        <f t="shared" si="504"/>
        <v>YAMAHA_Mounter</v>
      </c>
      <c r="AS1705" s="22" t="str">
        <f t="shared" si="505"/>
        <v/>
      </c>
      <c r="AT1705" s="24" t="str">
        <f t="shared" si="506"/>
        <v/>
      </c>
      <c r="AU1705" s="22" t="s">
        <v>3751</v>
      </c>
    </row>
    <row r="1706" spans="1:47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185</v>
      </c>
      <c r="F1706" s="13" t="s">
        <v>185</v>
      </c>
      <c r="G1706" s="152" t="s">
        <v>1616</v>
      </c>
      <c r="H1706" s="155" t="s">
        <v>2070</v>
      </c>
      <c r="I1706" s="33" t="str">
        <f t="shared" si="497"/>
        <v>Cancel</v>
      </c>
      <c r="J1706" s="186" t="s">
        <v>2071</v>
      </c>
      <c r="K1706" s="155" t="s">
        <v>2072</v>
      </c>
      <c r="L1706" s="17" t="s">
        <v>67</v>
      </c>
      <c r="M1706" s="13" t="s">
        <v>60</v>
      </c>
      <c r="N1706" s="13">
        <v>1</v>
      </c>
      <c r="O1706" s="13"/>
      <c r="P1706" s="33" t="str">
        <f t="shared" si="498"/>
        <v>MAIN UNIT</v>
      </c>
      <c r="Q1706" s="13" t="s">
        <v>68</v>
      </c>
      <c r="R1706" s="13" t="s">
        <v>62</v>
      </c>
      <c r="S1706" s="13" t="s">
        <v>49</v>
      </c>
      <c r="T1706" s="13" t="s">
        <v>78</v>
      </c>
      <c r="U1706" s="13" t="s">
        <v>79</v>
      </c>
      <c r="V1706" s="13" t="s">
        <v>121</v>
      </c>
      <c r="W1706" s="13" t="s">
        <v>64</v>
      </c>
      <c r="X1706" s="135">
        <v>575000</v>
      </c>
      <c r="Y1706" s="157" t="str">
        <f>IF(W1706="RMB","1.13", "1")</f>
        <v>1.13</v>
      </c>
      <c r="Z1706" s="18">
        <f t="shared" si="507"/>
        <v>575000</v>
      </c>
      <c r="AA1706" s="13">
        <v>1.18</v>
      </c>
      <c r="AB1706" s="21">
        <f t="shared" si="492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493"/>
        <v>499582152.5142017</v>
      </c>
      <c r="AJ1706" s="19">
        <f t="shared" si="494"/>
        <v>59520528.679470733</v>
      </c>
      <c r="AK1706" s="20">
        <f t="shared" si="501"/>
        <v>0.11914062257814291</v>
      </c>
      <c r="AL1706" s="17"/>
      <c r="AM1706" s="17"/>
      <c r="AN1706" s="17"/>
      <c r="AO1706" s="17"/>
      <c r="AP1706" s="28" t="str">
        <f t="shared" si="502"/>
        <v>CancelCANCEL</v>
      </c>
      <c r="AQ1706" s="28" t="str">
        <f t="shared" si="503"/>
        <v>CancelCANCELRMB</v>
      </c>
      <c r="AR1706" s="206" t="str">
        <f t="shared" si="504"/>
        <v>YAMAHA_Mounter</v>
      </c>
      <c r="AS1706" s="22" t="str">
        <f t="shared" si="505"/>
        <v/>
      </c>
      <c r="AT1706" s="24" t="str">
        <f t="shared" si="506"/>
        <v/>
      </c>
      <c r="AU1706" s="22" t="s">
        <v>3751</v>
      </c>
    </row>
    <row r="1707" spans="1:47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185</v>
      </c>
      <c r="F1707" s="13" t="s">
        <v>185</v>
      </c>
      <c r="G1707" s="152" t="s">
        <v>1616</v>
      </c>
      <c r="H1707" s="155" t="s">
        <v>2070</v>
      </c>
      <c r="I1707" s="33" t="str">
        <f t="shared" si="497"/>
        <v>Cancel</v>
      </c>
      <c r="J1707" s="186" t="s">
        <v>2071</v>
      </c>
      <c r="K1707" s="155" t="s">
        <v>2072</v>
      </c>
      <c r="L1707" s="17" t="s">
        <v>67</v>
      </c>
      <c r="M1707" s="13" t="s">
        <v>60</v>
      </c>
      <c r="N1707" s="13">
        <v>1</v>
      </c>
      <c r="O1707" s="13"/>
      <c r="P1707" s="33" t="str">
        <f t="shared" si="498"/>
        <v>MAIN UNIT</v>
      </c>
      <c r="Q1707" s="13" t="s">
        <v>68</v>
      </c>
      <c r="R1707" s="13" t="s">
        <v>62</v>
      </c>
      <c r="S1707" s="13" t="s">
        <v>49</v>
      </c>
      <c r="T1707" s="13" t="s">
        <v>78</v>
      </c>
      <c r="U1707" s="13" t="s">
        <v>79</v>
      </c>
      <c r="V1707" s="13" t="s">
        <v>121</v>
      </c>
      <c r="W1707" s="13" t="s">
        <v>64</v>
      </c>
      <c r="X1707" s="135">
        <v>575000</v>
      </c>
      <c r="Y1707" s="157" t="str">
        <f>IF(W1707="RMB","1.13", "1")</f>
        <v>1.13</v>
      </c>
      <c r="Z1707" s="18">
        <f t="shared" si="507"/>
        <v>575000</v>
      </c>
      <c r="AA1707" s="13">
        <v>1.18</v>
      </c>
      <c r="AB1707" s="21">
        <f t="shared" si="492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493"/>
        <v>499582152.5142017</v>
      </c>
      <c r="AJ1707" s="19">
        <f t="shared" si="494"/>
        <v>59520528.679470733</v>
      </c>
      <c r="AK1707" s="20">
        <f t="shared" si="501"/>
        <v>0.11914062257814291</v>
      </c>
      <c r="AL1707" s="17"/>
      <c r="AM1707" s="17"/>
      <c r="AN1707" s="17"/>
      <c r="AO1707" s="17"/>
      <c r="AP1707" s="28" t="str">
        <f t="shared" si="502"/>
        <v>CancelCANCEL</v>
      </c>
      <c r="AQ1707" s="28" t="str">
        <f t="shared" si="503"/>
        <v>CancelCANCELRMB</v>
      </c>
      <c r="AR1707" s="206" t="str">
        <f t="shared" si="504"/>
        <v>YAMAHA_Mounter</v>
      </c>
      <c r="AS1707" s="22" t="str">
        <f t="shared" si="505"/>
        <v/>
      </c>
      <c r="AT1707" s="24" t="str">
        <f t="shared" si="506"/>
        <v/>
      </c>
      <c r="AU1707" s="22" t="s">
        <v>3751</v>
      </c>
    </row>
    <row r="1708" spans="1:47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41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357</v>
      </c>
      <c r="K1708" s="155" t="s">
        <v>358</v>
      </c>
      <c r="L1708" s="17" t="s">
        <v>77</v>
      </c>
      <c r="M1708" s="13" t="s">
        <v>60</v>
      </c>
      <c r="N1708" s="13">
        <v>1</v>
      </c>
      <c r="O1708" s="13"/>
      <c r="P1708" s="33" t="str">
        <f t="shared" si="498"/>
        <v>MAIN UNIT</v>
      </c>
      <c r="Q1708" s="13" t="s">
        <v>61</v>
      </c>
      <c r="R1708" s="13" t="s">
        <v>62</v>
      </c>
      <c r="S1708" s="13" t="s">
        <v>49</v>
      </c>
      <c r="T1708" s="13" t="s">
        <v>249</v>
      </c>
      <c r="U1708" s="13" t="s">
        <v>79</v>
      </c>
      <c r="V1708" s="13" t="s">
        <v>126</v>
      </c>
      <c r="W1708" s="13" t="s">
        <v>109</v>
      </c>
      <c r="X1708" s="135">
        <v>12042200</v>
      </c>
      <c r="Y1708" s="156">
        <v>1</v>
      </c>
      <c r="Z1708" s="18">
        <f t="shared" si="507"/>
        <v>12042200</v>
      </c>
      <c r="AA1708" s="13">
        <v>7.3400000000000007E-2</v>
      </c>
      <c r="AB1708" s="21">
        <f t="shared" si="492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493"/>
        <v>34109166.105589926</v>
      </c>
      <c r="AJ1708" s="19">
        <f t="shared" si="494"/>
        <v>4642032.7199573703</v>
      </c>
      <c r="AK1708" s="20">
        <f t="shared" si="501"/>
        <v>0.13609340977692849</v>
      </c>
      <c r="AL1708" s="17"/>
      <c r="AM1708" s="17"/>
      <c r="AN1708" s="17"/>
      <c r="AO1708" s="17"/>
      <c r="AP1708" s="28" t="str">
        <f t="shared" si="502"/>
        <v>20185</v>
      </c>
      <c r="AQ1708" s="28" t="str">
        <f t="shared" si="503"/>
        <v>20185JPY</v>
      </c>
      <c r="AR1708" s="206" t="str">
        <f t="shared" si="504"/>
        <v>YAMAHA_Mounter</v>
      </c>
      <c r="AS1708" s="22">
        <f t="shared" si="505"/>
        <v>4</v>
      </c>
      <c r="AT1708" s="24" t="str">
        <f t="shared" si="506"/>
        <v>4-6 months</v>
      </c>
      <c r="AU1708" s="22" t="s">
        <v>3745</v>
      </c>
    </row>
    <row r="1709" spans="1:47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47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2854</v>
      </c>
      <c r="K1709" s="155" t="s">
        <v>2855</v>
      </c>
      <c r="L1709" s="17" t="s">
        <v>2788</v>
      </c>
      <c r="M1709" s="13" t="s">
        <v>2607</v>
      </c>
      <c r="N1709" s="13">
        <v>1</v>
      </c>
      <c r="O1709" s="13"/>
      <c r="P1709" s="33" t="str">
        <f t="shared" si="498"/>
        <v>MAIN UNIT</v>
      </c>
      <c r="Q1709" s="13" t="s">
        <v>68</v>
      </c>
      <c r="R1709" s="13" t="s">
        <v>2055</v>
      </c>
      <c r="S1709" s="13" t="s">
        <v>49</v>
      </c>
      <c r="T1709" s="13" t="s">
        <v>78</v>
      </c>
      <c r="U1709" s="13" t="s">
        <v>79</v>
      </c>
      <c r="V1709" s="13" t="s">
        <v>2856</v>
      </c>
      <c r="W1709" s="13" t="s">
        <v>901</v>
      </c>
      <c r="X1709" s="135">
        <v>50000</v>
      </c>
      <c r="Y1709" s="156">
        <v>1</v>
      </c>
      <c r="Z1709" s="18">
        <f t="shared" si="507"/>
        <v>50000</v>
      </c>
      <c r="AA1709" s="13">
        <v>7.8</v>
      </c>
      <c r="AB1709" s="21">
        <f t="shared" si="492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493"/>
        <v>27318180.088495575</v>
      </c>
      <c r="AJ1709" s="19">
        <f t="shared" si="494"/>
        <v>3014099.212353982</v>
      </c>
      <c r="AK1709" s="20">
        <f t="shared" si="501"/>
        <v>0.11033308963444827</v>
      </c>
      <c r="AL1709" s="17"/>
      <c r="AM1709" s="17"/>
      <c r="AN1709" s="17"/>
      <c r="AO1709" s="17"/>
      <c r="AP1709" s="28" t="str">
        <f t="shared" si="502"/>
        <v>201912</v>
      </c>
      <c r="AQ1709" s="28" t="str">
        <f t="shared" si="503"/>
        <v>201912USD</v>
      </c>
      <c r="AR1709" s="206" t="str">
        <f t="shared" si="504"/>
        <v>HELLER</v>
      </c>
      <c r="AS1709" s="22">
        <f t="shared" si="505"/>
        <v>1</v>
      </c>
      <c r="AT1709" s="24" t="str">
        <f t="shared" si="506"/>
        <v>0-3 months</v>
      </c>
      <c r="AU1709" s="22" t="s">
        <v>3746</v>
      </c>
    </row>
    <row r="1710" spans="1:47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48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2897</v>
      </c>
      <c r="K1710" s="155" t="s">
        <v>2898</v>
      </c>
      <c r="L1710" s="17" t="s">
        <v>2889</v>
      </c>
      <c r="M1710" s="13" t="s">
        <v>377</v>
      </c>
      <c r="N1710" s="13">
        <v>1</v>
      </c>
      <c r="O1710" s="13"/>
      <c r="P1710" s="33" t="str">
        <f t="shared" si="498"/>
        <v>MAIN UNIT</v>
      </c>
      <c r="Q1710" s="13" t="s">
        <v>61</v>
      </c>
      <c r="R1710" s="13" t="s">
        <v>2055</v>
      </c>
      <c r="S1710" s="13" t="s">
        <v>49</v>
      </c>
      <c r="T1710" s="13" t="s">
        <v>78</v>
      </c>
      <c r="U1710" s="13" t="s">
        <v>79</v>
      </c>
      <c r="V1710" s="13" t="s">
        <v>2856</v>
      </c>
      <c r="W1710" s="13" t="s">
        <v>901</v>
      </c>
      <c r="X1710" s="135">
        <v>59000</v>
      </c>
      <c r="Y1710" s="157" t="str">
        <f>IF(W1710="RMB","1.13", "1")</f>
        <v>1</v>
      </c>
      <c r="Z1710" s="18">
        <f t="shared" si="507"/>
        <v>59000</v>
      </c>
      <c r="AA1710" s="13">
        <v>7.8</v>
      </c>
      <c r="AB1710" s="21">
        <f t="shared" si="492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493"/>
        <v>37969334.083628319</v>
      </c>
      <c r="AJ1710" s="19">
        <f t="shared" si="494"/>
        <v>5097226.4551657084</v>
      </c>
      <c r="AK1710" s="20">
        <f t="shared" si="501"/>
        <v>0.13424587441904964</v>
      </c>
      <c r="AL1710" s="17"/>
      <c r="AM1710" s="17"/>
      <c r="AN1710" s="17"/>
      <c r="AO1710" s="17"/>
      <c r="AP1710" s="28" t="str">
        <f t="shared" si="502"/>
        <v>20208</v>
      </c>
      <c r="AQ1710" s="28" t="str">
        <f t="shared" si="503"/>
        <v>20208USD</v>
      </c>
      <c r="AR1710" s="206" t="str">
        <f t="shared" si="504"/>
        <v>LOCAL SUPPLIER</v>
      </c>
      <c r="AS1710" s="22">
        <f t="shared" si="505"/>
        <v>1</v>
      </c>
      <c r="AT1710" s="24" t="str">
        <f t="shared" si="506"/>
        <v>0-3 months</v>
      </c>
      <c r="AU1710" s="22" t="s">
        <v>3746</v>
      </c>
    </row>
    <row r="1711" spans="1:47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53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2951</v>
      </c>
      <c r="K1711" s="155" t="s">
        <v>2855</v>
      </c>
      <c r="L1711" s="17" t="s">
        <v>2802</v>
      </c>
      <c r="M1711" s="13" t="s">
        <v>2607</v>
      </c>
      <c r="N1711" s="13">
        <v>1</v>
      </c>
      <c r="O1711" s="13"/>
      <c r="P1711" s="33" t="str">
        <f t="shared" si="498"/>
        <v>MAIN UNIT</v>
      </c>
      <c r="Q1711" s="13" t="s">
        <v>61</v>
      </c>
      <c r="R1711" s="13" t="s">
        <v>2055</v>
      </c>
      <c r="S1711" s="13" t="s">
        <v>49</v>
      </c>
      <c r="T1711" s="13" t="s">
        <v>78</v>
      </c>
      <c r="U1711" s="13" t="s">
        <v>79</v>
      </c>
      <c r="V1711" s="13" t="s">
        <v>2856</v>
      </c>
      <c r="W1711" s="13" t="s">
        <v>901</v>
      </c>
      <c r="X1711" s="135">
        <v>48000</v>
      </c>
      <c r="Y1711" s="157" t="str">
        <f>IF(W1711="RMB","1.13", "1")</f>
        <v>1</v>
      </c>
      <c r="Z1711" s="18">
        <f t="shared" si="507"/>
        <v>48000</v>
      </c>
      <c r="AA1711" s="13">
        <v>7.8</v>
      </c>
      <c r="AB1711" s="21">
        <f t="shared" si="492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493"/>
        <v>63006605.696460173</v>
      </c>
      <c r="AJ1711" s="19">
        <f t="shared" si="494"/>
        <v>8897485.660753984</v>
      </c>
      <c r="AK1711" s="20">
        <f t="shared" si="501"/>
        <v>0.141215124388995</v>
      </c>
      <c r="AL1711" s="17"/>
      <c r="AM1711" s="17"/>
      <c r="AN1711" s="17"/>
      <c r="AO1711" s="17"/>
      <c r="AP1711" s="28" t="str">
        <f t="shared" si="502"/>
        <v>20215</v>
      </c>
      <c r="AQ1711" s="28" t="str">
        <f t="shared" si="503"/>
        <v>20215USD</v>
      </c>
      <c r="AR1711" s="206" t="str">
        <f t="shared" si="504"/>
        <v>HELLER</v>
      </c>
      <c r="AS1711" s="22">
        <f t="shared" si="505"/>
        <v>2</v>
      </c>
      <c r="AT1711" s="24" t="str">
        <f t="shared" si="506"/>
        <v>0-3 months</v>
      </c>
      <c r="AU1711" s="22" t="s">
        <v>3746</v>
      </c>
    </row>
    <row r="1712" spans="1:47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55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3047</v>
      </c>
      <c r="K1712" s="155" t="s">
        <v>2855</v>
      </c>
      <c r="L1712" s="17" t="s">
        <v>2609</v>
      </c>
      <c r="M1712" s="13" t="s">
        <v>2607</v>
      </c>
      <c r="N1712" s="13">
        <v>1</v>
      </c>
      <c r="O1712" s="13"/>
      <c r="P1712" s="33" t="str">
        <f t="shared" si="498"/>
        <v>MAIN UNIT</v>
      </c>
      <c r="Q1712" s="13" t="s">
        <v>61</v>
      </c>
      <c r="R1712" s="13" t="s">
        <v>2055</v>
      </c>
      <c r="S1712" s="13" t="s">
        <v>49</v>
      </c>
      <c r="T1712" s="13" t="s">
        <v>78</v>
      </c>
      <c r="U1712" s="13" t="s">
        <v>79</v>
      </c>
      <c r="V1712" s="13" t="s">
        <v>2506</v>
      </c>
      <c r="W1712" s="13" t="s">
        <v>901</v>
      </c>
      <c r="X1712" s="135">
        <v>50000</v>
      </c>
      <c r="Y1712" s="157" t="str">
        <f>IF(W1712="","",IF(W1712="RMB","1.13", "1"))</f>
        <v>1</v>
      </c>
      <c r="Z1712" s="18">
        <f t="shared" si="507"/>
        <v>50000</v>
      </c>
      <c r="AA1712" s="13">
        <v>7.8</v>
      </c>
      <c r="AB1712" s="21">
        <f t="shared" si="492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493"/>
        <v>30573205.452778768</v>
      </c>
      <c r="AJ1712" s="19">
        <f t="shared" si="494"/>
        <v>3790930.1683151261</v>
      </c>
      <c r="AK1712" s="20">
        <f t="shared" si="501"/>
        <v>0.12399518179964254</v>
      </c>
      <c r="AL1712" s="17"/>
      <c r="AM1712" s="17"/>
      <c r="AN1712" s="17"/>
      <c r="AO1712" s="17"/>
      <c r="AP1712" s="28" t="str">
        <f t="shared" si="502"/>
        <v>20234</v>
      </c>
      <c r="AQ1712" s="28" t="str">
        <f t="shared" si="503"/>
        <v>20234USD</v>
      </c>
      <c r="AR1712" s="206" t="str">
        <f t="shared" si="504"/>
        <v>HELLER</v>
      </c>
      <c r="AS1712" s="22">
        <f t="shared" si="505"/>
        <v>3</v>
      </c>
      <c r="AT1712" s="24" t="str">
        <f t="shared" si="506"/>
        <v>0-3 months</v>
      </c>
      <c r="AU1712" s="22" t="s">
        <v>3746</v>
      </c>
    </row>
    <row r="1713" spans="1:47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3047</v>
      </c>
      <c r="K1713" s="155" t="s">
        <v>2855</v>
      </c>
      <c r="L1713" s="17" t="s">
        <v>2609</v>
      </c>
      <c r="M1713" s="13" t="s">
        <v>2607</v>
      </c>
      <c r="N1713" s="13">
        <v>1</v>
      </c>
      <c r="O1713" s="13"/>
      <c r="P1713" s="33" t="str">
        <f t="shared" si="498"/>
        <v>MAIN UNIT</v>
      </c>
      <c r="Q1713" s="13" t="s">
        <v>61</v>
      </c>
      <c r="R1713" s="13" t="s">
        <v>2055</v>
      </c>
      <c r="S1713" s="13" t="s">
        <v>49</v>
      </c>
      <c r="T1713" s="13" t="s">
        <v>78</v>
      </c>
      <c r="U1713" s="13" t="s">
        <v>79</v>
      </c>
      <c r="V1713" s="13" t="s">
        <v>2506</v>
      </c>
      <c r="W1713" s="13" t="s">
        <v>901</v>
      </c>
      <c r="X1713" s="135">
        <v>50000</v>
      </c>
      <c r="Y1713" s="157" t="str">
        <f>IF(W1713="","",IF(W1713="RMB","1.13", "1"))</f>
        <v>1</v>
      </c>
      <c r="Z1713" s="18">
        <f t="shared" si="507"/>
        <v>50000</v>
      </c>
      <c r="AA1713" s="13">
        <v>7.8</v>
      </c>
      <c r="AB1713" s="21">
        <f t="shared" si="492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493"/>
        <v>15951056.41591504</v>
      </c>
      <c r="AJ1713" s="19">
        <f t="shared" si="494"/>
        <v>1966354.6022462982</v>
      </c>
      <c r="AK1713" s="20">
        <f t="shared" si="501"/>
        <v>0.12327425538313459</v>
      </c>
      <c r="AL1713" s="17"/>
      <c r="AM1713" s="17"/>
      <c r="AN1713" s="17"/>
      <c r="AO1713" s="17"/>
      <c r="AP1713" s="28" t="str">
        <f t="shared" si="502"/>
        <v>20237</v>
      </c>
      <c r="AQ1713" s="28" t="str">
        <f t="shared" si="503"/>
        <v>20237USD</v>
      </c>
      <c r="AR1713" s="206" t="str">
        <f t="shared" si="504"/>
        <v>HELLER</v>
      </c>
      <c r="AS1713" s="22">
        <f t="shared" si="505"/>
        <v>6</v>
      </c>
      <c r="AT1713" s="24" t="str">
        <f t="shared" si="506"/>
        <v>4-6 months</v>
      </c>
      <c r="AU1713" s="22" t="s">
        <v>3746</v>
      </c>
    </row>
    <row r="1714" spans="1:47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3047</v>
      </c>
      <c r="K1714" s="155" t="s">
        <v>2855</v>
      </c>
      <c r="L1714" s="17" t="s">
        <v>2609</v>
      </c>
      <c r="M1714" s="13" t="s">
        <v>2607</v>
      </c>
      <c r="N1714" s="13">
        <v>1</v>
      </c>
      <c r="O1714" s="13"/>
      <c r="P1714" s="33" t="str">
        <f t="shared" si="498"/>
        <v>MAIN UNIT</v>
      </c>
      <c r="Q1714" s="13" t="s">
        <v>61</v>
      </c>
      <c r="R1714" s="13" t="s">
        <v>2055</v>
      </c>
      <c r="S1714" s="13" t="s">
        <v>49</v>
      </c>
      <c r="T1714" s="13" t="s">
        <v>78</v>
      </c>
      <c r="U1714" s="13" t="s">
        <v>79</v>
      </c>
      <c r="V1714" s="13" t="s">
        <v>2506</v>
      </c>
      <c r="W1714" s="13" t="s">
        <v>901</v>
      </c>
      <c r="X1714" s="135">
        <v>50000</v>
      </c>
      <c r="Y1714" s="157" t="str">
        <f>IF(W1714="","",IF(W1714="RMB","1.13", "1"))</f>
        <v>1</v>
      </c>
      <c r="Z1714" s="18">
        <f t="shared" si="507"/>
        <v>50000</v>
      </c>
      <c r="AA1714" s="13">
        <v>7.8</v>
      </c>
      <c r="AB1714" s="21">
        <f t="shared" si="492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493"/>
        <v>15951056.41591504</v>
      </c>
      <c r="AJ1714" s="19">
        <f t="shared" si="494"/>
        <v>1966354.6022462982</v>
      </c>
      <c r="AK1714" s="20">
        <f t="shared" si="501"/>
        <v>0.12327425538313459</v>
      </c>
      <c r="AL1714" s="17"/>
      <c r="AM1714" s="17"/>
      <c r="AN1714" s="17"/>
      <c r="AO1714" s="17"/>
      <c r="AP1714" s="28" t="str">
        <f t="shared" si="502"/>
        <v>20237</v>
      </c>
      <c r="AQ1714" s="28" t="str">
        <f t="shared" si="503"/>
        <v>20237USD</v>
      </c>
      <c r="AR1714" s="206" t="str">
        <f t="shared" si="504"/>
        <v>HELLER</v>
      </c>
      <c r="AS1714" s="22">
        <f t="shared" si="505"/>
        <v>6</v>
      </c>
      <c r="AT1714" s="24" t="str">
        <f t="shared" si="506"/>
        <v>4-6 months</v>
      </c>
      <c r="AU1714" s="22" t="s">
        <v>3746</v>
      </c>
    </row>
    <row r="1715" spans="1:47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41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742</v>
      </c>
      <c r="K1715" s="155" t="s">
        <v>743</v>
      </c>
      <c r="L1715" s="17" t="s">
        <v>67</v>
      </c>
      <c r="M1715" s="13" t="s">
        <v>60</v>
      </c>
      <c r="N1715" s="13">
        <v>1</v>
      </c>
      <c r="O1715" s="13"/>
      <c r="P1715" s="33" t="str">
        <f t="shared" si="498"/>
        <v>MAIN UNIT</v>
      </c>
      <c r="Q1715" s="13" t="s">
        <v>68</v>
      </c>
      <c r="R1715" s="13" t="s">
        <v>538</v>
      </c>
      <c r="S1715" s="13" t="s">
        <v>49</v>
      </c>
      <c r="T1715" s="13" t="s">
        <v>78</v>
      </c>
      <c r="U1715" s="13" t="s">
        <v>79</v>
      </c>
      <c r="V1715" s="13" t="s">
        <v>80</v>
      </c>
      <c r="W1715" s="13" t="s">
        <v>109</v>
      </c>
      <c r="X1715" s="135">
        <v>9350000</v>
      </c>
      <c r="Y1715" s="156">
        <v>1</v>
      </c>
      <c r="Z1715" s="18">
        <f t="shared" si="507"/>
        <v>9350000</v>
      </c>
      <c r="AA1715" s="13">
        <v>7.3499999999999996E-2</v>
      </c>
      <c r="AB1715" s="21">
        <f t="shared" si="492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493"/>
        <v>16455710.386637932</v>
      </c>
      <c r="AJ1715" s="19">
        <f t="shared" si="494"/>
        <v>2150644.6466930606</v>
      </c>
      <c r="AK1715" s="20">
        <f t="shared" si="501"/>
        <v>0.13069290818580451</v>
      </c>
      <c r="AL1715" s="17"/>
      <c r="AM1715" s="17"/>
      <c r="AN1715" s="17"/>
      <c r="AO1715" s="17"/>
      <c r="AP1715" s="28" t="str">
        <f t="shared" si="502"/>
        <v>20192</v>
      </c>
      <c r="AQ1715" s="28" t="str">
        <f t="shared" si="503"/>
        <v>20192JPY</v>
      </c>
      <c r="AR1715" s="206" t="str">
        <f t="shared" si="504"/>
        <v>YAMAHA_Mounter</v>
      </c>
      <c r="AS1715" s="22">
        <f t="shared" si="505"/>
        <v>1</v>
      </c>
      <c r="AT1715" s="24" t="str">
        <f t="shared" si="506"/>
        <v>0-3 months</v>
      </c>
      <c r="AU1715" s="22" t="s">
        <v>3746</v>
      </c>
    </row>
    <row r="1716" spans="1:47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41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742</v>
      </c>
      <c r="K1716" s="155" t="s">
        <v>743</v>
      </c>
      <c r="L1716" s="17" t="s">
        <v>67</v>
      </c>
      <c r="M1716" s="13" t="s">
        <v>60</v>
      </c>
      <c r="N1716" s="13">
        <v>1</v>
      </c>
      <c r="O1716" s="13"/>
      <c r="P1716" s="33" t="str">
        <f t="shared" si="498"/>
        <v>MAIN UNIT</v>
      </c>
      <c r="Q1716" s="13" t="s">
        <v>68</v>
      </c>
      <c r="R1716" s="13" t="s">
        <v>538</v>
      </c>
      <c r="S1716" s="13" t="s">
        <v>49</v>
      </c>
      <c r="T1716" s="13" t="s">
        <v>78</v>
      </c>
      <c r="U1716" s="13" t="s">
        <v>79</v>
      </c>
      <c r="V1716" s="13" t="s">
        <v>80</v>
      </c>
      <c r="W1716" s="13" t="s">
        <v>109</v>
      </c>
      <c r="X1716" s="135">
        <v>9350000</v>
      </c>
      <c r="Y1716" s="156">
        <v>1</v>
      </c>
      <c r="Z1716" s="18">
        <f t="shared" si="507"/>
        <v>9350000</v>
      </c>
      <c r="AA1716" s="13">
        <v>7.3499999999999996E-2</v>
      </c>
      <c r="AB1716" s="21">
        <f t="shared" si="492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493"/>
        <v>16455710.386637932</v>
      </c>
      <c r="AJ1716" s="19">
        <f t="shared" si="494"/>
        <v>2150644.6466930606</v>
      </c>
      <c r="AK1716" s="20">
        <f t="shared" si="501"/>
        <v>0.13069290818580451</v>
      </c>
      <c r="AL1716" s="17"/>
      <c r="AM1716" s="17"/>
      <c r="AN1716" s="17"/>
      <c r="AO1716" s="17"/>
      <c r="AP1716" s="28" t="str">
        <f t="shared" si="502"/>
        <v>20192</v>
      </c>
      <c r="AQ1716" s="28" t="str">
        <f t="shared" si="503"/>
        <v>20192JPY</v>
      </c>
      <c r="AR1716" s="206" t="str">
        <f t="shared" si="504"/>
        <v>YAMAHA_Mounter</v>
      </c>
      <c r="AS1716" s="22">
        <f t="shared" si="505"/>
        <v>1</v>
      </c>
      <c r="AT1716" s="24" t="str">
        <f t="shared" si="506"/>
        <v>0-3 months</v>
      </c>
      <c r="AU1716" s="22" t="s">
        <v>3746</v>
      </c>
    </row>
    <row r="1717" spans="1:47" s="12" customFormat="1">
      <c r="A1717" s="33" t="str">
        <f t="shared" si="495"/>
        <v>cancel</v>
      </c>
      <c r="B1717" s="152"/>
      <c r="C1717" s="152" t="s">
        <v>185</v>
      </c>
      <c r="D1717" s="33" t="str">
        <f t="shared" si="496"/>
        <v/>
      </c>
      <c r="E1717" s="33" t="s">
        <v>185</v>
      </c>
      <c r="F1717" s="13" t="s">
        <v>185</v>
      </c>
      <c r="G1717" s="152" t="s">
        <v>185</v>
      </c>
      <c r="H1717" s="155"/>
      <c r="I1717" s="33" t="str">
        <f t="shared" si="497"/>
        <v>Cancel</v>
      </c>
      <c r="J1717" s="186" t="s">
        <v>2660</v>
      </c>
      <c r="K1717" s="155" t="s">
        <v>2661</v>
      </c>
      <c r="L1717" s="17" t="s">
        <v>67</v>
      </c>
      <c r="M1717" s="13" t="s">
        <v>60</v>
      </c>
      <c r="N1717" s="13">
        <v>1</v>
      </c>
      <c r="O1717" s="13"/>
      <c r="P1717" s="33" t="str">
        <f t="shared" si="498"/>
        <v>MAIN UNIT</v>
      </c>
      <c r="Q1717" s="13" t="s">
        <v>61</v>
      </c>
      <c r="R1717" s="13" t="s">
        <v>62</v>
      </c>
      <c r="S1717" s="13" t="s">
        <v>49</v>
      </c>
      <c r="T1717" s="13" t="s">
        <v>78</v>
      </c>
      <c r="U1717" s="13" t="s">
        <v>79</v>
      </c>
      <c r="V1717" s="13" t="s">
        <v>80</v>
      </c>
      <c r="W1717" s="13" t="s">
        <v>109</v>
      </c>
      <c r="X1717" s="135">
        <v>9350000</v>
      </c>
      <c r="Y1717" s="156">
        <v>1</v>
      </c>
      <c r="Z1717" s="18">
        <f t="shared" si="507"/>
        <v>9350000</v>
      </c>
      <c r="AA1717" s="13">
        <v>7.2300000000000003E-2</v>
      </c>
      <c r="AB1717" s="21">
        <f t="shared" si="492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493"/>
        <v>499582152.5142017</v>
      </c>
      <c r="AJ1717" s="19">
        <f t="shared" si="494"/>
        <v>59520528.679470733</v>
      </c>
      <c r="AK1717" s="20">
        <f t="shared" si="501"/>
        <v>0.11914062257814291</v>
      </c>
      <c r="AL1717" s="17"/>
      <c r="AM1717" s="17"/>
      <c r="AN1717" s="17"/>
      <c r="AO1717" s="17"/>
      <c r="AP1717" s="28" t="str">
        <f t="shared" si="502"/>
        <v>CancelCancel</v>
      </c>
      <c r="AQ1717" s="28" t="str">
        <f t="shared" si="503"/>
        <v>CancelCancelJPY</v>
      </c>
      <c r="AR1717" s="206" t="str">
        <f t="shared" si="504"/>
        <v>YAMAHA_Mounter</v>
      </c>
      <c r="AS1717" s="22" t="str">
        <f t="shared" si="505"/>
        <v/>
      </c>
      <c r="AT1717" s="24" t="str">
        <f t="shared" si="506"/>
        <v/>
      </c>
      <c r="AU1717" s="22" t="s">
        <v>3746</v>
      </c>
    </row>
    <row r="1718" spans="1:47" s="12" customFormat="1">
      <c r="A1718" s="33" t="str">
        <f t="shared" si="495"/>
        <v>cancel</v>
      </c>
      <c r="B1718" s="152"/>
      <c r="C1718" s="152" t="s">
        <v>185</v>
      </c>
      <c r="D1718" s="33" t="str">
        <f t="shared" si="496"/>
        <v/>
      </c>
      <c r="E1718" s="33" t="s">
        <v>185</v>
      </c>
      <c r="F1718" s="13" t="s">
        <v>185</v>
      </c>
      <c r="G1718" s="152" t="s">
        <v>185</v>
      </c>
      <c r="H1718" s="155"/>
      <c r="I1718" s="33" t="str">
        <f t="shared" si="497"/>
        <v>Cancel</v>
      </c>
      <c r="J1718" s="186" t="s">
        <v>2660</v>
      </c>
      <c r="K1718" s="155" t="s">
        <v>2661</v>
      </c>
      <c r="L1718" s="17" t="s">
        <v>67</v>
      </c>
      <c r="M1718" s="13" t="s">
        <v>60</v>
      </c>
      <c r="N1718" s="13">
        <v>1</v>
      </c>
      <c r="O1718" s="13"/>
      <c r="P1718" s="33" t="str">
        <f t="shared" si="498"/>
        <v>MAIN UNIT</v>
      </c>
      <c r="Q1718" s="13" t="s">
        <v>61</v>
      </c>
      <c r="R1718" s="13" t="s">
        <v>62</v>
      </c>
      <c r="S1718" s="13" t="s">
        <v>49</v>
      </c>
      <c r="T1718" s="13" t="s">
        <v>78</v>
      </c>
      <c r="U1718" s="13" t="s">
        <v>79</v>
      </c>
      <c r="V1718" s="13" t="s">
        <v>80</v>
      </c>
      <c r="W1718" s="13" t="s">
        <v>109</v>
      </c>
      <c r="X1718" s="135">
        <v>9350000</v>
      </c>
      <c r="Y1718" s="156">
        <v>1</v>
      </c>
      <c r="Z1718" s="18">
        <f t="shared" si="507"/>
        <v>9350000</v>
      </c>
      <c r="AA1718" s="13">
        <v>7.2300000000000003E-2</v>
      </c>
      <c r="AB1718" s="21">
        <f t="shared" ref="AB1718:AB1781" si="509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493"/>
        <v>499582152.5142017</v>
      </c>
      <c r="AJ1718" s="19">
        <f t="shared" si="494"/>
        <v>59520528.679470733</v>
      </c>
      <c r="AK1718" s="20">
        <f t="shared" si="501"/>
        <v>0.11914062257814291</v>
      </c>
      <c r="AL1718" s="17"/>
      <c r="AM1718" s="17"/>
      <c r="AN1718" s="17"/>
      <c r="AO1718" s="17"/>
      <c r="AP1718" s="28" t="str">
        <f t="shared" si="502"/>
        <v>CancelCancel</v>
      </c>
      <c r="AQ1718" s="28" t="str">
        <f t="shared" si="503"/>
        <v>CancelCancelJPY</v>
      </c>
      <c r="AR1718" s="206" t="str">
        <f t="shared" si="504"/>
        <v>YAMAHA_Mounter</v>
      </c>
      <c r="AS1718" s="22" t="str">
        <f t="shared" si="505"/>
        <v/>
      </c>
      <c r="AT1718" s="24" t="str">
        <f t="shared" si="506"/>
        <v/>
      </c>
      <c r="AU1718" s="22" t="s">
        <v>3746</v>
      </c>
    </row>
    <row r="1719" spans="1:47" s="12" customFormat="1">
      <c r="A1719" s="33" t="str">
        <f t="shared" si="495"/>
        <v>cancel</v>
      </c>
      <c r="B1719" s="152"/>
      <c r="C1719" s="152" t="s">
        <v>185</v>
      </c>
      <c r="D1719" s="33" t="str">
        <f t="shared" si="496"/>
        <v/>
      </c>
      <c r="E1719" s="33" t="s">
        <v>185</v>
      </c>
      <c r="F1719" s="13" t="s">
        <v>185</v>
      </c>
      <c r="G1719" s="152" t="s">
        <v>185</v>
      </c>
      <c r="H1719" s="155"/>
      <c r="I1719" s="33" t="str">
        <f t="shared" si="497"/>
        <v>Cancel</v>
      </c>
      <c r="J1719" s="186" t="s">
        <v>2660</v>
      </c>
      <c r="K1719" s="155" t="s">
        <v>2661</v>
      </c>
      <c r="L1719" s="17" t="s">
        <v>67</v>
      </c>
      <c r="M1719" s="13" t="s">
        <v>60</v>
      </c>
      <c r="N1719" s="13">
        <v>1</v>
      </c>
      <c r="O1719" s="13"/>
      <c r="P1719" s="33" t="str">
        <f t="shared" si="498"/>
        <v>MAIN UNIT</v>
      </c>
      <c r="Q1719" s="13" t="s">
        <v>61</v>
      </c>
      <c r="R1719" s="13" t="s">
        <v>62</v>
      </c>
      <c r="S1719" s="13" t="s">
        <v>49</v>
      </c>
      <c r="T1719" s="13" t="s">
        <v>78</v>
      </c>
      <c r="U1719" s="13" t="s">
        <v>79</v>
      </c>
      <c r="V1719" s="13" t="s">
        <v>80</v>
      </c>
      <c r="W1719" s="13" t="s">
        <v>109</v>
      </c>
      <c r="X1719" s="135">
        <v>9350000</v>
      </c>
      <c r="Y1719" s="156">
        <v>1</v>
      </c>
      <c r="Z1719" s="18">
        <f t="shared" si="507"/>
        <v>9350000</v>
      </c>
      <c r="AA1719" s="13">
        <v>7.2300000000000003E-2</v>
      </c>
      <c r="AB1719" s="21">
        <f t="shared" si="509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493"/>
        <v>499582152.5142017</v>
      </c>
      <c r="AJ1719" s="19">
        <f t="shared" si="494"/>
        <v>59520528.679470733</v>
      </c>
      <c r="AK1719" s="20">
        <f t="shared" si="501"/>
        <v>0.11914062257814291</v>
      </c>
      <c r="AL1719" s="17"/>
      <c r="AM1719" s="17"/>
      <c r="AN1719" s="17"/>
      <c r="AO1719" s="17"/>
      <c r="AP1719" s="28" t="str">
        <f t="shared" si="502"/>
        <v>CancelCancel</v>
      </c>
      <c r="AQ1719" s="28" t="str">
        <f t="shared" si="503"/>
        <v>CancelCancelJPY</v>
      </c>
      <c r="AR1719" s="206" t="str">
        <f t="shared" si="504"/>
        <v>YAMAHA_Mounter</v>
      </c>
      <c r="AS1719" s="22" t="str">
        <f t="shared" si="505"/>
        <v/>
      </c>
      <c r="AT1719" s="24" t="str">
        <f t="shared" si="506"/>
        <v/>
      </c>
      <c r="AU1719" s="22" t="s">
        <v>3746</v>
      </c>
    </row>
    <row r="1720" spans="1:47" s="12" customFormat="1">
      <c r="A1720" s="33" t="str">
        <f t="shared" si="495"/>
        <v>cancel</v>
      </c>
      <c r="B1720" s="152"/>
      <c r="C1720" s="152" t="s">
        <v>185</v>
      </c>
      <c r="D1720" s="33" t="str">
        <f t="shared" si="496"/>
        <v/>
      </c>
      <c r="E1720" s="33" t="s">
        <v>185</v>
      </c>
      <c r="F1720" s="13" t="s">
        <v>185</v>
      </c>
      <c r="G1720" s="152" t="s">
        <v>185</v>
      </c>
      <c r="H1720" s="155"/>
      <c r="I1720" s="33" t="str">
        <f t="shared" si="497"/>
        <v>Cancel</v>
      </c>
      <c r="J1720" s="186" t="s">
        <v>2660</v>
      </c>
      <c r="K1720" s="155" t="s">
        <v>2661</v>
      </c>
      <c r="L1720" s="17" t="s">
        <v>67</v>
      </c>
      <c r="M1720" s="13" t="s">
        <v>60</v>
      </c>
      <c r="N1720" s="13">
        <v>1</v>
      </c>
      <c r="O1720" s="13"/>
      <c r="P1720" s="33" t="str">
        <f t="shared" si="498"/>
        <v>MAIN UNIT</v>
      </c>
      <c r="Q1720" s="13" t="s">
        <v>61</v>
      </c>
      <c r="R1720" s="13" t="s">
        <v>62</v>
      </c>
      <c r="S1720" s="13" t="s">
        <v>49</v>
      </c>
      <c r="T1720" s="13" t="s">
        <v>78</v>
      </c>
      <c r="U1720" s="13" t="s">
        <v>79</v>
      </c>
      <c r="V1720" s="13" t="s">
        <v>80</v>
      </c>
      <c r="W1720" s="13" t="s">
        <v>109</v>
      </c>
      <c r="X1720" s="135">
        <v>9350000</v>
      </c>
      <c r="Y1720" s="156">
        <v>1</v>
      </c>
      <c r="Z1720" s="18">
        <f t="shared" si="507"/>
        <v>9350000</v>
      </c>
      <c r="AA1720" s="13">
        <v>7.2300000000000003E-2</v>
      </c>
      <c r="AB1720" s="21">
        <f t="shared" si="509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493"/>
        <v>499582152.5142017</v>
      </c>
      <c r="AJ1720" s="19">
        <f t="shared" si="494"/>
        <v>59520528.679470733</v>
      </c>
      <c r="AK1720" s="20">
        <f t="shared" si="501"/>
        <v>0.11914062257814291</v>
      </c>
      <c r="AL1720" s="17"/>
      <c r="AM1720" s="17"/>
      <c r="AN1720" s="17"/>
      <c r="AO1720" s="17"/>
      <c r="AP1720" s="28" t="str">
        <f t="shared" si="502"/>
        <v>CancelCancel</v>
      </c>
      <c r="AQ1720" s="28" t="str">
        <f t="shared" si="503"/>
        <v>CancelCancelJPY</v>
      </c>
      <c r="AR1720" s="206" t="str">
        <f t="shared" si="504"/>
        <v>YAMAHA_Mounter</v>
      </c>
      <c r="AS1720" s="22" t="str">
        <f t="shared" si="505"/>
        <v/>
      </c>
      <c r="AT1720" s="24" t="str">
        <f t="shared" si="506"/>
        <v/>
      </c>
      <c r="AU1720" s="22" t="s">
        <v>3746</v>
      </c>
    </row>
    <row r="1721" spans="1:47" s="12" customFormat="1">
      <c r="A1721" s="33" t="str">
        <f t="shared" si="495"/>
        <v>cancel</v>
      </c>
      <c r="B1721" s="152"/>
      <c r="C1721" s="152" t="s">
        <v>185</v>
      </c>
      <c r="D1721" s="33" t="str">
        <f t="shared" si="496"/>
        <v/>
      </c>
      <c r="E1721" s="33" t="s">
        <v>185</v>
      </c>
      <c r="F1721" s="13" t="s">
        <v>185</v>
      </c>
      <c r="G1721" s="152" t="s">
        <v>185</v>
      </c>
      <c r="H1721" s="155"/>
      <c r="I1721" s="33" t="str">
        <f t="shared" si="497"/>
        <v>Cancel</v>
      </c>
      <c r="J1721" s="186" t="s">
        <v>2660</v>
      </c>
      <c r="K1721" s="155" t="s">
        <v>2661</v>
      </c>
      <c r="L1721" s="17" t="s">
        <v>67</v>
      </c>
      <c r="M1721" s="13" t="s">
        <v>60</v>
      </c>
      <c r="N1721" s="13">
        <v>1</v>
      </c>
      <c r="O1721" s="13"/>
      <c r="P1721" s="33" t="str">
        <f t="shared" si="498"/>
        <v>MAIN UNIT</v>
      </c>
      <c r="Q1721" s="13" t="s">
        <v>61</v>
      </c>
      <c r="R1721" s="13" t="s">
        <v>62</v>
      </c>
      <c r="S1721" s="13" t="s">
        <v>49</v>
      </c>
      <c r="T1721" s="13" t="s">
        <v>78</v>
      </c>
      <c r="U1721" s="13" t="s">
        <v>79</v>
      </c>
      <c r="V1721" s="13" t="s">
        <v>80</v>
      </c>
      <c r="W1721" s="13" t="s">
        <v>109</v>
      </c>
      <c r="X1721" s="135">
        <v>9350000</v>
      </c>
      <c r="Y1721" s="156">
        <v>1</v>
      </c>
      <c r="Z1721" s="18">
        <f t="shared" si="507"/>
        <v>9350000</v>
      </c>
      <c r="AA1721" s="13">
        <v>7.2300000000000003E-2</v>
      </c>
      <c r="AB1721" s="21">
        <f t="shared" si="509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493"/>
        <v>499582152.5142017</v>
      </c>
      <c r="AJ1721" s="19">
        <f t="shared" si="494"/>
        <v>59520528.679470733</v>
      </c>
      <c r="AK1721" s="20">
        <f t="shared" si="501"/>
        <v>0.11914062257814291</v>
      </c>
      <c r="AL1721" s="17"/>
      <c r="AM1721" s="17"/>
      <c r="AN1721" s="17"/>
      <c r="AO1721" s="17"/>
      <c r="AP1721" s="28" t="str">
        <f t="shared" si="502"/>
        <v>CancelCancel</v>
      </c>
      <c r="AQ1721" s="28" t="str">
        <f t="shared" si="503"/>
        <v>CancelCancelJPY</v>
      </c>
      <c r="AR1721" s="206" t="str">
        <f t="shared" si="504"/>
        <v>YAMAHA_Mounter</v>
      </c>
      <c r="AS1721" s="22" t="str">
        <f t="shared" si="505"/>
        <v/>
      </c>
      <c r="AT1721" s="24" t="str">
        <f t="shared" si="506"/>
        <v/>
      </c>
      <c r="AU1721" s="22" t="s">
        <v>3746</v>
      </c>
    </row>
    <row r="1722" spans="1:47" s="12" customFormat="1">
      <c r="A1722" s="33" t="str">
        <f t="shared" si="495"/>
        <v>cancel</v>
      </c>
      <c r="B1722" s="152"/>
      <c r="C1722" s="152" t="s">
        <v>185</v>
      </c>
      <c r="D1722" s="33" t="str">
        <f t="shared" si="496"/>
        <v/>
      </c>
      <c r="E1722" s="33" t="s">
        <v>185</v>
      </c>
      <c r="F1722" s="13" t="s">
        <v>185</v>
      </c>
      <c r="G1722" s="152" t="s">
        <v>185</v>
      </c>
      <c r="H1722" s="155"/>
      <c r="I1722" s="33" t="str">
        <f t="shared" si="497"/>
        <v>Cancel</v>
      </c>
      <c r="J1722" s="186" t="s">
        <v>2660</v>
      </c>
      <c r="K1722" s="155" t="s">
        <v>2661</v>
      </c>
      <c r="L1722" s="17" t="s">
        <v>67</v>
      </c>
      <c r="M1722" s="13" t="s">
        <v>60</v>
      </c>
      <c r="N1722" s="13">
        <v>1</v>
      </c>
      <c r="O1722" s="13"/>
      <c r="P1722" s="33" t="str">
        <f t="shared" si="498"/>
        <v>MAIN UNIT</v>
      </c>
      <c r="Q1722" s="13" t="s">
        <v>61</v>
      </c>
      <c r="R1722" s="13" t="s">
        <v>62</v>
      </c>
      <c r="S1722" s="13" t="s">
        <v>49</v>
      </c>
      <c r="T1722" s="13" t="s">
        <v>78</v>
      </c>
      <c r="U1722" s="13" t="s">
        <v>79</v>
      </c>
      <c r="V1722" s="13" t="s">
        <v>80</v>
      </c>
      <c r="W1722" s="13" t="s">
        <v>109</v>
      </c>
      <c r="X1722" s="135">
        <v>9350000</v>
      </c>
      <c r="Y1722" s="156">
        <v>1</v>
      </c>
      <c r="Z1722" s="18">
        <f t="shared" si="507"/>
        <v>9350000</v>
      </c>
      <c r="AA1722" s="13">
        <v>7.2300000000000003E-2</v>
      </c>
      <c r="AB1722" s="21">
        <f t="shared" si="509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493"/>
        <v>499582152.5142017</v>
      </c>
      <c r="AJ1722" s="19">
        <f t="shared" si="494"/>
        <v>59520528.679470733</v>
      </c>
      <c r="AK1722" s="20">
        <f t="shared" si="501"/>
        <v>0.11914062257814291</v>
      </c>
      <c r="AL1722" s="17"/>
      <c r="AM1722" s="17"/>
      <c r="AN1722" s="17"/>
      <c r="AO1722" s="17"/>
      <c r="AP1722" s="28" t="str">
        <f t="shared" si="502"/>
        <v>CancelCancel</v>
      </c>
      <c r="AQ1722" s="28" t="str">
        <f t="shared" si="503"/>
        <v>CancelCancelJPY</v>
      </c>
      <c r="AR1722" s="206" t="str">
        <f t="shared" si="504"/>
        <v>YAMAHA_Mounter</v>
      </c>
      <c r="AS1722" s="22" t="str">
        <f t="shared" si="505"/>
        <v/>
      </c>
      <c r="AT1722" s="24" t="str">
        <f t="shared" si="506"/>
        <v/>
      </c>
      <c r="AU1722" s="22" t="s">
        <v>3746</v>
      </c>
    </row>
    <row r="1723" spans="1:47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41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2862</v>
      </c>
      <c r="K1723" s="155" t="s">
        <v>743</v>
      </c>
      <c r="L1723" s="17" t="s">
        <v>2802</v>
      </c>
      <c r="M1723" s="13" t="s">
        <v>2607</v>
      </c>
      <c r="N1723" s="13">
        <v>1</v>
      </c>
      <c r="O1723" s="13"/>
      <c r="P1723" s="33" t="str">
        <f t="shared" si="498"/>
        <v>MAIN UNIT</v>
      </c>
      <c r="Q1723" s="13" t="s">
        <v>61</v>
      </c>
      <c r="R1723" s="13" t="s">
        <v>2055</v>
      </c>
      <c r="S1723" s="13" t="s">
        <v>49</v>
      </c>
      <c r="T1723" s="13" t="s">
        <v>78</v>
      </c>
      <c r="U1723" s="13" t="s">
        <v>79</v>
      </c>
      <c r="V1723" s="13" t="s">
        <v>2779</v>
      </c>
      <c r="W1723" s="13" t="s">
        <v>737</v>
      </c>
      <c r="X1723" s="135">
        <v>260000</v>
      </c>
      <c r="Y1723" s="156">
        <v>1.1599999999999999</v>
      </c>
      <c r="Z1723" s="18">
        <f t="shared" si="507"/>
        <v>260000</v>
      </c>
      <c r="AA1723" s="13">
        <v>1.1499999999999999</v>
      </c>
      <c r="AB1723" s="21">
        <f t="shared" si="509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493"/>
        <v>16455710.386637932</v>
      </c>
      <c r="AJ1723" s="19">
        <f t="shared" si="494"/>
        <v>2150644.6466930606</v>
      </c>
      <c r="AK1723" s="20">
        <f t="shared" si="501"/>
        <v>0.13069290818580451</v>
      </c>
      <c r="AL1723" s="17"/>
      <c r="AM1723" s="17"/>
      <c r="AN1723" s="17"/>
      <c r="AO1723" s="17"/>
      <c r="AP1723" s="28" t="str">
        <f t="shared" si="502"/>
        <v>20192</v>
      </c>
      <c r="AQ1723" s="28" t="str">
        <f t="shared" si="503"/>
        <v>20192RMB</v>
      </c>
      <c r="AR1723" s="206" t="str">
        <f t="shared" si="504"/>
        <v>HELLER</v>
      </c>
      <c r="AS1723" s="22">
        <f t="shared" si="505"/>
        <v>1</v>
      </c>
      <c r="AT1723" s="24" t="str">
        <f t="shared" si="506"/>
        <v>0-3 months</v>
      </c>
      <c r="AU1723" s="22" t="s">
        <v>3744</v>
      </c>
    </row>
    <row r="1724" spans="1:47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3340</v>
      </c>
      <c r="K1724" s="29" t="s">
        <v>3341</v>
      </c>
      <c r="L1724" s="17" t="s">
        <v>67</v>
      </c>
      <c r="M1724" s="22" t="s">
        <v>60</v>
      </c>
      <c r="N1724" s="22">
        <v>1</v>
      </c>
      <c r="O1724" s="22"/>
      <c r="P1724" s="33" t="str">
        <f t="shared" si="498"/>
        <v>MAIN UNIT</v>
      </c>
      <c r="Q1724" s="13" t="s">
        <v>61</v>
      </c>
      <c r="R1724" s="22" t="s">
        <v>62</v>
      </c>
      <c r="S1724" s="22" t="s">
        <v>49</v>
      </c>
      <c r="T1724" s="22" t="s">
        <v>78</v>
      </c>
      <c r="U1724" s="22" t="s">
        <v>78</v>
      </c>
      <c r="V1724" s="22" t="s">
        <v>112</v>
      </c>
      <c r="W1724" s="22" t="s">
        <v>109</v>
      </c>
      <c r="X1724" s="30">
        <v>9652900</v>
      </c>
      <c r="Y1724" s="31" t="str">
        <f>IF(W1724="","",IF(W1724="RMB","1.13", "1"))</f>
        <v>1</v>
      </c>
      <c r="Z1724" s="18">
        <f t="shared" si="507"/>
        <v>9652900</v>
      </c>
      <c r="AA1724" s="13">
        <v>5.0999999999999997E-2</v>
      </c>
      <c r="AB1724" s="21">
        <f t="shared" si="509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493"/>
        <v>27308925.887079656</v>
      </c>
      <c r="AJ1724" s="27">
        <f t="shared" si="494"/>
        <v>3319273.860338124</v>
      </c>
      <c r="AK1724" s="28">
        <f t="shared" si="501"/>
        <v>0.12154538314919709</v>
      </c>
      <c r="AL1724" s="24"/>
      <c r="AM1724" s="24"/>
      <c r="AN1724" s="24"/>
      <c r="AO1724" s="24"/>
      <c r="AP1724" s="28" t="str">
        <f t="shared" si="502"/>
        <v>20246</v>
      </c>
      <c r="AQ1724" s="28" t="str">
        <f t="shared" si="503"/>
        <v>20246JPY</v>
      </c>
      <c r="AR1724" s="206" t="str">
        <f t="shared" si="504"/>
        <v>YAMAHA_Mounter</v>
      </c>
      <c r="AS1724" s="22">
        <f t="shared" si="505"/>
        <v>3</v>
      </c>
      <c r="AT1724" s="24" t="str">
        <f t="shared" si="506"/>
        <v>0-3 months</v>
      </c>
      <c r="AU1724" s="22" t="s">
        <v>3745</v>
      </c>
    </row>
    <row r="1725" spans="1:47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3340</v>
      </c>
      <c r="K1725" s="29" t="s">
        <v>3341</v>
      </c>
      <c r="L1725" s="17" t="s">
        <v>67</v>
      </c>
      <c r="M1725" s="22" t="s">
        <v>60</v>
      </c>
      <c r="N1725" s="22">
        <v>1</v>
      </c>
      <c r="O1725" s="22"/>
      <c r="P1725" s="33" t="str">
        <f t="shared" si="498"/>
        <v>MAIN UNIT</v>
      </c>
      <c r="Q1725" s="13" t="s">
        <v>61</v>
      </c>
      <c r="R1725" s="22" t="s">
        <v>62</v>
      </c>
      <c r="S1725" s="22" t="s">
        <v>49</v>
      </c>
      <c r="T1725" s="22" t="s">
        <v>78</v>
      </c>
      <c r="U1725" s="22" t="s">
        <v>78</v>
      </c>
      <c r="V1725" s="22" t="s">
        <v>112</v>
      </c>
      <c r="W1725" s="22" t="s">
        <v>109</v>
      </c>
      <c r="X1725" s="30">
        <v>9652900</v>
      </c>
      <c r="Y1725" s="31" t="str">
        <f>IF(W1725="","",IF(W1725="RMB","1.13", "1"))</f>
        <v>1</v>
      </c>
      <c r="Z1725" s="18">
        <f t="shared" si="507"/>
        <v>9652900</v>
      </c>
      <c r="AA1725" s="13">
        <v>5.0999999999999997E-2</v>
      </c>
      <c r="AB1725" s="21">
        <f t="shared" si="509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493"/>
        <v>27308925.887079656</v>
      </c>
      <c r="AJ1725" s="27">
        <f t="shared" si="494"/>
        <v>3319273.860338124</v>
      </c>
      <c r="AK1725" s="28">
        <f t="shared" si="501"/>
        <v>0.12154538314919709</v>
      </c>
      <c r="AL1725" s="24"/>
      <c r="AM1725" s="24"/>
      <c r="AN1725" s="24"/>
      <c r="AO1725" s="24"/>
      <c r="AP1725" s="28" t="str">
        <f t="shared" si="502"/>
        <v>20246</v>
      </c>
      <c r="AQ1725" s="28" t="str">
        <f t="shared" si="503"/>
        <v>20246JPY</v>
      </c>
      <c r="AR1725" s="206" t="str">
        <f t="shared" si="504"/>
        <v>YAMAHA_Mounter</v>
      </c>
      <c r="AS1725" s="22">
        <f t="shared" si="505"/>
        <v>3</v>
      </c>
      <c r="AT1725" s="24" t="str">
        <f t="shared" si="506"/>
        <v>0-3 months</v>
      </c>
      <c r="AU1725" s="22" t="s">
        <v>3745</v>
      </c>
    </row>
    <row r="1726" spans="1:47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3340</v>
      </c>
      <c r="K1726" s="29" t="s">
        <v>3341</v>
      </c>
      <c r="L1726" s="17" t="s">
        <v>67</v>
      </c>
      <c r="M1726" s="22" t="s">
        <v>60</v>
      </c>
      <c r="N1726" s="22">
        <v>1</v>
      </c>
      <c r="O1726" s="22"/>
      <c r="P1726" s="33" t="str">
        <f t="shared" si="498"/>
        <v>MAIN UNIT</v>
      </c>
      <c r="Q1726" s="13" t="s">
        <v>61</v>
      </c>
      <c r="R1726" s="22" t="s">
        <v>62</v>
      </c>
      <c r="S1726" s="22" t="s">
        <v>49</v>
      </c>
      <c r="T1726" s="22" t="s">
        <v>78</v>
      </c>
      <c r="U1726" s="22" t="s">
        <v>78</v>
      </c>
      <c r="V1726" s="22" t="s">
        <v>112</v>
      </c>
      <c r="W1726" s="22" t="s">
        <v>109</v>
      </c>
      <c r="X1726" s="30">
        <v>9652900</v>
      </c>
      <c r="Y1726" s="31" t="str">
        <f>IF(W1726="","",IF(W1726="RMB","1.13", "1"))</f>
        <v>1</v>
      </c>
      <c r="Z1726" s="18">
        <f t="shared" si="507"/>
        <v>9652900</v>
      </c>
      <c r="AA1726" s="13">
        <v>5.0999999999999997E-2</v>
      </c>
      <c r="AB1726" s="21">
        <f t="shared" si="509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493"/>
        <v>27308925.887079656</v>
      </c>
      <c r="AJ1726" s="27">
        <f t="shared" si="494"/>
        <v>3319273.860338124</v>
      </c>
      <c r="AK1726" s="28">
        <f t="shared" si="501"/>
        <v>0.12154538314919709</v>
      </c>
      <c r="AL1726" s="24"/>
      <c r="AM1726" s="24"/>
      <c r="AN1726" s="24"/>
      <c r="AO1726" s="24"/>
      <c r="AP1726" s="28" t="str">
        <f t="shared" si="502"/>
        <v>20246</v>
      </c>
      <c r="AQ1726" s="28" t="str">
        <f t="shared" si="503"/>
        <v>20246JPY</v>
      </c>
      <c r="AR1726" s="206" t="str">
        <f t="shared" si="504"/>
        <v>YAMAHA_Mounter</v>
      </c>
      <c r="AS1726" s="22">
        <f t="shared" si="505"/>
        <v>3</v>
      </c>
      <c r="AT1726" s="24" t="str">
        <f t="shared" si="506"/>
        <v>0-3 months</v>
      </c>
      <c r="AU1726" s="22" t="s">
        <v>3745</v>
      </c>
    </row>
    <row r="1727" spans="1:47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3340</v>
      </c>
      <c r="K1727" s="29" t="s">
        <v>3341</v>
      </c>
      <c r="L1727" s="17" t="s">
        <v>92</v>
      </c>
      <c r="M1727" s="22" t="s">
        <v>60</v>
      </c>
      <c r="N1727" s="22">
        <v>1</v>
      </c>
      <c r="O1727" s="22"/>
      <c r="P1727" s="33" t="str">
        <f t="shared" si="498"/>
        <v>MAIN UNIT</v>
      </c>
      <c r="Q1727" s="13" t="s">
        <v>61</v>
      </c>
      <c r="R1727" s="22" t="s">
        <v>62</v>
      </c>
      <c r="S1727" s="22" t="s">
        <v>49</v>
      </c>
      <c r="T1727" s="22" t="s">
        <v>78</v>
      </c>
      <c r="U1727" s="22" t="s">
        <v>78</v>
      </c>
      <c r="V1727" s="22" t="s">
        <v>112</v>
      </c>
      <c r="W1727" s="22" t="s">
        <v>109</v>
      </c>
      <c r="X1727" s="30">
        <v>11000000</v>
      </c>
      <c r="Y1727" s="31" t="str">
        <f>IF(W1727="","",IF(W1727="RMB","1.13", "1"))</f>
        <v>1</v>
      </c>
      <c r="Z1727" s="18">
        <f t="shared" si="507"/>
        <v>11000000</v>
      </c>
      <c r="AA1727" s="13">
        <v>5.0999999999999997E-2</v>
      </c>
      <c r="AB1727" s="21">
        <f t="shared" si="509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493"/>
        <v>27308925.887079656</v>
      </c>
      <c r="AJ1727" s="27">
        <f t="shared" si="494"/>
        <v>3319273.860338124</v>
      </c>
      <c r="AK1727" s="28">
        <f t="shared" si="501"/>
        <v>0.12154538314919709</v>
      </c>
      <c r="AL1727" s="24"/>
      <c r="AM1727" s="24"/>
      <c r="AN1727" s="24"/>
      <c r="AO1727" s="24"/>
      <c r="AP1727" s="28" t="str">
        <f t="shared" si="502"/>
        <v>20246</v>
      </c>
      <c r="AQ1727" s="28" t="str">
        <f t="shared" si="503"/>
        <v>20246JPY</v>
      </c>
      <c r="AR1727" s="206" t="str">
        <f t="shared" si="504"/>
        <v>YAMAHA_Mounter</v>
      </c>
      <c r="AS1727" s="22">
        <f t="shared" si="505"/>
        <v>3</v>
      </c>
      <c r="AT1727" s="24" t="str">
        <f t="shared" si="506"/>
        <v>0-3 months</v>
      </c>
      <c r="AU1727" s="22" t="s">
        <v>3745</v>
      </c>
    </row>
    <row r="1728" spans="1:47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41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560</v>
      </c>
      <c r="K1728" s="155" t="s">
        <v>561</v>
      </c>
      <c r="L1728" s="17" t="s">
        <v>92</v>
      </c>
      <c r="M1728" s="13" t="s">
        <v>60</v>
      </c>
      <c r="N1728" s="13">
        <v>1</v>
      </c>
      <c r="O1728" s="13"/>
      <c r="P1728" s="33" t="str">
        <f t="shared" si="498"/>
        <v>MAIN UNIT</v>
      </c>
      <c r="Q1728" s="13" t="s">
        <v>68</v>
      </c>
      <c r="R1728" s="13" t="s">
        <v>62</v>
      </c>
      <c r="S1728" s="13" t="s">
        <v>49</v>
      </c>
      <c r="T1728" s="13" t="s">
        <v>249</v>
      </c>
      <c r="U1728" s="13" t="s">
        <v>79</v>
      </c>
      <c r="V1728" s="13" t="s">
        <v>112</v>
      </c>
      <c r="W1728" s="13" t="s">
        <v>109</v>
      </c>
      <c r="X1728" s="135">
        <v>16151975</v>
      </c>
      <c r="Y1728" s="156">
        <v>1</v>
      </c>
      <c r="Z1728" s="18">
        <f t="shared" si="507"/>
        <v>16151975</v>
      </c>
      <c r="AA1728" s="13">
        <v>7.3499999999999996E-2</v>
      </c>
      <c r="AB1728" s="21">
        <f t="shared" si="509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493"/>
        <v>16455710.386637932</v>
      </c>
      <c r="AJ1728" s="19">
        <f t="shared" si="494"/>
        <v>2150644.6466930606</v>
      </c>
      <c r="AK1728" s="20">
        <f t="shared" si="501"/>
        <v>0.13069290818580451</v>
      </c>
      <c r="AL1728" s="17"/>
      <c r="AM1728" s="17"/>
      <c r="AN1728" s="17"/>
      <c r="AO1728" s="17"/>
      <c r="AP1728" s="28" t="str">
        <f t="shared" si="502"/>
        <v>20192</v>
      </c>
      <c r="AQ1728" s="28" t="str">
        <f t="shared" si="503"/>
        <v>20192JPY</v>
      </c>
      <c r="AR1728" s="206" t="str">
        <f t="shared" si="504"/>
        <v>YAMAHA_Mounter</v>
      </c>
      <c r="AS1728" s="22">
        <f t="shared" si="505"/>
        <v>3</v>
      </c>
      <c r="AT1728" s="24" t="str">
        <f t="shared" si="506"/>
        <v>0-3 months</v>
      </c>
      <c r="AU1728" s="22" t="s">
        <v>3745</v>
      </c>
    </row>
    <row r="1729" spans="1:47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47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810</v>
      </c>
      <c r="K1729" s="155" t="s">
        <v>811</v>
      </c>
      <c r="L1729" s="17" t="s">
        <v>67</v>
      </c>
      <c r="M1729" s="13" t="s">
        <v>60</v>
      </c>
      <c r="N1729" s="13">
        <v>1</v>
      </c>
      <c r="O1729" s="13"/>
      <c r="P1729" s="33" t="str">
        <f t="shared" si="498"/>
        <v>MAIN UNIT</v>
      </c>
      <c r="Q1729" s="13" t="s">
        <v>61</v>
      </c>
      <c r="R1729" s="13" t="s">
        <v>701</v>
      </c>
      <c r="S1729" s="13" t="s">
        <v>49</v>
      </c>
      <c r="T1729" s="13" t="s">
        <v>78</v>
      </c>
      <c r="U1729" s="13" t="s">
        <v>79</v>
      </c>
      <c r="V1729" s="13" t="s">
        <v>770</v>
      </c>
      <c r="W1729" s="13" t="s">
        <v>773</v>
      </c>
      <c r="X1729" s="135">
        <v>580000</v>
      </c>
      <c r="Y1729" s="156">
        <v>1.1299999999999999</v>
      </c>
      <c r="Z1729" s="18">
        <f t="shared" si="507"/>
        <v>580000</v>
      </c>
      <c r="AA1729" s="13">
        <v>1.135</v>
      </c>
      <c r="AB1729" s="21">
        <f t="shared" si="509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493"/>
        <v>31296887.037898075</v>
      </c>
      <c r="AJ1729" s="19">
        <f t="shared" si="494"/>
        <v>3588873.9502021763</v>
      </c>
      <c r="AK1729" s="20">
        <f t="shared" si="501"/>
        <v>0.11467191436184473</v>
      </c>
      <c r="AL1729" s="17"/>
      <c r="AM1729" s="17"/>
      <c r="AN1729" s="17"/>
      <c r="AO1729" s="17"/>
      <c r="AP1729" s="28" t="str">
        <f t="shared" si="502"/>
        <v>20196</v>
      </c>
      <c r="AQ1729" s="28" t="str">
        <f t="shared" si="503"/>
        <v>20196RMB</v>
      </c>
      <c r="AR1729" s="206" t="str">
        <f t="shared" si="504"/>
        <v>YAMAHA_Mounter</v>
      </c>
      <c r="AS1729" s="22">
        <f t="shared" si="505"/>
        <v>0</v>
      </c>
      <c r="AT1729" s="24" t="str">
        <f t="shared" si="506"/>
        <v>0-3 months</v>
      </c>
      <c r="AU1729" s="22" t="s">
        <v>3744</v>
      </c>
    </row>
    <row r="1730" spans="1:47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48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1053</v>
      </c>
      <c r="K1730" s="155" t="s">
        <v>811</v>
      </c>
      <c r="L1730" s="17" t="s">
        <v>92</v>
      </c>
      <c r="M1730" s="13" t="s">
        <v>60</v>
      </c>
      <c r="N1730" s="13">
        <v>1</v>
      </c>
      <c r="O1730" s="13"/>
      <c r="P1730" s="33" t="str">
        <f t="shared" si="498"/>
        <v>MAIN UNIT</v>
      </c>
      <c r="Q1730" s="13" t="s">
        <v>61</v>
      </c>
      <c r="R1730" s="13" t="s">
        <v>62</v>
      </c>
      <c r="S1730" s="13" t="s">
        <v>49</v>
      </c>
      <c r="T1730" s="13" t="s">
        <v>249</v>
      </c>
      <c r="U1730" s="13" t="s">
        <v>79</v>
      </c>
      <c r="V1730" s="13" t="s">
        <v>770</v>
      </c>
      <c r="W1730" s="13" t="s">
        <v>703</v>
      </c>
      <c r="X1730" s="135">
        <v>880000</v>
      </c>
      <c r="Y1730" s="156">
        <v>1.1299999999999999</v>
      </c>
      <c r="Z1730" s="18">
        <f t="shared" si="507"/>
        <v>880000</v>
      </c>
      <c r="AA1730" s="13">
        <v>1.095</v>
      </c>
      <c r="AB1730" s="21">
        <f t="shared" si="509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ref="AI1730:AI1793" si="510">IF(P1730="C66 SERVICE","",SUMIFS(AB:AB,F:F,F1730,G:G,G1730,E:E,E1730))</f>
        <v>33477255.428389374</v>
      </c>
      <c r="AJ1730" s="19">
        <f t="shared" ref="AJ1730:AJ1793" si="511">IF(P1730="C66 SERVICE","",SUMIFS(AC:AC,F:F,F1730,G:G,G1730,E:E,E1730))</f>
        <v>4578663.362915583</v>
      </c>
      <c r="AK1730" s="20">
        <f t="shared" si="501"/>
        <v>0.13676937682988152</v>
      </c>
      <c r="AL1730" s="17"/>
      <c r="AM1730" s="17"/>
      <c r="AN1730" s="17"/>
      <c r="AO1730" s="17"/>
      <c r="AP1730" s="28" t="str">
        <f t="shared" si="502"/>
        <v>20204</v>
      </c>
      <c r="AQ1730" s="28" t="str">
        <f t="shared" si="503"/>
        <v>20204RMB</v>
      </c>
      <c r="AR1730" s="206" t="str">
        <f t="shared" si="504"/>
        <v>YAMAHA_Mounter</v>
      </c>
      <c r="AS1730" s="22">
        <f t="shared" si="505"/>
        <v>1</v>
      </c>
      <c r="AT1730" s="24" t="str">
        <f t="shared" si="506"/>
        <v>0-3 months</v>
      </c>
      <c r="AU1730" s="22" t="s">
        <v>3744</v>
      </c>
    </row>
    <row r="1731" spans="1:47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47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1157</v>
      </c>
      <c r="K1731" s="155" t="s">
        <v>1158</v>
      </c>
      <c r="L1731" s="17" t="s">
        <v>92</v>
      </c>
      <c r="M1731" s="13" t="s">
        <v>60</v>
      </c>
      <c r="N1731" s="13">
        <v>1</v>
      </c>
      <c r="O1731" s="13"/>
      <c r="P1731" s="33" t="str">
        <f t="shared" si="498"/>
        <v>MAIN UNIT</v>
      </c>
      <c r="Q1731" s="13" t="s">
        <v>61</v>
      </c>
      <c r="R1731" s="13" t="s">
        <v>62</v>
      </c>
      <c r="S1731" s="13" t="s">
        <v>49</v>
      </c>
      <c r="T1731" s="13" t="s">
        <v>78</v>
      </c>
      <c r="U1731" s="13" t="s">
        <v>79</v>
      </c>
      <c r="V1731" s="13" t="s">
        <v>112</v>
      </c>
      <c r="W1731" s="13" t="s">
        <v>109</v>
      </c>
      <c r="X1731" s="135">
        <v>15000000</v>
      </c>
      <c r="Y1731" s="156">
        <v>1</v>
      </c>
      <c r="Z1731" s="18">
        <f t="shared" si="507"/>
        <v>15000000</v>
      </c>
      <c r="AA1731" s="13">
        <v>7.2999999999999995E-2</v>
      </c>
      <c r="AB1731" s="21">
        <f t="shared" si="509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10"/>
        <v>11620538.477876106</v>
      </c>
      <c r="AJ1731" s="19">
        <f t="shared" si="511"/>
        <v>1598596.3145221241</v>
      </c>
      <c r="AK1731" s="20">
        <f t="shared" si="501"/>
        <v>0.13756645766163331</v>
      </c>
      <c r="AL1731" s="17"/>
      <c r="AM1731" s="17"/>
      <c r="AN1731" s="17"/>
      <c r="AO1731" s="17"/>
      <c r="AP1731" s="28" t="str">
        <f t="shared" si="502"/>
        <v>20201</v>
      </c>
      <c r="AQ1731" s="28" t="str">
        <f t="shared" si="503"/>
        <v>20201JPY</v>
      </c>
      <c r="AR1731" s="206" t="str">
        <f t="shared" si="504"/>
        <v>YAMAHA_Mounter</v>
      </c>
      <c r="AS1731" s="22">
        <f t="shared" si="505"/>
        <v>0</v>
      </c>
      <c r="AT1731" s="24" t="str">
        <f t="shared" si="506"/>
        <v>0-3 months</v>
      </c>
      <c r="AU1731" s="22" t="s">
        <v>3745</v>
      </c>
    </row>
    <row r="1732" spans="1:47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47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1157</v>
      </c>
      <c r="K1732" s="155" t="s">
        <v>1158</v>
      </c>
      <c r="L1732" s="17" t="s">
        <v>67</v>
      </c>
      <c r="M1732" s="13" t="s">
        <v>60</v>
      </c>
      <c r="N1732" s="13">
        <v>1</v>
      </c>
      <c r="O1732" s="13"/>
      <c r="P1732" s="33" t="str">
        <f t="shared" si="498"/>
        <v>MAIN UNIT</v>
      </c>
      <c r="Q1732" s="13" t="s">
        <v>61</v>
      </c>
      <c r="R1732" s="13" t="s">
        <v>62</v>
      </c>
      <c r="S1732" s="13" t="s">
        <v>49</v>
      </c>
      <c r="T1732" s="13" t="s">
        <v>78</v>
      </c>
      <c r="U1732" s="13" t="s">
        <v>79</v>
      </c>
      <c r="V1732" s="13" t="s">
        <v>112</v>
      </c>
      <c r="W1732" s="13" t="s">
        <v>109</v>
      </c>
      <c r="X1732" s="135">
        <v>9442000</v>
      </c>
      <c r="Y1732" s="156">
        <v>1</v>
      </c>
      <c r="Z1732" s="18">
        <f t="shared" si="507"/>
        <v>9442000</v>
      </c>
      <c r="AA1732" s="13">
        <v>7.2999999999999995E-2</v>
      </c>
      <c r="AB1732" s="21">
        <f t="shared" si="509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10"/>
        <v>11620538.477876106</v>
      </c>
      <c r="AJ1732" s="19">
        <f t="shared" si="511"/>
        <v>1598596.3145221241</v>
      </c>
      <c r="AK1732" s="20">
        <f t="shared" si="501"/>
        <v>0.13756645766163331</v>
      </c>
      <c r="AL1732" s="17"/>
      <c r="AM1732" s="17"/>
      <c r="AN1732" s="17"/>
      <c r="AO1732" s="17"/>
      <c r="AP1732" s="28" t="str">
        <f t="shared" si="502"/>
        <v>20201</v>
      </c>
      <c r="AQ1732" s="28" t="str">
        <f t="shared" si="503"/>
        <v>20201JPY</v>
      </c>
      <c r="AR1732" s="206" t="str">
        <f t="shared" si="504"/>
        <v>YAMAHA_Mounter</v>
      </c>
      <c r="AS1732" s="22">
        <f t="shared" si="505"/>
        <v>0</v>
      </c>
      <c r="AT1732" s="24" t="str">
        <f t="shared" si="506"/>
        <v>0-3 months</v>
      </c>
      <c r="AU1732" s="22" t="s">
        <v>3745</v>
      </c>
    </row>
    <row r="1733" spans="1:47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54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2232</v>
      </c>
      <c r="K1733" s="155" t="s">
        <v>1158</v>
      </c>
      <c r="L1733" s="17" t="s">
        <v>67</v>
      </c>
      <c r="M1733" s="13" t="s">
        <v>60</v>
      </c>
      <c r="N1733" s="13">
        <v>1</v>
      </c>
      <c r="O1733" s="13"/>
      <c r="P1733" s="33" t="str">
        <f t="shared" si="498"/>
        <v>MAIN UNIT</v>
      </c>
      <c r="Q1733" s="13" t="s">
        <v>61</v>
      </c>
      <c r="R1733" s="13" t="s">
        <v>62</v>
      </c>
      <c r="S1733" s="13" t="s">
        <v>49</v>
      </c>
      <c r="T1733" s="13" t="s">
        <v>78</v>
      </c>
      <c r="U1733" s="13" t="s">
        <v>79</v>
      </c>
      <c r="V1733" s="13" t="s">
        <v>112</v>
      </c>
      <c r="W1733" s="13" t="s">
        <v>64</v>
      </c>
      <c r="X1733" s="135">
        <v>570000</v>
      </c>
      <c r="Y1733" s="157" t="str">
        <f>IF(W1733="RMB","1.13", "1")</f>
        <v>1.13</v>
      </c>
      <c r="Z1733" s="18">
        <f t="shared" si="507"/>
        <v>570000</v>
      </c>
      <c r="AA1733" s="13">
        <v>1.17</v>
      </c>
      <c r="AB1733" s="21">
        <f t="shared" si="509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10"/>
        <v>36480247.665929198</v>
      </c>
      <c r="AJ1733" s="19">
        <f t="shared" si="511"/>
        <v>5330996.6372757526</v>
      </c>
      <c r="AK1733" s="20">
        <f t="shared" si="501"/>
        <v>0.14613378412599562</v>
      </c>
      <c r="AL1733" s="17"/>
      <c r="AM1733" s="17"/>
      <c r="AN1733" s="17"/>
      <c r="AO1733" s="17"/>
      <c r="AP1733" s="28" t="str">
        <f t="shared" si="502"/>
        <v>20227</v>
      </c>
      <c r="AQ1733" s="28" t="str">
        <f t="shared" si="503"/>
        <v>20227RMB</v>
      </c>
      <c r="AR1733" s="206" t="str">
        <f t="shared" si="504"/>
        <v>YAMAHA_Mounter</v>
      </c>
      <c r="AS1733" s="22">
        <f t="shared" si="505"/>
        <v>1</v>
      </c>
      <c r="AT1733" s="24" t="str">
        <f t="shared" si="506"/>
        <v>0-3 months</v>
      </c>
      <c r="AU1733" s="22" t="s">
        <v>3751</v>
      </c>
    </row>
    <row r="1734" spans="1:47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3096</v>
      </c>
      <c r="K1734" s="29" t="s">
        <v>1158</v>
      </c>
      <c r="L1734" s="17" t="s">
        <v>67</v>
      </c>
      <c r="M1734" s="22" t="s">
        <v>60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61</v>
      </c>
      <c r="R1734" s="22" t="s">
        <v>62</v>
      </c>
      <c r="S1734" s="22" t="s">
        <v>49</v>
      </c>
      <c r="T1734" s="22" t="s">
        <v>1071</v>
      </c>
      <c r="U1734" s="22" t="s">
        <v>2110</v>
      </c>
      <c r="V1734" s="22" t="s">
        <v>112</v>
      </c>
      <c r="W1734" s="22" t="s">
        <v>109</v>
      </c>
      <c r="X1734" s="30">
        <v>8730000</v>
      </c>
      <c r="Y1734" s="31" t="str">
        <f>IF(W1734="","",IF(W1734="RMB","1.13", "1"))</f>
        <v>1</v>
      </c>
      <c r="Z1734" s="18">
        <f t="shared" si="507"/>
        <v>8730000</v>
      </c>
      <c r="AA1734" s="22">
        <v>5.6300000000000003E-2</v>
      </c>
      <c r="AB1734" s="21">
        <f t="shared" si="509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si="510"/>
        <v>23146578.081415929</v>
      </c>
      <c r="AJ1734" s="27">
        <f t="shared" si="511"/>
        <v>2745231.3889985834</v>
      </c>
      <c r="AK1734" s="28">
        <f t="shared" ref="AK1734:AK1797" si="518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19">IF(F1734="","",F1734&amp;G1734)</f>
        <v>20241</v>
      </c>
      <c r="AQ1734" s="28" t="str">
        <f t="shared" ref="AQ1734:AQ1797" si="520">IF(W1734="","",F1734&amp;G1734&amp;W1734)</f>
        <v>20241JPY</v>
      </c>
      <c r="AR1734" s="206" t="str">
        <f t="shared" ref="AR1734:AR1797" si="521">IFERROR(IF(AND(M1734="YAMAHA", R1734="C28"), "YAMAHA_Non_Mounter", IF(AND(M1734="YAMAHA", R1734="C49"), "YAMAHA_Mounter", M1734)),"")</f>
        <v>YAMAHA_Mounter</v>
      </c>
      <c r="AS1734" s="22">
        <f t="shared" ref="AS1734:AS1797" si="522">IFERROR(IF(OR(G1734="TBA", G1734=""), "", DATEDIF(DATE(B1734, C1734, 1), DATE(F1734, G1734, 1), "M")),"")</f>
        <v>1</v>
      </c>
      <c r="AT1734" s="24" t="str">
        <f t="shared" ref="AT1734:AT1797" si="523">IF(ISNUMBER(AS1734), IF(AS1734&gt;=0, IF(AS1734&lt;=3, "0-3 months", IF(AS1734&lt;=6, "4-6 months", "&gt; 6 months"))), "")</f>
        <v>0-3 months</v>
      </c>
      <c r="AU1734" s="22" t="s">
        <v>3745</v>
      </c>
    </row>
    <row r="1735" spans="1:47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47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1248</v>
      </c>
      <c r="K1735" s="155" t="s">
        <v>1249</v>
      </c>
      <c r="L1735" s="17" t="s">
        <v>67</v>
      </c>
      <c r="M1735" s="13" t="s">
        <v>60</v>
      </c>
      <c r="N1735" s="13">
        <v>1</v>
      </c>
      <c r="O1735" s="13"/>
      <c r="P1735" s="33" t="str">
        <f t="shared" si="515"/>
        <v>MAIN UNIT</v>
      </c>
      <c r="Q1735" s="13" t="s">
        <v>61</v>
      </c>
      <c r="R1735" s="13" t="s">
        <v>62</v>
      </c>
      <c r="S1735" s="13" t="s">
        <v>49</v>
      </c>
      <c r="T1735" s="13" t="s">
        <v>249</v>
      </c>
      <c r="U1735" s="13" t="s">
        <v>79</v>
      </c>
      <c r="V1735" s="13" t="s">
        <v>112</v>
      </c>
      <c r="W1735" s="13" t="s">
        <v>64</v>
      </c>
      <c r="X1735" s="135">
        <v>680000</v>
      </c>
      <c r="Y1735" s="156">
        <v>1.1299999999999999</v>
      </c>
      <c r="Z1735" s="18">
        <f t="shared" si="507"/>
        <v>680000</v>
      </c>
      <c r="AA1735" s="13">
        <v>1.1100000000000001</v>
      </c>
      <c r="AB1735" s="21">
        <f t="shared" si="509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0"/>
        <v>23168285.927433632</v>
      </c>
      <c r="AJ1735" s="19">
        <f t="shared" si="511"/>
        <v>2764878.916878053</v>
      </c>
      <c r="AK1735" s="20">
        <f t="shared" si="518"/>
        <v>0.11933895004309111</v>
      </c>
      <c r="AL1735" s="17"/>
      <c r="AM1735" s="17"/>
      <c r="AN1735" s="17"/>
      <c r="AO1735" s="17"/>
      <c r="AP1735" s="28" t="str">
        <f t="shared" si="519"/>
        <v>20203</v>
      </c>
      <c r="AQ1735" s="28" t="str">
        <f t="shared" si="520"/>
        <v>20203RMB</v>
      </c>
      <c r="AR1735" s="206" t="str">
        <f t="shared" si="521"/>
        <v>YAMAHA_Mounter</v>
      </c>
      <c r="AS1735" s="22">
        <f t="shared" si="522"/>
        <v>0</v>
      </c>
      <c r="AT1735" s="24" t="str">
        <f t="shared" si="523"/>
        <v>0-3 months</v>
      </c>
      <c r="AU1735" s="22" t="s">
        <v>3744</v>
      </c>
    </row>
    <row r="1736" spans="1:47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55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2536</v>
      </c>
      <c r="K1736" s="155" t="s">
        <v>2537</v>
      </c>
      <c r="L1736" s="17" t="s">
        <v>516</v>
      </c>
      <c r="M1736" s="13" t="s">
        <v>60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61</v>
      </c>
      <c r="R1736" s="13" t="s">
        <v>62</v>
      </c>
      <c r="S1736" s="13" t="s">
        <v>50</v>
      </c>
      <c r="T1736" s="13" t="s">
        <v>2374</v>
      </c>
      <c r="U1736" s="13" t="s">
        <v>70</v>
      </c>
      <c r="V1736" s="13" t="s">
        <v>2123</v>
      </c>
      <c r="W1736" s="13" t="s">
        <v>109</v>
      </c>
      <c r="X1736" s="135">
        <v>36000</v>
      </c>
      <c r="Y1736" s="157" t="str">
        <f t="shared" ref="Y1736:Y1748" si="524">IF(W1736="RMB","1.13", "1")</f>
        <v>1</v>
      </c>
      <c r="Z1736" s="18">
        <f t="shared" si="507"/>
        <v>18000000</v>
      </c>
      <c r="AA1736" s="13">
        <v>5.5199999999999999E-2</v>
      </c>
      <c r="AB1736" s="21">
        <f t="shared" si="509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0"/>
        <v>15951056.41591504</v>
      </c>
      <c r="AJ1736" s="19">
        <f t="shared" si="511"/>
        <v>1966354.6022462982</v>
      </c>
      <c r="AK1736" s="20">
        <f t="shared" si="518"/>
        <v>0.12327425538313459</v>
      </c>
      <c r="AL1736" s="17"/>
      <c r="AM1736" s="17"/>
      <c r="AN1736" s="17"/>
      <c r="AO1736" s="17"/>
      <c r="AP1736" s="28" t="str">
        <f t="shared" si="519"/>
        <v>20237</v>
      </c>
      <c r="AQ1736" s="28" t="str">
        <f t="shared" si="520"/>
        <v>20237JPY</v>
      </c>
      <c r="AR1736" s="206" t="str">
        <f t="shared" si="521"/>
        <v>YAMAHA_Mounter</v>
      </c>
      <c r="AS1736" s="22">
        <f t="shared" si="522"/>
        <v>1</v>
      </c>
      <c r="AT1736" s="24" t="str">
        <f t="shared" si="523"/>
        <v>0-3 months</v>
      </c>
      <c r="AU1736" s="22" t="s">
        <v>3240</v>
      </c>
    </row>
    <row r="1737" spans="1:47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55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2526</v>
      </c>
      <c r="K1737" s="155" t="s">
        <v>2527</v>
      </c>
      <c r="L1737" s="17" t="s">
        <v>92</v>
      </c>
      <c r="M1737" s="13" t="s">
        <v>60</v>
      </c>
      <c r="N1737" s="13">
        <v>1</v>
      </c>
      <c r="O1737" s="13"/>
      <c r="P1737" s="33" t="str">
        <f t="shared" si="515"/>
        <v>MAIN UNIT</v>
      </c>
      <c r="Q1737" s="13" t="s">
        <v>61</v>
      </c>
      <c r="R1737" s="13" t="s">
        <v>62</v>
      </c>
      <c r="S1737" s="13" t="s">
        <v>50</v>
      </c>
      <c r="T1737" s="13" t="s">
        <v>2374</v>
      </c>
      <c r="U1737" s="13" t="s">
        <v>70</v>
      </c>
      <c r="V1737" s="13" t="s">
        <v>2123</v>
      </c>
      <c r="W1737" s="13" t="s">
        <v>109</v>
      </c>
      <c r="X1737" s="135">
        <v>11538686</v>
      </c>
      <c r="Y1737" s="157" t="str">
        <f t="shared" si="524"/>
        <v>1</v>
      </c>
      <c r="Z1737" s="18">
        <f t="shared" si="507"/>
        <v>11538686</v>
      </c>
      <c r="AA1737" s="13">
        <v>5.5199999999999999E-2</v>
      </c>
      <c r="AB1737" s="21">
        <f t="shared" si="509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0"/>
        <v>15951056.41591504</v>
      </c>
      <c r="AJ1737" s="19">
        <f t="shared" si="511"/>
        <v>1966354.6022462982</v>
      </c>
      <c r="AK1737" s="20">
        <f t="shared" si="518"/>
        <v>0.12327425538313459</v>
      </c>
      <c r="AL1737" s="17"/>
      <c r="AM1737" s="17"/>
      <c r="AN1737" s="17"/>
      <c r="AO1737" s="17"/>
      <c r="AP1737" s="28" t="str">
        <f t="shared" si="519"/>
        <v>20237</v>
      </c>
      <c r="AQ1737" s="28" t="str">
        <f t="shared" si="520"/>
        <v>20237JPY</v>
      </c>
      <c r="AR1737" s="206" t="str">
        <f t="shared" si="521"/>
        <v>YAMAHA_Mounter</v>
      </c>
      <c r="AS1737" s="22">
        <f t="shared" si="522"/>
        <v>3</v>
      </c>
      <c r="AT1737" s="24" t="str">
        <f t="shared" si="523"/>
        <v>0-3 months</v>
      </c>
      <c r="AU1737" s="22" t="s">
        <v>3240</v>
      </c>
    </row>
    <row r="1738" spans="1:47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55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2526</v>
      </c>
      <c r="K1738" s="155" t="s">
        <v>2527</v>
      </c>
      <c r="L1738" s="17" t="s">
        <v>92</v>
      </c>
      <c r="M1738" s="13" t="s">
        <v>60</v>
      </c>
      <c r="N1738" s="13">
        <v>1</v>
      </c>
      <c r="O1738" s="13"/>
      <c r="P1738" s="33" t="str">
        <f t="shared" si="515"/>
        <v>MAIN UNIT</v>
      </c>
      <c r="Q1738" s="13" t="s">
        <v>61</v>
      </c>
      <c r="R1738" s="13" t="s">
        <v>62</v>
      </c>
      <c r="S1738" s="13" t="s">
        <v>50</v>
      </c>
      <c r="T1738" s="13" t="s">
        <v>2374</v>
      </c>
      <c r="U1738" s="13" t="s">
        <v>70</v>
      </c>
      <c r="V1738" s="13" t="s">
        <v>2123</v>
      </c>
      <c r="W1738" s="13" t="s">
        <v>109</v>
      </c>
      <c r="X1738" s="135">
        <v>11538686</v>
      </c>
      <c r="Y1738" s="157" t="str">
        <f t="shared" si="524"/>
        <v>1</v>
      </c>
      <c r="Z1738" s="18">
        <f t="shared" ref="Z1738:Z1801" si="525">IF(X1738="","",X1738*MAX(O1738,N1738))</f>
        <v>11538686</v>
      </c>
      <c r="AA1738" s="13">
        <v>5.5199999999999999E-2</v>
      </c>
      <c r="AB1738" s="21">
        <f t="shared" si="509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0"/>
        <v>15951056.41591504</v>
      </c>
      <c r="AJ1738" s="19">
        <f t="shared" si="511"/>
        <v>1966354.6022462982</v>
      </c>
      <c r="AK1738" s="20">
        <f t="shared" si="518"/>
        <v>0.12327425538313459</v>
      </c>
      <c r="AL1738" s="17"/>
      <c r="AM1738" s="17"/>
      <c r="AN1738" s="17"/>
      <c r="AO1738" s="17"/>
      <c r="AP1738" s="28" t="str">
        <f t="shared" si="519"/>
        <v>20237</v>
      </c>
      <c r="AQ1738" s="28" t="str">
        <f t="shared" si="520"/>
        <v>20237JPY</v>
      </c>
      <c r="AR1738" s="206" t="str">
        <f t="shared" si="521"/>
        <v>YAMAHA_Mounter</v>
      </c>
      <c r="AS1738" s="22">
        <f t="shared" si="522"/>
        <v>3</v>
      </c>
      <c r="AT1738" s="24" t="str">
        <f t="shared" si="523"/>
        <v>0-3 months</v>
      </c>
      <c r="AU1738" s="22" t="s">
        <v>3240</v>
      </c>
    </row>
    <row r="1739" spans="1:47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55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2526</v>
      </c>
      <c r="K1739" s="155" t="s">
        <v>2527</v>
      </c>
      <c r="L1739" s="17" t="s">
        <v>92</v>
      </c>
      <c r="M1739" s="13" t="s">
        <v>60</v>
      </c>
      <c r="N1739" s="13">
        <v>1</v>
      </c>
      <c r="O1739" s="13"/>
      <c r="P1739" s="33" t="str">
        <f t="shared" si="515"/>
        <v>MAIN UNIT</v>
      </c>
      <c r="Q1739" s="13" t="s">
        <v>61</v>
      </c>
      <c r="R1739" s="13" t="s">
        <v>62</v>
      </c>
      <c r="S1739" s="13" t="s">
        <v>50</v>
      </c>
      <c r="T1739" s="13" t="s">
        <v>2374</v>
      </c>
      <c r="U1739" s="13" t="s">
        <v>70</v>
      </c>
      <c r="V1739" s="13" t="s">
        <v>2123</v>
      </c>
      <c r="W1739" s="13" t="s">
        <v>109</v>
      </c>
      <c r="X1739" s="135">
        <v>11538686</v>
      </c>
      <c r="Y1739" s="157" t="str">
        <f t="shared" si="524"/>
        <v>1</v>
      </c>
      <c r="Z1739" s="18">
        <f t="shared" si="525"/>
        <v>11538686</v>
      </c>
      <c r="AA1739" s="13">
        <v>5.5199999999999999E-2</v>
      </c>
      <c r="AB1739" s="21">
        <f t="shared" si="509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0"/>
        <v>15951056.41591504</v>
      </c>
      <c r="AJ1739" s="19">
        <f t="shared" si="511"/>
        <v>1966354.6022462982</v>
      </c>
      <c r="AK1739" s="20">
        <f t="shared" si="518"/>
        <v>0.12327425538313459</v>
      </c>
      <c r="AL1739" s="17"/>
      <c r="AM1739" s="17"/>
      <c r="AN1739" s="17"/>
      <c r="AO1739" s="17"/>
      <c r="AP1739" s="28" t="str">
        <f t="shared" si="519"/>
        <v>20237</v>
      </c>
      <c r="AQ1739" s="28" t="str">
        <f t="shared" si="520"/>
        <v>20237JPY</v>
      </c>
      <c r="AR1739" s="206" t="str">
        <f t="shared" si="521"/>
        <v>YAMAHA_Mounter</v>
      </c>
      <c r="AS1739" s="22">
        <f t="shared" si="522"/>
        <v>3</v>
      </c>
      <c r="AT1739" s="24" t="str">
        <f t="shared" si="523"/>
        <v>0-3 months</v>
      </c>
      <c r="AU1739" s="22" t="s">
        <v>3240</v>
      </c>
    </row>
    <row r="1740" spans="1:47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55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2526</v>
      </c>
      <c r="K1740" s="155" t="s">
        <v>2527</v>
      </c>
      <c r="L1740" s="17" t="s">
        <v>92</v>
      </c>
      <c r="M1740" s="13" t="s">
        <v>60</v>
      </c>
      <c r="N1740" s="13">
        <v>1</v>
      </c>
      <c r="O1740" s="13"/>
      <c r="P1740" s="33" t="str">
        <f t="shared" si="515"/>
        <v>MAIN UNIT</v>
      </c>
      <c r="Q1740" s="13" t="s">
        <v>61</v>
      </c>
      <c r="R1740" s="13" t="s">
        <v>62</v>
      </c>
      <c r="S1740" s="13" t="s">
        <v>50</v>
      </c>
      <c r="T1740" s="13" t="s">
        <v>2374</v>
      </c>
      <c r="U1740" s="13" t="s">
        <v>70</v>
      </c>
      <c r="V1740" s="13" t="s">
        <v>2123</v>
      </c>
      <c r="W1740" s="13" t="s">
        <v>109</v>
      </c>
      <c r="X1740" s="135">
        <v>11538686</v>
      </c>
      <c r="Y1740" s="157" t="str">
        <f t="shared" si="524"/>
        <v>1</v>
      </c>
      <c r="Z1740" s="18">
        <f t="shared" si="525"/>
        <v>11538686</v>
      </c>
      <c r="AA1740" s="13">
        <v>5.5199999999999999E-2</v>
      </c>
      <c r="AB1740" s="21">
        <f t="shared" si="509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0"/>
        <v>15951056.41591504</v>
      </c>
      <c r="AJ1740" s="19">
        <f t="shared" si="511"/>
        <v>1966354.6022462982</v>
      </c>
      <c r="AK1740" s="20">
        <f t="shared" si="518"/>
        <v>0.12327425538313459</v>
      </c>
      <c r="AL1740" s="17"/>
      <c r="AM1740" s="17"/>
      <c r="AN1740" s="17"/>
      <c r="AO1740" s="17"/>
      <c r="AP1740" s="28" t="str">
        <f t="shared" si="519"/>
        <v>20237</v>
      </c>
      <c r="AQ1740" s="28" t="str">
        <f t="shared" si="520"/>
        <v>20237JPY</v>
      </c>
      <c r="AR1740" s="206" t="str">
        <f t="shared" si="521"/>
        <v>YAMAHA_Mounter</v>
      </c>
      <c r="AS1740" s="22">
        <f t="shared" si="522"/>
        <v>3</v>
      </c>
      <c r="AT1740" s="24" t="str">
        <f t="shared" si="523"/>
        <v>0-3 months</v>
      </c>
      <c r="AU1740" s="22" t="s">
        <v>3240</v>
      </c>
    </row>
    <row r="1741" spans="1:47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55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2526</v>
      </c>
      <c r="K1741" s="155" t="s">
        <v>2527</v>
      </c>
      <c r="L1741" s="17" t="s">
        <v>92</v>
      </c>
      <c r="M1741" s="13" t="s">
        <v>60</v>
      </c>
      <c r="N1741" s="13">
        <v>1</v>
      </c>
      <c r="O1741" s="13"/>
      <c r="P1741" s="33" t="str">
        <f t="shared" si="515"/>
        <v>MAIN UNIT</v>
      </c>
      <c r="Q1741" s="13" t="s">
        <v>61</v>
      </c>
      <c r="R1741" s="13" t="s">
        <v>62</v>
      </c>
      <c r="S1741" s="13" t="s">
        <v>50</v>
      </c>
      <c r="T1741" s="13" t="s">
        <v>2374</v>
      </c>
      <c r="U1741" s="13" t="s">
        <v>70</v>
      </c>
      <c r="V1741" s="13" t="s">
        <v>2123</v>
      </c>
      <c r="W1741" s="13" t="s">
        <v>109</v>
      </c>
      <c r="X1741" s="135">
        <v>11538686</v>
      </c>
      <c r="Y1741" s="157" t="str">
        <f t="shared" si="524"/>
        <v>1</v>
      </c>
      <c r="Z1741" s="18">
        <f t="shared" si="525"/>
        <v>11538686</v>
      </c>
      <c r="AA1741" s="13">
        <v>5.5199999999999999E-2</v>
      </c>
      <c r="AB1741" s="21">
        <f t="shared" si="509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0"/>
        <v>15951056.41591504</v>
      </c>
      <c r="AJ1741" s="19">
        <f t="shared" si="511"/>
        <v>1966354.6022462982</v>
      </c>
      <c r="AK1741" s="20">
        <f t="shared" si="518"/>
        <v>0.12327425538313459</v>
      </c>
      <c r="AL1741" s="17"/>
      <c r="AM1741" s="17"/>
      <c r="AN1741" s="17"/>
      <c r="AO1741" s="17"/>
      <c r="AP1741" s="28" t="str">
        <f t="shared" si="519"/>
        <v>20237</v>
      </c>
      <c r="AQ1741" s="28" t="str">
        <f t="shared" si="520"/>
        <v>20237JPY</v>
      </c>
      <c r="AR1741" s="206" t="str">
        <f t="shared" si="521"/>
        <v>YAMAHA_Mounter</v>
      </c>
      <c r="AS1741" s="22">
        <f t="shared" si="522"/>
        <v>3</v>
      </c>
      <c r="AT1741" s="24" t="str">
        <f t="shared" si="523"/>
        <v>0-3 months</v>
      </c>
      <c r="AU1741" s="22" t="s">
        <v>3240</v>
      </c>
    </row>
    <row r="1742" spans="1:47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55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2526</v>
      </c>
      <c r="K1742" s="155" t="s">
        <v>2527</v>
      </c>
      <c r="L1742" s="17" t="s">
        <v>92</v>
      </c>
      <c r="M1742" s="13" t="s">
        <v>60</v>
      </c>
      <c r="N1742" s="13">
        <v>1</v>
      </c>
      <c r="O1742" s="13"/>
      <c r="P1742" s="33" t="str">
        <f t="shared" si="515"/>
        <v>MAIN UNIT</v>
      </c>
      <c r="Q1742" s="13" t="s">
        <v>61</v>
      </c>
      <c r="R1742" s="13" t="s">
        <v>62</v>
      </c>
      <c r="S1742" s="13" t="s">
        <v>50</v>
      </c>
      <c r="T1742" s="13" t="s">
        <v>2374</v>
      </c>
      <c r="U1742" s="13" t="s">
        <v>70</v>
      </c>
      <c r="V1742" s="13" t="s">
        <v>2123</v>
      </c>
      <c r="W1742" s="13" t="s">
        <v>109</v>
      </c>
      <c r="X1742" s="135">
        <v>11538686</v>
      </c>
      <c r="Y1742" s="157" t="str">
        <f t="shared" si="524"/>
        <v>1</v>
      </c>
      <c r="Z1742" s="18">
        <f t="shared" si="525"/>
        <v>11538686</v>
      </c>
      <c r="AA1742" s="13">
        <v>5.5199999999999999E-2</v>
      </c>
      <c r="AB1742" s="21">
        <f t="shared" si="509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0"/>
        <v>15951056.41591504</v>
      </c>
      <c r="AJ1742" s="19">
        <f t="shared" si="511"/>
        <v>1966354.6022462982</v>
      </c>
      <c r="AK1742" s="20">
        <f t="shared" si="518"/>
        <v>0.12327425538313459</v>
      </c>
      <c r="AL1742" s="17"/>
      <c r="AM1742" s="17"/>
      <c r="AN1742" s="17"/>
      <c r="AO1742" s="17"/>
      <c r="AP1742" s="28" t="str">
        <f t="shared" si="519"/>
        <v>20237</v>
      </c>
      <c r="AQ1742" s="28" t="str">
        <f t="shared" si="520"/>
        <v>20237JPY</v>
      </c>
      <c r="AR1742" s="206" t="str">
        <f t="shared" si="521"/>
        <v>YAMAHA_Mounter</v>
      </c>
      <c r="AS1742" s="22">
        <f t="shared" si="522"/>
        <v>3</v>
      </c>
      <c r="AT1742" s="24" t="str">
        <f t="shared" si="523"/>
        <v>0-3 months</v>
      </c>
      <c r="AU1742" s="22" t="s">
        <v>3240</v>
      </c>
    </row>
    <row r="1743" spans="1:47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55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2526</v>
      </c>
      <c r="K1743" s="155" t="s">
        <v>2527</v>
      </c>
      <c r="L1743" s="17" t="s">
        <v>67</v>
      </c>
      <c r="M1743" s="13" t="s">
        <v>60</v>
      </c>
      <c r="N1743" s="13">
        <v>1</v>
      </c>
      <c r="O1743" s="13"/>
      <c r="P1743" s="33" t="str">
        <f t="shared" si="515"/>
        <v>MAIN UNIT</v>
      </c>
      <c r="Q1743" s="13" t="s">
        <v>61</v>
      </c>
      <c r="R1743" s="13" t="s">
        <v>62</v>
      </c>
      <c r="S1743" s="13" t="s">
        <v>50</v>
      </c>
      <c r="T1743" s="13" t="s">
        <v>2374</v>
      </c>
      <c r="U1743" s="13" t="s">
        <v>70</v>
      </c>
      <c r="V1743" s="13" t="s">
        <v>2123</v>
      </c>
      <c r="W1743" s="13" t="s">
        <v>109</v>
      </c>
      <c r="X1743" s="135">
        <v>7963342</v>
      </c>
      <c r="Y1743" s="157" t="str">
        <f t="shared" si="524"/>
        <v>1</v>
      </c>
      <c r="Z1743" s="18">
        <f t="shared" si="525"/>
        <v>7963342</v>
      </c>
      <c r="AA1743" s="13">
        <v>5.5199999999999999E-2</v>
      </c>
      <c r="AB1743" s="21">
        <f t="shared" si="509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0"/>
        <v>15951056.41591504</v>
      </c>
      <c r="AJ1743" s="19">
        <f t="shared" si="511"/>
        <v>1966354.6022462982</v>
      </c>
      <c r="AK1743" s="20">
        <f t="shared" si="518"/>
        <v>0.12327425538313459</v>
      </c>
      <c r="AL1743" s="17"/>
      <c r="AM1743" s="17"/>
      <c r="AN1743" s="17"/>
      <c r="AO1743" s="17"/>
      <c r="AP1743" s="28" t="str">
        <f t="shared" si="519"/>
        <v>20237</v>
      </c>
      <c r="AQ1743" s="28" t="str">
        <f t="shared" si="520"/>
        <v>20237JPY</v>
      </c>
      <c r="AR1743" s="206" t="str">
        <f t="shared" si="521"/>
        <v>YAMAHA_Mounter</v>
      </c>
      <c r="AS1743" s="22">
        <f t="shared" si="522"/>
        <v>3</v>
      </c>
      <c r="AT1743" s="24" t="str">
        <f t="shared" si="523"/>
        <v>0-3 months</v>
      </c>
      <c r="AU1743" s="22" t="s">
        <v>3240</v>
      </c>
    </row>
    <row r="1744" spans="1:47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55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2526</v>
      </c>
      <c r="K1744" s="155" t="s">
        <v>2527</v>
      </c>
      <c r="L1744" s="17" t="s">
        <v>67</v>
      </c>
      <c r="M1744" s="13" t="s">
        <v>60</v>
      </c>
      <c r="N1744" s="13">
        <v>1</v>
      </c>
      <c r="O1744" s="13"/>
      <c r="P1744" s="33" t="str">
        <f t="shared" si="515"/>
        <v>MAIN UNIT</v>
      </c>
      <c r="Q1744" s="13" t="s">
        <v>61</v>
      </c>
      <c r="R1744" s="13" t="s">
        <v>62</v>
      </c>
      <c r="S1744" s="13" t="s">
        <v>50</v>
      </c>
      <c r="T1744" s="13" t="s">
        <v>2374</v>
      </c>
      <c r="U1744" s="13" t="s">
        <v>70</v>
      </c>
      <c r="V1744" s="13" t="s">
        <v>2123</v>
      </c>
      <c r="W1744" s="13" t="s">
        <v>109</v>
      </c>
      <c r="X1744" s="135">
        <v>7963342</v>
      </c>
      <c r="Y1744" s="157" t="str">
        <f t="shared" si="524"/>
        <v>1</v>
      </c>
      <c r="Z1744" s="18">
        <f t="shared" si="525"/>
        <v>7963342</v>
      </c>
      <c r="AA1744" s="13">
        <v>5.5199999999999999E-2</v>
      </c>
      <c r="AB1744" s="21">
        <f t="shared" si="509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0"/>
        <v>15951056.41591504</v>
      </c>
      <c r="AJ1744" s="19">
        <f t="shared" si="511"/>
        <v>1966354.6022462982</v>
      </c>
      <c r="AK1744" s="20">
        <f t="shared" si="518"/>
        <v>0.12327425538313459</v>
      </c>
      <c r="AL1744" s="17"/>
      <c r="AM1744" s="17"/>
      <c r="AN1744" s="17"/>
      <c r="AO1744" s="17"/>
      <c r="AP1744" s="28" t="str">
        <f t="shared" si="519"/>
        <v>20237</v>
      </c>
      <c r="AQ1744" s="28" t="str">
        <f t="shared" si="520"/>
        <v>20237JPY</v>
      </c>
      <c r="AR1744" s="206" t="str">
        <f t="shared" si="521"/>
        <v>YAMAHA_Mounter</v>
      </c>
      <c r="AS1744" s="22">
        <f t="shared" si="522"/>
        <v>3</v>
      </c>
      <c r="AT1744" s="24" t="str">
        <f t="shared" si="523"/>
        <v>0-3 months</v>
      </c>
      <c r="AU1744" s="22" t="s">
        <v>3240</v>
      </c>
    </row>
    <row r="1745" spans="1:47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55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2526</v>
      </c>
      <c r="K1745" s="155" t="s">
        <v>2527</v>
      </c>
      <c r="L1745" s="17" t="s">
        <v>67</v>
      </c>
      <c r="M1745" s="13" t="s">
        <v>60</v>
      </c>
      <c r="N1745" s="13">
        <v>1</v>
      </c>
      <c r="O1745" s="13"/>
      <c r="P1745" s="33" t="str">
        <f t="shared" si="515"/>
        <v>MAIN UNIT</v>
      </c>
      <c r="Q1745" s="13" t="s">
        <v>61</v>
      </c>
      <c r="R1745" s="13" t="s">
        <v>62</v>
      </c>
      <c r="S1745" s="13" t="s">
        <v>50</v>
      </c>
      <c r="T1745" s="13" t="s">
        <v>2374</v>
      </c>
      <c r="U1745" s="13" t="s">
        <v>70</v>
      </c>
      <c r="V1745" s="13" t="s">
        <v>2123</v>
      </c>
      <c r="W1745" s="13" t="s">
        <v>109</v>
      </c>
      <c r="X1745" s="135">
        <v>7963342</v>
      </c>
      <c r="Y1745" s="157" t="str">
        <f t="shared" si="524"/>
        <v>1</v>
      </c>
      <c r="Z1745" s="18">
        <f t="shared" si="525"/>
        <v>7963342</v>
      </c>
      <c r="AA1745" s="13">
        <v>5.5199999999999999E-2</v>
      </c>
      <c r="AB1745" s="21">
        <f t="shared" si="509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0"/>
        <v>15951056.41591504</v>
      </c>
      <c r="AJ1745" s="19">
        <f t="shared" si="511"/>
        <v>1966354.6022462982</v>
      </c>
      <c r="AK1745" s="20">
        <f t="shared" si="518"/>
        <v>0.12327425538313459</v>
      </c>
      <c r="AL1745" s="17"/>
      <c r="AM1745" s="17"/>
      <c r="AN1745" s="17"/>
      <c r="AO1745" s="17"/>
      <c r="AP1745" s="28" t="str">
        <f t="shared" si="519"/>
        <v>20237</v>
      </c>
      <c r="AQ1745" s="28" t="str">
        <f t="shared" si="520"/>
        <v>20237JPY</v>
      </c>
      <c r="AR1745" s="206" t="str">
        <f t="shared" si="521"/>
        <v>YAMAHA_Mounter</v>
      </c>
      <c r="AS1745" s="22">
        <f t="shared" si="522"/>
        <v>3</v>
      </c>
      <c r="AT1745" s="24" t="str">
        <f t="shared" si="523"/>
        <v>0-3 months</v>
      </c>
      <c r="AU1745" s="22" t="s">
        <v>3240</v>
      </c>
    </row>
    <row r="1746" spans="1:47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55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2526</v>
      </c>
      <c r="K1746" s="155" t="s">
        <v>2527</v>
      </c>
      <c r="L1746" s="17" t="s">
        <v>67</v>
      </c>
      <c r="M1746" s="13" t="s">
        <v>60</v>
      </c>
      <c r="N1746" s="13">
        <v>1</v>
      </c>
      <c r="O1746" s="13"/>
      <c r="P1746" s="33" t="str">
        <f t="shared" si="515"/>
        <v>MAIN UNIT</v>
      </c>
      <c r="Q1746" s="13" t="s">
        <v>61</v>
      </c>
      <c r="R1746" s="13" t="s">
        <v>62</v>
      </c>
      <c r="S1746" s="13" t="s">
        <v>50</v>
      </c>
      <c r="T1746" s="13" t="s">
        <v>2374</v>
      </c>
      <c r="U1746" s="13" t="s">
        <v>70</v>
      </c>
      <c r="V1746" s="13" t="s">
        <v>2123</v>
      </c>
      <c r="W1746" s="13" t="s">
        <v>109</v>
      </c>
      <c r="X1746" s="135">
        <v>7963342</v>
      </c>
      <c r="Y1746" s="157" t="str">
        <f t="shared" si="524"/>
        <v>1</v>
      </c>
      <c r="Z1746" s="18">
        <f t="shared" si="525"/>
        <v>7963342</v>
      </c>
      <c r="AA1746" s="13">
        <v>5.5199999999999999E-2</v>
      </c>
      <c r="AB1746" s="21">
        <f t="shared" si="509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0"/>
        <v>15951056.41591504</v>
      </c>
      <c r="AJ1746" s="19">
        <f t="shared" si="511"/>
        <v>1966354.6022462982</v>
      </c>
      <c r="AK1746" s="20">
        <f t="shared" si="518"/>
        <v>0.12327425538313459</v>
      </c>
      <c r="AL1746" s="17"/>
      <c r="AM1746" s="17"/>
      <c r="AN1746" s="17"/>
      <c r="AO1746" s="17"/>
      <c r="AP1746" s="28" t="str">
        <f t="shared" si="519"/>
        <v>20237</v>
      </c>
      <c r="AQ1746" s="28" t="str">
        <f t="shared" si="520"/>
        <v>20237JPY</v>
      </c>
      <c r="AR1746" s="206" t="str">
        <f t="shared" si="521"/>
        <v>YAMAHA_Mounter</v>
      </c>
      <c r="AS1746" s="22">
        <f t="shared" si="522"/>
        <v>3</v>
      </c>
      <c r="AT1746" s="24" t="str">
        <f t="shared" si="523"/>
        <v>0-3 months</v>
      </c>
      <c r="AU1746" s="22" t="s">
        <v>3240</v>
      </c>
    </row>
    <row r="1747" spans="1:47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53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1780</v>
      </c>
      <c r="K1747" s="155" t="s">
        <v>1781</v>
      </c>
      <c r="L1747" s="17" t="s">
        <v>67</v>
      </c>
      <c r="M1747" s="13" t="s">
        <v>60</v>
      </c>
      <c r="N1747" s="13">
        <v>1</v>
      </c>
      <c r="O1747" s="13"/>
      <c r="P1747" s="33" t="str">
        <f t="shared" si="515"/>
        <v>MAIN UNIT</v>
      </c>
      <c r="Q1747" s="13" t="s">
        <v>61</v>
      </c>
      <c r="R1747" s="13" t="s">
        <v>62</v>
      </c>
      <c r="S1747" s="13" t="s">
        <v>50</v>
      </c>
      <c r="T1747" s="13" t="s">
        <v>168</v>
      </c>
      <c r="U1747" s="13" t="s">
        <v>89</v>
      </c>
      <c r="V1747" s="13" t="s">
        <v>84</v>
      </c>
      <c r="W1747" s="13" t="s">
        <v>64</v>
      </c>
      <c r="X1747" s="135">
        <v>568086</v>
      </c>
      <c r="Y1747" s="157" t="str">
        <f t="shared" si="524"/>
        <v>1.13</v>
      </c>
      <c r="Z1747" s="18">
        <f t="shared" si="525"/>
        <v>568086</v>
      </c>
      <c r="AA1747" s="13">
        <v>1.2150000000000001</v>
      </c>
      <c r="AB1747" s="21">
        <f t="shared" si="509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0"/>
        <v>54700260.692079648</v>
      </c>
      <c r="AJ1747" s="19">
        <f t="shared" si="511"/>
        <v>7482899.5749188727</v>
      </c>
      <c r="AK1747" s="20">
        <f t="shared" si="518"/>
        <v>0.13679824337660537</v>
      </c>
      <c r="AL1747" s="17"/>
      <c r="AM1747" s="17"/>
      <c r="AN1747" s="17"/>
      <c r="AO1747" s="17"/>
      <c r="AP1747" s="28" t="str">
        <f t="shared" si="519"/>
        <v>20216</v>
      </c>
      <c r="AQ1747" s="28" t="str">
        <f t="shared" si="520"/>
        <v>20216RMB</v>
      </c>
      <c r="AR1747" s="206" t="str">
        <f t="shared" si="521"/>
        <v>YAMAHA_Mounter</v>
      </c>
      <c r="AS1747" s="22">
        <f t="shared" si="522"/>
        <v>3</v>
      </c>
      <c r="AT1747" s="24" t="str">
        <f t="shared" si="523"/>
        <v>0-3 months</v>
      </c>
      <c r="AU1747" s="22" t="s">
        <v>3240</v>
      </c>
    </row>
    <row r="1748" spans="1:47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53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1824</v>
      </c>
      <c r="K1748" s="155" t="s">
        <v>1781</v>
      </c>
      <c r="L1748" s="17" t="s">
        <v>67</v>
      </c>
      <c r="M1748" s="13" t="s">
        <v>60</v>
      </c>
      <c r="N1748" s="13">
        <v>1</v>
      </c>
      <c r="O1748" s="13"/>
      <c r="P1748" s="33" t="str">
        <f t="shared" si="515"/>
        <v>MAIN UNIT</v>
      </c>
      <c r="Q1748" s="13" t="s">
        <v>61</v>
      </c>
      <c r="R1748" s="13" t="s">
        <v>62</v>
      </c>
      <c r="S1748" s="13" t="s">
        <v>50</v>
      </c>
      <c r="T1748" s="13" t="s">
        <v>168</v>
      </c>
      <c r="U1748" s="13" t="s">
        <v>89</v>
      </c>
      <c r="V1748" s="13" t="s">
        <v>84</v>
      </c>
      <c r="W1748" s="13" t="s">
        <v>64</v>
      </c>
      <c r="X1748" s="135">
        <v>498000</v>
      </c>
      <c r="Y1748" s="157" t="str">
        <f t="shared" si="524"/>
        <v>1.13</v>
      </c>
      <c r="Z1748" s="18">
        <f t="shared" si="525"/>
        <v>498000</v>
      </c>
      <c r="AA1748" s="13">
        <v>1.2</v>
      </c>
      <c r="AB1748" s="21">
        <f t="shared" si="509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0"/>
        <v>41443303.53761062</v>
      </c>
      <c r="AJ1748" s="19">
        <f t="shared" si="511"/>
        <v>6194988.76643031</v>
      </c>
      <c r="AK1748" s="20">
        <f t="shared" si="518"/>
        <v>0.1494810557466355</v>
      </c>
      <c r="AL1748" s="17"/>
      <c r="AM1748" s="17"/>
      <c r="AN1748" s="17"/>
      <c r="AO1748" s="17"/>
      <c r="AP1748" s="28" t="str">
        <f t="shared" si="519"/>
        <v>20217</v>
      </c>
      <c r="AQ1748" s="28" t="str">
        <f t="shared" si="520"/>
        <v>20217RMB</v>
      </c>
      <c r="AR1748" s="206" t="str">
        <f t="shared" si="521"/>
        <v>YAMAHA_Mounter</v>
      </c>
      <c r="AS1748" s="22">
        <f t="shared" si="522"/>
        <v>4</v>
      </c>
      <c r="AT1748" s="24" t="str">
        <f t="shared" si="523"/>
        <v>4-6 months</v>
      </c>
      <c r="AU1748" s="22" t="s">
        <v>3240</v>
      </c>
    </row>
    <row r="1749" spans="1:47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48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1171</v>
      </c>
      <c r="K1749" s="155" t="s">
        <v>1172</v>
      </c>
      <c r="L1749" s="17" t="s">
        <v>516</v>
      </c>
      <c r="M1749" s="13" t="s">
        <v>60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61</v>
      </c>
      <c r="R1749" s="13" t="s">
        <v>62</v>
      </c>
      <c r="S1749" s="13" t="s">
        <v>50</v>
      </c>
      <c r="T1749" s="13" t="s">
        <v>168</v>
      </c>
      <c r="U1749" s="13" t="s">
        <v>70</v>
      </c>
      <c r="V1749" s="13" t="s">
        <v>1082</v>
      </c>
      <c r="W1749" s="13" t="s">
        <v>703</v>
      </c>
      <c r="X1749" s="135">
        <v>295000</v>
      </c>
      <c r="Y1749" s="156">
        <v>1.1299999999999999</v>
      </c>
      <c r="Z1749" s="18">
        <f t="shared" si="525"/>
        <v>295000</v>
      </c>
      <c r="AA1749" s="13">
        <v>1.095</v>
      </c>
      <c r="AB1749" s="21">
        <f t="shared" si="509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0"/>
        <v>35384300.169380538</v>
      </c>
      <c r="AJ1749" s="19">
        <f t="shared" si="511"/>
        <v>5044538.8896988509</v>
      </c>
      <c r="AK1749" s="20">
        <f t="shared" si="518"/>
        <v>0.14256432557804533</v>
      </c>
      <c r="AL1749" s="17"/>
      <c r="AM1749" s="17"/>
      <c r="AN1749" s="17"/>
      <c r="AO1749" s="17"/>
      <c r="AP1749" s="28" t="str">
        <f t="shared" si="519"/>
        <v>20207</v>
      </c>
      <c r="AQ1749" s="28" t="str">
        <f t="shared" si="520"/>
        <v>20207RMB</v>
      </c>
      <c r="AR1749" s="206" t="str">
        <f t="shared" si="521"/>
        <v>YAMAHA_Mounter</v>
      </c>
      <c r="AS1749" s="22">
        <f t="shared" si="522"/>
        <v>1</v>
      </c>
      <c r="AT1749" s="24" t="str">
        <f t="shared" si="523"/>
        <v>0-3 months</v>
      </c>
      <c r="AU1749" s="22" t="s">
        <v>3240</v>
      </c>
    </row>
    <row r="1750" spans="1:47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47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837</v>
      </c>
      <c r="K1750" s="155" t="s">
        <v>838</v>
      </c>
      <c r="L1750" s="17" t="s">
        <v>67</v>
      </c>
      <c r="M1750" s="13" t="s">
        <v>60</v>
      </c>
      <c r="N1750" s="13">
        <v>1</v>
      </c>
      <c r="O1750" s="13"/>
      <c r="P1750" s="33" t="str">
        <f t="shared" si="515"/>
        <v>MAIN UNIT</v>
      </c>
      <c r="Q1750" s="13" t="s">
        <v>61</v>
      </c>
      <c r="R1750" s="13" t="s">
        <v>701</v>
      </c>
      <c r="S1750" s="13" t="s">
        <v>750</v>
      </c>
      <c r="T1750" s="13" t="s">
        <v>839</v>
      </c>
      <c r="U1750" s="13" t="s">
        <v>79</v>
      </c>
      <c r="V1750" s="13" t="s">
        <v>776</v>
      </c>
      <c r="W1750" s="13" t="s">
        <v>773</v>
      </c>
      <c r="X1750" s="135">
        <v>843000</v>
      </c>
      <c r="Y1750" s="156">
        <v>1.1299999999999999</v>
      </c>
      <c r="Z1750" s="18">
        <f t="shared" si="525"/>
        <v>843000</v>
      </c>
      <c r="AA1750" s="13">
        <v>1.135</v>
      </c>
      <c r="AB1750" s="21">
        <f t="shared" si="509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0"/>
        <v>31296887.037898075</v>
      </c>
      <c r="AJ1750" s="19">
        <f t="shared" si="511"/>
        <v>3588873.9502021763</v>
      </c>
      <c r="AK1750" s="20">
        <f t="shared" si="518"/>
        <v>0.11467191436184473</v>
      </c>
      <c r="AL1750" s="17"/>
      <c r="AM1750" s="17"/>
      <c r="AN1750" s="17"/>
      <c r="AO1750" s="17"/>
      <c r="AP1750" s="28" t="str">
        <f t="shared" si="519"/>
        <v>20196</v>
      </c>
      <c r="AQ1750" s="28" t="str">
        <f t="shared" si="520"/>
        <v>20196RMB</v>
      </c>
      <c r="AR1750" s="206" t="str">
        <f t="shared" si="521"/>
        <v>YAMAHA_Mounter</v>
      </c>
      <c r="AS1750" s="22">
        <f t="shared" si="522"/>
        <v>1</v>
      </c>
      <c r="AT1750" s="24" t="str">
        <f t="shared" si="523"/>
        <v>0-3 months</v>
      </c>
      <c r="AU1750" s="22" t="s">
        <v>3744</v>
      </c>
    </row>
    <row r="1751" spans="1:47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53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1962</v>
      </c>
      <c r="K1751" s="155" t="s">
        <v>1963</v>
      </c>
      <c r="L1751" s="17" t="s">
        <v>92</v>
      </c>
      <c r="M1751" s="13" t="s">
        <v>60</v>
      </c>
      <c r="N1751" s="13">
        <v>1</v>
      </c>
      <c r="O1751" s="13"/>
      <c r="P1751" s="33" t="str">
        <f t="shared" si="515"/>
        <v>MAIN UNIT</v>
      </c>
      <c r="Q1751" s="13" t="s">
        <v>61</v>
      </c>
      <c r="R1751" s="13" t="s">
        <v>62</v>
      </c>
      <c r="S1751" s="13" t="s">
        <v>49</v>
      </c>
      <c r="T1751" s="13" t="s">
        <v>78</v>
      </c>
      <c r="U1751" s="13" t="s">
        <v>79</v>
      </c>
      <c r="V1751" s="13" t="s">
        <v>121</v>
      </c>
      <c r="W1751" s="13" t="s">
        <v>64</v>
      </c>
      <c r="X1751" s="135">
        <v>1310000</v>
      </c>
      <c r="Y1751" s="157" t="str">
        <f>IF(W1751="RMB","1.13", "1")</f>
        <v>1.13</v>
      </c>
      <c r="Z1751" s="18">
        <f t="shared" si="525"/>
        <v>1310000</v>
      </c>
      <c r="AA1751" s="13">
        <v>1.22</v>
      </c>
      <c r="AB1751" s="21">
        <f t="shared" si="509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0"/>
        <v>31750699.113741599</v>
      </c>
      <c r="AJ1751" s="19">
        <f t="shared" si="511"/>
        <v>4396077.3195289988</v>
      </c>
      <c r="AK1751" s="20">
        <f t="shared" si="518"/>
        <v>0.13845607946397598</v>
      </c>
      <c r="AL1751" s="17"/>
      <c r="AM1751" s="17"/>
      <c r="AN1751" s="17"/>
      <c r="AO1751" s="17"/>
      <c r="AP1751" s="28" t="str">
        <f t="shared" si="519"/>
        <v>20222</v>
      </c>
      <c r="AQ1751" s="28" t="str">
        <f t="shared" si="520"/>
        <v>20222RMB</v>
      </c>
      <c r="AR1751" s="206" t="str">
        <f t="shared" si="521"/>
        <v>YAMAHA_Mounter</v>
      </c>
      <c r="AS1751" s="22">
        <f t="shared" si="522"/>
        <v>5</v>
      </c>
      <c r="AT1751" s="24" t="str">
        <f t="shared" si="523"/>
        <v>4-6 months</v>
      </c>
      <c r="AU1751" s="22" t="s">
        <v>3751</v>
      </c>
    </row>
    <row r="1752" spans="1:47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48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1508</v>
      </c>
      <c r="K1752" s="155" t="s">
        <v>1509</v>
      </c>
      <c r="L1752" s="17" t="s">
        <v>92</v>
      </c>
      <c r="M1752" s="13" t="s">
        <v>60</v>
      </c>
      <c r="N1752" s="13">
        <v>1</v>
      </c>
      <c r="O1752" s="13"/>
      <c r="P1752" s="33" t="str">
        <f t="shared" si="515"/>
        <v>MAIN UNIT</v>
      </c>
      <c r="Q1752" s="13" t="s">
        <v>68</v>
      </c>
      <c r="R1752" s="13" t="s">
        <v>62</v>
      </c>
      <c r="S1752" s="13" t="s">
        <v>49</v>
      </c>
      <c r="T1752" s="13" t="s">
        <v>78</v>
      </c>
      <c r="U1752" s="13" t="s">
        <v>79</v>
      </c>
      <c r="V1752" s="13" t="s">
        <v>311</v>
      </c>
      <c r="W1752" s="13" t="s">
        <v>109</v>
      </c>
      <c r="X1752" s="135">
        <v>15450000</v>
      </c>
      <c r="Y1752" s="157" t="str">
        <f>IF(W1752="RMB","1.13", "1")</f>
        <v>1</v>
      </c>
      <c r="Z1752" s="18">
        <f t="shared" si="525"/>
        <v>15450000</v>
      </c>
      <c r="AA1752" s="13">
        <v>7.6799999999999993E-2</v>
      </c>
      <c r="AB1752" s="21">
        <f t="shared" si="509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0"/>
        <v>45803245.025628321</v>
      </c>
      <c r="AJ1752" s="19">
        <f t="shared" si="511"/>
        <v>5664636.2584379362</v>
      </c>
      <c r="AK1752" s="20">
        <f t="shared" si="518"/>
        <v>0.12367325186825515</v>
      </c>
      <c r="AL1752" s="17"/>
      <c r="AM1752" s="17"/>
      <c r="AN1752" s="17"/>
      <c r="AO1752" s="17"/>
      <c r="AP1752" s="28" t="str">
        <f t="shared" si="519"/>
        <v>20211</v>
      </c>
      <c r="AQ1752" s="28" t="str">
        <f t="shared" si="520"/>
        <v>20211JPY</v>
      </c>
      <c r="AR1752" s="206" t="str">
        <f t="shared" si="521"/>
        <v>YAMAHA_Mounter</v>
      </c>
      <c r="AS1752" s="22">
        <f t="shared" si="522"/>
        <v>3</v>
      </c>
      <c r="AT1752" s="24" t="str">
        <f t="shared" si="523"/>
        <v>0-3 months</v>
      </c>
      <c r="AU1752" s="22" t="s">
        <v>3745</v>
      </c>
    </row>
    <row r="1753" spans="1:47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48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1508</v>
      </c>
      <c r="K1753" s="155" t="s">
        <v>1509</v>
      </c>
      <c r="L1753" s="17" t="s">
        <v>92</v>
      </c>
      <c r="M1753" s="13" t="s">
        <v>60</v>
      </c>
      <c r="N1753" s="13">
        <v>1</v>
      </c>
      <c r="O1753" s="13"/>
      <c r="P1753" s="33" t="str">
        <f t="shared" si="515"/>
        <v>MAIN UNIT</v>
      </c>
      <c r="Q1753" s="13" t="s">
        <v>68</v>
      </c>
      <c r="R1753" s="13" t="s">
        <v>62</v>
      </c>
      <c r="S1753" s="13" t="s">
        <v>49</v>
      </c>
      <c r="T1753" s="13" t="s">
        <v>78</v>
      </c>
      <c r="U1753" s="13" t="s">
        <v>79</v>
      </c>
      <c r="V1753" s="13" t="s">
        <v>311</v>
      </c>
      <c r="W1753" s="13" t="s">
        <v>109</v>
      </c>
      <c r="X1753" s="135">
        <v>15450000</v>
      </c>
      <c r="Y1753" s="157" t="str">
        <f>IF(W1753="RMB","1.13", "1")</f>
        <v>1</v>
      </c>
      <c r="Z1753" s="18">
        <f t="shared" si="525"/>
        <v>15450000</v>
      </c>
      <c r="AA1753" s="13">
        <v>7.6799999999999993E-2</v>
      </c>
      <c r="AB1753" s="21">
        <f t="shared" si="509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0"/>
        <v>45803245.025628321</v>
      </c>
      <c r="AJ1753" s="19">
        <f t="shared" si="511"/>
        <v>5664636.2584379362</v>
      </c>
      <c r="AK1753" s="20">
        <f t="shared" si="518"/>
        <v>0.12367325186825515</v>
      </c>
      <c r="AL1753" s="17"/>
      <c r="AM1753" s="17"/>
      <c r="AN1753" s="17"/>
      <c r="AO1753" s="17"/>
      <c r="AP1753" s="28" t="str">
        <f t="shared" si="519"/>
        <v>20211</v>
      </c>
      <c r="AQ1753" s="28" t="str">
        <f t="shared" si="520"/>
        <v>20211JPY</v>
      </c>
      <c r="AR1753" s="206" t="str">
        <f t="shared" si="521"/>
        <v>YAMAHA_Mounter</v>
      </c>
      <c r="AS1753" s="22">
        <f t="shared" si="522"/>
        <v>3</v>
      </c>
      <c r="AT1753" s="24" t="str">
        <f t="shared" si="523"/>
        <v>0-3 months</v>
      </c>
      <c r="AU1753" s="22" t="s">
        <v>3745</v>
      </c>
    </row>
    <row r="1754" spans="1:47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53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1895</v>
      </c>
      <c r="K1754" s="155" t="s">
        <v>1509</v>
      </c>
      <c r="L1754" s="17" t="s">
        <v>92</v>
      </c>
      <c r="M1754" s="13" t="s">
        <v>60</v>
      </c>
      <c r="N1754" s="13">
        <v>1</v>
      </c>
      <c r="O1754" s="13"/>
      <c r="P1754" s="33" t="str">
        <f t="shared" si="515"/>
        <v>MAIN UNIT</v>
      </c>
      <c r="Q1754" s="13" t="s">
        <v>61</v>
      </c>
      <c r="R1754" s="13" t="s">
        <v>62</v>
      </c>
      <c r="S1754" s="13" t="s">
        <v>49</v>
      </c>
      <c r="T1754" s="13" t="s">
        <v>78</v>
      </c>
      <c r="U1754" s="13" t="s">
        <v>79</v>
      </c>
      <c r="V1754" s="13" t="s">
        <v>311</v>
      </c>
      <c r="W1754" s="13" t="s">
        <v>109</v>
      </c>
      <c r="X1754" s="135">
        <v>15300000</v>
      </c>
      <c r="Y1754" s="157" t="str">
        <f>IF(W1754="RMB","1.13", "1")</f>
        <v>1</v>
      </c>
      <c r="Z1754" s="18">
        <f t="shared" si="525"/>
        <v>15300000</v>
      </c>
      <c r="AA1754" s="13">
        <v>7.0000000000000007E-2</v>
      </c>
      <c r="AB1754" s="21">
        <f t="shared" si="509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0"/>
        <v>29500529.005044252</v>
      </c>
      <c r="AJ1754" s="19">
        <f t="shared" si="511"/>
        <v>3253064.846231177</v>
      </c>
      <c r="AK1754" s="20">
        <f t="shared" si="518"/>
        <v>0.11027140718984871</v>
      </c>
      <c r="AL1754" s="17"/>
      <c r="AM1754" s="17"/>
      <c r="AN1754" s="17"/>
      <c r="AO1754" s="17"/>
      <c r="AP1754" s="28" t="str">
        <f t="shared" si="519"/>
        <v>202111</v>
      </c>
      <c r="AQ1754" s="28" t="str">
        <f t="shared" si="520"/>
        <v>202111JPY</v>
      </c>
      <c r="AR1754" s="206" t="str">
        <f t="shared" si="521"/>
        <v>YAMAHA_Mounter</v>
      </c>
      <c r="AS1754" s="22">
        <f t="shared" si="522"/>
        <v>5</v>
      </c>
      <c r="AT1754" s="24" t="str">
        <f t="shared" si="523"/>
        <v>4-6 months</v>
      </c>
      <c r="AU1754" s="22" t="s">
        <v>3745</v>
      </c>
    </row>
    <row r="1755" spans="1:47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53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1895</v>
      </c>
      <c r="K1755" s="155" t="s">
        <v>1509</v>
      </c>
      <c r="L1755" s="17" t="s">
        <v>67</v>
      </c>
      <c r="M1755" s="13" t="s">
        <v>60</v>
      </c>
      <c r="N1755" s="13">
        <v>1</v>
      </c>
      <c r="O1755" s="13"/>
      <c r="P1755" s="33" t="str">
        <f t="shared" si="515"/>
        <v>MAIN UNIT</v>
      </c>
      <c r="Q1755" s="13" t="s">
        <v>61</v>
      </c>
      <c r="R1755" s="13" t="s">
        <v>62</v>
      </c>
      <c r="S1755" s="13" t="s">
        <v>49</v>
      </c>
      <c r="T1755" s="13" t="s">
        <v>78</v>
      </c>
      <c r="U1755" s="13" t="s">
        <v>79</v>
      </c>
      <c r="V1755" s="13" t="s">
        <v>311</v>
      </c>
      <c r="W1755" s="13" t="s">
        <v>109</v>
      </c>
      <c r="X1755" s="135">
        <v>11000000</v>
      </c>
      <c r="Y1755" s="157" t="str">
        <f>IF(W1755="RMB","1.13", "1")</f>
        <v>1</v>
      </c>
      <c r="Z1755" s="18">
        <f t="shared" si="525"/>
        <v>11000000</v>
      </c>
      <c r="AA1755" s="13">
        <v>7.0000000000000007E-2</v>
      </c>
      <c r="AB1755" s="21">
        <f t="shared" si="509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0"/>
        <v>29500529.005044252</v>
      </c>
      <c r="AJ1755" s="19">
        <f t="shared" si="511"/>
        <v>3253064.846231177</v>
      </c>
      <c r="AK1755" s="20">
        <f t="shared" si="518"/>
        <v>0.11027140718984871</v>
      </c>
      <c r="AL1755" s="17"/>
      <c r="AM1755" s="17"/>
      <c r="AN1755" s="17"/>
      <c r="AO1755" s="17"/>
      <c r="AP1755" s="28" t="str">
        <f t="shared" si="519"/>
        <v>202111</v>
      </c>
      <c r="AQ1755" s="28" t="str">
        <f t="shared" si="520"/>
        <v>202111JPY</v>
      </c>
      <c r="AR1755" s="206" t="str">
        <f t="shared" si="521"/>
        <v>YAMAHA_Mounter</v>
      </c>
      <c r="AS1755" s="22">
        <f t="shared" si="522"/>
        <v>5</v>
      </c>
      <c r="AT1755" s="24" t="str">
        <f t="shared" si="523"/>
        <v>4-6 months</v>
      </c>
      <c r="AU1755" s="22" t="s">
        <v>3745</v>
      </c>
    </row>
    <row r="1756" spans="1:47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3128</v>
      </c>
      <c r="K1756" s="29" t="s">
        <v>1509</v>
      </c>
      <c r="L1756" s="17" t="s">
        <v>92</v>
      </c>
      <c r="M1756" s="22" t="s">
        <v>60</v>
      </c>
      <c r="N1756" s="22">
        <v>1</v>
      </c>
      <c r="O1756" s="22"/>
      <c r="P1756" s="33" t="str">
        <f t="shared" si="515"/>
        <v>MAIN UNIT</v>
      </c>
      <c r="Q1756" s="13" t="s">
        <v>61</v>
      </c>
      <c r="R1756" s="22" t="s">
        <v>62</v>
      </c>
      <c r="S1756" s="22" t="s">
        <v>49</v>
      </c>
      <c r="T1756" s="22" t="s">
        <v>78</v>
      </c>
      <c r="U1756" s="22" t="s">
        <v>79</v>
      </c>
      <c r="V1756" s="22" t="s">
        <v>311</v>
      </c>
      <c r="W1756" s="22" t="s">
        <v>109</v>
      </c>
      <c r="X1756" s="30">
        <v>15200000</v>
      </c>
      <c r="Y1756" s="31" t="str">
        <f>IF(W1756="","",IF(W1756="RMB","1.13", "1"))</f>
        <v>1</v>
      </c>
      <c r="Z1756" s="18">
        <f t="shared" si="525"/>
        <v>15200000</v>
      </c>
      <c r="AA1756" s="22">
        <v>5.4199999999999998E-2</v>
      </c>
      <c r="AB1756" s="21">
        <f t="shared" si="509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0"/>
        <v>10271727.486725664</v>
      </c>
      <c r="AJ1756" s="27">
        <f t="shared" si="511"/>
        <v>1227228.7260761063</v>
      </c>
      <c r="AK1756" s="28">
        <f t="shared" si="518"/>
        <v>0.11947637120066472</v>
      </c>
      <c r="AL1756" s="24"/>
      <c r="AM1756" s="24"/>
      <c r="AN1756" s="24"/>
      <c r="AO1756" s="24"/>
      <c r="AP1756" s="28" t="str">
        <f t="shared" si="519"/>
        <v>202312</v>
      </c>
      <c r="AQ1756" s="28" t="str">
        <f t="shared" si="520"/>
        <v>202312JPY</v>
      </c>
      <c r="AR1756" s="206" t="str">
        <f t="shared" si="521"/>
        <v>YAMAHA_Mounter</v>
      </c>
      <c r="AS1756" s="22">
        <f t="shared" si="522"/>
        <v>0</v>
      </c>
      <c r="AT1756" s="24" t="str">
        <f t="shared" si="523"/>
        <v>0-3 months</v>
      </c>
      <c r="AU1756" s="22" t="s">
        <v>3745</v>
      </c>
    </row>
    <row r="1757" spans="1:47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48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1412</v>
      </c>
      <c r="K1757" s="155" t="s">
        <v>1413</v>
      </c>
      <c r="L1757" s="17" t="s">
        <v>293</v>
      </c>
      <c r="M1757" s="13" t="s">
        <v>60</v>
      </c>
      <c r="N1757" s="13">
        <v>1</v>
      </c>
      <c r="O1757" s="13"/>
      <c r="P1757" s="33" t="str">
        <f t="shared" si="515"/>
        <v>MAIN UNIT</v>
      </c>
      <c r="Q1757" s="13" t="s">
        <v>68</v>
      </c>
      <c r="R1757" s="13" t="s">
        <v>62</v>
      </c>
      <c r="S1757" s="13" t="s">
        <v>49</v>
      </c>
      <c r="T1757" s="13" t="s">
        <v>78</v>
      </c>
      <c r="U1757" s="13" t="s">
        <v>79</v>
      </c>
      <c r="V1757" s="13" t="s">
        <v>131</v>
      </c>
      <c r="W1757" s="13" t="s">
        <v>64</v>
      </c>
      <c r="X1757" s="135">
        <v>1400000</v>
      </c>
      <c r="Y1757" s="157" t="str">
        <f>IF(W1757="RMB","1.13", "1")</f>
        <v>1.13</v>
      </c>
      <c r="Z1757" s="18">
        <f t="shared" si="525"/>
        <v>1400000</v>
      </c>
      <c r="AA1757" s="13">
        <v>1.155</v>
      </c>
      <c r="AB1757" s="21">
        <f t="shared" si="509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0"/>
        <v>44078731.611185849</v>
      </c>
      <c r="AJ1757" s="19">
        <f t="shared" si="511"/>
        <v>5508173.2163771465</v>
      </c>
      <c r="AK1757" s="20">
        <f t="shared" si="518"/>
        <v>0.12496215328889679</v>
      </c>
      <c r="AL1757" s="17"/>
      <c r="AM1757" s="17"/>
      <c r="AN1757" s="17"/>
      <c r="AO1757" s="17"/>
      <c r="AP1757" s="28" t="str">
        <f t="shared" si="519"/>
        <v>202011</v>
      </c>
      <c r="AQ1757" s="28" t="str">
        <f t="shared" si="520"/>
        <v>202011RMB</v>
      </c>
      <c r="AR1757" s="206" t="str">
        <f t="shared" si="521"/>
        <v>YAMAHA_Mounter</v>
      </c>
      <c r="AS1757" s="22">
        <f t="shared" si="522"/>
        <v>2</v>
      </c>
      <c r="AT1757" s="24" t="str">
        <f t="shared" si="523"/>
        <v>0-3 months</v>
      </c>
      <c r="AU1757" s="22" t="s">
        <v>3744</v>
      </c>
    </row>
    <row r="1758" spans="1:47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48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1412</v>
      </c>
      <c r="K1758" s="155" t="s">
        <v>1413</v>
      </c>
      <c r="L1758" s="17" t="s">
        <v>293</v>
      </c>
      <c r="M1758" s="13" t="s">
        <v>60</v>
      </c>
      <c r="N1758" s="13">
        <v>1</v>
      </c>
      <c r="O1758" s="13"/>
      <c r="P1758" s="33" t="str">
        <f t="shared" si="515"/>
        <v>MAIN UNIT</v>
      </c>
      <c r="Q1758" s="13" t="s">
        <v>68</v>
      </c>
      <c r="R1758" s="13" t="s">
        <v>62</v>
      </c>
      <c r="S1758" s="13" t="s">
        <v>49</v>
      </c>
      <c r="T1758" s="13" t="s">
        <v>78</v>
      </c>
      <c r="U1758" s="13" t="s">
        <v>79</v>
      </c>
      <c r="V1758" s="13" t="s">
        <v>131</v>
      </c>
      <c r="W1758" s="13" t="s">
        <v>64</v>
      </c>
      <c r="X1758" s="135">
        <v>1400000</v>
      </c>
      <c r="Y1758" s="157" t="str">
        <f>IF(W1758="RMB","1.13", "1")</f>
        <v>1.13</v>
      </c>
      <c r="Z1758" s="18">
        <f t="shared" si="525"/>
        <v>1400000</v>
      </c>
      <c r="AA1758" s="13">
        <v>1.155</v>
      </c>
      <c r="AB1758" s="21">
        <f t="shared" si="509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0"/>
        <v>44078731.611185849</v>
      </c>
      <c r="AJ1758" s="19">
        <f t="shared" si="511"/>
        <v>5508173.2163771465</v>
      </c>
      <c r="AK1758" s="20">
        <f t="shared" si="518"/>
        <v>0.12496215328889679</v>
      </c>
      <c r="AL1758" s="17"/>
      <c r="AM1758" s="17"/>
      <c r="AN1758" s="17"/>
      <c r="AO1758" s="17"/>
      <c r="AP1758" s="28" t="str">
        <f t="shared" si="519"/>
        <v>202011</v>
      </c>
      <c r="AQ1758" s="28" t="str">
        <f t="shared" si="520"/>
        <v>202011RMB</v>
      </c>
      <c r="AR1758" s="206" t="str">
        <f t="shared" si="521"/>
        <v>YAMAHA_Mounter</v>
      </c>
      <c r="AS1758" s="22">
        <f t="shared" si="522"/>
        <v>2</v>
      </c>
      <c r="AT1758" s="24" t="str">
        <f t="shared" si="523"/>
        <v>0-3 months</v>
      </c>
      <c r="AU1758" s="22" t="s">
        <v>3744</v>
      </c>
    </row>
    <row r="1759" spans="1:47" s="12" customFormat="1">
      <c r="A1759" s="33" t="str">
        <f t="shared" si="512"/>
        <v>cancel</v>
      </c>
      <c r="B1759" s="152"/>
      <c r="C1759" s="152" t="s">
        <v>185</v>
      </c>
      <c r="D1759" s="33" t="str">
        <f t="shared" si="513"/>
        <v/>
      </c>
      <c r="E1759" s="33" t="s">
        <v>185</v>
      </c>
      <c r="F1759" s="13" t="s">
        <v>185</v>
      </c>
      <c r="G1759" s="152" t="s">
        <v>185</v>
      </c>
      <c r="H1759" s="155"/>
      <c r="I1759" s="33" t="str">
        <f t="shared" si="514"/>
        <v>Cancel</v>
      </c>
      <c r="J1759" s="186" t="s">
        <v>2689</v>
      </c>
      <c r="K1759" s="155" t="s">
        <v>1413</v>
      </c>
      <c r="L1759" s="17" t="s">
        <v>293</v>
      </c>
      <c r="M1759" s="13" t="s">
        <v>60</v>
      </c>
      <c r="N1759" s="13">
        <v>1</v>
      </c>
      <c r="O1759" s="13"/>
      <c r="P1759" s="33" t="str">
        <f t="shared" si="515"/>
        <v>MAIN UNIT</v>
      </c>
      <c r="Q1759" s="13" t="s">
        <v>68</v>
      </c>
      <c r="R1759" s="13" t="s">
        <v>62</v>
      </c>
      <c r="S1759" s="13" t="s">
        <v>49</v>
      </c>
      <c r="T1759" s="13" t="s">
        <v>78</v>
      </c>
      <c r="U1759" s="13" t="s">
        <v>79</v>
      </c>
      <c r="V1759" s="13" t="s">
        <v>131</v>
      </c>
      <c r="W1759" s="13" t="s">
        <v>64</v>
      </c>
      <c r="X1759" s="135">
        <v>1416800</v>
      </c>
      <c r="Y1759" s="156">
        <v>1.1299999999999999</v>
      </c>
      <c r="Z1759" s="18">
        <f t="shared" si="525"/>
        <v>1416800</v>
      </c>
      <c r="AA1759" s="13">
        <v>1.095</v>
      </c>
      <c r="AB1759" s="21">
        <f t="shared" si="509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0"/>
        <v>499582152.5142017</v>
      </c>
      <c r="AJ1759" s="19">
        <f t="shared" si="511"/>
        <v>59520528.679470733</v>
      </c>
      <c r="AK1759" s="20">
        <f t="shared" si="518"/>
        <v>0.11914062257814291</v>
      </c>
      <c r="AL1759" s="17"/>
      <c r="AM1759" s="17"/>
      <c r="AN1759" s="17"/>
      <c r="AO1759" s="17"/>
      <c r="AP1759" s="28" t="str">
        <f t="shared" si="519"/>
        <v>CancelCancel</v>
      </c>
      <c r="AQ1759" s="28" t="str">
        <f t="shared" si="520"/>
        <v>CancelCancelRMB</v>
      </c>
      <c r="AR1759" s="206" t="str">
        <f t="shared" si="521"/>
        <v>YAMAHA_Mounter</v>
      </c>
      <c r="AS1759" s="22" t="str">
        <f t="shared" si="522"/>
        <v/>
      </c>
      <c r="AT1759" s="24" t="str">
        <f t="shared" si="523"/>
        <v/>
      </c>
      <c r="AU1759" s="22" t="s">
        <v>3744</v>
      </c>
    </row>
    <row r="1760" spans="1:47" s="12" customFormat="1">
      <c r="A1760" s="33" t="str">
        <f t="shared" si="512"/>
        <v>cancel</v>
      </c>
      <c r="B1760" s="152"/>
      <c r="C1760" s="152" t="s">
        <v>185</v>
      </c>
      <c r="D1760" s="33" t="str">
        <f t="shared" si="513"/>
        <v/>
      </c>
      <c r="E1760" s="33" t="s">
        <v>185</v>
      </c>
      <c r="F1760" s="13" t="s">
        <v>185</v>
      </c>
      <c r="G1760" s="152" t="s">
        <v>185</v>
      </c>
      <c r="H1760" s="155"/>
      <c r="I1760" s="33" t="str">
        <f t="shared" si="514"/>
        <v>Cancel</v>
      </c>
      <c r="J1760" s="186" t="s">
        <v>2689</v>
      </c>
      <c r="K1760" s="155" t="s">
        <v>1413</v>
      </c>
      <c r="L1760" s="17" t="s">
        <v>293</v>
      </c>
      <c r="M1760" s="13" t="s">
        <v>60</v>
      </c>
      <c r="N1760" s="13">
        <v>1</v>
      </c>
      <c r="O1760" s="13"/>
      <c r="P1760" s="33" t="str">
        <f t="shared" si="515"/>
        <v>MAIN UNIT</v>
      </c>
      <c r="Q1760" s="13" t="s">
        <v>68</v>
      </c>
      <c r="R1760" s="13" t="s">
        <v>62</v>
      </c>
      <c r="S1760" s="13" t="s">
        <v>49</v>
      </c>
      <c r="T1760" s="13" t="s">
        <v>78</v>
      </c>
      <c r="U1760" s="13" t="s">
        <v>79</v>
      </c>
      <c r="V1760" s="13" t="s">
        <v>131</v>
      </c>
      <c r="W1760" s="13" t="s">
        <v>64</v>
      </c>
      <c r="X1760" s="135">
        <v>1416800</v>
      </c>
      <c r="Y1760" s="156">
        <v>1.1299999999999999</v>
      </c>
      <c r="Z1760" s="18">
        <f t="shared" si="525"/>
        <v>1416800</v>
      </c>
      <c r="AA1760" s="13">
        <v>1.095</v>
      </c>
      <c r="AB1760" s="21">
        <f t="shared" si="509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0"/>
        <v>499582152.5142017</v>
      </c>
      <c r="AJ1760" s="19">
        <f t="shared" si="511"/>
        <v>59520528.679470733</v>
      </c>
      <c r="AK1760" s="20">
        <f t="shared" si="518"/>
        <v>0.11914062257814291</v>
      </c>
      <c r="AL1760" s="17"/>
      <c r="AM1760" s="17"/>
      <c r="AN1760" s="17"/>
      <c r="AO1760" s="17"/>
      <c r="AP1760" s="28" t="str">
        <f t="shared" si="519"/>
        <v>CancelCancel</v>
      </c>
      <c r="AQ1760" s="28" t="str">
        <f t="shared" si="520"/>
        <v>CancelCancelRMB</v>
      </c>
      <c r="AR1760" s="206" t="str">
        <f t="shared" si="521"/>
        <v>YAMAHA_Mounter</v>
      </c>
      <c r="AS1760" s="22" t="str">
        <f t="shared" si="522"/>
        <v/>
      </c>
      <c r="AT1760" s="24" t="str">
        <f t="shared" si="523"/>
        <v/>
      </c>
      <c r="AU1760" s="22" t="s">
        <v>3744</v>
      </c>
    </row>
    <row r="1761" spans="1:47" s="12" customFormat="1">
      <c r="A1761" s="33" t="str">
        <f t="shared" si="512"/>
        <v>cancel</v>
      </c>
      <c r="B1761" s="152"/>
      <c r="C1761" s="152" t="s">
        <v>185</v>
      </c>
      <c r="D1761" s="33" t="str">
        <f t="shared" si="513"/>
        <v/>
      </c>
      <c r="E1761" s="33" t="s">
        <v>185</v>
      </c>
      <c r="F1761" s="13" t="s">
        <v>185</v>
      </c>
      <c r="G1761" s="152" t="s">
        <v>185</v>
      </c>
      <c r="H1761" s="155"/>
      <c r="I1761" s="33" t="str">
        <f t="shared" si="514"/>
        <v>Cancel</v>
      </c>
      <c r="J1761" s="186" t="s">
        <v>2689</v>
      </c>
      <c r="K1761" s="155" t="s">
        <v>1413</v>
      </c>
      <c r="L1761" s="17" t="s">
        <v>293</v>
      </c>
      <c r="M1761" s="13" t="s">
        <v>60</v>
      </c>
      <c r="N1761" s="13">
        <v>1</v>
      </c>
      <c r="O1761" s="13"/>
      <c r="P1761" s="33" t="str">
        <f t="shared" si="515"/>
        <v>MAIN UNIT</v>
      </c>
      <c r="Q1761" s="13" t="s">
        <v>68</v>
      </c>
      <c r="R1761" s="13" t="s">
        <v>62</v>
      </c>
      <c r="S1761" s="13" t="s">
        <v>49</v>
      </c>
      <c r="T1761" s="13" t="s">
        <v>78</v>
      </c>
      <c r="U1761" s="13" t="s">
        <v>79</v>
      </c>
      <c r="V1761" s="13" t="s">
        <v>131</v>
      </c>
      <c r="W1761" s="13" t="s">
        <v>64</v>
      </c>
      <c r="X1761" s="135">
        <v>1416800</v>
      </c>
      <c r="Y1761" s="156">
        <v>1.1299999999999999</v>
      </c>
      <c r="Z1761" s="18">
        <f t="shared" si="525"/>
        <v>1416800</v>
      </c>
      <c r="AA1761" s="13">
        <v>1.095</v>
      </c>
      <c r="AB1761" s="21">
        <f t="shared" si="509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0"/>
        <v>499582152.5142017</v>
      </c>
      <c r="AJ1761" s="19">
        <f t="shared" si="511"/>
        <v>59520528.679470733</v>
      </c>
      <c r="AK1761" s="20">
        <f t="shared" si="518"/>
        <v>0.11914062257814291</v>
      </c>
      <c r="AL1761" s="17"/>
      <c r="AM1761" s="17"/>
      <c r="AN1761" s="17"/>
      <c r="AO1761" s="17"/>
      <c r="AP1761" s="28" t="str">
        <f t="shared" si="519"/>
        <v>CancelCancel</v>
      </c>
      <c r="AQ1761" s="28" t="str">
        <f t="shared" si="520"/>
        <v>CancelCancelRMB</v>
      </c>
      <c r="AR1761" s="206" t="str">
        <f t="shared" si="521"/>
        <v>YAMAHA_Mounter</v>
      </c>
      <c r="AS1761" s="22" t="str">
        <f t="shared" si="522"/>
        <v/>
      </c>
      <c r="AT1761" s="24" t="str">
        <f t="shared" si="523"/>
        <v/>
      </c>
      <c r="AU1761" s="22" t="s">
        <v>3744</v>
      </c>
    </row>
    <row r="1762" spans="1:47" s="12" customFormat="1">
      <c r="A1762" s="33" t="str">
        <f t="shared" si="512"/>
        <v>cancel</v>
      </c>
      <c r="B1762" s="152"/>
      <c r="C1762" s="152" t="s">
        <v>185</v>
      </c>
      <c r="D1762" s="33" t="str">
        <f t="shared" si="513"/>
        <v/>
      </c>
      <c r="E1762" s="33" t="s">
        <v>185</v>
      </c>
      <c r="F1762" s="13" t="s">
        <v>185</v>
      </c>
      <c r="G1762" s="152" t="s">
        <v>185</v>
      </c>
      <c r="H1762" s="155"/>
      <c r="I1762" s="33" t="str">
        <f t="shared" si="514"/>
        <v>Cancel</v>
      </c>
      <c r="J1762" s="186" t="s">
        <v>2689</v>
      </c>
      <c r="K1762" s="155" t="s">
        <v>1413</v>
      </c>
      <c r="L1762" s="17" t="s">
        <v>293</v>
      </c>
      <c r="M1762" s="13" t="s">
        <v>60</v>
      </c>
      <c r="N1762" s="13">
        <v>1</v>
      </c>
      <c r="O1762" s="13"/>
      <c r="P1762" s="33" t="str">
        <f t="shared" si="515"/>
        <v>MAIN UNIT</v>
      </c>
      <c r="Q1762" s="13" t="s">
        <v>68</v>
      </c>
      <c r="R1762" s="13" t="s">
        <v>62</v>
      </c>
      <c r="S1762" s="13" t="s">
        <v>49</v>
      </c>
      <c r="T1762" s="13" t="s">
        <v>78</v>
      </c>
      <c r="U1762" s="13" t="s">
        <v>79</v>
      </c>
      <c r="V1762" s="13" t="s">
        <v>131</v>
      </c>
      <c r="W1762" s="13" t="s">
        <v>64</v>
      </c>
      <c r="X1762" s="135">
        <v>1416800</v>
      </c>
      <c r="Y1762" s="156">
        <v>1.1299999999999999</v>
      </c>
      <c r="Z1762" s="18">
        <f t="shared" si="525"/>
        <v>1416800</v>
      </c>
      <c r="AA1762" s="13">
        <v>1.095</v>
      </c>
      <c r="AB1762" s="21">
        <f t="shared" si="509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0"/>
        <v>499582152.5142017</v>
      </c>
      <c r="AJ1762" s="19">
        <f t="shared" si="511"/>
        <v>59520528.679470733</v>
      </c>
      <c r="AK1762" s="20">
        <f t="shared" si="518"/>
        <v>0.11914062257814291</v>
      </c>
      <c r="AL1762" s="17"/>
      <c r="AM1762" s="17"/>
      <c r="AN1762" s="17"/>
      <c r="AO1762" s="17"/>
      <c r="AP1762" s="28" t="str">
        <f t="shared" si="519"/>
        <v>CancelCancel</v>
      </c>
      <c r="AQ1762" s="28" t="str">
        <f t="shared" si="520"/>
        <v>CancelCancelRMB</v>
      </c>
      <c r="AR1762" s="206" t="str">
        <f t="shared" si="521"/>
        <v>YAMAHA_Mounter</v>
      </c>
      <c r="AS1762" s="22" t="str">
        <f t="shared" si="522"/>
        <v/>
      </c>
      <c r="AT1762" s="24" t="str">
        <f t="shared" si="523"/>
        <v/>
      </c>
      <c r="AU1762" s="22" t="s">
        <v>3744</v>
      </c>
    </row>
    <row r="1763" spans="1:47" s="12" customFormat="1">
      <c r="A1763" s="33" t="str">
        <f t="shared" si="512"/>
        <v>cancel</v>
      </c>
      <c r="B1763" s="152"/>
      <c r="C1763" s="152" t="s">
        <v>185</v>
      </c>
      <c r="D1763" s="33" t="str">
        <f t="shared" si="513"/>
        <v/>
      </c>
      <c r="E1763" s="33" t="s">
        <v>185</v>
      </c>
      <c r="F1763" s="13" t="s">
        <v>185</v>
      </c>
      <c r="G1763" s="152" t="s">
        <v>185</v>
      </c>
      <c r="H1763" s="155"/>
      <c r="I1763" s="33" t="str">
        <f t="shared" si="514"/>
        <v>Cancel</v>
      </c>
      <c r="J1763" s="186" t="s">
        <v>2689</v>
      </c>
      <c r="K1763" s="155" t="s">
        <v>1413</v>
      </c>
      <c r="L1763" s="17" t="s">
        <v>293</v>
      </c>
      <c r="M1763" s="13" t="s">
        <v>60</v>
      </c>
      <c r="N1763" s="13">
        <v>1</v>
      </c>
      <c r="O1763" s="13"/>
      <c r="P1763" s="33" t="str">
        <f t="shared" si="515"/>
        <v>MAIN UNIT</v>
      </c>
      <c r="Q1763" s="13" t="s">
        <v>68</v>
      </c>
      <c r="R1763" s="13" t="s">
        <v>62</v>
      </c>
      <c r="S1763" s="13" t="s">
        <v>49</v>
      </c>
      <c r="T1763" s="13" t="s">
        <v>78</v>
      </c>
      <c r="U1763" s="13" t="s">
        <v>79</v>
      </c>
      <c r="V1763" s="13" t="s">
        <v>131</v>
      </c>
      <c r="W1763" s="13" t="s">
        <v>64</v>
      </c>
      <c r="X1763" s="135">
        <v>1416800</v>
      </c>
      <c r="Y1763" s="156">
        <v>1.1299999999999999</v>
      </c>
      <c r="Z1763" s="18">
        <f t="shared" si="525"/>
        <v>1416800</v>
      </c>
      <c r="AA1763" s="13">
        <v>1.095</v>
      </c>
      <c r="AB1763" s="21">
        <f t="shared" si="509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0"/>
        <v>499582152.5142017</v>
      </c>
      <c r="AJ1763" s="19">
        <f t="shared" si="511"/>
        <v>59520528.679470733</v>
      </c>
      <c r="AK1763" s="20">
        <f t="shared" si="518"/>
        <v>0.11914062257814291</v>
      </c>
      <c r="AL1763" s="17"/>
      <c r="AM1763" s="17"/>
      <c r="AN1763" s="17"/>
      <c r="AO1763" s="17"/>
      <c r="AP1763" s="28" t="str">
        <f t="shared" si="519"/>
        <v>CancelCancel</v>
      </c>
      <c r="AQ1763" s="28" t="str">
        <f t="shared" si="520"/>
        <v>CancelCancelRMB</v>
      </c>
      <c r="AR1763" s="206" t="str">
        <f t="shared" si="521"/>
        <v>YAMAHA_Mounter</v>
      </c>
      <c r="AS1763" s="22" t="str">
        <f t="shared" si="522"/>
        <v/>
      </c>
      <c r="AT1763" s="24" t="str">
        <f t="shared" si="523"/>
        <v/>
      </c>
      <c r="AU1763" s="22" t="s">
        <v>3744</v>
      </c>
    </row>
    <row r="1764" spans="1:47" s="12" customFormat="1">
      <c r="A1764" s="33" t="str">
        <f t="shared" si="512"/>
        <v>cancel</v>
      </c>
      <c r="B1764" s="152"/>
      <c r="C1764" s="152" t="s">
        <v>185</v>
      </c>
      <c r="D1764" s="33" t="str">
        <f t="shared" si="513"/>
        <v/>
      </c>
      <c r="E1764" s="33" t="s">
        <v>185</v>
      </c>
      <c r="F1764" s="13" t="s">
        <v>185</v>
      </c>
      <c r="G1764" s="152" t="s">
        <v>185</v>
      </c>
      <c r="H1764" s="155"/>
      <c r="I1764" s="33" t="str">
        <f t="shared" si="514"/>
        <v>Cancel</v>
      </c>
      <c r="J1764" s="186" t="s">
        <v>2689</v>
      </c>
      <c r="K1764" s="155" t="s">
        <v>1413</v>
      </c>
      <c r="L1764" s="17" t="s">
        <v>293</v>
      </c>
      <c r="M1764" s="13" t="s">
        <v>60</v>
      </c>
      <c r="N1764" s="13">
        <v>1</v>
      </c>
      <c r="O1764" s="13"/>
      <c r="P1764" s="33" t="str">
        <f t="shared" si="515"/>
        <v>MAIN UNIT</v>
      </c>
      <c r="Q1764" s="13" t="s">
        <v>68</v>
      </c>
      <c r="R1764" s="13" t="s">
        <v>62</v>
      </c>
      <c r="S1764" s="13" t="s">
        <v>49</v>
      </c>
      <c r="T1764" s="13" t="s">
        <v>78</v>
      </c>
      <c r="U1764" s="13" t="s">
        <v>79</v>
      </c>
      <c r="V1764" s="13" t="s">
        <v>131</v>
      </c>
      <c r="W1764" s="13" t="s">
        <v>64</v>
      </c>
      <c r="X1764" s="135">
        <v>1416800</v>
      </c>
      <c r="Y1764" s="156">
        <v>1.1299999999999999</v>
      </c>
      <c r="Z1764" s="18">
        <f t="shared" si="525"/>
        <v>1416800</v>
      </c>
      <c r="AA1764" s="13">
        <v>1.095</v>
      </c>
      <c r="AB1764" s="21">
        <f t="shared" si="509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0"/>
        <v>499582152.5142017</v>
      </c>
      <c r="AJ1764" s="19">
        <f t="shared" si="511"/>
        <v>59520528.679470733</v>
      </c>
      <c r="AK1764" s="20">
        <f t="shared" si="518"/>
        <v>0.11914062257814291</v>
      </c>
      <c r="AL1764" s="17"/>
      <c r="AM1764" s="17"/>
      <c r="AN1764" s="17"/>
      <c r="AO1764" s="17"/>
      <c r="AP1764" s="28" t="str">
        <f t="shared" si="519"/>
        <v>CancelCancel</v>
      </c>
      <c r="AQ1764" s="28" t="str">
        <f t="shared" si="520"/>
        <v>CancelCancelRMB</v>
      </c>
      <c r="AR1764" s="206" t="str">
        <f t="shared" si="521"/>
        <v>YAMAHA_Mounter</v>
      </c>
      <c r="AS1764" s="22" t="str">
        <f t="shared" si="522"/>
        <v/>
      </c>
      <c r="AT1764" s="24" t="str">
        <f t="shared" si="523"/>
        <v/>
      </c>
      <c r="AU1764" s="22" t="s">
        <v>3744</v>
      </c>
    </row>
    <row r="1765" spans="1:47" s="12" customFormat="1">
      <c r="A1765" s="33" t="str">
        <f t="shared" si="512"/>
        <v>cancel</v>
      </c>
      <c r="B1765" s="152"/>
      <c r="C1765" s="152" t="s">
        <v>185</v>
      </c>
      <c r="D1765" s="33" t="str">
        <f t="shared" si="513"/>
        <v/>
      </c>
      <c r="E1765" s="33" t="s">
        <v>185</v>
      </c>
      <c r="F1765" s="13" t="s">
        <v>185</v>
      </c>
      <c r="G1765" s="152" t="s">
        <v>185</v>
      </c>
      <c r="H1765" s="155"/>
      <c r="I1765" s="33" t="str">
        <f t="shared" si="514"/>
        <v>Cancel</v>
      </c>
      <c r="J1765" s="186" t="s">
        <v>2690</v>
      </c>
      <c r="K1765" s="155" t="s">
        <v>1413</v>
      </c>
      <c r="L1765" s="17" t="s">
        <v>293</v>
      </c>
      <c r="M1765" s="13" t="s">
        <v>60</v>
      </c>
      <c r="N1765" s="13">
        <v>1</v>
      </c>
      <c r="O1765" s="13"/>
      <c r="P1765" s="33" t="str">
        <f t="shared" si="515"/>
        <v>MAIN UNIT</v>
      </c>
      <c r="Q1765" s="13" t="s">
        <v>68</v>
      </c>
      <c r="R1765" s="13" t="s">
        <v>62</v>
      </c>
      <c r="S1765" s="13" t="s">
        <v>49</v>
      </c>
      <c r="T1765" s="13" t="s">
        <v>78</v>
      </c>
      <c r="U1765" s="13" t="s">
        <v>79</v>
      </c>
      <c r="V1765" s="13" t="s">
        <v>131</v>
      </c>
      <c r="W1765" s="13" t="s">
        <v>109</v>
      </c>
      <c r="X1765" s="135">
        <v>18880000</v>
      </c>
      <c r="Y1765" s="156">
        <v>1</v>
      </c>
      <c r="Z1765" s="18">
        <f t="shared" si="525"/>
        <v>18880000</v>
      </c>
      <c r="AA1765" s="13">
        <v>7.4099999999999999E-2</v>
      </c>
      <c r="AB1765" s="21">
        <f t="shared" si="509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0"/>
        <v>499582152.5142017</v>
      </c>
      <c r="AJ1765" s="19">
        <f t="shared" si="511"/>
        <v>59520528.679470733</v>
      </c>
      <c r="AK1765" s="20">
        <f t="shared" si="518"/>
        <v>0.11914062257814291</v>
      </c>
      <c r="AL1765" s="17"/>
      <c r="AM1765" s="17"/>
      <c r="AN1765" s="17"/>
      <c r="AO1765" s="17"/>
      <c r="AP1765" s="28" t="str">
        <f t="shared" si="519"/>
        <v>CancelCancel</v>
      </c>
      <c r="AQ1765" s="28" t="str">
        <f t="shared" si="520"/>
        <v>CancelCancelJPY</v>
      </c>
      <c r="AR1765" s="206" t="str">
        <f t="shared" si="521"/>
        <v>YAMAHA_Mounter</v>
      </c>
      <c r="AS1765" s="22" t="str">
        <f t="shared" si="522"/>
        <v/>
      </c>
      <c r="AT1765" s="24" t="str">
        <f t="shared" si="523"/>
        <v/>
      </c>
      <c r="AU1765" s="22" t="s">
        <v>3746</v>
      </c>
    </row>
    <row r="1766" spans="1:47" s="12" customFormat="1">
      <c r="A1766" s="33" t="str">
        <f t="shared" si="512"/>
        <v>cancel</v>
      </c>
      <c r="B1766" s="152"/>
      <c r="C1766" s="152" t="s">
        <v>185</v>
      </c>
      <c r="D1766" s="33" t="str">
        <f t="shared" si="513"/>
        <v/>
      </c>
      <c r="E1766" s="33" t="s">
        <v>185</v>
      </c>
      <c r="F1766" s="13" t="s">
        <v>185</v>
      </c>
      <c r="G1766" s="152" t="s">
        <v>185</v>
      </c>
      <c r="H1766" s="155"/>
      <c r="I1766" s="33" t="str">
        <f t="shared" si="514"/>
        <v>Cancel</v>
      </c>
      <c r="J1766" s="186" t="s">
        <v>2690</v>
      </c>
      <c r="K1766" s="155" t="s">
        <v>1413</v>
      </c>
      <c r="L1766" s="17" t="s">
        <v>293</v>
      </c>
      <c r="M1766" s="13" t="s">
        <v>60</v>
      </c>
      <c r="N1766" s="13">
        <v>1</v>
      </c>
      <c r="O1766" s="13"/>
      <c r="P1766" s="33" t="str">
        <f t="shared" si="515"/>
        <v>MAIN UNIT</v>
      </c>
      <c r="Q1766" s="13" t="s">
        <v>68</v>
      </c>
      <c r="R1766" s="13" t="s">
        <v>62</v>
      </c>
      <c r="S1766" s="13" t="s">
        <v>49</v>
      </c>
      <c r="T1766" s="13" t="s">
        <v>78</v>
      </c>
      <c r="U1766" s="13" t="s">
        <v>79</v>
      </c>
      <c r="V1766" s="13" t="s">
        <v>131</v>
      </c>
      <c r="W1766" s="13" t="s">
        <v>109</v>
      </c>
      <c r="X1766" s="135">
        <v>18880000</v>
      </c>
      <c r="Y1766" s="156">
        <v>1</v>
      </c>
      <c r="Z1766" s="18">
        <f t="shared" si="525"/>
        <v>18880000</v>
      </c>
      <c r="AA1766" s="13">
        <v>7.4099999999999999E-2</v>
      </c>
      <c r="AB1766" s="21">
        <f t="shared" si="509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0"/>
        <v>499582152.5142017</v>
      </c>
      <c r="AJ1766" s="19">
        <f t="shared" si="511"/>
        <v>59520528.679470733</v>
      </c>
      <c r="AK1766" s="20">
        <f t="shared" si="518"/>
        <v>0.11914062257814291</v>
      </c>
      <c r="AL1766" s="17"/>
      <c r="AM1766" s="17"/>
      <c r="AN1766" s="17"/>
      <c r="AO1766" s="17"/>
      <c r="AP1766" s="28" t="str">
        <f t="shared" si="519"/>
        <v>CancelCancel</v>
      </c>
      <c r="AQ1766" s="28" t="str">
        <f t="shared" si="520"/>
        <v>CancelCancelJPY</v>
      </c>
      <c r="AR1766" s="206" t="str">
        <f t="shared" si="521"/>
        <v>YAMAHA_Mounter</v>
      </c>
      <c r="AS1766" s="22" t="str">
        <f t="shared" si="522"/>
        <v/>
      </c>
      <c r="AT1766" s="24" t="str">
        <f t="shared" si="523"/>
        <v/>
      </c>
      <c r="AU1766" s="22" t="s">
        <v>3746</v>
      </c>
    </row>
    <row r="1767" spans="1:47" s="12" customFormat="1">
      <c r="A1767" s="33" t="str">
        <f t="shared" si="512"/>
        <v>cancel</v>
      </c>
      <c r="B1767" s="152"/>
      <c r="C1767" s="152" t="s">
        <v>185</v>
      </c>
      <c r="D1767" s="33" t="str">
        <f t="shared" si="513"/>
        <v/>
      </c>
      <c r="E1767" s="33" t="s">
        <v>185</v>
      </c>
      <c r="F1767" s="13" t="s">
        <v>185</v>
      </c>
      <c r="G1767" s="152" t="s">
        <v>185</v>
      </c>
      <c r="H1767" s="155"/>
      <c r="I1767" s="33" t="str">
        <f t="shared" si="514"/>
        <v>Cancel</v>
      </c>
      <c r="J1767" s="186" t="s">
        <v>2690</v>
      </c>
      <c r="K1767" s="155" t="s">
        <v>1413</v>
      </c>
      <c r="L1767" s="17" t="s">
        <v>293</v>
      </c>
      <c r="M1767" s="13" t="s">
        <v>60</v>
      </c>
      <c r="N1767" s="13">
        <v>1</v>
      </c>
      <c r="O1767" s="13"/>
      <c r="P1767" s="33" t="str">
        <f t="shared" si="515"/>
        <v>MAIN UNIT</v>
      </c>
      <c r="Q1767" s="13" t="s">
        <v>68</v>
      </c>
      <c r="R1767" s="13" t="s">
        <v>62</v>
      </c>
      <c r="S1767" s="13" t="s">
        <v>49</v>
      </c>
      <c r="T1767" s="13" t="s">
        <v>78</v>
      </c>
      <c r="U1767" s="13" t="s">
        <v>79</v>
      </c>
      <c r="V1767" s="13" t="s">
        <v>131</v>
      </c>
      <c r="W1767" s="13" t="s">
        <v>109</v>
      </c>
      <c r="X1767" s="135">
        <v>18880000</v>
      </c>
      <c r="Y1767" s="156">
        <v>1</v>
      </c>
      <c r="Z1767" s="18">
        <f t="shared" si="525"/>
        <v>18880000</v>
      </c>
      <c r="AA1767" s="13">
        <v>7.4099999999999999E-2</v>
      </c>
      <c r="AB1767" s="21">
        <f t="shared" si="509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0"/>
        <v>499582152.5142017</v>
      </c>
      <c r="AJ1767" s="19">
        <f t="shared" si="511"/>
        <v>59520528.679470733</v>
      </c>
      <c r="AK1767" s="20">
        <f t="shared" si="518"/>
        <v>0.11914062257814291</v>
      </c>
      <c r="AL1767" s="17"/>
      <c r="AM1767" s="17"/>
      <c r="AN1767" s="17"/>
      <c r="AO1767" s="17"/>
      <c r="AP1767" s="28" t="str">
        <f t="shared" si="519"/>
        <v>CancelCancel</v>
      </c>
      <c r="AQ1767" s="28" t="str">
        <f t="shared" si="520"/>
        <v>CancelCancelJPY</v>
      </c>
      <c r="AR1767" s="206" t="str">
        <f t="shared" si="521"/>
        <v>YAMAHA_Mounter</v>
      </c>
      <c r="AS1767" s="22" t="str">
        <f t="shared" si="522"/>
        <v/>
      </c>
      <c r="AT1767" s="24" t="str">
        <f t="shared" si="523"/>
        <v/>
      </c>
      <c r="AU1767" s="22" t="s">
        <v>3746</v>
      </c>
    </row>
    <row r="1768" spans="1:47" s="12" customFormat="1">
      <c r="A1768" s="33" t="str">
        <f t="shared" si="512"/>
        <v>cancel</v>
      </c>
      <c r="B1768" s="152"/>
      <c r="C1768" s="152" t="s">
        <v>185</v>
      </c>
      <c r="D1768" s="33" t="str">
        <f t="shared" si="513"/>
        <v/>
      </c>
      <c r="E1768" s="33" t="s">
        <v>185</v>
      </c>
      <c r="F1768" s="13" t="s">
        <v>185</v>
      </c>
      <c r="G1768" s="152" t="s">
        <v>185</v>
      </c>
      <c r="H1768" s="155"/>
      <c r="I1768" s="33" t="str">
        <f t="shared" si="514"/>
        <v>Cancel</v>
      </c>
      <c r="J1768" s="186" t="s">
        <v>2690</v>
      </c>
      <c r="K1768" s="155" t="s">
        <v>1413</v>
      </c>
      <c r="L1768" s="17" t="s">
        <v>293</v>
      </c>
      <c r="M1768" s="13" t="s">
        <v>60</v>
      </c>
      <c r="N1768" s="13">
        <v>1</v>
      </c>
      <c r="O1768" s="13"/>
      <c r="P1768" s="33" t="str">
        <f t="shared" si="515"/>
        <v>MAIN UNIT</v>
      </c>
      <c r="Q1768" s="13" t="s">
        <v>68</v>
      </c>
      <c r="R1768" s="13" t="s">
        <v>62</v>
      </c>
      <c r="S1768" s="13" t="s">
        <v>49</v>
      </c>
      <c r="T1768" s="13" t="s">
        <v>78</v>
      </c>
      <c r="U1768" s="13" t="s">
        <v>79</v>
      </c>
      <c r="V1768" s="13" t="s">
        <v>131</v>
      </c>
      <c r="W1768" s="13" t="s">
        <v>109</v>
      </c>
      <c r="X1768" s="135">
        <v>18880000</v>
      </c>
      <c r="Y1768" s="156">
        <v>1</v>
      </c>
      <c r="Z1768" s="18">
        <f t="shared" si="525"/>
        <v>18880000</v>
      </c>
      <c r="AA1768" s="13">
        <v>7.4099999999999999E-2</v>
      </c>
      <c r="AB1768" s="21">
        <f t="shared" si="509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0"/>
        <v>499582152.5142017</v>
      </c>
      <c r="AJ1768" s="19">
        <f t="shared" si="511"/>
        <v>59520528.679470733</v>
      </c>
      <c r="AK1768" s="20">
        <f t="shared" si="518"/>
        <v>0.11914062257814291</v>
      </c>
      <c r="AL1768" s="17"/>
      <c r="AM1768" s="17"/>
      <c r="AN1768" s="17"/>
      <c r="AO1768" s="17"/>
      <c r="AP1768" s="28" t="str">
        <f t="shared" si="519"/>
        <v>CancelCancel</v>
      </c>
      <c r="AQ1768" s="28" t="str">
        <f t="shared" si="520"/>
        <v>CancelCancelJPY</v>
      </c>
      <c r="AR1768" s="206" t="str">
        <f t="shared" si="521"/>
        <v>YAMAHA_Mounter</v>
      </c>
      <c r="AS1768" s="22" t="str">
        <f t="shared" si="522"/>
        <v/>
      </c>
      <c r="AT1768" s="24" t="str">
        <f t="shared" si="523"/>
        <v/>
      </c>
      <c r="AU1768" s="22" t="s">
        <v>3746</v>
      </c>
    </row>
    <row r="1769" spans="1:47" s="12" customFormat="1">
      <c r="A1769" s="33" t="str">
        <f t="shared" si="512"/>
        <v>cancel</v>
      </c>
      <c r="B1769" s="152"/>
      <c r="C1769" s="152" t="s">
        <v>185</v>
      </c>
      <c r="D1769" s="33" t="str">
        <f t="shared" si="513"/>
        <v/>
      </c>
      <c r="E1769" s="33" t="s">
        <v>185</v>
      </c>
      <c r="F1769" s="13" t="s">
        <v>185</v>
      </c>
      <c r="G1769" s="152" t="s">
        <v>185</v>
      </c>
      <c r="H1769" s="155"/>
      <c r="I1769" s="33" t="str">
        <f t="shared" si="514"/>
        <v>Cancel</v>
      </c>
      <c r="J1769" s="186" t="s">
        <v>2690</v>
      </c>
      <c r="K1769" s="155" t="s">
        <v>1413</v>
      </c>
      <c r="L1769" s="17" t="s">
        <v>293</v>
      </c>
      <c r="M1769" s="13" t="s">
        <v>60</v>
      </c>
      <c r="N1769" s="13">
        <v>1</v>
      </c>
      <c r="O1769" s="13"/>
      <c r="P1769" s="33" t="str">
        <f t="shared" si="515"/>
        <v>MAIN UNIT</v>
      </c>
      <c r="Q1769" s="13" t="s">
        <v>68</v>
      </c>
      <c r="R1769" s="13" t="s">
        <v>62</v>
      </c>
      <c r="S1769" s="13" t="s">
        <v>49</v>
      </c>
      <c r="T1769" s="13" t="s">
        <v>78</v>
      </c>
      <c r="U1769" s="13" t="s">
        <v>79</v>
      </c>
      <c r="V1769" s="13" t="s">
        <v>131</v>
      </c>
      <c r="W1769" s="13" t="s">
        <v>109</v>
      </c>
      <c r="X1769" s="135">
        <v>18880000</v>
      </c>
      <c r="Y1769" s="156">
        <v>1</v>
      </c>
      <c r="Z1769" s="18">
        <f t="shared" si="525"/>
        <v>18880000</v>
      </c>
      <c r="AA1769" s="13">
        <v>7.4099999999999999E-2</v>
      </c>
      <c r="AB1769" s="21">
        <f t="shared" si="509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0"/>
        <v>499582152.5142017</v>
      </c>
      <c r="AJ1769" s="19">
        <f t="shared" si="511"/>
        <v>59520528.679470733</v>
      </c>
      <c r="AK1769" s="20">
        <f t="shared" si="518"/>
        <v>0.11914062257814291</v>
      </c>
      <c r="AL1769" s="17"/>
      <c r="AM1769" s="17"/>
      <c r="AN1769" s="17"/>
      <c r="AO1769" s="17"/>
      <c r="AP1769" s="28" t="str">
        <f t="shared" si="519"/>
        <v>CancelCancel</v>
      </c>
      <c r="AQ1769" s="28" t="str">
        <f t="shared" si="520"/>
        <v>CancelCancelJPY</v>
      </c>
      <c r="AR1769" s="206" t="str">
        <f t="shared" si="521"/>
        <v>YAMAHA_Mounter</v>
      </c>
      <c r="AS1769" s="22" t="str">
        <f t="shared" si="522"/>
        <v/>
      </c>
      <c r="AT1769" s="24" t="str">
        <f t="shared" si="523"/>
        <v/>
      </c>
      <c r="AU1769" s="22" t="s">
        <v>3746</v>
      </c>
    </row>
    <row r="1770" spans="1:47" s="12" customFormat="1">
      <c r="A1770" s="33" t="str">
        <f t="shared" si="512"/>
        <v>cancel</v>
      </c>
      <c r="B1770" s="152"/>
      <c r="C1770" s="152" t="s">
        <v>185</v>
      </c>
      <c r="D1770" s="33" t="str">
        <f t="shared" si="513"/>
        <v/>
      </c>
      <c r="E1770" s="33" t="s">
        <v>185</v>
      </c>
      <c r="F1770" s="13" t="s">
        <v>185</v>
      </c>
      <c r="G1770" s="152" t="s">
        <v>185</v>
      </c>
      <c r="H1770" s="155"/>
      <c r="I1770" s="33" t="str">
        <f t="shared" si="514"/>
        <v>Cancel</v>
      </c>
      <c r="J1770" s="186" t="s">
        <v>2690</v>
      </c>
      <c r="K1770" s="155" t="s">
        <v>1413</v>
      </c>
      <c r="L1770" s="17" t="s">
        <v>293</v>
      </c>
      <c r="M1770" s="13" t="s">
        <v>60</v>
      </c>
      <c r="N1770" s="13">
        <v>1</v>
      </c>
      <c r="O1770" s="13"/>
      <c r="P1770" s="33" t="str">
        <f t="shared" si="515"/>
        <v>MAIN UNIT</v>
      </c>
      <c r="Q1770" s="13" t="s">
        <v>68</v>
      </c>
      <c r="R1770" s="13" t="s">
        <v>62</v>
      </c>
      <c r="S1770" s="13" t="s">
        <v>49</v>
      </c>
      <c r="T1770" s="13" t="s">
        <v>78</v>
      </c>
      <c r="U1770" s="13" t="s">
        <v>79</v>
      </c>
      <c r="V1770" s="13" t="s">
        <v>131</v>
      </c>
      <c r="W1770" s="13" t="s">
        <v>109</v>
      </c>
      <c r="X1770" s="135">
        <v>18880000</v>
      </c>
      <c r="Y1770" s="156">
        <v>1</v>
      </c>
      <c r="Z1770" s="18">
        <f t="shared" si="525"/>
        <v>18880000</v>
      </c>
      <c r="AA1770" s="13">
        <v>7.4099999999999999E-2</v>
      </c>
      <c r="AB1770" s="21">
        <f t="shared" si="509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0"/>
        <v>499582152.5142017</v>
      </c>
      <c r="AJ1770" s="19">
        <f t="shared" si="511"/>
        <v>59520528.679470733</v>
      </c>
      <c r="AK1770" s="20">
        <f t="shared" si="518"/>
        <v>0.11914062257814291</v>
      </c>
      <c r="AL1770" s="17"/>
      <c r="AM1770" s="17"/>
      <c r="AN1770" s="17"/>
      <c r="AO1770" s="17"/>
      <c r="AP1770" s="28" t="str">
        <f t="shared" si="519"/>
        <v>CancelCancel</v>
      </c>
      <c r="AQ1770" s="28" t="str">
        <f t="shared" si="520"/>
        <v>CancelCancelJPY</v>
      </c>
      <c r="AR1770" s="206" t="str">
        <f t="shared" si="521"/>
        <v>YAMAHA_Mounter</v>
      </c>
      <c r="AS1770" s="22" t="str">
        <f t="shared" si="522"/>
        <v/>
      </c>
      <c r="AT1770" s="24" t="str">
        <f t="shared" si="523"/>
        <v/>
      </c>
      <c r="AU1770" s="22" t="s">
        <v>3746</v>
      </c>
    </row>
    <row r="1771" spans="1:47" s="12" customFormat="1">
      <c r="A1771" s="33" t="str">
        <f t="shared" si="512"/>
        <v>cancel</v>
      </c>
      <c r="B1771" s="152"/>
      <c r="C1771" s="152" t="s">
        <v>185</v>
      </c>
      <c r="D1771" s="33" t="str">
        <f t="shared" si="513"/>
        <v/>
      </c>
      <c r="E1771" s="33" t="s">
        <v>185</v>
      </c>
      <c r="F1771" s="13" t="s">
        <v>185</v>
      </c>
      <c r="G1771" s="152" t="s">
        <v>185</v>
      </c>
      <c r="H1771" s="155"/>
      <c r="I1771" s="33" t="str">
        <f t="shared" si="514"/>
        <v>Cancel</v>
      </c>
      <c r="J1771" s="186" t="s">
        <v>2723</v>
      </c>
      <c r="K1771" s="155" t="s">
        <v>2724</v>
      </c>
      <c r="L1771" s="17" t="s">
        <v>67</v>
      </c>
      <c r="M1771" s="13" t="s">
        <v>60</v>
      </c>
      <c r="N1771" s="13">
        <v>1</v>
      </c>
      <c r="O1771" s="13"/>
      <c r="P1771" s="33" t="str">
        <f t="shared" si="515"/>
        <v>MAIN UNIT</v>
      </c>
      <c r="Q1771" s="13" t="s">
        <v>68</v>
      </c>
      <c r="R1771" s="13" t="s">
        <v>62</v>
      </c>
      <c r="S1771" s="13" t="s">
        <v>49</v>
      </c>
      <c r="T1771" s="13" t="s">
        <v>78</v>
      </c>
      <c r="U1771" s="13" t="s">
        <v>79</v>
      </c>
      <c r="V1771" s="13" t="s">
        <v>1186</v>
      </c>
      <c r="W1771" s="13" t="s">
        <v>109</v>
      </c>
      <c r="X1771" s="135">
        <v>9500000</v>
      </c>
      <c r="Y1771" s="156">
        <v>1</v>
      </c>
      <c r="Z1771" s="18">
        <f t="shared" si="525"/>
        <v>9500000</v>
      </c>
      <c r="AA1771" s="13">
        <v>7.4899999999999994E-2</v>
      </c>
      <c r="AB1771" s="21">
        <f t="shared" si="509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0"/>
        <v>499582152.5142017</v>
      </c>
      <c r="AJ1771" s="19">
        <f t="shared" si="511"/>
        <v>59520528.679470733</v>
      </c>
      <c r="AK1771" s="20">
        <f t="shared" si="518"/>
        <v>0.11914062257814291</v>
      </c>
      <c r="AL1771" s="17"/>
      <c r="AM1771" s="17"/>
      <c r="AN1771" s="17"/>
      <c r="AO1771" s="17"/>
      <c r="AP1771" s="28" t="str">
        <f t="shared" si="519"/>
        <v>CancelCancel</v>
      </c>
      <c r="AQ1771" s="28" t="str">
        <f t="shared" si="520"/>
        <v>CancelCancelJPY</v>
      </c>
      <c r="AR1771" s="206" t="str">
        <f t="shared" si="521"/>
        <v>YAMAHA_Mounter</v>
      </c>
      <c r="AS1771" s="22" t="str">
        <f t="shared" si="522"/>
        <v/>
      </c>
      <c r="AT1771" s="24" t="str">
        <f t="shared" si="523"/>
        <v/>
      </c>
      <c r="AU1771" s="22" t="s">
        <v>3745</v>
      </c>
    </row>
    <row r="1772" spans="1:47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48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1535</v>
      </c>
      <c r="K1772" s="155" t="s">
        <v>1536</v>
      </c>
      <c r="L1772" s="17" t="s">
        <v>67</v>
      </c>
      <c r="M1772" s="13" t="s">
        <v>60</v>
      </c>
      <c r="N1772" s="13">
        <v>1</v>
      </c>
      <c r="O1772" s="13"/>
      <c r="P1772" s="33" t="str">
        <f t="shared" si="515"/>
        <v>MAIN UNIT</v>
      </c>
      <c r="Q1772" s="13" t="s">
        <v>68</v>
      </c>
      <c r="R1772" s="13" t="s">
        <v>62</v>
      </c>
      <c r="S1772" s="13" t="s">
        <v>49</v>
      </c>
      <c r="T1772" s="13" t="s">
        <v>78</v>
      </c>
      <c r="U1772" s="13" t="s">
        <v>79</v>
      </c>
      <c r="V1772" s="13" t="s">
        <v>311</v>
      </c>
      <c r="W1772" s="13" t="s">
        <v>109</v>
      </c>
      <c r="X1772" s="135">
        <v>7940000</v>
      </c>
      <c r="Y1772" s="157" t="str">
        <f t="shared" ref="Y1772:Y1781" si="526">IF(W1772="RMB","1.13", "1")</f>
        <v>1</v>
      </c>
      <c r="Z1772" s="18">
        <f t="shared" si="525"/>
        <v>7940000</v>
      </c>
      <c r="AA1772" s="13">
        <v>7.6799999999999993E-2</v>
      </c>
      <c r="AB1772" s="21">
        <f t="shared" si="509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0"/>
        <v>45803245.025628321</v>
      </c>
      <c r="AJ1772" s="19">
        <f t="shared" si="511"/>
        <v>5664636.2584379362</v>
      </c>
      <c r="AK1772" s="20">
        <f t="shared" si="518"/>
        <v>0.12367325186825515</v>
      </c>
      <c r="AL1772" s="17"/>
      <c r="AM1772" s="17"/>
      <c r="AN1772" s="17"/>
      <c r="AO1772" s="17"/>
      <c r="AP1772" s="28" t="str">
        <f t="shared" si="519"/>
        <v>20211</v>
      </c>
      <c r="AQ1772" s="28" t="str">
        <f t="shared" si="520"/>
        <v>20211JPY</v>
      </c>
      <c r="AR1772" s="206" t="str">
        <f t="shared" si="521"/>
        <v>YAMAHA_Mounter</v>
      </c>
      <c r="AS1772" s="22">
        <f t="shared" si="522"/>
        <v>2</v>
      </c>
      <c r="AT1772" s="24" t="str">
        <f t="shared" si="523"/>
        <v>0-3 months</v>
      </c>
      <c r="AU1772" s="22" t="s">
        <v>3745</v>
      </c>
    </row>
    <row r="1773" spans="1:47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48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1535</v>
      </c>
      <c r="K1773" s="155" t="s">
        <v>1536</v>
      </c>
      <c r="L1773" s="17" t="s">
        <v>67</v>
      </c>
      <c r="M1773" s="13" t="s">
        <v>60</v>
      </c>
      <c r="N1773" s="13">
        <v>1</v>
      </c>
      <c r="O1773" s="13"/>
      <c r="P1773" s="33" t="str">
        <f t="shared" si="515"/>
        <v>MAIN UNIT</v>
      </c>
      <c r="Q1773" s="13" t="s">
        <v>68</v>
      </c>
      <c r="R1773" s="13" t="s">
        <v>62</v>
      </c>
      <c r="S1773" s="13" t="s">
        <v>49</v>
      </c>
      <c r="T1773" s="13" t="s">
        <v>78</v>
      </c>
      <c r="U1773" s="13" t="s">
        <v>79</v>
      </c>
      <c r="V1773" s="13" t="s">
        <v>311</v>
      </c>
      <c r="W1773" s="13" t="s">
        <v>109</v>
      </c>
      <c r="X1773" s="135">
        <v>7940000</v>
      </c>
      <c r="Y1773" s="157" t="str">
        <f t="shared" si="526"/>
        <v>1</v>
      </c>
      <c r="Z1773" s="18">
        <f t="shared" si="525"/>
        <v>7940000</v>
      </c>
      <c r="AA1773" s="13">
        <v>7.6799999999999993E-2</v>
      </c>
      <c r="AB1773" s="21">
        <f t="shared" si="509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0"/>
        <v>45803245.025628321</v>
      </c>
      <c r="AJ1773" s="19">
        <f t="shared" si="511"/>
        <v>5664636.2584379362</v>
      </c>
      <c r="AK1773" s="20">
        <f t="shared" si="518"/>
        <v>0.12367325186825515</v>
      </c>
      <c r="AL1773" s="17"/>
      <c r="AM1773" s="17"/>
      <c r="AN1773" s="17"/>
      <c r="AO1773" s="17"/>
      <c r="AP1773" s="28" t="str">
        <f t="shared" si="519"/>
        <v>20211</v>
      </c>
      <c r="AQ1773" s="28" t="str">
        <f t="shared" si="520"/>
        <v>20211JPY</v>
      </c>
      <c r="AR1773" s="206" t="str">
        <f t="shared" si="521"/>
        <v>YAMAHA_Mounter</v>
      </c>
      <c r="AS1773" s="22">
        <f t="shared" si="522"/>
        <v>2</v>
      </c>
      <c r="AT1773" s="24" t="str">
        <f t="shared" si="523"/>
        <v>0-3 months</v>
      </c>
      <c r="AU1773" s="22" t="s">
        <v>3745</v>
      </c>
    </row>
    <row r="1774" spans="1:47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48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1535</v>
      </c>
      <c r="K1774" s="155" t="s">
        <v>1536</v>
      </c>
      <c r="L1774" s="17" t="s">
        <v>67</v>
      </c>
      <c r="M1774" s="13" t="s">
        <v>60</v>
      </c>
      <c r="N1774" s="13">
        <v>1</v>
      </c>
      <c r="O1774" s="13"/>
      <c r="P1774" s="33" t="str">
        <f t="shared" si="515"/>
        <v>MAIN UNIT</v>
      </c>
      <c r="Q1774" s="13" t="s">
        <v>61</v>
      </c>
      <c r="R1774" s="13" t="s">
        <v>62</v>
      </c>
      <c r="S1774" s="13" t="s">
        <v>49</v>
      </c>
      <c r="T1774" s="13" t="s">
        <v>78</v>
      </c>
      <c r="U1774" s="13" t="s">
        <v>79</v>
      </c>
      <c r="V1774" s="13" t="s">
        <v>311</v>
      </c>
      <c r="W1774" s="13" t="s">
        <v>109</v>
      </c>
      <c r="X1774" s="135">
        <v>7940000</v>
      </c>
      <c r="Y1774" s="157" t="str">
        <f t="shared" si="526"/>
        <v>1</v>
      </c>
      <c r="Z1774" s="18">
        <f t="shared" si="525"/>
        <v>7940000</v>
      </c>
      <c r="AA1774" s="13">
        <v>7.5700000000000003E-2</v>
      </c>
      <c r="AB1774" s="21">
        <f t="shared" si="509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0"/>
        <v>31097187.02948761</v>
      </c>
      <c r="AJ1774" s="19">
        <f t="shared" si="511"/>
        <v>3892353.6644401965</v>
      </c>
      <c r="AK1774" s="20">
        <f t="shared" si="518"/>
        <v>0.12516738767237401</v>
      </c>
      <c r="AL1774" s="17"/>
      <c r="AM1774" s="17"/>
      <c r="AN1774" s="17"/>
      <c r="AO1774" s="17"/>
      <c r="AP1774" s="28" t="str">
        <f t="shared" si="519"/>
        <v>20212</v>
      </c>
      <c r="AQ1774" s="28" t="str">
        <f t="shared" si="520"/>
        <v>20212JPY</v>
      </c>
      <c r="AR1774" s="206" t="str">
        <f t="shared" si="521"/>
        <v>YAMAHA_Mounter</v>
      </c>
      <c r="AS1774" s="22">
        <f t="shared" si="522"/>
        <v>3</v>
      </c>
      <c r="AT1774" s="24" t="str">
        <f t="shared" si="523"/>
        <v>0-3 months</v>
      </c>
      <c r="AU1774" s="22" t="s">
        <v>3745</v>
      </c>
    </row>
    <row r="1775" spans="1:47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48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1551</v>
      </c>
      <c r="K1775" s="155" t="s">
        <v>1536</v>
      </c>
      <c r="L1775" s="17" t="s">
        <v>67</v>
      </c>
      <c r="M1775" s="13" t="s">
        <v>60</v>
      </c>
      <c r="N1775" s="13">
        <v>1</v>
      </c>
      <c r="O1775" s="13"/>
      <c r="P1775" s="33" t="str">
        <f t="shared" si="515"/>
        <v>MAIN UNIT</v>
      </c>
      <c r="Q1775" s="13" t="s">
        <v>61</v>
      </c>
      <c r="R1775" s="13" t="s">
        <v>62</v>
      </c>
      <c r="S1775" s="13" t="s">
        <v>49</v>
      </c>
      <c r="T1775" s="13" t="s">
        <v>78</v>
      </c>
      <c r="U1775" s="13" t="s">
        <v>79</v>
      </c>
      <c r="V1775" s="13" t="s">
        <v>311</v>
      </c>
      <c r="W1775" s="13" t="s">
        <v>109</v>
      </c>
      <c r="X1775" s="135">
        <v>7590000</v>
      </c>
      <c r="Y1775" s="157" t="str">
        <f t="shared" si="526"/>
        <v>1</v>
      </c>
      <c r="Z1775" s="18">
        <f t="shared" si="525"/>
        <v>7590000</v>
      </c>
      <c r="AA1775" s="13">
        <v>7.5700000000000003E-2</v>
      </c>
      <c r="AB1775" s="21">
        <f t="shared" si="509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0"/>
        <v>31097187.02948761</v>
      </c>
      <c r="AJ1775" s="19">
        <f t="shared" si="511"/>
        <v>3892353.6644401965</v>
      </c>
      <c r="AK1775" s="20">
        <f t="shared" si="518"/>
        <v>0.12516738767237401</v>
      </c>
      <c r="AL1775" s="17"/>
      <c r="AM1775" s="17"/>
      <c r="AN1775" s="17"/>
      <c r="AO1775" s="17"/>
      <c r="AP1775" s="28" t="str">
        <f t="shared" si="519"/>
        <v>20212</v>
      </c>
      <c r="AQ1775" s="28" t="str">
        <f t="shared" si="520"/>
        <v>20212JPY</v>
      </c>
      <c r="AR1775" s="206" t="str">
        <f t="shared" si="521"/>
        <v>YAMAHA_Mounter</v>
      </c>
      <c r="AS1775" s="22">
        <f t="shared" si="522"/>
        <v>3</v>
      </c>
      <c r="AT1775" s="24" t="str">
        <f t="shared" si="523"/>
        <v>0-3 months</v>
      </c>
      <c r="AU1775" s="22" t="s">
        <v>3745</v>
      </c>
    </row>
    <row r="1776" spans="1:47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185</v>
      </c>
      <c r="F1776" s="13" t="s">
        <v>185</v>
      </c>
      <c r="G1776" s="152" t="s">
        <v>185</v>
      </c>
      <c r="H1776" s="155"/>
      <c r="I1776" s="33" t="str">
        <f t="shared" si="514"/>
        <v>Cancel</v>
      </c>
      <c r="J1776" s="186" t="s">
        <v>1632</v>
      </c>
      <c r="K1776" s="155" t="s">
        <v>1536</v>
      </c>
      <c r="L1776" s="17" t="s">
        <v>67</v>
      </c>
      <c r="M1776" s="13" t="s">
        <v>60</v>
      </c>
      <c r="N1776" s="13">
        <v>1</v>
      </c>
      <c r="O1776" s="13"/>
      <c r="P1776" s="33" t="str">
        <f t="shared" si="515"/>
        <v>MAIN UNIT</v>
      </c>
      <c r="Q1776" s="13" t="s">
        <v>68</v>
      </c>
      <c r="R1776" s="13" t="s">
        <v>62</v>
      </c>
      <c r="S1776" s="13" t="s">
        <v>49</v>
      </c>
      <c r="T1776" s="13" t="s">
        <v>78</v>
      </c>
      <c r="U1776" s="13" t="s">
        <v>79</v>
      </c>
      <c r="V1776" s="13" t="s">
        <v>311</v>
      </c>
      <c r="W1776" s="13" t="s">
        <v>109</v>
      </c>
      <c r="X1776" s="135">
        <v>6500000</v>
      </c>
      <c r="Y1776" s="157" t="str">
        <f t="shared" si="526"/>
        <v>1</v>
      </c>
      <c r="Z1776" s="18">
        <f t="shared" si="525"/>
        <v>6500000</v>
      </c>
      <c r="AA1776" s="13">
        <v>7.2400000000000006E-2</v>
      </c>
      <c r="AB1776" s="21">
        <f t="shared" si="509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0"/>
        <v>499582152.5142017</v>
      </c>
      <c r="AJ1776" s="19">
        <f t="shared" si="511"/>
        <v>59520528.679470733</v>
      </c>
      <c r="AK1776" s="20">
        <f t="shared" si="518"/>
        <v>0.11914062257814291</v>
      </c>
      <c r="AL1776" s="17"/>
      <c r="AM1776" s="17"/>
      <c r="AN1776" s="17"/>
      <c r="AO1776" s="17"/>
      <c r="AP1776" s="28" t="str">
        <f t="shared" si="519"/>
        <v>CancelCancel</v>
      </c>
      <c r="AQ1776" s="28" t="str">
        <f t="shared" si="520"/>
        <v>CancelCancelJPY</v>
      </c>
      <c r="AR1776" s="206" t="str">
        <f t="shared" si="521"/>
        <v>YAMAHA_Mounter</v>
      </c>
      <c r="AS1776" s="22" t="str">
        <f t="shared" si="522"/>
        <v/>
      </c>
      <c r="AT1776" s="24" t="str">
        <f t="shared" si="523"/>
        <v/>
      </c>
      <c r="AU1776" s="22" t="s">
        <v>3745</v>
      </c>
    </row>
    <row r="1777" spans="1:47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185</v>
      </c>
      <c r="F1777" s="13" t="s">
        <v>185</v>
      </c>
      <c r="G1777" s="152" t="s">
        <v>185</v>
      </c>
      <c r="H1777" s="155"/>
      <c r="I1777" s="33" t="str">
        <f t="shared" si="514"/>
        <v>Cancel</v>
      </c>
      <c r="J1777" s="186" t="s">
        <v>1632</v>
      </c>
      <c r="K1777" s="155" t="s">
        <v>1536</v>
      </c>
      <c r="L1777" s="17" t="s">
        <v>67</v>
      </c>
      <c r="M1777" s="13" t="s">
        <v>60</v>
      </c>
      <c r="N1777" s="13">
        <v>1</v>
      </c>
      <c r="O1777" s="13"/>
      <c r="P1777" s="33" t="str">
        <f t="shared" si="515"/>
        <v>MAIN UNIT</v>
      </c>
      <c r="Q1777" s="13" t="s">
        <v>68</v>
      </c>
      <c r="R1777" s="13" t="s">
        <v>62</v>
      </c>
      <c r="S1777" s="13" t="s">
        <v>49</v>
      </c>
      <c r="T1777" s="13" t="s">
        <v>78</v>
      </c>
      <c r="U1777" s="13" t="s">
        <v>79</v>
      </c>
      <c r="V1777" s="13" t="s">
        <v>311</v>
      </c>
      <c r="W1777" s="13" t="s">
        <v>109</v>
      </c>
      <c r="X1777" s="135">
        <v>6500000</v>
      </c>
      <c r="Y1777" s="157" t="str">
        <f t="shared" si="526"/>
        <v>1</v>
      </c>
      <c r="Z1777" s="18">
        <f t="shared" si="525"/>
        <v>6500000</v>
      </c>
      <c r="AA1777" s="13">
        <v>7.2400000000000006E-2</v>
      </c>
      <c r="AB1777" s="21">
        <f t="shared" si="509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0"/>
        <v>499582152.5142017</v>
      </c>
      <c r="AJ1777" s="19">
        <f t="shared" si="511"/>
        <v>59520528.679470733</v>
      </c>
      <c r="AK1777" s="20">
        <f t="shared" si="518"/>
        <v>0.11914062257814291</v>
      </c>
      <c r="AL1777" s="17"/>
      <c r="AM1777" s="17"/>
      <c r="AN1777" s="17"/>
      <c r="AO1777" s="17"/>
      <c r="AP1777" s="28" t="str">
        <f t="shared" si="519"/>
        <v>CancelCancel</v>
      </c>
      <c r="AQ1777" s="28" t="str">
        <f t="shared" si="520"/>
        <v>CancelCancelJPY</v>
      </c>
      <c r="AR1777" s="206" t="str">
        <f t="shared" si="521"/>
        <v>YAMAHA_Mounter</v>
      </c>
      <c r="AS1777" s="22" t="str">
        <f t="shared" si="522"/>
        <v/>
      </c>
      <c r="AT1777" s="24" t="str">
        <f t="shared" si="523"/>
        <v/>
      </c>
      <c r="AU1777" s="22" t="s">
        <v>3745</v>
      </c>
    </row>
    <row r="1778" spans="1:47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54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2004</v>
      </c>
      <c r="K1778" s="155" t="s">
        <v>1536</v>
      </c>
      <c r="L1778" s="17" t="s">
        <v>67</v>
      </c>
      <c r="M1778" s="13" t="s">
        <v>60</v>
      </c>
      <c r="N1778" s="13">
        <v>1</v>
      </c>
      <c r="O1778" s="13"/>
      <c r="P1778" s="33" t="str">
        <f t="shared" si="515"/>
        <v>MAIN UNIT</v>
      </c>
      <c r="Q1778" s="13" t="s">
        <v>61</v>
      </c>
      <c r="R1778" s="13" t="s">
        <v>62</v>
      </c>
      <c r="S1778" s="13" t="s">
        <v>49</v>
      </c>
      <c r="T1778" s="13" t="s">
        <v>78</v>
      </c>
      <c r="U1778" s="13" t="s">
        <v>79</v>
      </c>
      <c r="V1778" s="13" t="s">
        <v>311</v>
      </c>
      <c r="W1778" s="13" t="s">
        <v>109</v>
      </c>
      <c r="X1778" s="135">
        <v>8300000</v>
      </c>
      <c r="Y1778" s="157" t="str">
        <f t="shared" si="526"/>
        <v>1</v>
      </c>
      <c r="Z1778" s="18">
        <f t="shared" si="525"/>
        <v>8300000</v>
      </c>
      <c r="AA1778" s="13">
        <v>6.54E-2</v>
      </c>
      <c r="AB1778" s="21">
        <f t="shared" si="509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0"/>
        <v>46600814.041769907</v>
      </c>
      <c r="AJ1778" s="19">
        <f t="shared" si="511"/>
        <v>5956366.3435927071</v>
      </c>
      <c r="AK1778" s="20">
        <f t="shared" si="518"/>
        <v>0.1278167874546958</v>
      </c>
      <c r="AL1778" s="17"/>
      <c r="AM1778" s="17"/>
      <c r="AN1778" s="17"/>
      <c r="AO1778" s="17"/>
      <c r="AP1778" s="28" t="str">
        <f t="shared" si="519"/>
        <v>20224</v>
      </c>
      <c r="AQ1778" s="28" t="str">
        <f t="shared" si="520"/>
        <v>20224JPY</v>
      </c>
      <c r="AR1778" s="206" t="str">
        <f t="shared" si="521"/>
        <v>YAMAHA_Mounter</v>
      </c>
      <c r="AS1778" s="22">
        <f t="shared" si="522"/>
        <v>8</v>
      </c>
      <c r="AT1778" s="24" t="str">
        <f t="shared" si="523"/>
        <v>&gt; 6 months</v>
      </c>
      <c r="AU1778" s="22" t="s">
        <v>3745</v>
      </c>
    </row>
    <row r="1779" spans="1:47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54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2004</v>
      </c>
      <c r="K1779" s="155" t="s">
        <v>1536</v>
      </c>
      <c r="L1779" s="17" t="s">
        <v>92</v>
      </c>
      <c r="M1779" s="13" t="s">
        <v>60</v>
      </c>
      <c r="N1779" s="13">
        <v>1</v>
      </c>
      <c r="O1779" s="13"/>
      <c r="P1779" s="33" t="str">
        <f t="shared" si="515"/>
        <v>MAIN UNIT</v>
      </c>
      <c r="Q1779" s="13" t="s">
        <v>61</v>
      </c>
      <c r="R1779" s="13" t="s">
        <v>62</v>
      </c>
      <c r="S1779" s="13" t="s">
        <v>49</v>
      </c>
      <c r="T1779" s="13" t="s">
        <v>78</v>
      </c>
      <c r="U1779" s="13" t="s">
        <v>79</v>
      </c>
      <c r="V1779" s="13" t="s">
        <v>311</v>
      </c>
      <c r="W1779" s="13" t="s">
        <v>109</v>
      </c>
      <c r="X1779" s="135">
        <v>12700000</v>
      </c>
      <c r="Y1779" s="157" t="str">
        <f t="shared" si="526"/>
        <v>1</v>
      </c>
      <c r="Z1779" s="18">
        <f t="shared" si="525"/>
        <v>12700000</v>
      </c>
      <c r="AA1779" s="13">
        <v>6.54E-2</v>
      </c>
      <c r="AB1779" s="21">
        <f t="shared" si="509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0"/>
        <v>46600814.041769907</v>
      </c>
      <c r="AJ1779" s="19">
        <f t="shared" si="511"/>
        <v>5956366.3435927071</v>
      </c>
      <c r="AK1779" s="20">
        <f t="shared" si="518"/>
        <v>0.1278167874546958</v>
      </c>
      <c r="AL1779" s="17"/>
      <c r="AM1779" s="17"/>
      <c r="AN1779" s="17"/>
      <c r="AO1779" s="17"/>
      <c r="AP1779" s="28" t="str">
        <f t="shared" si="519"/>
        <v>20224</v>
      </c>
      <c r="AQ1779" s="28" t="str">
        <f t="shared" si="520"/>
        <v>20224JPY</v>
      </c>
      <c r="AR1779" s="206" t="str">
        <f t="shared" si="521"/>
        <v>YAMAHA_Mounter</v>
      </c>
      <c r="AS1779" s="22">
        <f t="shared" si="522"/>
        <v>8</v>
      </c>
      <c r="AT1779" s="24" t="str">
        <f t="shared" si="523"/>
        <v>&gt; 6 months</v>
      </c>
      <c r="AU1779" s="22" t="s">
        <v>3745</v>
      </c>
    </row>
    <row r="1780" spans="1:47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185</v>
      </c>
      <c r="F1780" s="13" t="s">
        <v>185</v>
      </c>
      <c r="G1780" s="152" t="s">
        <v>185</v>
      </c>
      <c r="H1780" s="155"/>
      <c r="I1780" s="33" t="str">
        <f t="shared" si="514"/>
        <v>Cancel</v>
      </c>
      <c r="J1780" s="186" t="s">
        <v>2356</v>
      </c>
      <c r="K1780" s="155" t="s">
        <v>1536</v>
      </c>
      <c r="L1780" s="17" t="s">
        <v>67</v>
      </c>
      <c r="M1780" s="13" t="s">
        <v>60</v>
      </c>
      <c r="N1780" s="13">
        <v>1</v>
      </c>
      <c r="O1780" s="13"/>
      <c r="P1780" s="33" t="str">
        <f t="shared" si="515"/>
        <v>MAIN UNIT</v>
      </c>
      <c r="Q1780" s="13" t="s">
        <v>61</v>
      </c>
      <c r="R1780" s="13" t="s">
        <v>62</v>
      </c>
      <c r="S1780" s="13" t="s">
        <v>49</v>
      </c>
      <c r="T1780" s="13" t="s">
        <v>78</v>
      </c>
      <c r="U1780" s="13" t="s">
        <v>79</v>
      </c>
      <c r="V1780" s="13" t="s">
        <v>311</v>
      </c>
      <c r="W1780" s="13" t="s">
        <v>64</v>
      </c>
      <c r="X1780" s="135">
        <v>490000</v>
      </c>
      <c r="Y1780" s="157" t="str">
        <f t="shared" si="526"/>
        <v>1.13</v>
      </c>
      <c r="Z1780" s="18">
        <f t="shared" si="525"/>
        <v>490000</v>
      </c>
      <c r="AA1780" s="13">
        <v>1.22</v>
      </c>
      <c r="AB1780" s="21">
        <f t="shared" si="509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0"/>
        <v>499582152.5142017</v>
      </c>
      <c r="AJ1780" s="19">
        <f t="shared" si="511"/>
        <v>59520528.679470733</v>
      </c>
      <c r="AK1780" s="20">
        <f t="shared" si="518"/>
        <v>0.11914062257814291</v>
      </c>
      <c r="AL1780" s="17"/>
      <c r="AM1780" s="17"/>
      <c r="AN1780" s="17"/>
      <c r="AO1780" s="17"/>
      <c r="AP1780" s="28" t="str">
        <f t="shared" si="519"/>
        <v>CancelCancel</v>
      </c>
      <c r="AQ1780" s="28" t="str">
        <f t="shared" si="520"/>
        <v>CancelCancelRMB</v>
      </c>
      <c r="AR1780" s="206" t="str">
        <f t="shared" si="521"/>
        <v>YAMAHA_Mounter</v>
      </c>
      <c r="AS1780" s="22" t="str">
        <f t="shared" si="522"/>
        <v/>
      </c>
      <c r="AT1780" s="24" t="str">
        <f t="shared" si="523"/>
        <v/>
      </c>
      <c r="AU1780" s="22" t="s">
        <v>3751</v>
      </c>
    </row>
    <row r="1781" spans="1:47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185</v>
      </c>
      <c r="F1781" s="13" t="s">
        <v>185</v>
      </c>
      <c r="G1781" s="152" t="s">
        <v>185</v>
      </c>
      <c r="H1781" s="155"/>
      <c r="I1781" s="33" t="str">
        <f t="shared" si="514"/>
        <v>Cancel</v>
      </c>
      <c r="J1781" s="186" t="s">
        <v>2356</v>
      </c>
      <c r="K1781" s="155" t="s">
        <v>1536</v>
      </c>
      <c r="L1781" s="17" t="s">
        <v>92</v>
      </c>
      <c r="M1781" s="13" t="s">
        <v>60</v>
      </c>
      <c r="N1781" s="13">
        <v>1</v>
      </c>
      <c r="O1781" s="13"/>
      <c r="P1781" s="33" t="str">
        <f t="shared" si="515"/>
        <v>MAIN UNIT</v>
      </c>
      <c r="Q1781" s="13" t="s">
        <v>61</v>
      </c>
      <c r="R1781" s="13" t="s">
        <v>62</v>
      </c>
      <c r="S1781" s="13" t="s">
        <v>49</v>
      </c>
      <c r="T1781" s="13" t="s">
        <v>78</v>
      </c>
      <c r="U1781" s="13" t="s">
        <v>79</v>
      </c>
      <c r="V1781" s="13" t="s">
        <v>311</v>
      </c>
      <c r="W1781" s="13" t="s">
        <v>64</v>
      </c>
      <c r="X1781" s="135">
        <v>803285</v>
      </c>
      <c r="Y1781" s="157" t="str">
        <f t="shared" si="526"/>
        <v>1.13</v>
      </c>
      <c r="Z1781" s="18">
        <f t="shared" si="525"/>
        <v>803285</v>
      </c>
      <c r="AA1781" s="13">
        <v>1.22</v>
      </c>
      <c r="AB1781" s="21">
        <f t="shared" si="509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0"/>
        <v>499582152.5142017</v>
      </c>
      <c r="AJ1781" s="19">
        <f t="shared" si="511"/>
        <v>59520528.679470733</v>
      </c>
      <c r="AK1781" s="20">
        <f t="shared" si="518"/>
        <v>0.11914062257814291</v>
      </c>
      <c r="AL1781" s="17"/>
      <c r="AM1781" s="17"/>
      <c r="AN1781" s="17"/>
      <c r="AO1781" s="17"/>
      <c r="AP1781" s="28" t="str">
        <f t="shared" si="519"/>
        <v>CancelCancel</v>
      </c>
      <c r="AQ1781" s="28" t="str">
        <f t="shared" si="520"/>
        <v>CancelCancelRMB</v>
      </c>
      <c r="AR1781" s="206" t="str">
        <f t="shared" si="521"/>
        <v>YAMAHA_Mounter</v>
      </c>
      <c r="AS1781" s="22" t="str">
        <f t="shared" si="522"/>
        <v/>
      </c>
      <c r="AT1781" s="24" t="str">
        <f t="shared" si="523"/>
        <v/>
      </c>
      <c r="AU1781" s="22" t="s">
        <v>3751</v>
      </c>
    </row>
    <row r="1782" spans="1:47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7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3092</v>
      </c>
      <c r="K1782" s="29" t="s">
        <v>1536</v>
      </c>
      <c r="L1782" s="17" t="s">
        <v>67</v>
      </c>
      <c r="M1782" s="22" t="s">
        <v>60</v>
      </c>
      <c r="N1782" s="22">
        <v>1</v>
      </c>
      <c r="O1782" s="22"/>
      <c r="P1782" s="33" t="str">
        <f t="shared" si="515"/>
        <v>MAIN UNIT</v>
      </c>
      <c r="Q1782" s="13" t="s">
        <v>61</v>
      </c>
      <c r="R1782" s="22" t="s">
        <v>62</v>
      </c>
      <c r="S1782" s="22" t="s">
        <v>49</v>
      </c>
      <c r="T1782" s="22" t="s">
        <v>78</v>
      </c>
      <c r="U1782" s="22" t="s">
        <v>79</v>
      </c>
      <c r="V1782" s="22" t="s">
        <v>311</v>
      </c>
      <c r="W1782" s="22" t="s">
        <v>109</v>
      </c>
      <c r="X1782" s="30">
        <v>6600000</v>
      </c>
      <c r="Y1782" s="31" t="str">
        <f t="shared" ref="Y1782:Y1787" si="528">IF(W1782="","",IF(W1782="RMB","1.13", "1"))</f>
        <v>1</v>
      </c>
      <c r="Z1782" s="18">
        <f t="shared" si="525"/>
        <v>6600000</v>
      </c>
      <c r="AA1782" s="22">
        <v>5.6300000000000003E-2</v>
      </c>
      <c r="AB1782" s="21">
        <f t="shared" ref="AB1782:AB1845" si="529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0"/>
        <v>23146578.081415929</v>
      </c>
      <c r="AJ1782" s="27">
        <f t="shared" si="511"/>
        <v>2745231.3889985834</v>
      </c>
      <c r="AK1782" s="28">
        <f t="shared" si="518"/>
        <v>0.11860204041143742</v>
      </c>
      <c r="AL1782" s="24"/>
      <c r="AM1782" s="24"/>
      <c r="AN1782" s="24"/>
      <c r="AO1782" s="24"/>
      <c r="AP1782" s="28" t="str">
        <f t="shared" si="519"/>
        <v>20241</v>
      </c>
      <c r="AQ1782" s="28" t="str">
        <f t="shared" si="520"/>
        <v>20241JPY</v>
      </c>
      <c r="AR1782" s="206" t="str">
        <f t="shared" si="521"/>
        <v>YAMAHA_Mounter</v>
      </c>
      <c r="AS1782" s="22">
        <f t="shared" si="522"/>
        <v>1</v>
      </c>
      <c r="AT1782" s="24" t="str">
        <f t="shared" si="523"/>
        <v>0-3 months</v>
      </c>
      <c r="AU1782" s="22" t="s">
        <v>3745</v>
      </c>
    </row>
    <row r="1783" spans="1:47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7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3092</v>
      </c>
      <c r="K1783" s="29" t="s">
        <v>1536</v>
      </c>
      <c r="L1783" s="17" t="s">
        <v>67</v>
      </c>
      <c r="M1783" s="22" t="s">
        <v>60</v>
      </c>
      <c r="N1783" s="22">
        <v>1</v>
      </c>
      <c r="O1783" s="22"/>
      <c r="P1783" s="33" t="str">
        <f t="shared" si="515"/>
        <v>MAIN UNIT</v>
      </c>
      <c r="Q1783" s="13" t="s">
        <v>61</v>
      </c>
      <c r="R1783" s="22" t="s">
        <v>62</v>
      </c>
      <c r="S1783" s="22" t="s">
        <v>49</v>
      </c>
      <c r="T1783" s="22" t="s">
        <v>78</v>
      </c>
      <c r="U1783" s="22" t="s">
        <v>79</v>
      </c>
      <c r="V1783" s="22" t="s">
        <v>311</v>
      </c>
      <c r="W1783" s="22" t="s">
        <v>109</v>
      </c>
      <c r="X1783" s="30">
        <v>6600000</v>
      </c>
      <c r="Y1783" s="31" t="str">
        <f t="shared" si="528"/>
        <v>1</v>
      </c>
      <c r="Z1783" s="18">
        <f t="shared" si="525"/>
        <v>6600000</v>
      </c>
      <c r="AA1783" s="22">
        <v>5.6300000000000003E-2</v>
      </c>
      <c r="AB1783" s="21">
        <f t="shared" si="529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0"/>
        <v>23146578.081415929</v>
      </c>
      <c r="AJ1783" s="27">
        <f t="shared" si="511"/>
        <v>2745231.3889985834</v>
      </c>
      <c r="AK1783" s="28">
        <f t="shared" si="518"/>
        <v>0.11860204041143742</v>
      </c>
      <c r="AL1783" s="24"/>
      <c r="AM1783" s="24"/>
      <c r="AN1783" s="24"/>
      <c r="AO1783" s="24"/>
      <c r="AP1783" s="28" t="str">
        <f t="shared" si="519"/>
        <v>20241</v>
      </c>
      <c r="AQ1783" s="28" t="str">
        <f t="shared" si="520"/>
        <v>20241JPY</v>
      </c>
      <c r="AR1783" s="206" t="str">
        <f t="shared" si="521"/>
        <v>YAMAHA_Mounter</v>
      </c>
      <c r="AS1783" s="22">
        <f t="shared" si="522"/>
        <v>1</v>
      </c>
      <c r="AT1783" s="24" t="str">
        <f t="shared" si="523"/>
        <v>0-3 months</v>
      </c>
      <c r="AU1783" s="22" t="s">
        <v>3745</v>
      </c>
    </row>
    <row r="1784" spans="1:47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7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3092</v>
      </c>
      <c r="K1784" s="29" t="s">
        <v>1536</v>
      </c>
      <c r="L1784" s="17" t="s">
        <v>67</v>
      </c>
      <c r="M1784" s="22" t="s">
        <v>60</v>
      </c>
      <c r="N1784" s="22">
        <v>1</v>
      </c>
      <c r="O1784" s="22"/>
      <c r="P1784" s="33" t="str">
        <f t="shared" si="515"/>
        <v>MAIN UNIT</v>
      </c>
      <c r="Q1784" s="13" t="s">
        <v>61</v>
      </c>
      <c r="R1784" s="22" t="s">
        <v>62</v>
      </c>
      <c r="S1784" s="22" t="s">
        <v>49</v>
      </c>
      <c r="T1784" s="22" t="s">
        <v>78</v>
      </c>
      <c r="U1784" s="22" t="s">
        <v>79</v>
      </c>
      <c r="V1784" s="22" t="s">
        <v>311</v>
      </c>
      <c r="W1784" s="22" t="s">
        <v>109</v>
      </c>
      <c r="X1784" s="30">
        <v>6600000</v>
      </c>
      <c r="Y1784" s="31" t="str">
        <f t="shared" si="528"/>
        <v>1</v>
      </c>
      <c r="Z1784" s="18">
        <f t="shared" si="525"/>
        <v>6600000</v>
      </c>
      <c r="AA1784" s="22">
        <v>5.6300000000000003E-2</v>
      </c>
      <c r="AB1784" s="21">
        <f t="shared" si="529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0"/>
        <v>23146578.081415929</v>
      </c>
      <c r="AJ1784" s="27">
        <f t="shared" si="511"/>
        <v>2745231.3889985834</v>
      </c>
      <c r="AK1784" s="28">
        <f t="shared" si="518"/>
        <v>0.11860204041143742</v>
      </c>
      <c r="AL1784" s="24"/>
      <c r="AM1784" s="24"/>
      <c r="AN1784" s="24"/>
      <c r="AO1784" s="24"/>
      <c r="AP1784" s="28" t="str">
        <f t="shared" si="519"/>
        <v>20241</v>
      </c>
      <c r="AQ1784" s="28" t="str">
        <f t="shared" si="520"/>
        <v>20241JPY</v>
      </c>
      <c r="AR1784" s="206" t="str">
        <f t="shared" si="521"/>
        <v>YAMAHA_Mounter</v>
      </c>
      <c r="AS1784" s="22">
        <f t="shared" si="522"/>
        <v>1</v>
      </c>
      <c r="AT1784" s="24" t="str">
        <f t="shared" si="523"/>
        <v>0-3 months</v>
      </c>
      <c r="AU1784" s="22" t="s">
        <v>3745</v>
      </c>
    </row>
    <row r="1785" spans="1:47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7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3092</v>
      </c>
      <c r="K1785" s="29" t="s">
        <v>1536</v>
      </c>
      <c r="L1785" s="17" t="s">
        <v>67</v>
      </c>
      <c r="M1785" s="22" t="s">
        <v>60</v>
      </c>
      <c r="N1785" s="22">
        <v>1</v>
      </c>
      <c r="O1785" s="22"/>
      <c r="P1785" s="33" t="str">
        <f t="shared" si="515"/>
        <v>MAIN UNIT</v>
      </c>
      <c r="Q1785" s="13" t="s">
        <v>61</v>
      </c>
      <c r="R1785" s="22" t="s">
        <v>62</v>
      </c>
      <c r="S1785" s="22" t="s">
        <v>49</v>
      </c>
      <c r="T1785" s="22" t="s">
        <v>78</v>
      </c>
      <c r="U1785" s="22" t="s">
        <v>79</v>
      </c>
      <c r="V1785" s="22" t="s">
        <v>311</v>
      </c>
      <c r="W1785" s="22" t="s">
        <v>109</v>
      </c>
      <c r="X1785" s="30">
        <v>6600000</v>
      </c>
      <c r="Y1785" s="31" t="str">
        <f t="shared" si="528"/>
        <v>1</v>
      </c>
      <c r="Z1785" s="18">
        <f t="shared" si="525"/>
        <v>6600000</v>
      </c>
      <c r="AA1785" s="22">
        <v>5.6300000000000003E-2</v>
      </c>
      <c r="AB1785" s="21">
        <f t="shared" si="529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0"/>
        <v>23146578.081415929</v>
      </c>
      <c r="AJ1785" s="27">
        <f t="shared" si="511"/>
        <v>2745231.3889985834</v>
      </c>
      <c r="AK1785" s="28">
        <f t="shared" si="518"/>
        <v>0.11860204041143742</v>
      </c>
      <c r="AL1785" s="24"/>
      <c r="AM1785" s="24"/>
      <c r="AN1785" s="24"/>
      <c r="AO1785" s="24"/>
      <c r="AP1785" s="28" t="str">
        <f t="shared" si="519"/>
        <v>20241</v>
      </c>
      <c r="AQ1785" s="28" t="str">
        <f t="shared" si="520"/>
        <v>20241JPY</v>
      </c>
      <c r="AR1785" s="206" t="str">
        <f t="shared" si="521"/>
        <v>YAMAHA_Mounter</v>
      </c>
      <c r="AS1785" s="22">
        <f t="shared" si="522"/>
        <v>1</v>
      </c>
      <c r="AT1785" s="24" t="str">
        <f t="shared" si="523"/>
        <v>0-3 months</v>
      </c>
      <c r="AU1785" s="22" t="s">
        <v>3745</v>
      </c>
    </row>
    <row r="1786" spans="1:47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7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3092</v>
      </c>
      <c r="K1786" s="29" t="s">
        <v>1536</v>
      </c>
      <c r="L1786" s="17" t="s">
        <v>92</v>
      </c>
      <c r="M1786" s="22" t="s">
        <v>60</v>
      </c>
      <c r="N1786" s="22">
        <v>1</v>
      </c>
      <c r="O1786" s="22"/>
      <c r="P1786" s="33" t="str">
        <f t="shared" si="515"/>
        <v>MAIN UNIT</v>
      </c>
      <c r="Q1786" s="13" t="s">
        <v>61</v>
      </c>
      <c r="R1786" s="22" t="s">
        <v>62</v>
      </c>
      <c r="S1786" s="22" t="s">
        <v>49</v>
      </c>
      <c r="T1786" s="22" t="s">
        <v>78</v>
      </c>
      <c r="U1786" s="22" t="s">
        <v>79</v>
      </c>
      <c r="V1786" s="22" t="s">
        <v>311</v>
      </c>
      <c r="W1786" s="22" t="s">
        <v>109</v>
      </c>
      <c r="X1786" s="30">
        <v>12044000</v>
      </c>
      <c r="Y1786" s="31" t="str">
        <f t="shared" si="528"/>
        <v>1</v>
      </c>
      <c r="Z1786" s="18">
        <f t="shared" si="525"/>
        <v>12044000</v>
      </c>
      <c r="AA1786" s="22">
        <v>5.6300000000000003E-2</v>
      </c>
      <c r="AB1786" s="21">
        <f t="shared" si="529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0"/>
        <v>23146578.081415929</v>
      </c>
      <c r="AJ1786" s="27">
        <f t="shared" si="511"/>
        <v>2745231.3889985834</v>
      </c>
      <c r="AK1786" s="28">
        <f t="shared" si="518"/>
        <v>0.11860204041143742</v>
      </c>
      <c r="AL1786" s="24"/>
      <c r="AM1786" s="24"/>
      <c r="AN1786" s="24"/>
      <c r="AO1786" s="24"/>
      <c r="AP1786" s="28" t="str">
        <f t="shared" si="519"/>
        <v>20241</v>
      </c>
      <c r="AQ1786" s="28" t="str">
        <f t="shared" si="520"/>
        <v>20241JPY</v>
      </c>
      <c r="AR1786" s="206" t="str">
        <f t="shared" si="521"/>
        <v>YAMAHA_Mounter</v>
      </c>
      <c r="AS1786" s="22">
        <f t="shared" si="522"/>
        <v>1</v>
      </c>
      <c r="AT1786" s="24" t="str">
        <f t="shared" si="523"/>
        <v>0-3 months</v>
      </c>
      <c r="AU1786" s="22" t="s">
        <v>3745</v>
      </c>
    </row>
    <row r="1787" spans="1:47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7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3092</v>
      </c>
      <c r="K1787" s="29" t="s">
        <v>1536</v>
      </c>
      <c r="L1787" s="17" t="s">
        <v>92</v>
      </c>
      <c r="M1787" s="22" t="s">
        <v>60</v>
      </c>
      <c r="N1787" s="22">
        <v>1</v>
      </c>
      <c r="O1787" s="22"/>
      <c r="P1787" s="33" t="str">
        <f t="shared" si="515"/>
        <v>MAIN UNIT</v>
      </c>
      <c r="Q1787" s="13" t="s">
        <v>61</v>
      </c>
      <c r="R1787" s="22" t="s">
        <v>62</v>
      </c>
      <c r="S1787" s="22" t="s">
        <v>49</v>
      </c>
      <c r="T1787" s="22" t="s">
        <v>78</v>
      </c>
      <c r="U1787" s="22" t="s">
        <v>79</v>
      </c>
      <c r="V1787" s="22" t="s">
        <v>311</v>
      </c>
      <c r="W1787" s="22" t="s">
        <v>109</v>
      </c>
      <c r="X1787" s="30">
        <v>12044000</v>
      </c>
      <c r="Y1787" s="31" t="str">
        <f t="shared" si="528"/>
        <v>1</v>
      </c>
      <c r="Z1787" s="18">
        <f t="shared" si="525"/>
        <v>12044000</v>
      </c>
      <c r="AA1787" s="22">
        <v>5.6300000000000003E-2</v>
      </c>
      <c r="AB1787" s="21">
        <f t="shared" si="529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0"/>
        <v>23146578.081415929</v>
      </c>
      <c r="AJ1787" s="27">
        <f t="shared" si="511"/>
        <v>2745231.3889985834</v>
      </c>
      <c r="AK1787" s="28">
        <f t="shared" si="518"/>
        <v>0.11860204041143742</v>
      </c>
      <c r="AL1787" s="24"/>
      <c r="AM1787" s="24"/>
      <c r="AN1787" s="24"/>
      <c r="AO1787" s="24"/>
      <c r="AP1787" s="28" t="str">
        <f t="shared" si="519"/>
        <v>20241</v>
      </c>
      <c r="AQ1787" s="28" t="str">
        <f t="shared" si="520"/>
        <v>20241JPY</v>
      </c>
      <c r="AR1787" s="206" t="str">
        <f t="shared" si="521"/>
        <v>YAMAHA_Mounter</v>
      </c>
      <c r="AS1787" s="22">
        <f t="shared" si="522"/>
        <v>1</v>
      </c>
      <c r="AT1787" s="24" t="str">
        <f t="shared" si="523"/>
        <v>0-3 months</v>
      </c>
      <c r="AU1787" s="22" t="s">
        <v>3745</v>
      </c>
    </row>
    <row r="1788" spans="1:47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47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2882</v>
      </c>
      <c r="K1788" s="155" t="s">
        <v>2883</v>
      </c>
      <c r="L1788" s="17" t="s">
        <v>2786</v>
      </c>
      <c r="M1788" s="13" t="s">
        <v>60</v>
      </c>
      <c r="N1788" s="13">
        <v>1</v>
      </c>
      <c r="O1788" s="13"/>
      <c r="P1788" s="33" t="str">
        <f t="shared" si="515"/>
        <v>MAIN UNIT</v>
      </c>
      <c r="Q1788" s="13" t="s">
        <v>61</v>
      </c>
      <c r="R1788" s="13" t="s">
        <v>2055</v>
      </c>
      <c r="S1788" s="13" t="s">
        <v>49</v>
      </c>
      <c r="T1788" s="13" t="s">
        <v>78</v>
      </c>
      <c r="U1788" s="13" t="s">
        <v>79</v>
      </c>
      <c r="V1788" s="13" t="s">
        <v>2779</v>
      </c>
      <c r="W1788" s="13" t="s">
        <v>64</v>
      </c>
      <c r="X1788" s="135">
        <v>520000</v>
      </c>
      <c r="Y1788" s="156">
        <v>1.1299999999999999</v>
      </c>
      <c r="Z1788" s="18">
        <f t="shared" si="525"/>
        <v>520000</v>
      </c>
      <c r="AA1788" s="13">
        <v>1.095</v>
      </c>
      <c r="AB1788" s="21">
        <f t="shared" si="529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0"/>
        <v>37599388.802345134</v>
      </c>
      <c r="AJ1788" s="19">
        <f t="shared" si="511"/>
        <v>4866784.3630338367</v>
      </c>
      <c r="AK1788" s="20">
        <f t="shared" si="518"/>
        <v>0.12943785838163113</v>
      </c>
      <c r="AL1788" s="17"/>
      <c r="AM1788" s="17"/>
      <c r="AN1788" s="17"/>
      <c r="AO1788" s="17"/>
      <c r="AP1788" s="28" t="str">
        <f t="shared" si="519"/>
        <v>20199</v>
      </c>
      <c r="AQ1788" s="28" t="str">
        <f t="shared" si="520"/>
        <v>20199RMB</v>
      </c>
      <c r="AR1788" s="206" t="str">
        <f t="shared" si="521"/>
        <v>YAMAHA_Non_Mounter</v>
      </c>
      <c r="AS1788" s="22">
        <f t="shared" si="522"/>
        <v>2</v>
      </c>
      <c r="AT1788" s="24" t="str">
        <f t="shared" si="523"/>
        <v>0-3 months</v>
      </c>
      <c r="AU1788" s="22" t="s">
        <v>3744</v>
      </c>
    </row>
    <row r="1789" spans="1:47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48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1235</v>
      </c>
      <c r="K1789" s="155" t="s">
        <v>1236</v>
      </c>
      <c r="L1789" s="17" t="s">
        <v>67</v>
      </c>
      <c r="M1789" s="13" t="s">
        <v>60</v>
      </c>
      <c r="N1789" s="13">
        <v>1</v>
      </c>
      <c r="O1789" s="13"/>
      <c r="P1789" s="33" t="str">
        <f t="shared" si="515"/>
        <v>MAIN UNIT</v>
      </c>
      <c r="Q1789" s="13" t="s">
        <v>61</v>
      </c>
      <c r="R1789" s="13" t="s">
        <v>62</v>
      </c>
      <c r="S1789" s="13" t="s">
        <v>49</v>
      </c>
      <c r="T1789" s="13" t="s">
        <v>78</v>
      </c>
      <c r="U1789" s="13" t="s">
        <v>79</v>
      </c>
      <c r="V1789" s="13" t="s">
        <v>134</v>
      </c>
      <c r="W1789" s="13" t="s">
        <v>64</v>
      </c>
      <c r="X1789" s="135">
        <v>570000</v>
      </c>
      <c r="Y1789" s="156">
        <v>1.1299999999999999</v>
      </c>
      <c r="Z1789" s="18">
        <f t="shared" si="525"/>
        <v>570000</v>
      </c>
      <c r="AA1789" s="13">
        <v>1.089</v>
      </c>
      <c r="AB1789" s="21">
        <f t="shared" si="529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0"/>
        <v>29183109.05575221</v>
      </c>
      <c r="AJ1789" s="19">
        <f t="shared" si="511"/>
        <v>3741266.5648721238</v>
      </c>
      <c r="AK1789" s="20">
        <f t="shared" si="518"/>
        <v>0.12819972531798121</v>
      </c>
      <c r="AL1789" s="17"/>
      <c r="AM1789" s="17"/>
      <c r="AN1789" s="17"/>
      <c r="AO1789" s="17"/>
      <c r="AP1789" s="28" t="str">
        <f t="shared" si="519"/>
        <v>20206</v>
      </c>
      <c r="AQ1789" s="28" t="str">
        <f t="shared" si="520"/>
        <v>20206RMB</v>
      </c>
      <c r="AR1789" s="206" t="str">
        <f t="shared" si="521"/>
        <v>YAMAHA_Mounter</v>
      </c>
      <c r="AS1789" s="22">
        <f t="shared" si="522"/>
        <v>0</v>
      </c>
      <c r="AT1789" s="24" t="str">
        <f t="shared" si="523"/>
        <v>0-3 months</v>
      </c>
      <c r="AU1789" s="22" t="s">
        <v>3744</v>
      </c>
    </row>
    <row r="1790" spans="1:47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53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1898</v>
      </c>
      <c r="K1790" s="155" t="s">
        <v>1236</v>
      </c>
      <c r="L1790" s="17" t="s">
        <v>67</v>
      </c>
      <c r="M1790" s="13" t="s">
        <v>60</v>
      </c>
      <c r="N1790" s="13">
        <v>1</v>
      </c>
      <c r="O1790" s="13"/>
      <c r="P1790" s="33" t="str">
        <f t="shared" si="515"/>
        <v>MAIN UNIT</v>
      </c>
      <c r="Q1790" s="13" t="s">
        <v>61</v>
      </c>
      <c r="R1790" s="13" t="s">
        <v>62</v>
      </c>
      <c r="S1790" s="13" t="s">
        <v>49</v>
      </c>
      <c r="T1790" s="13" t="s">
        <v>78</v>
      </c>
      <c r="U1790" s="13" t="s">
        <v>79</v>
      </c>
      <c r="V1790" s="13" t="s">
        <v>1407</v>
      </c>
      <c r="W1790" s="13" t="s">
        <v>64</v>
      </c>
      <c r="X1790" s="135">
        <v>670000</v>
      </c>
      <c r="Y1790" s="157" t="str">
        <f>IF(W1790="RMB","1.13", "1")</f>
        <v>1.13</v>
      </c>
      <c r="Z1790" s="18">
        <f t="shared" si="525"/>
        <v>670000</v>
      </c>
      <c r="AA1790" s="13">
        <v>1.21</v>
      </c>
      <c r="AB1790" s="21">
        <f t="shared" si="529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0"/>
        <v>29500529.005044252</v>
      </c>
      <c r="AJ1790" s="19">
        <f t="shared" si="511"/>
        <v>3253064.846231177</v>
      </c>
      <c r="AK1790" s="20">
        <f t="shared" si="518"/>
        <v>0.11027140718984871</v>
      </c>
      <c r="AL1790" s="17"/>
      <c r="AM1790" s="17"/>
      <c r="AN1790" s="17"/>
      <c r="AO1790" s="17"/>
      <c r="AP1790" s="28" t="str">
        <f t="shared" si="519"/>
        <v>202111</v>
      </c>
      <c r="AQ1790" s="28" t="str">
        <f t="shared" si="520"/>
        <v>202111RMB</v>
      </c>
      <c r="AR1790" s="206" t="str">
        <f t="shared" si="521"/>
        <v>YAMAHA_Mounter</v>
      </c>
      <c r="AS1790" s="22">
        <f t="shared" si="522"/>
        <v>5</v>
      </c>
      <c r="AT1790" s="24" t="str">
        <f t="shared" si="523"/>
        <v>4-6 months</v>
      </c>
      <c r="AU1790" s="22" t="s">
        <v>3751</v>
      </c>
    </row>
    <row r="1791" spans="1:47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41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399</v>
      </c>
      <c r="K1791" s="155" t="s">
        <v>400</v>
      </c>
      <c r="L1791" s="17" t="s">
        <v>67</v>
      </c>
      <c r="M1791" s="13" t="s">
        <v>60</v>
      </c>
      <c r="N1791" s="13">
        <v>2</v>
      </c>
      <c r="O1791" s="13"/>
      <c r="P1791" s="33" t="str">
        <f t="shared" si="515"/>
        <v>MAIN UNIT</v>
      </c>
      <c r="Q1791" s="13" t="s">
        <v>68</v>
      </c>
      <c r="R1791" s="13" t="s">
        <v>62</v>
      </c>
      <c r="S1791" s="13" t="s">
        <v>49</v>
      </c>
      <c r="T1791" s="13" t="s">
        <v>78</v>
      </c>
      <c r="U1791" s="13" t="s">
        <v>79</v>
      </c>
      <c r="V1791" s="13" t="s">
        <v>134</v>
      </c>
      <c r="W1791" s="13" t="s">
        <v>109</v>
      </c>
      <c r="X1791" s="135">
        <v>9250000</v>
      </c>
      <c r="Y1791" s="156">
        <v>1</v>
      </c>
      <c r="Z1791" s="18">
        <f t="shared" si="525"/>
        <v>18500000</v>
      </c>
      <c r="AA1791" s="13">
        <v>7.22E-2</v>
      </c>
      <c r="AB1791" s="21">
        <f t="shared" si="529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0"/>
        <v>29946107.503386207</v>
      </c>
      <c r="AJ1791" s="19">
        <f t="shared" si="511"/>
        <v>3987206.4954923098</v>
      </c>
      <c r="AK1791" s="20">
        <f t="shared" si="518"/>
        <v>0.13314606898547499</v>
      </c>
      <c r="AL1791" s="17"/>
      <c r="AM1791" s="17"/>
      <c r="AN1791" s="17"/>
      <c r="AO1791" s="17"/>
      <c r="AP1791" s="28" t="str">
        <f t="shared" si="519"/>
        <v>20187</v>
      </c>
      <c r="AQ1791" s="28" t="str">
        <f t="shared" si="520"/>
        <v>20187JPY</v>
      </c>
      <c r="AR1791" s="206" t="str">
        <f t="shared" si="521"/>
        <v>YAMAHA_Mounter</v>
      </c>
      <c r="AS1791" s="22">
        <f t="shared" si="522"/>
        <v>1</v>
      </c>
      <c r="AT1791" s="24" t="str">
        <f t="shared" si="523"/>
        <v>0-3 months</v>
      </c>
      <c r="AU1791" s="22" t="s">
        <v>3745</v>
      </c>
    </row>
    <row r="1792" spans="1:47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53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1030</v>
      </c>
      <c r="K1792" s="155" t="s">
        <v>400</v>
      </c>
      <c r="L1792" s="17" t="s">
        <v>1031</v>
      </c>
      <c r="M1792" s="13"/>
      <c r="N1792" s="13">
        <v>0</v>
      </c>
      <c r="O1792" s="13"/>
      <c r="P1792" s="33" t="str">
        <f t="shared" si="515"/>
        <v/>
      </c>
      <c r="Q1792" s="13" t="s">
        <v>68</v>
      </c>
      <c r="R1792" s="13" t="s">
        <v>62</v>
      </c>
      <c r="S1792" s="13" t="s">
        <v>49</v>
      </c>
      <c r="T1792" s="13" t="s">
        <v>78</v>
      </c>
      <c r="U1792" s="13" t="s">
        <v>79</v>
      </c>
      <c r="V1792" s="13" t="s">
        <v>134</v>
      </c>
      <c r="W1792" s="13" t="s">
        <v>64</v>
      </c>
      <c r="X1792" s="135">
        <v>-50000</v>
      </c>
      <c r="Y1792" s="157" t="str">
        <f>IF(W1792="RMB","1.13", "1")</f>
        <v>1.13</v>
      </c>
      <c r="Z1792" s="18">
        <f t="shared" si="525"/>
        <v>0</v>
      </c>
      <c r="AA1792" s="13">
        <v>1.22</v>
      </c>
      <c r="AB1792" s="21">
        <f t="shared" si="529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0"/>
        <v>28726768.133805312</v>
      </c>
      <c r="AJ1792" s="19">
        <f t="shared" si="511"/>
        <v>3853638.1988864429</v>
      </c>
      <c r="AK1792" s="20">
        <f t="shared" si="518"/>
        <v>0.1341479898099476</v>
      </c>
      <c r="AL1792" s="17"/>
      <c r="AM1792" s="17"/>
      <c r="AN1792" s="17"/>
      <c r="AO1792" s="17"/>
      <c r="AP1792" s="28" t="str">
        <f t="shared" si="519"/>
        <v>20223</v>
      </c>
      <c r="AQ1792" s="28" t="str">
        <f t="shared" si="520"/>
        <v>20223RMB</v>
      </c>
      <c r="AR1792" s="206">
        <f t="shared" si="521"/>
        <v>0</v>
      </c>
      <c r="AS1792" s="22">
        <f t="shared" si="522"/>
        <v>33</v>
      </c>
      <c r="AT1792" s="24" t="str">
        <f t="shared" si="523"/>
        <v>&gt; 6 months</v>
      </c>
      <c r="AU1792" s="22" t="s">
        <v>3240</v>
      </c>
    </row>
    <row r="1793" spans="1:47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185</v>
      </c>
      <c r="F1793" s="13" t="s">
        <v>185</v>
      </c>
      <c r="G1793" s="152" t="s">
        <v>185</v>
      </c>
      <c r="H1793" s="155"/>
      <c r="I1793" s="33" t="str">
        <f t="shared" si="514"/>
        <v>Cancel</v>
      </c>
      <c r="J1793" s="186" t="s">
        <v>1030</v>
      </c>
      <c r="K1793" s="155" t="s">
        <v>400</v>
      </c>
      <c r="L1793" s="17" t="s">
        <v>67</v>
      </c>
      <c r="M1793" s="13" t="s">
        <v>60</v>
      </c>
      <c r="N1793" s="13">
        <v>1</v>
      </c>
      <c r="O1793" s="13"/>
      <c r="P1793" s="33" t="str">
        <f t="shared" si="515"/>
        <v>MAIN UNIT</v>
      </c>
      <c r="Q1793" s="13" t="s">
        <v>61</v>
      </c>
      <c r="R1793" s="13" t="s">
        <v>260</v>
      </c>
      <c r="S1793" s="13" t="s">
        <v>261</v>
      </c>
      <c r="T1793" s="13" t="s">
        <v>78</v>
      </c>
      <c r="U1793" s="13" t="s">
        <v>79</v>
      </c>
      <c r="V1793" s="13" t="s">
        <v>1033</v>
      </c>
      <c r="W1793" s="13" t="s">
        <v>64</v>
      </c>
      <c r="X1793" s="135">
        <v>550000</v>
      </c>
      <c r="Y1793" s="157" t="str">
        <f>IF(W1793="RMB","1.13", "1")</f>
        <v>1.13</v>
      </c>
      <c r="Z1793" s="18">
        <f t="shared" si="525"/>
        <v>550000</v>
      </c>
      <c r="AA1793" s="13">
        <v>1.095</v>
      </c>
      <c r="AB1793" s="21">
        <f t="shared" si="529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0"/>
        <v>499582152.5142017</v>
      </c>
      <c r="AJ1793" s="19">
        <f t="shared" si="511"/>
        <v>59520528.679470733</v>
      </c>
      <c r="AK1793" s="20">
        <f t="shared" si="518"/>
        <v>0.11914062257814291</v>
      </c>
      <c r="AL1793" s="17"/>
      <c r="AM1793" s="17"/>
      <c r="AN1793" s="17"/>
      <c r="AO1793" s="17"/>
      <c r="AP1793" s="28" t="str">
        <f t="shared" si="519"/>
        <v>CancelCancel</v>
      </c>
      <c r="AQ1793" s="28" t="str">
        <f t="shared" si="520"/>
        <v>CancelCancelRMB</v>
      </c>
      <c r="AR1793" s="206" t="str">
        <f t="shared" si="521"/>
        <v>YAMAHA_Mounter</v>
      </c>
      <c r="AS1793" s="22" t="str">
        <f t="shared" si="522"/>
        <v/>
      </c>
      <c r="AT1793" s="24" t="str">
        <f t="shared" si="523"/>
        <v/>
      </c>
      <c r="AU1793" s="22" t="s">
        <v>3747</v>
      </c>
    </row>
    <row r="1794" spans="1:47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185</v>
      </c>
      <c r="F1794" s="13" t="s">
        <v>185</v>
      </c>
      <c r="G1794" s="152" t="s">
        <v>185</v>
      </c>
      <c r="H1794" s="155"/>
      <c r="I1794" s="33" t="str">
        <f t="shared" si="514"/>
        <v>Cancel</v>
      </c>
      <c r="J1794" s="186" t="s">
        <v>1030</v>
      </c>
      <c r="K1794" s="155" t="s">
        <v>1034</v>
      </c>
      <c r="L1794" s="17" t="s">
        <v>92</v>
      </c>
      <c r="M1794" s="13" t="s">
        <v>60</v>
      </c>
      <c r="N1794" s="13">
        <v>1</v>
      </c>
      <c r="O1794" s="13"/>
      <c r="P1794" s="33" t="str">
        <f t="shared" si="515"/>
        <v>MAIN UNIT</v>
      </c>
      <c r="Q1794" s="13" t="s">
        <v>61</v>
      </c>
      <c r="R1794" s="13" t="s">
        <v>260</v>
      </c>
      <c r="S1794" s="13" t="s">
        <v>261</v>
      </c>
      <c r="T1794" s="13" t="s">
        <v>78</v>
      </c>
      <c r="U1794" s="13" t="s">
        <v>79</v>
      </c>
      <c r="V1794" s="13" t="s">
        <v>1033</v>
      </c>
      <c r="W1794" s="13" t="s">
        <v>64</v>
      </c>
      <c r="X1794" s="135">
        <v>550000</v>
      </c>
      <c r="Y1794" s="157" t="str">
        <f>IF(W1794="RMB","1.13", "1")</f>
        <v>1.13</v>
      </c>
      <c r="Z1794" s="18">
        <f t="shared" si="525"/>
        <v>550000</v>
      </c>
      <c r="AA1794" s="13">
        <v>1.095</v>
      </c>
      <c r="AB1794" s="21">
        <f t="shared" si="529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ref="AI1794:AI1857" si="530">IF(P1794="C66 SERVICE","",SUMIFS(AB:AB,F:F,F1794,G:G,G1794,E:E,E1794))</f>
        <v>499582152.5142017</v>
      </c>
      <c r="AJ1794" s="19">
        <f t="shared" ref="AJ1794:AJ1857" si="531">IF(P1794="C66 SERVICE","",SUMIFS(AC:AC,F:F,F1794,G:G,G1794,E:E,E1794))</f>
        <v>59520528.679470733</v>
      </c>
      <c r="AK1794" s="20">
        <f t="shared" si="518"/>
        <v>0.11914062257814291</v>
      </c>
      <c r="AL1794" s="17"/>
      <c r="AM1794" s="17"/>
      <c r="AN1794" s="17"/>
      <c r="AO1794" s="17"/>
      <c r="AP1794" s="28" t="str">
        <f t="shared" si="519"/>
        <v>CancelCancel</v>
      </c>
      <c r="AQ1794" s="28" t="str">
        <f t="shared" si="520"/>
        <v>CancelCancelRMB</v>
      </c>
      <c r="AR1794" s="206" t="str">
        <f t="shared" si="521"/>
        <v>YAMAHA_Mounter</v>
      </c>
      <c r="AS1794" s="22" t="str">
        <f t="shared" si="522"/>
        <v/>
      </c>
      <c r="AT1794" s="24" t="str">
        <f t="shared" si="523"/>
        <v/>
      </c>
      <c r="AU1794" s="22" t="s">
        <v>3747</v>
      </c>
    </row>
    <row r="1795" spans="1:47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185</v>
      </c>
      <c r="F1795" s="13" t="s">
        <v>185</v>
      </c>
      <c r="G1795" s="152" t="s">
        <v>185</v>
      </c>
      <c r="H1795" s="155"/>
      <c r="I1795" s="33" t="str">
        <f t="shared" si="514"/>
        <v>Cancel</v>
      </c>
      <c r="J1795" s="186" t="s">
        <v>2065</v>
      </c>
      <c r="K1795" s="155" t="s">
        <v>2066</v>
      </c>
      <c r="L1795" s="17" t="s">
        <v>67</v>
      </c>
      <c r="M1795" s="13" t="s">
        <v>60</v>
      </c>
      <c r="N1795" s="13">
        <v>1</v>
      </c>
      <c r="O1795" s="13"/>
      <c r="P1795" s="33" t="str">
        <f t="shared" si="515"/>
        <v>MAIN UNIT</v>
      </c>
      <c r="Q1795" s="13" t="s">
        <v>68</v>
      </c>
      <c r="R1795" s="13" t="s">
        <v>62</v>
      </c>
      <c r="S1795" s="13" t="s">
        <v>49</v>
      </c>
      <c r="T1795" s="13" t="s">
        <v>78</v>
      </c>
      <c r="U1795" s="13" t="s">
        <v>79</v>
      </c>
      <c r="V1795" s="13" t="s">
        <v>112</v>
      </c>
      <c r="W1795" s="13" t="s">
        <v>109</v>
      </c>
      <c r="X1795" s="135">
        <v>9300000</v>
      </c>
      <c r="Y1795" s="157" t="str">
        <f>IF(W1795="RMB","1.13", "1")</f>
        <v>1</v>
      </c>
      <c r="Z1795" s="18">
        <f t="shared" si="525"/>
        <v>9300000</v>
      </c>
      <c r="AA1795" s="13">
        <v>7.0000000000000007E-2</v>
      </c>
      <c r="AB1795" s="21">
        <f t="shared" si="529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30"/>
        <v>499582152.5142017</v>
      </c>
      <c r="AJ1795" s="19">
        <f t="shared" si="531"/>
        <v>59520528.679470733</v>
      </c>
      <c r="AK1795" s="20">
        <f t="shared" si="518"/>
        <v>0.11914062257814291</v>
      </c>
      <c r="AL1795" s="17"/>
      <c r="AM1795" s="17"/>
      <c r="AN1795" s="17"/>
      <c r="AO1795" s="17"/>
      <c r="AP1795" s="28" t="str">
        <f t="shared" si="519"/>
        <v>CancelCancel</v>
      </c>
      <c r="AQ1795" s="28" t="str">
        <f t="shared" si="520"/>
        <v>CancelCancelJPY</v>
      </c>
      <c r="AR1795" s="206" t="str">
        <f t="shared" si="521"/>
        <v>YAMAHA_Mounter</v>
      </c>
      <c r="AS1795" s="22" t="str">
        <f t="shared" si="522"/>
        <v/>
      </c>
      <c r="AT1795" s="24" t="str">
        <f t="shared" si="523"/>
        <v/>
      </c>
      <c r="AU1795" s="22" t="s">
        <v>3745</v>
      </c>
    </row>
    <row r="1796" spans="1:47" s="12" customFormat="1">
      <c r="A1796" s="33" t="str">
        <f t="shared" si="512"/>
        <v>cancel</v>
      </c>
      <c r="B1796" s="152"/>
      <c r="C1796" s="152" t="s">
        <v>185</v>
      </c>
      <c r="D1796" s="33" t="str">
        <f t="shared" si="513"/>
        <v/>
      </c>
      <c r="E1796" s="33" t="s">
        <v>185</v>
      </c>
      <c r="F1796" s="13" t="s">
        <v>185</v>
      </c>
      <c r="G1796" s="152" t="s">
        <v>185</v>
      </c>
      <c r="H1796" s="155"/>
      <c r="I1796" s="33" t="str">
        <f t="shared" si="514"/>
        <v>Cancel</v>
      </c>
      <c r="J1796" s="186" t="s">
        <v>2681</v>
      </c>
      <c r="K1796" s="155" t="s">
        <v>2682</v>
      </c>
      <c r="L1796" s="17" t="s">
        <v>92</v>
      </c>
      <c r="M1796" s="13" t="s">
        <v>60</v>
      </c>
      <c r="N1796" s="13">
        <v>1</v>
      </c>
      <c r="O1796" s="13"/>
      <c r="P1796" s="33" t="str">
        <f t="shared" si="515"/>
        <v>MAIN UNIT</v>
      </c>
      <c r="Q1796" s="13" t="s">
        <v>61</v>
      </c>
      <c r="R1796" s="13" t="s">
        <v>62</v>
      </c>
      <c r="S1796" s="13" t="s">
        <v>50</v>
      </c>
      <c r="T1796" s="13" t="s">
        <v>93</v>
      </c>
      <c r="U1796" s="13" t="s">
        <v>70</v>
      </c>
      <c r="V1796" s="13" t="s">
        <v>169</v>
      </c>
      <c r="W1796" s="13" t="s">
        <v>64</v>
      </c>
      <c r="X1796" s="135">
        <v>891600</v>
      </c>
      <c r="Y1796" s="156">
        <v>1.1299999999999999</v>
      </c>
      <c r="Z1796" s="18">
        <f t="shared" si="525"/>
        <v>891600</v>
      </c>
      <c r="AA1796" s="13">
        <v>1.135</v>
      </c>
      <c r="AB1796" s="21">
        <f t="shared" si="529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30"/>
        <v>499582152.5142017</v>
      </c>
      <c r="AJ1796" s="19">
        <f t="shared" si="531"/>
        <v>59520528.679470733</v>
      </c>
      <c r="AK1796" s="20">
        <f t="shared" si="518"/>
        <v>0.11914062257814291</v>
      </c>
      <c r="AL1796" s="17"/>
      <c r="AM1796" s="17"/>
      <c r="AN1796" s="17"/>
      <c r="AO1796" s="17"/>
      <c r="AP1796" s="28" t="str">
        <f t="shared" si="519"/>
        <v>CancelCancel</v>
      </c>
      <c r="AQ1796" s="28" t="str">
        <f t="shared" si="520"/>
        <v>CancelCancelRMB</v>
      </c>
      <c r="AR1796" s="206" t="str">
        <f t="shared" si="521"/>
        <v>YAMAHA_Mounter</v>
      </c>
      <c r="AS1796" s="22" t="str">
        <f t="shared" si="522"/>
        <v/>
      </c>
      <c r="AT1796" s="24" t="str">
        <f t="shared" si="523"/>
        <v/>
      </c>
      <c r="AU1796" s="22" t="s">
        <v>3240</v>
      </c>
    </row>
    <row r="1797" spans="1:47" s="12" customFormat="1">
      <c r="A1797" s="33" t="str">
        <f t="shared" si="512"/>
        <v>cancel</v>
      </c>
      <c r="B1797" s="152"/>
      <c r="C1797" s="152" t="s">
        <v>185</v>
      </c>
      <c r="D1797" s="33" t="str">
        <f t="shared" si="513"/>
        <v/>
      </c>
      <c r="E1797" s="33" t="s">
        <v>185</v>
      </c>
      <c r="F1797" s="13" t="s">
        <v>185</v>
      </c>
      <c r="G1797" s="152" t="s">
        <v>185</v>
      </c>
      <c r="H1797" s="155"/>
      <c r="I1797" s="33" t="str">
        <f t="shared" si="514"/>
        <v>Cancel</v>
      </c>
      <c r="J1797" s="186" t="s">
        <v>2681</v>
      </c>
      <c r="K1797" s="155" t="s">
        <v>2682</v>
      </c>
      <c r="L1797" s="17" t="s">
        <v>67</v>
      </c>
      <c r="M1797" s="13" t="s">
        <v>60</v>
      </c>
      <c r="N1797" s="13">
        <v>1</v>
      </c>
      <c r="O1797" s="13"/>
      <c r="P1797" s="33" t="str">
        <f t="shared" si="515"/>
        <v>MAIN UNIT</v>
      </c>
      <c r="Q1797" s="13" t="s">
        <v>61</v>
      </c>
      <c r="R1797" s="13" t="s">
        <v>62</v>
      </c>
      <c r="S1797" s="13" t="s">
        <v>50</v>
      </c>
      <c r="T1797" s="13" t="s">
        <v>93</v>
      </c>
      <c r="U1797" s="13" t="s">
        <v>70</v>
      </c>
      <c r="V1797" s="13" t="s">
        <v>169</v>
      </c>
      <c r="W1797" s="13" t="s">
        <v>64</v>
      </c>
      <c r="X1797" s="135">
        <v>818400</v>
      </c>
      <c r="Y1797" s="156">
        <v>1.1299999999999999</v>
      </c>
      <c r="Z1797" s="18">
        <f t="shared" si="525"/>
        <v>818400</v>
      </c>
      <c r="AA1797" s="13">
        <v>1.135</v>
      </c>
      <c r="AB1797" s="21">
        <f t="shared" si="529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30"/>
        <v>499582152.5142017</v>
      </c>
      <c r="AJ1797" s="19">
        <f t="shared" si="531"/>
        <v>59520528.679470733</v>
      </c>
      <c r="AK1797" s="20">
        <f t="shared" si="518"/>
        <v>0.11914062257814291</v>
      </c>
      <c r="AL1797" s="17"/>
      <c r="AM1797" s="17"/>
      <c r="AN1797" s="17"/>
      <c r="AO1797" s="17"/>
      <c r="AP1797" s="28" t="str">
        <f t="shared" si="519"/>
        <v>CancelCancel</v>
      </c>
      <c r="AQ1797" s="28" t="str">
        <f t="shared" si="520"/>
        <v>CancelCancelRMB</v>
      </c>
      <c r="AR1797" s="206" t="str">
        <f t="shared" si="521"/>
        <v>YAMAHA_Mounter</v>
      </c>
      <c r="AS1797" s="22" t="str">
        <f t="shared" si="522"/>
        <v/>
      </c>
      <c r="AT1797" s="24" t="str">
        <f t="shared" si="523"/>
        <v/>
      </c>
      <c r="AU1797" s="22" t="s">
        <v>3240</v>
      </c>
    </row>
    <row r="1798" spans="1:47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47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641</v>
      </c>
      <c r="K1798" s="155" t="s">
        <v>642</v>
      </c>
      <c r="L1798" s="17" t="s">
        <v>92</v>
      </c>
      <c r="M1798" s="13" t="s">
        <v>60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61</v>
      </c>
      <c r="R1798" s="13" t="s">
        <v>62</v>
      </c>
      <c r="S1798" s="13" t="s">
        <v>49</v>
      </c>
      <c r="T1798" s="13" t="s">
        <v>249</v>
      </c>
      <c r="U1798" s="13" t="s">
        <v>79</v>
      </c>
      <c r="V1798" s="13" t="s">
        <v>126</v>
      </c>
      <c r="W1798" s="13" t="s">
        <v>109</v>
      </c>
      <c r="X1798" s="135">
        <v>11110000</v>
      </c>
      <c r="Y1798" s="156">
        <v>1</v>
      </c>
      <c r="Z1798" s="18">
        <f t="shared" si="525"/>
        <v>11110000</v>
      </c>
      <c r="AA1798" s="13">
        <v>7.2300000000000003E-2</v>
      </c>
      <c r="AB1798" s="21">
        <f t="shared" si="529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si="530"/>
        <v>32843736.557277881</v>
      </c>
      <c r="AJ1798" s="19">
        <f t="shared" si="531"/>
        <v>3921470.6822663117</v>
      </c>
      <c r="AK1798" s="20">
        <f t="shared" ref="AK1798:AK1861" si="538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39">IF(F1798="","",F1798&amp;G1798)</f>
        <v>20194</v>
      </c>
      <c r="AQ1798" s="28" t="str">
        <f t="shared" ref="AQ1798:AQ1861" si="540">IF(W1798="","",F1798&amp;G1798&amp;W1798)</f>
        <v>20194JPY</v>
      </c>
      <c r="AR1798" s="206" t="str">
        <f t="shared" ref="AR1798:AR1861" si="541">IFERROR(IF(AND(M1798="YAMAHA", R1798="C28"), "YAMAHA_Non_Mounter", IF(AND(M1798="YAMAHA", R1798="C49"), "YAMAHA_Mounter", M1798)),"")</f>
        <v>YAMAHA_Mounter</v>
      </c>
      <c r="AS1798" s="22">
        <f t="shared" ref="AS1798:AS1861" si="542">IFERROR(IF(OR(G1798="TBA", G1798=""), "", DATEDIF(DATE(B1798, C1798, 1), DATE(F1798, G1798, 1), "M")),"")</f>
        <v>0</v>
      </c>
      <c r="AT1798" s="24" t="str">
        <f t="shared" ref="AT1798:AT1861" si="543">IF(ISNUMBER(AS1798), IF(AS1798&gt;=0, IF(AS1798&lt;=3, "0-3 months", IF(AS1798&lt;=6, "4-6 months", "&gt; 6 months"))), "")</f>
        <v>0-3 months</v>
      </c>
      <c r="AU1798" s="22" t="s">
        <v>3745</v>
      </c>
    </row>
    <row r="1799" spans="1:47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48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1047</v>
      </c>
      <c r="K1799" s="155" t="s">
        <v>642</v>
      </c>
      <c r="L1799" s="17" t="s">
        <v>92</v>
      </c>
      <c r="M1799" s="13" t="s">
        <v>60</v>
      </c>
      <c r="N1799" s="13">
        <v>1</v>
      </c>
      <c r="O1799" s="13"/>
      <c r="P1799" s="33" t="str">
        <f t="shared" si="535"/>
        <v>MAIN UNIT</v>
      </c>
      <c r="Q1799" s="13" t="s">
        <v>61</v>
      </c>
      <c r="R1799" s="13" t="s">
        <v>62</v>
      </c>
      <c r="S1799" s="13" t="s">
        <v>49</v>
      </c>
      <c r="T1799" s="13" t="s">
        <v>249</v>
      </c>
      <c r="U1799" s="13" t="s">
        <v>79</v>
      </c>
      <c r="V1799" s="13" t="s">
        <v>126</v>
      </c>
      <c r="W1799" s="13" t="s">
        <v>64</v>
      </c>
      <c r="X1799" s="135">
        <v>942920</v>
      </c>
      <c r="Y1799" s="156">
        <v>1.1299999999999999</v>
      </c>
      <c r="Z1799" s="18">
        <f t="shared" si="525"/>
        <v>942920</v>
      </c>
      <c r="AA1799" s="13">
        <v>1.095</v>
      </c>
      <c r="AB1799" s="21">
        <f t="shared" si="529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0"/>
        <v>33477255.428389374</v>
      </c>
      <c r="AJ1799" s="19">
        <f t="shared" si="531"/>
        <v>4578663.362915583</v>
      </c>
      <c r="AK1799" s="20">
        <f t="shared" si="538"/>
        <v>0.13676937682988152</v>
      </c>
      <c r="AL1799" s="17"/>
      <c r="AM1799" s="17"/>
      <c r="AN1799" s="17"/>
      <c r="AO1799" s="17"/>
      <c r="AP1799" s="28" t="str">
        <f t="shared" si="539"/>
        <v>20204</v>
      </c>
      <c r="AQ1799" s="28" t="str">
        <f t="shared" si="540"/>
        <v>20204RMB</v>
      </c>
      <c r="AR1799" s="206" t="str">
        <f t="shared" si="541"/>
        <v>YAMAHA_Mounter</v>
      </c>
      <c r="AS1799" s="22">
        <f t="shared" si="542"/>
        <v>1</v>
      </c>
      <c r="AT1799" s="24" t="str">
        <f t="shared" si="543"/>
        <v>0-3 months</v>
      </c>
      <c r="AU1799" s="22" t="s">
        <v>3745</v>
      </c>
    </row>
    <row r="1800" spans="1:47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48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1047</v>
      </c>
      <c r="K1800" s="155" t="s">
        <v>642</v>
      </c>
      <c r="L1800" s="17" t="s">
        <v>67</v>
      </c>
      <c r="M1800" s="13" t="s">
        <v>60</v>
      </c>
      <c r="N1800" s="13">
        <v>1</v>
      </c>
      <c r="O1800" s="13"/>
      <c r="P1800" s="33" t="str">
        <f t="shared" si="535"/>
        <v>MAIN UNIT</v>
      </c>
      <c r="Q1800" s="13" t="s">
        <v>61</v>
      </c>
      <c r="R1800" s="13" t="s">
        <v>62</v>
      </c>
      <c r="S1800" s="13" t="s">
        <v>49</v>
      </c>
      <c r="T1800" s="13" t="s">
        <v>249</v>
      </c>
      <c r="U1800" s="13" t="s">
        <v>79</v>
      </c>
      <c r="V1800" s="13" t="s">
        <v>126</v>
      </c>
      <c r="W1800" s="13" t="s">
        <v>64</v>
      </c>
      <c r="X1800" s="135">
        <v>650000</v>
      </c>
      <c r="Y1800" s="156">
        <v>1.1299999999999999</v>
      </c>
      <c r="Z1800" s="18">
        <f t="shared" si="525"/>
        <v>650000</v>
      </c>
      <c r="AA1800" s="13">
        <v>1.095</v>
      </c>
      <c r="AB1800" s="21">
        <f t="shared" si="529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0"/>
        <v>33477255.428389374</v>
      </c>
      <c r="AJ1800" s="19">
        <f t="shared" si="531"/>
        <v>4578663.362915583</v>
      </c>
      <c r="AK1800" s="20">
        <f t="shared" si="538"/>
        <v>0.13676937682988152</v>
      </c>
      <c r="AL1800" s="17"/>
      <c r="AM1800" s="17"/>
      <c r="AN1800" s="17"/>
      <c r="AO1800" s="17"/>
      <c r="AP1800" s="28" t="str">
        <f t="shared" si="539"/>
        <v>20204</v>
      </c>
      <c r="AQ1800" s="28" t="str">
        <f t="shared" si="540"/>
        <v>20204RMB</v>
      </c>
      <c r="AR1800" s="206" t="str">
        <f t="shared" si="541"/>
        <v>YAMAHA_Mounter</v>
      </c>
      <c r="AS1800" s="22">
        <f t="shared" si="542"/>
        <v>1</v>
      </c>
      <c r="AT1800" s="24" t="str">
        <f t="shared" si="543"/>
        <v>0-3 months</v>
      </c>
      <c r="AU1800" s="22" t="s">
        <v>3745</v>
      </c>
    </row>
    <row r="1801" spans="1:47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53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1684</v>
      </c>
      <c r="K1801" s="155" t="s">
        <v>1685</v>
      </c>
      <c r="L1801" s="17" t="s">
        <v>92</v>
      </c>
      <c r="M1801" s="13" t="s">
        <v>60</v>
      </c>
      <c r="N1801" s="13">
        <v>1</v>
      </c>
      <c r="O1801" s="13"/>
      <c r="P1801" s="33" t="str">
        <f t="shared" si="535"/>
        <v>MAIN UNIT</v>
      </c>
      <c r="Q1801" s="13" t="s">
        <v>61</v>
      </c>
      <c r="R1801" s="13" t="s">
        <v>62</v>
      </c>
      <c r="S1801" s="13" t="s">
        <v>49</v>
      </c>
      <c r="T1801" s="13" t="s">
        <v>78</v>
      </c>
      <c r="U1801" s="13" t="s">
        <v>79</v>
      </c>
      <c r="V1801" s="13" t="s">
        <v>126</v>
      </c>
      <c r="W1801" s="13" t="s">
        <v>109</v>
      </c>
      <c r="X1801" s="135">
        <v>13700000</v>
      </c>
      <c r="Y1801" s="157" t="str">
        <f t="shared" ref="Y1801:Y1810" si="544">IF(W1801="RMB","1.13", "1")</f>
        <v>1</v>
      </c>
      <c r="Z1801" s="18">
        <f t="shared" si="525"/>
        <v>13700000</v>
      </c>
      <c r="AA1801" s="13">
        <v>7.17E-2</v>
      </c>
      <c r="AB1801" s="21">
        <f t="shared" si="529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0"/>
        <v>43684091.636631854</v>
      </c>
      <c r="AJ1801" s="19">
        <f t="shared" si="531"/>
        <v>6483951.8242071122</v>
      </c>
      <c r="AK1801" s="20">
        <f t="shared" si="538"/>
        <v>0.14842821680123736</v>
      </c>
      <c r="AL1801" s="17"/>
      <c r="AM1801" s="17"/>
      <c r="AN1801" s="17"/>
      <c r="AO1801" s="17"/>
      <c r="AP1801" s="28" t="str">
        <f t="shared" si="539"/>
        <v>20214</v>
      </c>
      <c r="AQ1801" s="28" t="str">
        <f t="shared" si="540"/>
        <v>20214JPY</v>
      </c>
      <c r="AR1801" s="206" t="str">
        <f t="shared" si="541"/>
        <v>YAMAHA_Mounter</v>
      </c>
      <c r="AS1801" s="22">
        <f t="shared" si="542"/>
        <v>1</v>
      </c>
      <c r="AT1801" s="24" t="str">
        <f t="shared" si="543"/>
        <v>0-3 months</v>
      </c>
      <c r="AU1801" s="22" t="s">
        <v>3746</v>
      </c>
    </row>
    <row r="1802" spans="1:47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53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1684</v>
      </c>
      <c r="K1802" s="155" t="s">
        <v>1685</v>
      </c>
      <c r="L1802" s="17" t="s">
        <v>67</v>
      </c>
      <c r="M1802" s="13" t="s">
        <v>60</v>
      </c>
      <c r="N1802" s="13">
        <v>1</v>
      </c>
      <c r="O1802" s="13"/>
      <c r="P1802" s="33" t="str">
        <f t="shared" si="535"/>
        <v>MAIN UNIT</v>
      </c>
      <c r="Q1802" s="13" t="s">
        <v>61</v>
      </c>
      <c r="R1802" s="13" t="s">
        <v>62</v>
      </c>
      <c r="S1802" s="13" t="s">
        <v>49</v>
      </c>
      <c r="T1802" s="13" t="s">
        <v>78</v>
      </c>
      <c r="U1802" s="13" t="s">
        <v>79</v>
      </c>
      <c r="V1802" s="13" t="s">
        <v>126</v>
      </c>
      <c r="W1802" s="13" t="s">
        <v>109</v>
      </c>
      <c r="X1802" s="135">
        <v>7580700</v>
      </c>
      <c r="Y1802" s="157" t="str">
        <f t="shared" si="544"/>
        <v>1</v>
      </c>
      <c r="Z1802" s="18">
        <f t="shared" ref="Z1802:Z1865" si="545">IF(X1802="","",X1802*MAX(O1802,N1802))</f>
        <v>7580700</v>
      </c>
      <c r="AA1802" s="13">
        <v>7.17E-2</v>
      </c>
      <c r="AB1802" s="21">
        <f t="shared" si="529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0"/>
        <v>43684091.636631854</v>
      </c>
      <c r="AJ1802" s="19">
        <f t="shared" si="531"/>
        <v>6483951.8242071122</v>
      </c>
      <c r="AK1802" s="20">
        <f t="shared" si="538"/>
        <v>0.14842821680123736</v>
      </c>
      <c r="AL1802" s="17"/>
      <c r="AM1802" s="17"/>
      <c r="AN1802" s="17"/>
      <c r="AO1802" s="17"/>
      <c r="AP1802" s="28" t="str">
        <f t="shared" si="539"/>
        <v>20214</v>
      </c>
      <c r="AQ1802" s="28" t="str">
        <f t="shared" si="540"/>
        <v>20214JPY</v>
      </c>
      <c r="AR1802" s="206" t="str">
        <f t="shared" si="541"/>
        <v>YAMAHA_Mounter</v>
      </c>
      <c r="AS1802" s="22">
        <f t="shared" si="542"/>
        <v>1</v>
      </c>
      <c r="AT1802" s="24" t="str">
        <f t="shared" si="543"/>
        <v>0-3 months</v>
      </c>
      <c r="AU1802" s="22" t="s">
        <v>3746</v>
      </c>
    </row>
    <row r="1803" spans="1:47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53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1771</v>
      </c>
      <c r="K1803" s="155" t="s">
        <v>1772</v>
      </c>
      <c r="L1803" s="17" t="s">
        <v>67</v>
      </c>
      <c r="M1803" s="13" t="s">
        <v>60</v>
      </c>
      <c r="N1803" s="13">
        <v>1</v>
      </c>
      <c r="O1803" s="13"/>
      <c r="P1803" s="33" t="str">
        <f t="shared" si="535"/>
        <v>MAIN UNIT</v>
      </c>
      <c r="Q1803" s="13" t="s">
        <v>61</v>
      </c>
      <c r="R1803" s="13" t="s">
        <v>62</v>
      </c>
      <c r="S1803" s="13" t="s">
        <v>49</v>
      </c>
      <c r="T1803" s="13" t="s">
        <v>78</v>
      </c>
      <c r="U1803" s="13" t="s">
        <v>79</v>
      </c>
      <c r="V1803" s="13" t="s">
        <v>311</v>
      </c>
      <c r="W1803" s="13" t="s">
        <v>64</v>
      </c>
      <c r="X1803" s="135">
        <v>825000</v>
      </c>
      <c r="Y1803" s="157" t="str">
        <f t="shared" si="544"/>
        <v>1.13</v>
      </c>
      <c r="Z1803" s="18">
        <f t="shared" si="545"/>
        <v>825000</v>
      </c>
      <c r="AA1803" s="13">
        <v>1.2150000000000001</v>
      </c>
      <c r="AB1803" s="21">
        <f t="shared" si="529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0"/>
        <v>54700260.692079648</v>
      </c>
      <c r="AJ1803" s="19">
        <f t="shared" si="531"/>
        <v>7482899.5749188727</v>
      </c>
      <c r="AK1803" s="20">
        <f t="shared" si="538"/>
        <v>0.13679824337660537</v>
      </c>
      <c r="AL1803" s="17"/>
      <c r="AM1803" s="17"/>
      <c r="AN1803" s="17"/>
      <c r="AO1803" s="17"/>
      <c r="AP1803" s="28" t="str">
        <f t="shared" si="539"/>
        <v>20216</v>
      </c>
      <c r="AQ1803" s="28" t="str">
        <f t="shared" si="540"/>
        <v>20216RMB</v>
      </c>
      <c r="AR1803" s="206" t="str">
        <f t="shared" si="541"/>
        <v>YAMAHA_Mounter</v>
      </c>
      <c r="AS1803" s="22">
        <f t="shared" si="542"/>
        <v>4</v>
      </c>
      <c r="AT1803" s="24" t="str">
        <f t="shared" si="543"/>
        <v>4-6 months</v>
      </c>
      <c r="AU1803" s="22" t="s">
        <v>3744</v>
      </c>
    </row>
    <row r="1804" spans="1:47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53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1771</v>
      </c>
      <c r="K1804" s="155" t="s">
        <v>1772</v>
      </c>
      <c r="L1804" s="17" t="s">
        <v>67</v>
      </c>
      <c r="M1804" s="13" t="s">
        <v>60</v>
      </c>
      <c r="N1804" s="13">
        <v>1</v>
      </c>
      <c r="O1804" s="13"/>
      <c r="P1804" s="33" t="str">
        <f t="shared" si="535"/>
        <v>MAIN UNIT</v>
      </c>
      <c r="Q1804" s="13" t="s">
        <v>61</v>
      </c>
      <c r="R1804" s="13" t="s">
        <v>62</v>
      </c>
      <c r="S1804" s="13" t="s">
        <v>49</v>
      </c>
      <c r="T1804" s="13" t="s">
        <v>78</v>
      </c>
      <c r="U1804" s="13" t="s">
        <v>79</v>
      </c>
      <c r="V1804" s="13" t="s">
        <v>311</v>
      </c>
      <c r="W1804" s="13" t="s">
        <v>64</v>
      </c>
      <c r="X1804" s="135">
        <v>825000</v>
      </c>
      <c r="Y1804" s="157" t="str">
        <f t="shared" si="544"/>
        <v>1.13</v>
      </c>
      <c r="Z1804" s="18">
        <f t="shared" si="545"/>
        <v>825000</v>
      </c>
      <c r="AA1804" s="13">
        <v>1.2150000000000001</v>
      </c>
      <c r="AB1804" s="21">
        <f t="shared" si="529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0"/>
        <v>54700260.692079648</v>
      </c>
      <c r="AJ1804" s="19">
        <f t="shared" si="531"/>
        <v>7482899.5749188727</v>
      </c>
      <c r="AK1804" s="20">
        <f t="shared" si="538"/>
        <v>0.13679824337660537</v>
      </c>
      <c r="AL1804" s="17"/>
      <c r="AM1804" s="17"/>
      <c r="AN1804" s="17"/>
      <c r="AO1804" s="17"/>
      <c r="AP1804" s="28" t="str">
        <f t="shared" si="539"/>
        <v>20216</v>
      </c>
      <c r="AQ1804" s="28" t="str">
        <f t="shared" si="540"/>
        <v>20216RMB</v>
      </c>
      <c r="AR1804" s="206" t="str">
        <f t="shared" si="541"/>
        <v>YAMAHA_Mounter</v>
      </c>
      <c r="AS1804" s="22">
        <f t="shared" si="542"/>
        <v>4</v>
      </c>
      <c r="AT1804" s="24" t="str">
        <f t="shared" si="543"/>
        <v>4-6 months</v>
      </c>
      <c r="AU1804" s="22" t="s">
        <v>3744</v>
      </c>
    </row>
    <row r="1805" spans="1:47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53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1771</v>
      </c>
      <c r="K1805" s="155" t="s">
        <v>1772</v>
      </c>
      <c r="L1805" s="17" t="s">
        <v>92</v>
      </c>
      <c r="M1805" s="13" t="s">
        <v>60</v>
      </c>
      <c r="N1805" s="13">
        <v>1</v>
      </c>
      <c r="O1805" s="13"/>
      <c r="P1805" s="33" t="str">
        <f t="shared" si="535"/>
        <v>MAIN UNIT</v>
      </c>
      <c r="Q1805" s="13" t="s">
        <v>61</v>
      </c>
      <c r="R1805" s="13" t="s">
        <v>62</v>
      </c>
      <c r="S1805" s="13" t="s">
        <v>49</v>
      </c>
      <c r="T1805" s="13" t="s">
        <v>78</v>
      </c>
      <c r="U1805" s="13" t="s">
        <v>79</v>
      </c>
      <c r="V1805" s="13" t="s">
        <v>311</v>
      </c>
      <c r="W1805" s="13" t="s">
        <v>64</v>
      </c>
      <c r="X1805" s="135">
        <v>1125000</v>
      </c>
      <c r="Y1805" s="157" t="str">
        <f t="shared" si="544"/>
        <v>1.13</v>
      </c>
      <c r="Z1805" s="18">
        <f t="shared" si="545"/>
        <v>1125000</v>
      </c>
      <c r="AA1805" s="13">
        <v>1.2150000000000001</v>
      </c>
      <c r="AB1805" s="21">
        <f t="shared" si="529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0"/>
        <v>54700260.692079648</v>
      </c>
      <c r="AJ1805" s="19">
        <f t="shared" si="531"/>
        <v>7482899.5749188727</v>
      </c>
      <c r="AK1805" s="20">
        <f t="shared" si="538"/>
        <v>0.13679824337660537</v>
      </c>
      <c r="AL1805" s="17"/>
      <c r="AM1805" s="17"/>
      <c r="AN1805" s="17"/>
      <c r="AO1805" s="17"/>
      <c r="AP1805" s="28" t="str">
        <f t="shared" si="539"/>
        <v>20216</v>
      </c>
      <c r="AQ1805" s="28" t="str">
        <f t="shared" si="540"/>
        <v>20216RMB</v>
      </c>
      <c r="AR1805" s="206" t="str">
        <f t="shared" si="541"/>
        <v>YAMAHA_Mounter</v>
      </c>
      <c r="AS1805" s="22">
        <f t="shared" si="542"/>
        <v>4</v>
      </c>
      <c r="AT1805" s="24" t="str">
        <f t="shared" si="543"/>
        <v>4-6 months</v>
      </c>
      <c r="AU1805" s="22" t="s">
        <v>3744</v>
      </c>
    </row>
    <row r="1806" spans="1:47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53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1771</v>
      </c>
      <c r="K1806" s="155" t="s">
        <v>1772</v>
      </c>
      <c r="L1806" s="17" t="s">
        <v>92</v>
      </c>
      <c r="M1806" s="13" t="s">
        <v>60</v>
      </c>
      <c r="N1806" s="13">
        <v>1</v>
      </c>
      <c r="O1806" s="13"/>
      <c r="P1806" s="33" t="str">
        <f t="shared" si="535"/>
        <v>MAIN UNIT</v>
      </c>
      <c r="Q1806" s="13" t="s">
        <v>61</v>
      </c>
      <c r="R1806" s="13" t="s">
        <v>62</v>
      </c>
      <c r="S1806" s="13" t="s">
        <v>49</v>
      </c>
      <c r="T1806" s="13" t="s">
        <v>78</v>
      </c>
      <c r="U1806" s="13" t="s">
        <v>79</v>
      </c>
      <c r="V1806" s="13" t="s">
        <v>311</v>
      </c>
      <c r="W1806" s="13" t="s">
        <v>64</v>
      </c>
      <c r="X1806" s="135">
        <v>1125000</v>
      </c>
      <c r="Y1806" s="157" t="str">
        <f t="shared" si="544"/>
        <v>1.13</v>
      </c>
      <c r="Z1806" s="18">
        <f t="shared" si="545"/>
        <v>1125000</v>
      </c>
      <c r="AA1806" s="13">
        <v>1.2150000000000001</v>
      </c>
      <c r="AB1806" s="21">
        <f t="shared" si="529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0"/>
        <v>54700260.692079648</v>
      </c>
      <c r="AJ1806" s="19">
        <f t="shared" si="531"/>
        <v>7482899.5749188727</v>
      </c>
      <c r="AK1806" s="20">
        <f t="shared" si="538"/>
        <v>0.13679824337660537</v>
      </c>
      <c r="AL1806" s="17"/>
      <c r="AM1806" s="17"/>
      <c r="AN1806" s="17"/>
      <c r="AO1806" s="17"/>
      <c r="AP1806" s="28" t="str">
        <f t="shared" si="539"/>
        <v>20216</v>
      </c>
      <c r="AQ1806" s="28" t="str">
        <f t="shared" si="540"/>
        <v>20216RMB</v>
      </c>
      <c r="AR1806" s="206" t="str">
        <f t="shared" si="541"/>
        <v>YAMAHA_Mounter</v>
      </c>
      <c r="AS1806" s="22">
        <f t="shared" si="542"/>
        <v>4</v>
      </c>
      <c r="AT1806" s="24" t="str">
        <f t="shared" si="543"/>
        <v>4-6 months</v>
      </c>
      <c r="AU1806" s="22" t="s">
        <v>3744</v>
      </c>
    </row>
    <row r="1807" spans="1:47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53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2986</v>
      </c>
      <c r="K1807" s="155" t="s">
        <v>2987</v>
      </c>
      <c r="L1807" s="17" t="s">
        <v>2956</v>
      </c>
      <c r="M1807" s="13" t="s">
        <v>2832</v>
      </c>
      <c r="N1807" s="13">
        <v>1</v>
      </c>
      <c r="O1807" s="13"/>
      <c r="P1807" s="33" t="str">
        <f t="shared" si="535"/>
        <v>MAIN UNIT</v>
      </c>
      <c r="Q1807" s="13" t="s">
        <v>68</v>
      </c>
      <c r="R1807" s="13" t="s">
        <v>2055</v>
      </c>
      <c r="S1807" s="13" t="s">
        <v>52</v>
      </c>
      <c r="T1807" s="13" t="s">
        <v>176</v>
      </c>
      <c r="U1807" s="13" t="s">
        <v>177</v>
      </c>
      <c r="V1807" s="13" t="s">
        <v>178</v>
      </c>
      <c r="W1807" s="13" t="s">
        <v>64</v>
      </c>
      <c r="X1807" s="135">
        <v>720000</v>
      </c>
      <c r="Y1807" s="157" t="str">
        <f t="shared" si="544"/>
        <v>1.13</v>
      </c>
      <c r="Z1807" s="18">
        <f t="shared" si="545"/>
        <v>720000</v>
      </c>
      <c r="AA1807" s="13">
        <v>1.22</v>
      </c>
      <c r="AB1807" s="21">
        <f t="shared" si="529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0"/>
        <v>28726768.133805312</v>
      </c>
      <c r="AJ1807" s="19">
        <f t="shared" si="531"/>
        <v>3853638.1988864429</v>
      </c>
      <c r="AK1807" s="20">
        <f t="shared" si="538"/>
        <v>0.1341479898099476</v>
      </c>
      <c r="AL1807" s="17"/>
      <c r="AM1807" s="17"/>
      <c r="AN1807" s="17"/>
      <c r="AO1807" s="17"/>
      <c r="AP1807" s="28" t="str">
        <f t="shared" si="539"/>
        <v>20223</v>
      </c>
      <c r="AQ1807" s="28" t="str">
        <f t="shared" si="540"/>
        <v>20223RMB</v>
      </c>
      <c r="AR1807" s="206" t="str">
        <f t="shared" si="541"/>
        <v>PEMTRON</v>
      </c>
      <c r="AS1807" s="22">
        <f t="shared" si="542"/>
        <v>3</v>
      </c>
      <c r="AT1807" s="24" t="str">
        <f t="shared" si="543"/>
        <v>0-3 months</v>
      </c>
      <c r="AU1807" s="22" t="s">
        <v>3240</v>
      </c>
    </row>
    <row r="1808" spans="1:47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53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2986</v>
      </c>
      <c r="K1808" s="155" t="s">
        <v>2987</v>
      </c>
      <c r="L1808" s="17" t="s">
        <v>2956</v>
      </c>
      <c r="M1808" s="13" t="s">
        <v>2832</v>
      </c>
      <c r="N1808" s="13">
        <v>1</v>
      </c>
      <c r="O1808" s="13"/>
      <c r="P1808" s="33" t="str">
        <f t="shared" si="535"/>
        <v>MAIN UNIT</v>
      </c>
      <c r="Q1808" s="13" t="s">
        <v>68</v>
      </c>
      <c r="R1808" s="13" t="s">
        <v>2055</v>
      </c>
      <c r="S1808" s="13" t="s">
        <v>52</v>
      </c>
      <c r="T1808" s="13" t="s">
        <v>176</v>
      </c>
      <c r="U1808" s="13" t="s">
        <v>177</v>
      </c>
      <c r="V1808" s="13" t="s">
        <v>178</v>
      </c>
      <c r="W1808" s="13" t="s">
        <v>64</v>
      </c>
      <c r="X1808" s="135">
        <v>720000</v>
      </c>
      <c r="Y1808" s="157" t="str">
        <f t="shared" si="544"/>
        <v>1.13</v>
      </c>
      <c r="Z1808" s="18">
        <f t="shared" si="545"/>
        <v>720000</v>
      </c>
      <c r="AA1808" s="13">
        <v>1.22</v>
      </c>
      <c r="AB1808" s="21">
        <f t="shared" si="529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0"/>
        <v>28726768.133805312</v>
      </c>
      <c r="AJ1808" s="19">
        <f t="shared" si="531"/>
        <v>3853638.1988864429</v>
      </c>
      <c r="AK1808" s="20">
        <f t="shared" si="538"/>
        <v>0.1341479898099476</v>
      </c>
      <c r="AL1808" s="17"/>
      <c r="AM1808" s="17"/>
      <c r="AN1808" s="17"/>
      <c r="AO1808" s="17"/>
      <c r="AP1808" s="28" t="str">
        <f t="shared" si="539"/>
        <v>20223</v>
      </c>
      <c r="AQ1808" s="28" t="str">
        <f t="shared" si="540"/>
        <v>20223RMB</v>
      </c>
      <c r="AR1808" s="206" t="str">
        <f t="shared" si="541"/>
        <v>PEMTRON</v>
      </c>
      <c r="AS1808" s="22">
        <f t="shared" si="542"/>
        <v>3</v>
      </c>
      <c r="AT1808" s="24" t="str">
        <f t="shared" si="543"/>
        <v>0-3 months</v>
      </c>
      <c r="AU1808" s="22" t="s">
        <v>3240</v>
      </c>
    </row>
    <row r="1809" spans="1:47" s="12" customFormat="1">
      <c r="A1809" s="33" t="str">
        <f t="shared" si="532"/>
        <v>cancel</v>
      </c>
      <c r="B1809" s="152"/>
      <c r="C1809" s="152" t="s">
        <v>185</v>
      </c>
      <c r="D1809" s="33" t="str">
        <f t="shared" si="533"/>
        <v/>
      </c>
      <c r="E1809" s="33" t="s">
        <v>185</v>
      </c>
      <c r="F1809" s="13" t="s">
        <v>185</v>
      </c>
      <c r="G1809" s="152" t="s">
        <v>1616</v>
      </c>
      <c r="H1809" s="155" t="s">
        <v>1617</v>
      </c>
      <c r="I1809" s="33" t="str">
        <f t="shared" si="534"/>
        <v>Cancel</v>
      </c>
      <c r="J1809" s="186" t="s">
        <v>2756</v>
      </c>
      <c r="K1809" s="155" t="s">
        <v>2757</v>
      </c>
      <c r="L1809" s="17" t="s">
        <v>67</v>
      </c>
      <c r="M1809" s="13" t="s">
        <v>60</v>
      </c>
      <c r="N1809" s="13">
        <v>1</v>
      </c>
      <c r="O1809" s="13"/>
      <c r="P1809" s="33" t="str">
        <f t="shared" si="535"/>
        <v>MAIN UNIT</v>
      </c>
      <c r="Q1809" s="13" t="s">
        <v>68</v>
      </c>
      <c r="R1809" s="13" t="s">
        <v>62</v>
      </c>
      <c r="S1809" s="13" t="s">
        <v>49</v>
      </c>
      <c r="T1809" s="13" t="s">
        <v>78</v>
      </c>
      <c r="U1809" s="13" t="s">
        <v>79</v>
      </c>
      <c r="V1809" s="13" t="s">
        <v>112</v>
      </c>
      <c r="W1809" s="13" t="s">
        <v>109</v>
      </c>
      <c r="X1809" s="135">
        <v>6600000</v>
      </c>
      <c r="Y1809" s="157" t="str">
        <f t="shared" si="544"/>
        <v>1</v>
      </c>
      <c r="Z1809" s="18">
        <f t="shared" si="545"/>
        <v>6600000</v>
      </c>
      <c r="AA1809" s="13">
        <v>7.4499999999999997E-2</v>
      </c>
      <c r="AB1809" s="21">
        <f t="shared" si="529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0"/>
        <v>499582152.5142017</v>
      </c>
      <c r="AJ1809" s="19">
        <f t="shared" si="531"/>
        <v>59520528.679470733</v>
      </c>
      <c r="AK1809" s="20">
        <f t="shared" si="538"/>
        <v>0.11914062257814291</v>
      </c>
      <c r="AL1809" s="17"/>
      <c r="AM1809" s="17"/>
      <c r="AN1809" s="17"/>
      <c r="AO1809" s="17"/>
      <c r="AP1809" s="28" t="str">
        <f t="shared" si="539"/>
        <v>CancelCANCEL</v>
      </c>
      <c r="AQ1809" s="28" t="str">
        <f t="shared" si="540"/>
        <v>CancelCANCELJPY</v>
      </c>
      <c r="AR1809" s="206" t="str">
        <f t="shared" si="541"/>
        <v>YAMAHA_Mounter</v>
      </c>
      <c r="AS1809" s="22" t="str">
        <f t="shared" si="542"/>
        <v/>
      </c>
      <c r="AT1809" s="24" t="str">
        <f t="shared" si="543"/>
        <v/>
      </c>
      <c r="AU1809" s="22" t="s">
        <v>3745</v>
      </c>
    </row>
    <row r="1810" spans="1:47" s="12" customFormat="1">
      <c r="A1810" s="33" t="str">
        <f t="shared" si="532"/>
        <v>cancel</v>
      </c>
      <c r="B1810" s="152"/>
      <c r="C1810" s="152" t="s">
        <v>185</v>
      </c>
      <c r="D1810" s="33" t="str">
        <f t="shared" si="533"/>
        <v/>
      </c>
      <c r="E1810" s="33" t="s">
        <v>185</v>
      </c>
      <c r="F1810" s="13" t="s">
        <v>185</v>
      </c>
      <c r="G1810" s="152" t="s">
        <v>185</v>
      </c>
      <c r="H1810" s="155" t="s">
        <v>2758</v>
      </c>
      <c r="I1810" s="33" t="str">
        <f t="shared" si="534"/>
        <v>Cancel</v>
      </c>
      <c r="J1810" s="186" t="s">
        <v>2759</v>
      </c>
      <c r="K1810" s="155" t="s">
        <v>2757</v>
      </c>
      <c r="L1810" s="17" t="s">
        <v>92</v>
      </c>
      <c r="M1810" s="13" t="s">
        <v>60</v>
      </c>
      <c r="N1810" s="13">
        <v>1</v>
      </c>
      <c r="O1810" s="13"/>
      <c r="P1810" s="33" t="str">
        <f t="shared" si="535"/>
        <v>MAIN UNIT</v>
      </c>
      <c r="Q1810" s="13" t="s">
        <v>68</v>
      </c>
      <c r="R1810" s="13" t="s">
        <v>62</v>
      </c>
      <c r="S1810" s="13" t="s">
        <v>49</v>
      </c>
      <c r="T1810" s="13" t="s">
        <v>78</v>
      </c>
      <c r="U1810" s="13" t="s">
        <v>79</v>
      </c>
      <c r="V1810" s="13" t="s">
        <v>112</v>
      </c>
      <c r="W1810" s="13" t="s">
        <v>109</v>
      </c>
      <c r="X1810" s="135">
        <v>11500000</v>
      </c>
      <c r="Y1810" s="157" t="str">
        <f t="shared" si="544"/>
        <v>1</v>
      </c>
      <c r="Z1810" s="18">
        <f t="shared" si="545"/>
        <v>11500000</v>
      </c>
      <c r="AA1810" s="13">
        <v>6.25E-2</v>
      </c>
      <c r="AB1810" s="21">
        <f t="shared" si="529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0"/>
        <v>499582152.5142017</v>
      </c>
      <c r="AJ1810" s="19">
        <f t="shared" si="531"/>
        <v>59520528.679470733</v>
      </c>
      <c r="AK1810" s="20">
        <f t="shared" si="538"/>
        <v>0.11914062257814291</v>
      </c>
      <c r="AL1810" s="17"/>
      <c r="AM1810" s="17"/>
      <c r="AN1810" s="17"/>
      <c r="AO1810" s="17"/>
      <c r="AP1810" s="28" t="str">
        <f t="shared" si="539"/>
        <v>CancelCancel</v>
      </c>
      <c r="AQ1810" s="28" t="str">
        <f t="shared" si="540"/>
        <v>CancelCancelJPY</v>
      </c>
      <c r="AR1810" s="206" t="str">
        <f t="shared" si="541"/>
        <v>YAMAHA_Mounter</v>
      </c>
      <c r="AS1810" s="22" t="str">
        <f t="shared" si="542"/>
        <v/>
      </c>
      <c r="AT1810" s="24" t="str">
        <f t="shared" si="543"/>
        <v/>
      </c>
      <c r="AU1810" s="22" t="s">
        <v>3745</v>
      </c>
    </row>
    <row r="1811" spans="1:47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41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382</v>
      </c>
      <c r="K1811" s="155" t="s">
        <v>383</v>
      </c>
      <c r="L1811" s="17" t="s">
        <v>67</v>
      </c>
      <c r="M1811" s="13" t="s">
        <v>60</v>
      </c>
      <c r="N1811" s="13">
        <v>1</v>
      </c>
      <c r="O1811" s="13"/>
      <c r="P1811" s="33" t="str">
        <f t="shared" si="535"/>
        <v>MAIN UNIT</v>
      </c>
      <c r="Q1811" s="13" t="s">
        <v>68</v>
      </c>
      <c r="R1811" s="13" t="s">
        <v>62</v>
      </c>
      <c r="S1811" s="13" t="s">
        <v>370</v>
      </c>
      <c r="T1811" s="13" t="s">
        <v>78</v>
      </c>
      <c r="U1811" s="13" t="s">
        <v>79</v>
      </c>
      <c r="V1811" s="13" t="s">
        <v>134</v>
      </c>
      <c r="W1811" s="13" t="s">
        <v>64</v>
      </c>
      <c r="X1811" s="135">
        <v>605000</v>
      </c>
      <c r="Y1811" s="156">
        <v>1.1599999999999999</v>
      </c>
      <c r="Z1811" s="18">
        <f t="shared" si="545"/>
        <v>605000</v>
      </c>
      <c r="AA1811" s="13">
        <v>1.1499999999999999</v>
      </c>
      <c r="AB1811" s="21">
        <f t="shared" si="529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0"/>
        <v>26492741.106427077</v>
      </c>
      <c r="AJ1811" s="19">
        <f t="shared" si="531"/>
        <v>3348032.1325698122</v>
      </c>
      <c r="AK1811" s="20">
        <f t="shared" si="538"/>
        <v>0.12637545201985867</v>
      </c>
      <c r="AL1811" s="17"/>
      <c r="AM1811" s="17"/>
      <c r="AN1811" s="17"/>
      <c r="AO1811" s="17"/>
      <c r="AP1811" s="28" t="str">
        <f t="shared" si="539"/>
        <v>20189</v>
      </c>
      <c r="AQ1811" s="28" t="str">
        <f t="shared" si="540"/>
        <v>20189RMB</v>
      </c>
      <c r="AR1811" s="206" t="str">
        <f t="shared" si="541"/>
        <v>YAMAHA_Mounter</v>
      </c>
      <c r="AS1811" s="22">
        <f t="shared" si="542"/>
        <v>2</v>
      </c>
      <c r="AT1811" s="24" t="str">
        <f t="shared" si="543"/>
        <v>0-3 months</v>
      </c>
      <c r="AU1811" s="22" t="s">
        <v>3744</v>
      </c>
    </row>
    <row r="1812" spans="1:47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41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536</v>
      </c>
      <c r="K1812" s="155" t="s">
        <v>537</v>
      </c>
      <c r="L1812" s="17" t="s">
        <v>92</v>
      </c>
      <c r="M1812" s="13" t="s">
        <v>60</v>
      </c>
      <c r="N1812" s="13">
        <v>1</v>
      </c>
      <c r="O1812" s="13"/>
      <c r="P1812" s="33" t="str">
        <f t="shared" si="535"/>
        <v>MAIN UNIT</v>
      </c>
      <c r="Q1812" s="13" t="s">
        <v>61</v>
      </c>
      <c r="R1812" s="13" t="s">
        <v>538</v>
      </c>
      <c r="S1812" s="13" t="s">
        <v>49</v>
      </c>
      <c r="T1812" s="13" t="s">
        <v>78</v>
      </c>
      <c r="U1812" s="13" t="s">
        <v>79</v>
      </c>
      <c r="V1812" s="13" t="s">
        <v>134</v>
      </c>
      <c r="W1812" s="13" t="s">
        <v>64</v>
      </c>
      <c r="X1812" s="135">
        <v>1000000</v>
      </c>
      <c r="Y1812" s="156">
        <v>1.1599999999999999</v>
      </c>
      <c r="Z1812" s="18">
        <f t="shared" si="545"/>
        <v>1000000</v>
      </c>
      <c r="AA1812" s="13">
        <v>1.1499999999999999</v>
      </c>
      <c r="AB1812" s="21">
        <f t="shared" si="529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0"/>
        <v>16455710.386637932</v>
      </c>
      <c r="AJ1812" s="19">
        <f t="shared" si="531"/>
        <v>2150644.6466930606</v>
      </c>
      <c r="AK1812" s="20">
        <f t="shared" si="538"/>
        <v>0.13069290818580451</v>
      </c>
      <c r="AL1812" s="17"/>
      <c r="AM1812" s="17"/>
      <c r="AN1812" s="17"/>
      <c r="AO1812" s="17"/>
      <c r="AP1812" s="28" t="str">
        <f t="shared" si="539"/>
        <v>20192</v>
      </c>
      <c r="AQ1812" s="28" t="str">
        <f t="shared" si="540"/>
        <v>20192RMB</v>
      </c>
      <c r="AR1812" s="206" t="str">
        <f t="shared" si="541"/>
        <v>YAMAHA_Mounter</v>
      </c>
      <c r="AS1812" s="22">
        <f t="shared" si="542"/>
        <v>2</v>
      </c>
      <c r="AT1812" s="24" t="str">
        <f t="shared" si="543"/>
        <v>0-3 months</v>
      </c>
      <c r="AU1812" s="22" t="s">
        <v>3744</v>
      </c>
    </row>
    <row r="1813" spans="1:47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185</v>
      </c>
      <c r="F1813" s="13" t="s">
        <v>185</v>
      </c>
      <c r="G1813" s="152" t="s">
        <v>185</v>
      </c>
      <c r="H1813" s="155"/>
      <c r="I1813" s="33" t="str">
        <f t="shared" si="534"/>
        <v>Cancel</v>
      </c>
      <c r="J1813" s="186" t="s">
        <v>590</v>
      </c>
      <c r="K1813" s="155" t="s">
        <v>591</v>
      </c>
      <c r="L1813" s="17" t="s">
        <v>92</v>
      </c>
      <c r="M1813" s="13" t="s">
        <v>60</v>
      </c>
      <c r="N1813" s="13">
        <v>2</v>
      </c>
      <c r="O1813" s="13"/>
      <c r="P1813" s="33" t="str">
        <f t="shared" si="535"/>
        <v>MAIN UNIT</v>
      </c>
      <c r="Q1813" s="13" t="s">
        <v>61</v>
      </c>
      <c r="R1813" s="13" t="s">
        <v>62</v>
      </c>
      <c r="S1813" s="13" t="s">
        <v>49</v>
      </c>
      <c r="T1813" s="13" t="s">
        <v>78</v>
      </c>
      <c r="U1813" s="13" t="s">
        <v>79</v>
      </c>
      <c r="V1813" s="13" t="s">
        <v>126</v>
      </c>
      <c r="W1813" s="13" t="s">
        <v>109</v>
      </c>
      <c r="X1813" s="135">
        <v>16150000</v>
      </c>
      <c r="Y1813" s="156">
        <v>1</v>
      </c>
      <c r="Z1813" s="18">
        <f t="shared" si="545"/>
        <v>32300000</v>
      </c>
      <c r="AA1813" s="13">
        <v>7.51E-2</v>
      </c>
      <c r="AB1813" s="21">
        <f t="shared" si="529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0"/>
        <v>499582152.5142017</v>
      </c>
      <c r="AJ1813" s="19">
        <f t="shared" si="531"/>
        <v>59520528.679470733</v>
      </c>
      <c r="AK1813" s="20">
        <f t="shared" si="538"/>
        <v>0.11914062257814291</v>
      </c>
      <c r="AL1813" s="17"/>
      <c r="AM1813" s="17"/>
      <c r="AN1813" s="17"/>
      <c r="AO1813" s="17"/>
      <c r="AP1813" s="28" t="str">
        <f t="shared" si="539"/>
        <v>CancelCancel</v>
      </c>
      <c r="AQ1813" s="28" t="str">
        <f t="shared" si="540"/>
        <v>CancelCancelJPY</v>
      </c>
      <c r="AR1813" s="206" t="str">
        <f t="shared" si="541"/>
        <v>YAMAHA_Mounter</v>
      </c>
      <c r="AS1813" s="22" t="str">
        <f t="shared" si="542"/>
        <v/>
      </c>
      <c r="AT1813" s="24" t="str">
        <f t="shared" si="543"/>
        <v/>
      </c>
      <c r="AU1813" s="22" t="s">
        <v>3745</v>
      </c>
    </row>
    <row r="1814" spans="1:47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48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1241</v>
      </c>
      <c r="K1814" s="155" t="s">
        <v>1242</v>
      </c>
      <c r="L1814" s="17" t="s">
        <v>92</v>
      </c>
      <c r="M1814" s="13" t="s">
        <v>60</v>
      </c>
      <c r="N1814" s="13">
        <v>1</v>
      </c>
      <c r="O1814" s="13"/>
      <c r="P1814" s="33" t="str">
        <f t="shared" si="535"/>
        <v>MAIN UNIT</v>
      </c>
      <c r="Q1814" s="13" t="s">
        <v>61</v>
      </c>
      <c r="R1814" s="13" t="s">
        <v>62</v>
      </c>
      <c r="S1814" s="13" t="s">
        <v>49</v>
      </c>
      <c r="T1814" s="13" t="s">
        <v>78</v>
      </c>
      <c r="U1814" s="13" t="s">
        <v>79</v>
      </c>
      <c r="V1814" s="13" t="s">
        <v>1186</v>
      </c>
      <c r="W1814" s="13" t="s">
        <v>109</v>
      </c>
      <c r="X1814" s="135">
        <v>12000000</v>
      </c>
      <c r="Y1814" s="156">
        <v>1</v>
      </c>
      <c r="Z1814" s="18">
        <f t="shared" si="545"/>
        <v>12000000</v>
      </c>
      <c r="AA1814" s="13">
        <v>7.3400000000000007E-2</v>
      </c>
      <c r="AB1814" s="21">
        <f t="shared" si="529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0"/>
        <v>29183109.05575221</v>
      </c>
      <c r="AJ1814" s="19">
        <f t="shared" si="531"/>
        <v>3741266.5648721238</v>
      </c>
      <c r="AK1814" s="20">
        <f t="shared" si="538"/>
        <v>0.12819972531798121</v>
      </c>
      <c r="AL1814" s="17"/>
      <c r="AM1814" s="17"/>
      <c r="AN1814" s="17"/>
      <c r="AO1814" s="17"/>
      <c r="AP1814" s="28" t="str">
        <f t="shared" si="539"/>
        <v>20206</v>
      </c>
      <c r="AQ1814" s="28" t="str">
        <f t="shared" si="540"/>
        <v>20206JPY</v>
      </c>
      <c r="AR1814" s="206" t="str">
        <f t="shared" si="541"/>
        <v>YAMAHA_Mounter</v>
      </c>
      <c r="AS1814" s="22">
        <f t="shared" si="542"/>
        <v>0</v>
      </c>
      <c r="AT1814" s="24" t="str">
        <f t="shared" si="543"/>
        <v>0-3 months</v>
      </c>
      <c r="AU1814" s="22" t="s">
        <v>3745</v>
      </c>
    </row>
    <row r="1815" spans="1:47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48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1241</v>
      </c>
      <c r="K1815" s="155" t="s">
        <v>1242</v>
      </c>
      <c r="L1815" s="17" t="s">
        <v>67</v>
      </c>
      <c r="M1815" s="13" t="s">
        <v>60</v>
      </c>
      <c r="N1815" s="13">
        <v>1</v>
      </c>
      <c r="O1815" s="13"/>
      <c r="P1815" s="33" t="str">
        <f t="shared" si="535"/>
        <v>MAIN UNIT</v>
      </c>
      <c r="Q1815" s="13" t="s">
        <v>61</v>
      </c>
      <c r="R1815" s="13" t="s">
        <v>62</v>
      </c>
      <c r="S1815" s="13" t="s">
        <v>49</v>
      </c>
      <c r="T1815" s="13" t="s">
        <v>78</v>
      </c>
      <c r="U1815" s="13" t="s">
        <v>79</v>
      </c>
      <c r="V1815" s="13" t="s">
        <v>1186</v>
      </c>
      <c r="W1815" s="13" t="s">
        <v>109</v>
      </c>
      <c r="X1815" s="135">
        <v>8200000</v>
      </c>
      <c r="Y1815" s="156">
        <v>1</v>
      </c>
      <c r="Z1815" s="18">
        <f t="shared" si="545"/>
        <v>8200000</v>
      </c>
      <c r="AA1815" s="13">
        <v>7.3400000000000007E-2</v>
      </c>
      <c r="AB1815" s="21">
        <f t="shared" si="529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0"/>
        <v>29183109.05575221</v>
      </c>
      <c r="AJ1815" s="19">
        <f t="shared" si="531"/>
        <v>3741266.5648721238</v>
      </c>
      <c r="AK1815" s="20">
        <f t="shared" si="538"/>
        <v>0.12819972531798121</v>
      </c>
      <c r="AL1815" s="17"/>
      <c r="AM1815" s="17"/>
      <c r="AN1815" s="17"/>
      <c r="AO1815" s="17"/>
      <c r="AP1815" s="28" t="str">
        <f t="shared" si="539"/>
        <v>20206</v>
      </c>
      <c r="AQ1815" s="28" t="str">
        <f t="shared" si="540"/>
        <v>20206JPY</v>
      </c>
      <c r="AR1815" s="206" t="str">
        <f t="shared" si="541"/>
        <v>YAMAHA_Mounter</v>
      </c>
      <c r="AS1815" s="22">
        <f t="shared" si="542"/>
        <v>0</v>
      </c>
      <c r="AT1815" s="24" t="str">
        <f t="shared" si="543"/>
        <v>0-3 months</v>
      </c>
      <c r="AU1815" s="22" t="s">
        <v>3745</v>
      </c>
    </row>
    <row r="1816" spans="1:47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185</v>
      </c>
      <c r="F1816" s="13" t="s">
        <v>185</v>
      </c>
      <c r="G1816" s="152" t="s">
        <v>185</v>
      </c>
      <c r="H1816" s="155"/>
      <c r="I1816" s="33" t="str">
        <f t="shared" si="534"/>
        <v>Cancel</v>
      </c>
      <c r="J1816" s="186" t="s">
        <v>1633</v>
      </c>
      <c r="K1816" s="155" t="s">
        <v>1634</v>
      </c>
      <c r="L1816" s="17" t="s">
        <v>92</v>
      </c>
      <c r="M1816" s="13" t="s">
        <v>60</v>
      </c>
      <c r="N1816" s="13">
        <v>1</v>
      </c>
      <c r="O1816" s="13"/>
      <c r="P1816" s="33" t="str">
        <f t="shared" si="535"/>
        <v>MAIN UNIT</v>
      </c>
      <c r="Q1816" s="13" t="s">
        <v>61</v>
      </c>
      <c r="R1816" s="13" t="s">
        <v>62</v>
      </c>
      <c r="S1816" s="13" t="s">
        <v>49</v>
      </c>
      <c r="T1816" s="13" t="s">
        <v>78</v>
      </c>
      <c r="U1816" s="13" t="s">
        <v>79</v>
      </c>
      <c r="V1816" s="13" t="s">
        <v>126</v>
      </c>
      <c r="W1816" s="13" t="s">
        <v>109</v>
      </c>
      <c r="X1816" s="135">
        <v>13450000</v>
      </c>
      <c r="Y1816" s="157" t="str">
        <f t="shared" ref="Y1816:Y1851" si="546">IF(W1816="RMB","1.13", "1")</f>
        <v>1</v>
      </c>
      <c r="Z1816" s="18">
        <f t="shared" si="545"/>
        <v>13450000</v>
      </c>
      <c r="AA1816" s="13">
        <v>6.25E-2</v>
      </c>
      <c r="AB1816" s="21">
        <f t="shared" si="529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0"/>
        <v>499582152.5142017</v>
      </c>
      <c r="AJ1816" s="19">
        <f t="shared" si="531"/>
        <v>59520528.679470733</v>
      </c>
      <c r="AK1816" s="20">
        <f t="shared" si="538"/>
        <v>0.11914062257814291</v>
      </c>
      <c r="AL1816" s="17"/>
      <c r="AM1816" s="17"/>
      <c r="AN1816" s="17"/>
      <c r="AO1816" s="17"/>
      <c r="AP1816" s="28" t="str">
        <f t="shared" si="539"/>
        <v>CancelCancel</v>
      </c>
      <c r="AQ1816" s="28" t="str">
        <f t="shared" si="540"/>
        <v>CancelCancelJPY</v>
      </c>
      <c r="AR1816" s="206" t="str">
        <f t="shared" si="541"/>
        <v>YAMAHA_Mounter</v>
      </c>
      <c r="AS1816" s="22" t="str">
        <f t="shared" si="542"/>
        <v/>
      </c>
      <c r="AT1816" s="24" t="str">
        <f t="shared" si="543"/>
        <v/>
      </c>
      <c r="AU1816" s="22" t="s">
        <v>3746</v>
      </c>
    </row>
    <row r="1817" spans="1:47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185</v>
      </c>
      <c r="F1817" s="13" t="s">
        <v>185</v>
      </c>
      <c r="G1817" s="152" t="s">
        <v>185</v>
      </c>
      <c r="H1817" s="155"/>
      <c r="I1817" s="33" t="str">
        <f t="shared" si="534"/>
        <v>Cancel</v>
      </c>
      <c r="J1817" s="186" t="s">
        <v>1633</v>
      </c>
      <c r="K1817" s="155" t="s">
        <v>1634</v>
      </c>
      <c r="L1817" s="17" t="s">
        <v>92</v>
      </c>
      <c r="M1817" s="13" t="s">
        <v>60</v>
      </c>
      <c r="N1817" s="13">
        <v>1</v>
      </c>
      <c r="O1817" s="13"/>
      <c r="P1817" s="33" t="str">
        <f t="shared" si="535"/>
        <v>MAIN UNIT</v>
      </c>
      <c r="Q1817" s="13" t="s">
        <v>61</v>
      </c>
      <c r="R1817" s="13" t="s">
        <v>62</v>
      </c>
      <c r="S1817" s="13" t="s">
        <v>49</v>
      </c>
      <c r="T1817" s="13" t="s">
        <v>78</v>
      </c>
      <c r="U1817" s="13" t="s">
        <v>79</v>
      </c>
      <c r="V1817" s="13" t="s">
        <v>126</v>
      </c>
      <c r="W1817" s="13" t="s">
        <v>109</v>
      </c>
      <c r="X1817" s="135">
        <v>13450000</v>
      </c>
      <c r="Y1817" s="157" t="str">
        <f t="shared" si="546"/>
        <v>1</v>
      </c>
      <c r="Z1817" s="18">
        <f t="shared" si="545"/>
        <v>13450000</v>
      </c>
      <c r="AA1817" s="13">
        <v>6.25E-2</v>
      </c>
      <c r="AB1817" s="21">
        <f t="shared" si="529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0"/>
        <v>499582152.5142017</v>
      </c>
      <c r="AJ1817" s="19">
        <f t="shared" si="531"/>
        <v>59520528.679470733</v>
      </c>
      <c r="AK1817" s="20">
        <f t="shared" si="538"/>
        <v>0.11914062257814291</v>
      </c>
      <c r="AL1817" s="17"/>
      <c r="AM1817" s="17"/>
      <c r="AN1817" s="17"/>
      <c r="AO1817" s="17"/>
      <c r="AP1817" s="28" t="str">
        <f t="shared" si="539"/>
        <v>CancelCancel</v>
      </c>
      <c r="AQ1817" s="28" t="str">
        <f t="shared" si="540"/>
        <v>CancelCancelJPY</v>
      </c>
      <c r="AR1817" s="206" t="str">
        <f t="shared" si="541"/>
        <v>YAMAHA_Mounter</v>
      </c>
      <c r="AS1817" s="22" t="str">
        <f t="shared" si="542"/>
        <v/>
      </c>
      <c r="AT1817" s="24" t="str">
        <f t="shared" si="543"/>
        <v/>
      </c>
      <c r="AU1817" s="22" t="s">
        <v>3746</v>
      </c>
    </row>
    <row r="1818" spans="1:47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185</v>
      </c>
      <c r="F1818" s="13" t="s">
        <v>185</v>
      </c>
      <c r="G1818" s="152" t="s">
        <v>185</v>
      </c>
      <c r="H1818" s="155"/>
      <c r="I1818" s="33" t="str">
        <f t="shared" si="534"/>
        <v>Cancel</v>
      </c>
      <c r="J1818" s="186" t="s">
        <v>1633</v>
      </c>
      <c r="K1818" s="155" t="s">
        <v>1634</v>
      </c>
      <c r="L1818" s="17" t="s">
        <v>92</v>
      </c>
      <c r="M1818" s="13" t="s">
        <v>60</v>
      </c>
      <c r="N1818" s="13">
        <v>1</v>
      </c>
      <c r="O1818" s="13"/>
      <c r="P1818" s="33" t="str">
        <f t="shared" si="535"/>
        <v>MAIN UNIT</v>
      </c>
      <c r="Q1818" s="13" t="s">
        <v>61</v>
      </c>
      <c r="R1818" s="13" t="s">
        <v>62</v>
      </c>
      <c r="S1818" s="13" t="s">
        <v>49</v>
      </c>
      <c r="T1818" s="13" t="s">
        <v>78</v>
      </c>
      <c r="U1818" s="13" t="s">
        <v>79</v>
      </c>
      <c r="V1818" s="13" t="s">
        <v>126</v>
      </c>
      <c r="W1818" s="13" t="s">
        <v>109</v>
      </c>
      <c r="X1818" s="135">
        <v>13450000</v>
      </c>
      <c r="Y1818" s="157" t="str">
        <f t="shared" si="546"/>
        <v>1</v>
      </c>
      <c r="Z1818" s="18">
        <f t="shared" si="545"/>
        <v>13450000</v>
      </c>
      <c r="AA1818" s="13">
        <v>6.25E-2</v>
      </c>
      <c r="AB1818" s="21">
        <f t="shared" si="529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0"/>
        <v>499582152.5142017</v>
      </c>
      <c r="AJ1818" s="19">
        <f t="shared" si="531"/>
        <v>59520528.679470733</v>
      </c>
      <c r="AK1818" s="20">
        <f t="shared" si="538"/>
        <v>0.11914062257814291</v>
      </c>
      <c r="AL1818" s="17"/>
      <c r="AM1818" s="17"/>
      <c r="AN1818" s="17"/>
      <c r="AO1818" s="17"/>
      <c r="AP1818" s="28" t="str">
        <f t="shared" si="539"/>
        <v>CancelCancel</v>
      </c>
      <c r="AQ1818" s="28" t="str">
        <f t="shared" si="540"/>
        <v>CancelCancelJPY</v>
      </c>
      <c r="AR1818" s="206" t="str">
        <f t="shared" si="541"/>
        <v>YAMAHA_Mounter</v>
      </c>
      <c r="AS1818" s="22" t="str">
        <f t="shared" si="542"/>
        <v/>
      </c>
      <c r="AT1818" s="24" t="str">
        <f t="shared" si="543"/>
        <v/>
      </c>
      <c r="AU1818" s="22" t="s">
        <v>3746</v>
      </c>
    </row>
    <row r="1819" spans="1:47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185</v>
      </c>
      <c r="F1819" s="13" t="s">
        <v>185</v>
      </c>
      <c r="G1819" s="152" t="s">
        <v>185</v>
      </c>
      <c r="H1819" s="155"/>
      <c r="I1819" s="33" t="str">
        <f t="shared" si="534"/>
        <v>Cancel</v>
      </c>
      <c r="J1819" s="186" t="s">
        <v>1633</v>
      </c>
      <c r="K1819" s="155" t="s">
        <v>1634</v>
      </c>
      <c r="L1819" s="17" t="s">
        <v>92</v>
      </c>
      <c r="M1819" s="13" t="s">
        <v>60</v>
      </c>
      <c r="N1819" s="13">
        <v>1</v>
      </c>
      <c r="O1819" s="13"/>
      <c r="P1819" s="33" t="str">
        <f t="shared" si="535"/>
        <v>MAIN UNIT</v>
      </c>
      <c r="Q1819" s="13" t="s">
        <v>61</v>
      </c>
      <c r="R1819" s="13" t="s">
        <v>62</v>
      </c>
      <c r="S1819" s="13" t="s">
        <v>49</v>
      </c>
      <c r="T1819" s="13" t="s">
        <v>78</v>
      </c>
      <c r="U1819" s="13" t="s">
        <v>79</v>
      </c>
      <c r="V1819" s="13" t="s">
        <v>126</v>
      </c>
      <c r="W1819" s="13" t="s">
        <v>109</v>
      </c>
      <c r="X1819" s="135">
        <v>13450000</v>
      </c>
      <c r="Y1819" s="157" t="str">
        <f t="shared" si="546"/>
        <v>1</v>
      </c>
      <c r="Z1819" s="18">
        <f t="shared" si="545"/>
        <v>13450000</v>
      </c>
      <c r="AA1819" s="13">
        <v>6.25E-2</v>
      </c>
      <c r="AB1819" s="21">
        <f t="shared" si="529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0"/>
        <v>499582152.5142017</v>
      </c>
      <c r="AJ1819" s="19">
        <f t="shared" si="531"/>
        <v>59520528.679470733</v>
      </c>
      <c r="AK1819" s="20">
        <f t="shared" si="538"/>
        <v>0.11914062257814291</v>
      </c>
      <c r="AL1819" s="17"/>
      <c r="AM1819" s="17"/>
      <c r="AN1819" s="17"/>
      <c r="AO1819" s="17"/>
      <c r="AP1819" s="28" t="str">
        <f t="shared" si="539"/>
        <v>CancelCancel</v>
      </c>
      <c r="AQ1819" s="28" t="str">
        <f t="shared" si="540"/>
        <v>CancelCancelJPY</v>
      </c>
      <c r="AR1819" s="206" t="str">
        <f t="shared" si="541"/>
        <v>YAMAHA_Mounter</v>
      </c>
      <c r="AS1819" s="22" t="str">
        <f t="shared" si="542"/>
        <v/>
      </c>
      <c r="AT1819" s="24" t="str">
        <f t="shared" si="543"/>
        <v/>
      </c>
      <c r="AU1819" s="22" t="s">
        <v>3746</v>
      </c>
    </row>
    <row r="1820" spans="1:47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185</v>
      </c>
      <c r="F1820" s="13" t="s">
        <v>185</v>
      </c>
      <c r="G1820" s="152" t="s">
        <v>185</v>
      </c>
      <c r="H1820" s="155"/>
      <c r="I1820" s="33" t="str">
        <f t="shared" si="534"/>
        <v>Cancel</v>
      </c>
      <c r="J1820" s="186" t="s">
        <v>1633</v>
      </c>
      <c r="K1820" s="155" t="s">
        <v>1634</v>
      </c>
      <c r="L1820" s="17" t="s">
        <v>67</v>
      </c>
      <c r="M1820" s="13" t="s">
        <v>60</v>
      </c>
      <c r="N1820" s="13">
        <v>1</v>
      </c>
      <c r="O1820" s="13"/>
      <c r="P1820" s="33" t="str">
        <f t="shared" si="535"/>
        <v>MAIN UNIT</v>
      </c>
      <c r="Q1820" s="13" t="s">
        <v>61</v>
      </c>
      <c r="R1820" s="13" t="s">
        <v>62</v>
      </c>
      <c r="S1820" s="13" t="s">
        <v>49</v>
      </c>
      <c r="T1820" s="13" t="s">
        <v>78</v>
      </c>
      <c r="U1820" s="13" t="s">
        <v>79</v>
      </c>
      <c r="V1820" s="13" t="s">
        <v>126</v>
      </c>
      <c r="W1820" s="13" t="s">
        <v>109</v>
      </c>
      <c r="X1820" s="135">
        <v>9000000</v>
      </c>
      <c r="Y1820" s="157" t="str">
        <f t="shared" si="546"/>
        <v>1</v>
      </c>
      <c r="Z1820" s="18">
        <f t="shared" si="545"/>
        <v>9000000</v>
      </c>
      <c r="AA1820" s="13">
        <v>6.25E-2</v>
      </c>
      <c r="AB1820" s="21">
        <f t="shared" si="529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0"/>
        <v>499582152.5142017</v>
      </c>
      <c r="AJ1820" s="19">
        <f t="shared" si="531"/>
        <v>59520528.679470733</v>
      </c>
      <c r="AK1820" s="20">
        <f t="shared" si="538"/>
        <v>0.11914062257814291</v>
      </c>
      <c r="AL1820" s="17"/>
      <c r="AM1820" s="17"/>
      <c r="AN1820" s="17"/>
      <c r="AO1820" s="17"/>
      <c r="AP1820" s="28" t="str">
        <f t="shared" si="539"/>
        <v>CancelCancel</v>
      </c>
      <c r="AQ1820" s="28" t="str">
        <f t="shared" si="540"/>
        <v>CancelCancelJPY</v>
      </c>
      <c r="AR1820" s="206" t="str">
        <f t="shared" si="541"/>
        <v>YAMAHA_Mounter</v>
      </c>
      <c r="AS1820" s="22" t="str">
        <f t="shared" si="542"/>
        <v/>
      </c>
      <c r="AT1820" s="24" t="str">
        <f t="shared" si="543"/>
        <v/>
      </c>
      <c r="AU1820" s="22" t="s">
        <v>3746</v>
      </c>
    </row>
    <row r="1821" spans="1:47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185</v>
      </c>
      <c r="F1821" s="13" t="s">
        <v>185</v>
      </c>
      <c r="G1821" s="152" t="s">
        <v>185</v>
      </c>
      <c r="H1821" s="155"/>
      <c r="I1821" s="33" t="str">
        <f t="shared" si="534"/>
        <v>Cancel</v>
      </c>
      <c r="J1821" s="186" t="s">
        <v>1633</v>
      </c>
      <c r="K1821" s="155" t="s">
        <v>1634</v>
      </c>
      <c r="L1821" s="17" t="s">
        <v>67</v>
      </c>
      <c r="M1821" s="13" t="s">
        <v>60</v>
      </c>
      <c r="N1821" s="13">
        <v>1</v>
      </c>
      <c r="O1821" s="13"/>
      <c r="P1821" s="33" t="str">
        <f t="shared" si="535"/>
        <v>MAIN UNIT</v>
      </c>
      <c r="Q1821" s="13" t="s">
        <v>61</v>
      </c>
      <c r="R1821" s="13" t="s">
        <v>62</v>
      </c>
      <c r="S1821" s="13" t="s">
        <v>49</v>
      </c>
      <c r="T1821" s="13" t="s">
        <v>78</v>
      </c>
      <c r="U1821" s="13" t="s">
        <v>79</v>
      </c>
      <c r="V1821" s="13" t="s">
        <v>126</v>
      </c>
      <c r="W1821" s="13" t="s">
        <v>109</v>
      </c>
      <c r="X1821" s="135">
        <v>9000000</v>
      </c>
      <c r="Y1821" s="157" t="str">
        <f t="shared" si="546"/>
        <v>1</v>
      </c>
      <c r="Z1821" s="18">
        <f t="shared" si="545"/>
        <v>9000000</v>
      </c>
      <c r="AA1821" s="13">
        <v>6.25E-2</v>
      </c>
      <c r="AB1821" s="21">
        <f t="shared" si="529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0"/>
        <v>499582152.5142017</v>
      </c>
      <c r="AJ1821" s="19">
        <f t="shared" si="531"/>
        <v>59520528.679470733</v>
      </c>
      <c r="AK1821" s="20">
        <f t="shared" si="538"/>
        <v>0.11914062257814291</v>
      </c>
      <c r="AL1821" s="17"/>
      <c r="AM1821" s="17"/>
      <c r="AN1821" s="17"/>
      <c r="AO1821" s="17"/>
      <c r="AP1821" s="28" t="str">
        <f t="shared" si="539"/>
        <v>CancelCancel</v>
      </c>
      <c r="AQ1821" s="28" t="str">
        <f t="shared" si="540"/>
        <v>CancelCancelJPY</v>
      </c>
      <c r="AR1821" s="206" t="str">
        <f t="shared" si="541"/>
        <v>YAMAHA_Mounter</v>
      </c>
      <c r="AS1821" s="22" t="str">
        <f t="shared" si="542"/>
        <v/>
      </c>
      <c r="AT1821" s="24" t="str">
        <f t="shared" si="543"/>
        <v/>
      </c>
      <c r="AU1821" s="22" t="s">
        <v>3746</v>
      </c>
    </row>
    <row r="1822" spans="1:47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185</v>
      </c>
      <c r="F1822" s="13" t="s">
        <v>185</v>
      </c>
      <c r="G1822" s="152" t="s">
        <v>185</v>
      </c>
      <c r="H1822" s="155"/>
      <c r="I1822" s="33" t="str">
        <f t="shared" si="534"/>
        <v>Cancel</v>
      </c>
      <c r="J1822" s="186" t="s">
        <v>1633</v>
      </c>
      <c r="K1822" s="155" t="s">
        <v>1634</v>
      </c>
      <c r="L1822" s="17" t="s">
        <v>67</v>
      </c>
      <c r="M1822" s="13" t="s">
        <v>60</v>
      </c>
      <c r="N1822" s="13">
        <v>1</v>
      </c>
      <c r="O1822" s="13"/>
      <c r="P1822" s="33" t="str">
        <f t="shared" si="535"/>
        <v>MAIN UNIT</v>
      </c>
      <c r="Q1822" s="13" t="s">
        <v>61</v>
      </c>
      <c r="R1822" s="13" t="s">
        <v>62</v>
      </c>
      <c r="S1822" s="13" t="s">
        <v>49</v>
      </c>
      <c r="T1822" s="13" t="s">
        <v>78</v>
      </c>
      <c r="U1822" s="13" t="s">
        <v>79</v>
      </c>
      <c r="V1822" s="13" t="s">
        <v>126</v>
      </c>
      <c r="W1822" s="13" t="s">
        <v>109</v>
      </c>
      <c r="X1822" s="135">
        <v>9000000</v>
      </c>
      <c r="Y1822" s="157" t="str">
        <f t="shared" si="546"/>
        <v>1</v>
      </c>
      <c r="Z1822" s="18">
        <f t="shared" si="545"/>
        <v>9000000</v>
      </c>
      <c r="AA1822" s="13">
        <v>6.25E-2</v>
      </c>
      <c r="AB1822" s="21">
        <f t="shared" si="529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0"/>
        <v>499582152.5142017</v>
      </c>
      <c r="AJ1822" s="19">
        <f t="shared" si="531"/>
        <v>59520528.679470733</v>
      </c>
      <c r="AK1822" s="20">
        <f t="shared" si="538"/>
        <v>0.11914062257814291</v>
      </c>
      <c r="AL1822" s="17"/>
      <c r="AM1822" s="17"/>
      <c r="AN1822" s="17"/>
      <c r="AO1822" s="17"/>
      <c r="AP1822" s="28" t="str">
        <f t="shared" si="539"/>
        <v>CancelCancel</v>
      </c>
      <c r="AQ1822" s="28" t="str">
        <f t="shared" si="540"/>
        <v>CancelCancelJPY</v>
      </c>
      <c r="AR1822" s="206" t="str">
        <f t="shared" si="541"/>
        <v>YAMAHA_Mounter</v>
      </c>
      <c r="AS1822" s="22" t="str">
        <f t="shared" si="542"/>
        <v/>
      </c>
      <c r="AT1822" s="24" t="str">
        <f t="shared" si="543"/>
        <v/>
      </c>
      <c r="AU1822" s="22" t="s">
        <v>3746</v>
      </c>
    </row>
    <row r="1823" spans="1:47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185</v>
      </c>
      <c r="F1823" s="13" t="s">
        <v>185</v>
      </c>
      <c r="G1823" s="152" t="s">
        <v>185</v>
      </c>
      <c r="H1823" s="155"/>
      <c r="I1823" s="33" t="str">
        <f t="shared" si="534"/>
        <v>Cancel</v>
      </c>
      <c r="J1823" s="186" t="s">
        <v>1633</v>
      </c>
      <c r="K1823" s="155" t="s">
        <v>1634</v>
      </c>
      <c r="L1823" s="17" t="s">
        <v>67</v>
      </c>
      <c r="M1823" s="13" t="s">
        <v>60</v>
      </c>
      <c r="N1823" s="13">
        <v>1</v>
      </c>
      <c r="O1823" s="13"/>
      <c r="P1823" s="33" t="str">
        <f t="shared" si="535"/>
        <v>MAIN UNIT</v>
      </c>
      <c r="Q1823" s="13" t="s">
        <v>61</v>
      </c>
      <c r="R1823" s="13" t="s">
        <v>62</v>
      </c>
      <c r="S1823" s="13" t="s">
        <v>49</v>
      </c>
      <c r="T1823" s="13" t="s">
        <v>78</v>
      </c>
      <c r="U1823" s="13" t="s">
        <v>79</v>
      </c>
      <c r="V1823" s="13" t="s">
        <v>126</v>
      </c>
      <c r="W1823" s="13" t="s">
        <v>109</v>
      </c>
      <c r="X1823" s="135">
        <v>9000000</v>
      </c>
      <c r="Y1823" s="157" t="str">
        <f t="shared" si="546"/>
        <v>1</v>
      </c>
      <c r="Z1823" s="18">
        <f t="shared" si="545"/>
        <v>9000000</v>
      </c>
      <c r="AA1823" s="13">
        <v>6.25E-2</v>
      </c>
      <c r="AB1823" s="21">
        <f t="shared" si="529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0"/>
        <v>499582152.5142017</v>
      </c>
      <c r="AJ1823" s="19">
        <f t="shared" si="531"/>
        <v>59520528.679470733</v>
      </c>
      <c r="AK1823" s="20">
        <f t="shared" si="538"/>
        <v>0.11914062257814291</v>
      </c>
      <c r="AL1823" s="17"/>
      <c r="AM1823" s="17"/>
      <c r="AN1823" s="17"/>
      <c r="AO1823" s="17"/>
      <c r="AP1823" s="28" t="str">
        <f t="shared" si="539"/>
        <v>CancelCancel</v>
      </c>
      <c r="AQ1823" s="28" t="str">
        <f t="shared" si="540"/>
        <v>CancelCancelJPY</v>
      </c>
      <c r="AR1823" s="206" t="str">
        <f t="shared" si="541"/>
        <v>YAMAHA_Mounter</v>
      </c>
      <c r="AS1823" s="22" t="str">
        <f t="shared" si="542"/>
        <v/>
      </c>
      <c r="AT1823" s="24" t="str">
        <f t="shared" si="543"/>
        <v/>
      </c>
      <c r="AU1823" s="22" t="s">
        <v>3746</v>
      </c>
    </row>
    <row r="1824" spans="1:47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185</v>
      </c>
      <c r="F1824" s="13" t="s">
        <v>185</v>
      </c>
      <c r="G1824" s="152" t="s">
        <v>185</v>
      </c>
      <c r="H1824" s="155"/>
      <c r="I1824" s="33" t="str">
        <f t="shared" si="534"/>
        <v>Cancel</v>
      </c>
      <c r="J1824" s="186" t="s">
        <v>1635</v>
      </c>
      <c r="K1824" s="155" t="s">
        <v>1634</v>
      </c>
      <c r="L1824" s="17" t="s">
        <v>92</v>
      </c>
      <c r="M1824" s="13" t="s">
        <v>60</v>
      </c>
      <c r="N1824" s="13">
        <v>1</v>
      </c>
      <c r="O1824" s="13"/>
      <c r="P1824" s="33" t="str">
        <f t="shared" si="535"/>
        <v>MAIN UNIT</v>
      </c>
      <c r="Q1824" s="13" t="s">
        <v>61</v>
      </c>
      <c r="R1824" s="13" t="s">
        <v>62</v>
      </c>
      <c r="S1824" s="13" t="s">
        <v>49</v>
      </c>
      <c r="T1824" s="13" t="s">
        <v>78</v>
      </c>
      <c r="U1824" s="13" t="s">
        <v>79</v>
      </c>
      <c r="V1824" s="13" t="s">
        <v>126</v>
      </c>
      <c r="W1824" s="13" t="s">
        <v>109</v>
      </c>
      <c r="X1824" s="135">
        <v>13450000</v>
      </c>
      <c r="Y1824" s="157" t="str">
        <f t="shared" si="546"/>
        <v>1</v>
      </c>
      <c r="Z1824" s="18">
        <f t="shared" si="545"/>
        <v>13450000</v>
      </c>
      <c r="AA1824" s="13">
        <v>7.4499999999999997E-2</v>
      </c>
      <c r="AB1824" s="21">
        <f t="shared" si="529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0"/>
        <v>499582152.5142017</v>
      </c>
      <c r="AJ1824" s="19">
        <f t="shared" si="531"/>
        <v>59520528.679470733</v>
      </c>
      <c r="AK1824" s="20">
        <f t="shared" si="538"/>
        <v>0.11914062257814291</v>
      </c>
      <c r="AL1824" s="17"/>
      <c r="AM1824" s="17"/>
      <c r="AN1824" s="17"/>
      <c r="AO1824" s="17"/>
      <c r="AP1824" s="28" t="str">
        <f t="shared" si="539"/>
        <v>CancelCancel</v>
      </c>
      <c r="AQ1824" s="28" t="str">
        <f t="shared" si="540"/>
        <v>CancelCancelJPY</v>
      </c>
      <c r="AR1824" s="206" t="str">
        <f t="shared" si="541"/>
        <v>YAMAHA_Mounter</v>
      </c>
      <c r="AS1824" s="22" t="str">
        <f t="shared" si="542"/>
        <v/>
      </c>
      <c r="AT1824" s="24" t="str">
        <f t="shared" si="543"/>
        <v/>
      </c>
      <c r="AU1824" s="22" t="s">
        <v>3746</v>
      </c>
    </row>
    <row r="1825" spans="1:47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185</v>
      </c>
      <c r="F1825" s="13" t="s">
        <v>185</v>
      </c>
      <c r="G1825" s="152" t="s">
        <v>185</v>
      </c>
      <c r="H1825" s="155"/>
      <c r="I1825" s="33" t="str">
        <f t="shared" si="534"/>
        <v>Cancel</v>
      </c>
      <c r="J1825" s="186" t="s">
        <v>1635</v>
      </c>
      <c r="K1825" s="155" t="s">
        <v>1634</v>
      </c>
      <c r="L1825" s="17" t="s">
        <v>92</v>
      </c>
      <c r="M1825" s="13" t="s">
        <v>60</v>
      </c>
      <c r="N1825" s="13">
        <v>1</v>
      </c>
      <c r="O1825" s="13"/>
      <c r="P1825" s="33" t="str">
        <f t="shared" si="535"/>
        <v>MAIN UNIT</v>
      </c>
      <c r="Q1825" s="13" t="s">
        <v>61</v>
      </c>
      <c r="R1825" s="13" t="s">
        <v>62</v>
      </c>
      <c r="S1825" s="13" t="s">
        <v>49</v>
      </c>
      <c r="T1825" s="13" t="s">
        <v>78</v>
      </c>
      <c r="U1825" s="13" t="s">
        <v>79</v>
      </c>
      <c r="V1825" s="13" t="s">
        <v>126</v>
      </c>
      <c r="W1825" s="13" t="s">
        <v>109</v>
      </c>
      <c r="X1825" s="135">
        <v>13450000</v>
      </c>
      <c r="Y1825" s="157" t="str">
        <f t="shared" si="546"/>
        <v>1</v>
      </c>
      <c r="Z1825" s="18">
        <f t="shared" si="545"/>
        <v>13450000</v>
      </c>
      <c r="AA1825" s="13">
        <v>7.4499999999999997E-2</v>
      </c>
      <c r="AB1825" s="21">
        <f t="shared" si="529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0"/>
        <v>499582152.5142017</v>
      </c>
      <c r="AJ1825" s="19">
        <f t="shared" si="531"/>
        <v>59520528.679470733</v>
      </c>
      <c r="AK1825" s="20">
        <f t="shared" si="538"/>
        <v>0.11914062257814291</v>
      </c>
      <c r="AL1825" s="17"/>
      <c r="AM1825" s="17"/>
      <c r="AN1825" s="17"/>
      <c r="AO1825" s="17"/>
      <c r="AP1825" s="28" t="str">
        <f t="shared" si="539"/>
        <v>CancelCancel</v>
      </c>
      <c r="AQ1825" s="28" t="str">
        <f t="shared" si="540"/>
        <v>CancelCancelJPY</v>
      </c>
      <c r="AR1825" s="206" t="str">
        <f t="shared" si="541"/>
        <v>YAMAHA_Mounter</v>
      </c>
      <c r="AS1825" s="22" t="str">
        <f t="shared" si="542"/>
        <v/>
      </c>
      <c r="AT1825" s="24" t="str">
        <f t="shared" si="543"/>
        <v/>
      </c>
      <c r="AU1825" s="22" t="s">
        <v>3746</v>
      </c>
    </row>
    <row r="1826" spans="1:47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185</v>
      </c>
      <c r="F1826" s="13" t="s">
        <v>185</v>
      </c>
      <c r="G1826" s="152" t="s">
        <v>185</v>
      </c>
      <c r="H1826" s="155"/>
      <c r="I1826" s="33" t="str">
        <f t="shared" si="534"/>
        <v>Cancel</v>
      </c>
      <c r="J1826" s="186" t="s">
        <v>1635</v>
      </c>
      <c r="K1826" s="155" t="s">
        <v>1634</v>
      </c>
      <c r="L1826" s="17" t="s">
        <v>92</v>
      </c>
      <c r="M1826" s="13" t="s">
        <v>60</v>
      </c>
      <c r="N1826" s="13">
        <v>1</v>
      </c>
      <c r="O1826" s="13"/>
      <c r="P1826" s="33" t="str">
        <f t="shared" si="535"/>
        <v>MAIN UNIT</v>
      </c>
      <c r="Q1826" s="13" t="s">
        <v>61</v>
      </c>
      <c r="R1826" s="13" t="s">
        <v>62</v>
      </c>
      <c r="S1826" s="13" t="s">
        <v>49</v>
      </c>
      <c r="T1826" s="13" t="s">
        <v>78</v>
      </c>
      <c r="U1826" s="13" t="s">
        <v>79</v>
      </c>
      <c r="V1826" s="13" t="s">
        <v>126</v>
      </c>
      <c r="W1826" s="13" t="s">
        <v>109</v>
      </c>
      <c r="X1826" s="135">
        <v>13450000</v>
      </c>
      <c r="Y1826" s="157" t="str">
        <f t="shared" si="546"/>
        <v>1</v>
      </c>
      <c r="Z1826" s="18">
        <f t="shared" si="545"/>
        <v>13450000</v>
      </c>
      <c r="AA1826" s="13">
        <v>7.4499999999999997E-2</v>
      </c>
      <c r="AB1826" s="21">
        <f t="shared" si="529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0"/>
        <v>499582152.5142017</v>
      </c>
      <c r="AJ1826" s="19">
        <f t="shared" si="531"/>
        <v>59520528.679470733</v>
      </c>
      <c r="AK1826" s="20">
        <f t="shared" si="538"/>
        <v>0.11914062257814291</v>
      </c>
      <c r="AL1826" s="17"/>
      <c r="AM1826" s="17"/>
      <c r="AN1826" s="17"/>
      <c r="AO1826" s="17"/>
      <c r="AP1826" s="28" t="str">
        <f t="shared" si="539"/>
        <v>CancelCancel</v>
      </c>
      <c r="AQ1826" s="28" t="str">
        <f t="shared" si="540"/>
        <v>CancelCancelJPY</v>
      </c>
      <c r="AR1826" s="206" t="str">
        <f t="shared" si="541"/>
        <v>YAMAHA_Mounter</v>
      </c>
      <c r="AS1826" s="22" t="str">
        <f t="shared" si="542"/>
        <v/>
      </c>
      <c r="AT1826" s="24" t="str">
        <f t="shared" si="543"/>
        <v/>
      </c>
      <c r="AU1826" s="22" t="s">
        <v>3746</v>
      </c>
    </row>
    <row r="1827" spans="1:47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185</v>
      </c>
      <c r="F1827" s="13" t="s">
        <v>185</v>
      </c>
      <c r="G1827" s="152" t="s">
        <v>185</v>
      </c>
      <c r="H1827" s="155"/>
      <c r="I1827" s="33" t="str">
        <f t="shared" si="534"/>
        <v>Cancel</v>
      </c>
      <c r="J1827" s="186" t="s">
        <v>1635</v>
      </c>
      <c r="K1827" s="155" t="s">
        <v>1634</v>
      </c>
      <c r="L1827" s="17" t="s">
        <v>92</v>
      </c>
      <c r="M1827" s="13" t="s">
        <v>60</v>
      </c>
      <c r="N1827" s="13">
        <v>1</v>
      </c>
      <c r="O1827" s="13"/>
      <c r="P1827" s="33" t="str">
        <f t="shared" si="535"/>
        <v>MAIN UNIT</v>
      </c>
      <c r="Q1827" s="13" t="s">
        <v>61</v>
      </c>
      <c r="R1827" s="13" t="s">
        <v>62</v>
      </c>
      <c r="S1827" s="13" t="s">
        <v>49</v>
      </c>
      <c r="T1827" s="13" t="s">
        <v>78</v>
      </c>
      <c r="U1827" s="13" t="s">
        <v>79</v>
      </c>
      <c r="V1827" s="13" t="s">
        <v>126</v>
      </c>
      <c r="W1827" s="13" t="s">
        <v>109</v>
      </c>
      <c r="X1827" s="135">
        <v>13450000</v>
      </c>
      <c r="Y1827" s="157" t="str">
        <f t="shared" si="546"/>
        <v>1</v>
      </c>
      <c r="Z1827" s="18">
        <f t="shared" si="545"/>
        <v>13450000</v>
      </c>
      <c r="AA1827" s="13">
        <v>7.4499999999999997E-2</v>
      </c>
      <c r="AB1827" s="21">
        <f t="shared" si="529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0"/>
        <v>499582152.5142017</v>
      </c>
      <c r="AJ1827" s="19">
        <f t="shared" si="531"/>
        <v>59520528.679470733</v>
      </c>
      <c r="AK1827" s="20">
        <f t="shared" si="538"/>
        <v>0.11914062257814291</v>
      </c>
      <c r="AL1827" s="17"/>
      <c r="AM1827" s="17"/>
      <c r="AN1827" s="17"/>
      <c r="AO1827" s="17"/>
      <c r="AP1827" s="28" t="str">
        <f t="shared" si="539"/>
        <v>CancelCancel</v>
      </c>
      <c r="AQ1827" s="28" t="str">
        <f t="shared" si="540"/>
        <v>CancelCancelJPY</v>
      </c>
      <c r="AR1827" s="206" t="str">
        <f t="shared" si="541"/>
        <v>YAMAHA_Mounter</v>
      </c>
      <c r="AS1827" s="22" t="str">
        <f t="shared" si="542"/>
        <v/>
      </c>
      <c r="AT1827" s="24" t="str">
        <f t="shared" si="543"/>
        <v/>
      </c>
      <c r="AU1827" s="22" t="s">
        <v>3746</v>
      </c>
    </row>
    <row r="1828" spans="1:47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185</v>
      </c>
      <c r="F1828" s="13" t="s">
        <v>185</v>
      </c>
      <c r="G1828" s="152" t="s">
        <v>185</v>
      </c>
      <c r="H1828" s="155"/>
      <c r="I1828" s="33" t="str">
        <f t="shared" si="534"/>
        <v>Cancel</v>
      </c>
      <c r="J1828" s="186" t="s">
        <v>1635</v>
      </c>
      <c r="K1828" s="155" t="s">
        <v>1634</v>
      </c>
      <c r="L1828" s="17" t="s">
        <v>67</v>
      </c>
      <c r="M1828" s="13" t="s">
        <v>60</v>
      </c>
      <c r="N1828" s="13">
        <v>1</v>
      </c>
      <c r="O1828" s="13"/>
      <c r="P1828" s="33" t="str">
        <f t="shared" si="535"/>
        <v>MAIN UNIT</v>
      </c>
      <c r="Q1828" s="13" t="s">
        <v>61</v>
      </c>
      <c r="R1828" s="13" t="s">
        <v>62</v>
      </c>
      <c r="S1828" s="13" t="s">
        <v>49</v>
      </c>
      <c r="T1828" s="13" t="s">
        <v>78</v>
      </c>
      <c r="U1828" s="13" t="s">
        <v>79</v>
      </c>
      <c r="V1828" s="13" t="s">
        <v>126</v>
      </c>
      <c r="W1828" s="13" t="s">
        <v>109</v>
      </c>
      <c r="X1828" s="135">
        <v>9000000</v>
      </c>
      <c r="Y1828" s="157" t="str">
        <f t="shared" si="546"/>
        <v>1</v>
      </c>
      <c r="Z1828" s="18">
        <f t="shared" si="545"/>
        <v>9000000</v>
      </c>
      <c r="AA1828" s="13">
        <v>7.4499999999999997E-2</v>
      </c>
      <c r="AB1828" s="21">
        <f t="shared" si="529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0"/>
        <v>499582152.5142017</v>
      </c>
      <c r="AJ1828" s="19">
        <f t="shared" si="531"/>
        <v>59520528.679470733</v>
      </c>
      <c r="AK1828" s="20">
        <f t="shared" si="538"/>
        <v>0.11914062257814291</v>
      </c>
      <c r="AL1828" s="17"/>
      <c r="AM1828" s="17"/>
      <c r="AN1828" s="17"/>
      <c r="AO1828" s="17"/>
      <c r="AP1828" s="28" t="str">
        <f t="shared" si="539"/>
        <v>CancelCancel</v>
      </c>
      <c r="AQ1828" s="28" t="str">
        <f t="shared" si="540"/>
        <v>CancelCancelJPY</v>
      </c>
      <c r="AR1828" s="206" t="str">
        <f t="shared" si="541"/>
        <v>YAMAHA_Mounter</v>
      </c>
      <c r="AS1828" s="22" t="str">
        <f t="shared" si="542"/>
        <v/>
      </c>
      <c r="AT1828" s="24" t="str">
        <f t="shared" si="543"/>
        <v/>
      </c>
      <c r="AU1828" s="22" t="s">
        <v>3746</v>
      </c>
    </row>
    <row r="1829" spans="1:47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185</v>
      </c>
      <c r="F1829" s="13" t="s">
        <v>185</v>
      </c>
      <c r="G1829" s="152" t="s">
        <v>185</v>
      </c>
      <c r="H1829" s="155"/>
      <c r="I1829" s="33" t="str">
        <f t="shared" si="534"/>
        <v>Cancel</v>
      </c>
      <c r="J1829" s="186" t="s">
        <v>1635</v>
      </c>
      <c r="K1829" s="155" t="s">
        <v>1634</v>
      </c>
      <c r="L1829" s="17" t="s">
        <v>67</v>
      </c>
      <c r="M1829" s="13" t="s">
        <v>60</v>
      </c>
      <c r="N1829" s="13">
        <v>1</v>
      </c>
      <c r="O1829" s="13"/>
      <c r="P1829" s="33" t="str">
        <f t="shared" si="535"/>
        <v>MAIN UNIT</v>
      </c>
      <c r="Q1829" s="13" t="s">
        <v>61</v>
      </c>
      <c r="R1829" s="13" t="s">
        <v>62</v>
      </c>
      <c r="S1829" s="13" t="s">
        <v>49</v>
      </c>
      <c r="T1829" s="13" t="s">
        <v>78</v>
      </c>
      <c r="U1829" s="13" t="s">
        <v>79</v>
      </c>
      <c r="V1829" s="13" t="s">
        <v>126</v>
      </c>
      <c r="W1829" s="13" t="s">
        <v>109</v>
      </c>
      <c r="X1829" s="135">
        <v>9000000</v>
      </c>
      <c r="Y1829" s="157" t="str">
        <f t="shared" si="546"/>
        <v>1</v>
      </c>
      <c r="Z1829" s="18">
        <f t="shared" si="545"/>
        <v>9000000</v>
      </c>
      <c r="AA1829" s="13">
        <v>7.4499999999999997E-2</v>
      </c>
      <c r="AB1829" s="21">
        <f t="shared" si="529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0"/>
        <v>499582152.5142017</v>
      </c>
      <c r="AJ1829" s="19">
        <f t="shared" si="531"/>
        <v>59520528.679470733</v>
      </c>
      <c r="AK1829" s="20">
        <f t="shared" si="538"/>
        <v>0.11914062257814291</v>
      </c>
      <c r="AL1829" s="17"/>
      <c r="AM1829" s="17"/>
      <c r="AN1829" s="17"/>
      <c r="AO1829" s="17"/>
      <c r="AP1829" s="28" t="str">
        <f t="shared" si="539"/>
        <v>CancelCancel</v>
      </c>
      <c r="AQ1829" s="28" t="str">
        <f t="shared" si="540"/>
        <v>CancelCancelJPY</v>
      </c>
      <c r="AR1829" s="206" t="str">
        <f t="shared" si="541"/>
        <v>YAMAHA_Mounter</v>
      </c>
      <c r="AS1829" s="22" t="str">
        <f t="shared" si="542"/>
        <v/>
      </c>
      <c r="AT1829" s="24" t="str">
        <f t="shared" si="543"/>
        <v/>
      </c>
      <c r="AU1829" s="22" t="s">
        <v>3746</v>
      </c>
    </row>
    <row r="1830" spans="1:47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185</v>
      </c>
      <c r="F1830" s="13" t="s">
        <v>185</v>
      </c>
      <c r="G1830" s="152" t="s">
        <v>185</v>
      </c>
      <c r="H1830" s="155"/>
      <c r="I1830" s="33" t="str">
        <f t="shared" si="534"/>
        <v>Cancel</v>
      </c>
      <c r="J1830" s="186" t="s">
        <v>1635</v>
      </c>
      <c r="K1830" s="155" t="s">
        <v>1634</v>
      </c>
      <c r="L1830" s="17" t="s">
        <v>67</v>
      </c>
      <c r="M1830" s="13" t="s">
        <v>60</v>
      </c>
      <c r="N1830" s="13">
        <v>1</v>
      </c>
      <c r="O1830" s="13"/>
      <c r="P1830" s="33" t="str">
        <f t="shared" si="535"/>
        <v>MAIN UNIT</v>
      </c>
      <c r="Q1830" s="13" t="s">
        <v>61</v>
      </c>
      <c r="R1830" s="13" t="s">
        <v>62</v>
      </c>
      <c r="S1830" s="13" t="s">
        <v>49</v>
      </c>
      <c r="T1830" s="13" t="s">
        <v>78</v>
      </c>
      <c r="U1830" s="13" t="s">
        <v>79</v>
      </c>
      <c r="V1830" s="13" t="s">
        <v>126</v>
      </c>
      <c r="W1830" s="13" t="s">
        <v>109</v>
      </c>
      <c r="X1830" s="135">
        <v>9000000</v>
      </c>
      <c r="Y1830" s="157" t="str">
        <f t="shared" si="546"/>
        <v>1</v>
      </c>
      <c r="Z1830" s="18">
        <f t="shared" si="545"/>
        <v>9000000</v>
      </c>
      <c r="AA1830" s="13">
        <v>7.4499999999999997E-2</v>
      </c>
      <c r="AB1830" s="21">
        <f t="shared" si="529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0"/>
        <v>499582152.5142017</v>
      </c>
      <c r="AJ1830" s="19">
        <f t="shared" si="531"/>
        <v>59520528.679470733</v>
      </c>
      <c r="AK1830" s="20">
        <f t="shared" si="538"/>
        <v>0.11914062257814291</v>
      </c>
      <c r="AL1830" s="17"/>
      <c r="AM1830" s="17"/>
      <c r="AN1830" s="17"/>
      <c r="AO1830" s="17"/>
      <c r="AP1830" s="28" t="str">
        <f t="shared" si="539"/>
        <v>CancelCancel</v>
      </c>
      <c r="AQ1830" s="28" t="str">
        <f t="shared" si="540"/>
        <v>CancelCancelJPY</v>
      </c>
      <c r="AR1830" s="206" t="str">
        <f t="shared" si="541"/>
        <v>YAMAHA_Mounter</v>
      </c>
      <c r="AS1830" s="22" t="str">
        <f t="shared" si="542"/>
        <v/>
      </c>
      <c r="AT1830" s="24" t="str">
        <f t="shared" si="543"/>
        <v/>
      </c>
      <c r="AU1830" s="22" t="s">
        <v>3746</v>
      </c>
    </row>
    <row r="1831" spans="1:47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185</v>
      </c>
      <c r="F1831" s="13" t="s">
        <v>185</v>
      </c>
      <c r="G1831" s="152" t="s">
        <v>185</v>
      </c>
      <c r="H1831" s="155"/>
      <c r="I1831" s="33" t="str">
        <f t="shared" si="534"/>
        <v>Cancel</v>
      </c>
      <c r="J1831" s="186" t="s">
        <v>1635</v>
      </c>
      <c r="K1831" s="155" t="s">
        <v>1634</v>
      </c>
      <c r="L1831" s="17" t="s">
        <v>67</v>
      </c>
      <c r="M1831" s="13" t="s">
        <v>60</v>
      </c>
      <c r="N1831" s="13">
        <v>1</v>
      </c>
      <c r="O1831" s="13"/>
      <c r="P1831" s="33" t="str">
        <f t="shared" si="535"/>
        <v>MAIN UNIT</v>
      </c>
      <c r="Q1831" s="13" t="s">
        <v>61</v>
      </c>
      <c r="R1831" s="13" t="s">
        <v>62</v>
      </c>
      <c r="S1831" s="13" t="s">
        <v>49</v>
      </c>
      <c r="T1831" s="13" t="s">
        <v>78</v>
      </c>
      <c r="U1831" s="13" t="s">
        <v>79</v>
      </c>
      <c r="V1831" s="13" t="s">
        <v>126</v>
      </c>
      <c r="W1831" s="13" t="s">
        <v>109</v>
      </c>
      <c r="X1831" s="135">
        <v>9000000</v>
      </c>
      <c r="Y1831" s="157" t="str">
        <f t="shared" si="546"/>
        <v>1</v>
      </c>
      <c r="Z1831" s="18">
        <f t="shared" si="545"/>
        <v>9000000</v>
      </c>
      <c r="AA1831" s="13">
        <v>7.4499999999999997E-2</v>
      </c>
      <c r="AB1831" s="21">
        <f t="shared" si="529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0"/>
        <v>499582152.5142017</v>
      </c>
      <c r="AJ1831" s="19">
        <f t="shared" si="531"/>
        <v>59520528.679470733</v>
      </c>
      <c r="AK1831" s="20">
        <f t="shared" si="538"/>
        <v>0.11914062257814291</v>
      </c>
      <c r="AL1831" s="17"/>
      <c r="AM1831" s="17"/>
      <c r="AN1831" s="17"/>
      <c r="AO1831" s="17"/>
      <c r="AP1831" s="28" t="str">
        <f t="shared" si="539"/>
        <v>CancelCancel</v>
      </c>
      <c r="AQ1831" s="28" t="str">
        <f t="shared" si="540"/>
        <v>CancelCancelJPY</v>
      </c>
      <c r="AR1831" s="206" t="str">
        <f t="shared" si="541"/>
        <v>YAMAHA_Mounter</v>
      </c>
      <c r="AS1831" s="22" t="str">
        <f t="shared" si="542"/>
        <v/>
      </c>
      <c r="AT1831" s="24" t="str">
        <f t="shared" si="543"/>
        <v/>
      </c>
      <c r="AU1831" s="22" t="s">
        <v>3746</v>
      </c>
    </row>
    <row r="1832" spans="1:47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48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1667</v>
      </c>
      <c r="K1832" s="155" t="s">
        <v>1634</v>
      </c>
      <c r="L1832" s="17" t="s">
        <v>92</v>
      </c>
      <c r="M1832" s="13" t="s">
        <v>60</v>
      </c>
      <c r="N1832" s="13">
        <v>1</v>
      </c>
      <c r="O1832" s="13"/>
      <c r="P1832" s="33" t="str">
        <f t="shared" si="535"/>
        <v>MAIN UNIT</v>
      </c>
      <c r="Q1832" s="13" t="s">
        <v>61</v>
      </c>
      <c r="R1832" s="13" t="s">
        <v>62</v>
      </c>
      <c r="S1832" s="13" t="s">
        <v>49</v>
      </c>
      <c r="T1832" s="13" t="s">
        <v>78</v>
      </c>
      <c r="U1832" s="13" t="s">
        <v>79</v>
      </c>
      <c r="V1832" s="13" t="s">
        <v>126</v>
      </c>
      <c r="W1832" s="13" t="s">
        <v>109</v>
      </c>
      <c r="X1832" s="135">
        <v>13450000</v>
      </c>
      <c r="Y1832" s="157" t="str">
        <f t="shared" si="546"/>
        <v>1</v>
      </c>
      <c r="Z1832" s="18">
        <f t="shared" si="545"/>
        <v>13450000</v>
      </c>
      <c r="AA1832" s="13">
        <v>7.4499999999999997E-2</v>
      </c>
      <c r="AB1832" s="21">
        <f t="shared" si="529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0"/>
        <v>57778307.282035396</v>
      </c>
      <c r="AJ1832" s="19">
        <f t="shared" si="531"/>
        <v>7259860.7225420559</v>
      </c>
      <c r="AK1832" s="20">
        <f t="shared" si="538"/>
        <v>0.12565028406083667</v>
      </c>
      <c r="AL1832" s="17"/>
      <c r="AM1832" s="17"/>
      <c r="AN1832" s="17"/>
      <c r="AO1832" s="17"/>
      <c r="AP1832" s="28" t="str">
        <f t="shared" si="539"/>
        <v>20213</v>
      </c>
      <c r="AQ1832" s="28" t="str">
        <f t="shared" si="540"/>
        <v>20213JPY</v>
      </c>
      <c r="AR1832" s="206" t="str">
        <f t="shared" si="541"/>
        <v>YAMAHA_Mounter</v>
      </c>
      <c r="AS1832" s="22">
        <f t="shared" si="542"/>
        <v>2</v>
      </c>
      <c r="AT1832" s="24" t="str">
        <f t="shared" si="543"/>
        <v>0-3 months</v>
      </c>
      <c r="AU1832" s="22" t="s">
        <v>3746</v>
      </c>
    </row>
    <row r="1833" spans="1:47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48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1667</v>
      </c>
      <c r="K1833" s="155" t="s">
        <v>1634</v>
      </c>
      <c r="L1833" s="17" t="s">
        <v>92</v>
      </c>
      <c r="M1833" s="13" t="s">
        <v>60</v>
      </c>
      <c r="N1833" s="13">
        <v>1</v>
      </c>
      <c r="O1833" s="13"/>
      <c r="P1833" s="33" t="str">
        <f t="shared" si="535"/>
        <v>MAIN UNIT</v>
      </c>
      <c r="Q1833" s="13" t="s">
        <v>61</v>
      </c>
      <c r="R1833" s="13" t="s">
        <v>62</v>
      </c>
      <c r="S1833" s="13" t="s">
        <v>49</v>
      </c>
      <c r="T1833" s="13" t="s">
        <v>78</v>
      </c>
      <c r="U1833" s="13" t="s">
        <v>79</v>
      </c>
      <c r="V1833" s="13" t="s">
        <v>126</v>
      </c>
      <c r="W1833" s="13" t="s">
        <v>109</v>
      </c>
      <c r="X1833" s="135">
        <v>13450000</v>
      </c>
      <c r="Y1833" s="157" t="str">
        <f t="shared" si="546"/>
        <v>1</v>
      </c>
      <c r="Z1833" s="18">
        <f t="shared" si="545"/>
        <v>13450000</v>
      </c>
      <c r="AA1833" s="13">
        <v>7.4499999999999997E-2</v>
      </c>
      <c r="AB1833" s="21">
        <f t="shared" si="529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0"/>
        <v>57778307.282035396</v>
      </c>
      <c r="AJ1833" s="19">
        <f t="shared" si="531"/>
        <v>7259860.7225420559</v>
      </c>
      <c r="AK1833" s="20">
        <f t="shared" si="538"/>
        <v>0.12565028406083667</v>
      </c>
      <c r="AL1833" s="17"/>
      <c r="AM1833" s="17"/>
      <c r="AN1833" s="17"/>
      <c r="AO1833" s="17"/>
      <c r="AP1833" s="28" t="str">
        <f t="shared" si="539"/>
        <v>20213</v>
      </c>
      <c r="AQ1833" s="28" t="str">
        <f t="shared" si="540"/>
        <v>20213JPY</v>
      </c>
      <c r="AR1833" s="206" t="str">
        <f t="shared" si="541"/>
        <v>YAMAHA_Mounter</v>
      </c>
      <c r="AS1833" s="22">
        <f t="shared" si="542"/>
        <v>2</v>
      </c>
      <c r="AT1833" s="24" t="str">
        <f t="shared" si="543"/>
        <v>0-3 months</v>
      </c>
      <c r="AU1833" s="22" t="s">
        <v>3746</v>
      </c>
    </row>
    <row r="1834" spans="1:47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48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1667</v>
      </c>
      <c r="K1834" s="155" t="s">
        <v>1634</v>
      </c>
      <c r="L1834" s="17" t="s">
        <v>92</v>
      </c>
      <c r="M1834" s="13" t="s">
        <v>60</v>
      </c>
      <c r="N1834" s="13">
        <v>1</v>
      </c>
      <c r="O1834" s="13"/>
      <c r="P1834" s="33" t="str">
        <f t="shared" si="535"/>
        <v>MAIN UNIT</v>
      </c>
      <c r="Q1834" s="13" t="s">
        <v>61</v>
      </c>
      <c r="R1834" s="13" t="s">
        <v>62</v>
      </c>
      <c r="S1834" s="13" t="s">
        <v>49</v>
      </c>
      <c r="T1834" s="13" t="s">
        <v>78</v>
      </c>
      <c r="U1834" s="13" t="s">
        <v>79</v>
      </c>
      <c r="V1834" s="13" t="s">
        <v>126</v>
      </c>
      <c r="W1834" s="13" t="s">
        <v>109</v>
      </c>
      <c r="X1834" s="135">
        <v>13450000</v>
      </c>
      <c r="Y1834" s="157" t="str">
        <f t="shared" si="546"/>
        <v>1</v>
      </c>
      <c r="Z1834" s="18">
        <f t="shared" si="545"/>
        <v>13450000</v>
      </c>
      <c r="AA1834" s="13">
        <v>7.4499999999999997E-2</v>
      </c>
      <c r="AB1834" s="21">
        <f t="shared" si="529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0"/>
        <v>57778307.282035396</v>
      </c>
      <c r="AJ1834" s="19">
        <f t="shared" si="531"/>
        <v>7259860.7225420559</v>
      </c>
      <c r="AK1834" s="20">
        <f t="shared" si="538"/>
        <v>0.12565028406083667</v>
      </c>
      <c r="AL1834" s="17"/>
      <c r="AM1834" s="17"/>
      <c r="AN1834" s="17"/>
      <c r="AO1834" s="17"/>
      <c r="AP1834" s="28" t="str">
        <f t="shared" si="539"/>
        <v>20213</v>
      </c>
      <c r="AQ1834" s="28" t="str">
        <f t="shared" si="540"/>
        <v>20213JPY</v>
      </c>
      <c r="AR1834" s="206" t="str">
        <f t="shared" si="541"/>
        <v>YAMAHA_Mounter</v>
      </c>
      <c r="AS1834" s="22">
        <f t="shared" si="542"/>
        <v>2</v>
      </c>
      <c r="AT1834" s="24" t="str">
        <f t="shared" si="543"/>
        <v>0-3 months</v>
      </c>
      <c r="AU1834" s="22" t="s">
        <v>3746</v>
      </c>
    </row>
    <row r="1835" spans="1:47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48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1667</v>
      </c>
      <c r="K1835" s="155" t="s">
        <v>1634</v>
      </c>
      <c r="L1835" s="17" t="s">
        <v>92</v>
      </c>
      <c r="M1835" s="13" t="s">
        <v>60</v>
      </c>
      <c r="N1835" s="13">
        <v>1</v>
      </c>
      <c r="O1835" s="13"/>
      <c r="P1835" s="33" t="str">
        <f t="shared" si="535"/>
        <v>MAIN UNIT</v>
      </c>
      <c r="Q1835" s="13" t="s">
        <v>61</v>
      </c>
      <c r="R1835" s="13" t="s">
        <v>62</v>
      </c>
      <c r="S1835" s="13" t="s">
        <v>49</v>
      </c>
      <c r="T1835" s="13" t="s">
        <v>78</v>
      </c>
      <c r="U1835" s="13" t="s">
        <v>79</v>
      </c>
      <c r="V1835" s="13" t="s">
        <v>126</v>
      </c>
      <c r="W1835" s="13" t="s">
        <v>109</v>
      </c>
      <c r="X1835" s="135">
        <v>13450000</v>
      </c>
      <c r="Y1835" s="157" t="str">
        <f t="shared" si="546"/>
        <v>1</v>
      </c>
      <c r="Z1835" s="18">
        <f t="shared" si="545"/>
        <v>13450000</v>
      </c>
      <c r="AA1835" s="13">
        <v>7.4499999999999997E-2</v>
      </c>
      <c r="AB1835" s="21">
        <f t="shared" si="529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0"/>
        <v>57778307.282035396</v>
      </c>
      <c r="AJ1835" s="19">
        <f t="shared" si="531"/>
        <v>7259860.7225420559</v>
      </c>
      <c r="AK1835" s="20">
        <f t="shared" si="538"/>
        <v>0.12565028406083667</v>
      </c>
      <c r="AL1835" s="17"/>
      <c r="AM1835" s="17"/>
      <c r="AN1835" s="17"/>
      <c r="AO1835" s="17"/>
      <c r="AP1835" s="28" t="str">
        <f t="shared" si="539"/>
        <v>20213</v>
      </c>
      <c r="AQ1835" s="28" t="str">
        <f t="shared" si="540"/>
        <v>20213JPY</v>
      </c>
      <c r="AR1835" s="206" t="str">
        <f t="shared" si="541"/>
        <v>YAMAHA_Mounter</v>
      </c>
      <c r="AS1835" s="22">
        <f t="shared" si="542"/>
        <v>2</v>
      </c>
      <c r="AT1835" s="24" t="str">
        <f t="shared" si="543"/>
        <v>0-3 months</v>
      </c>
      <c r="AU1835" s="22" t="s">
        <v>3746</v>
      </c>
    </row>
    <row r="1836" spans="1:47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48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1667</v>
      </c>
      <c r="K1836" s="155" t="s">
        <v>1634</v>
      </c>
      <c r="L1836" s="17" t="s">
        <v>67</v>
      </c>
      <c r="M1836" s="13" t="s">
        <v>60</v>
      </c>
      <c r="N1836" s="13">
        <v>1</v>
      </c>
      <c r="O1836" s="13"/>
      <c r="P1836" s="33" t="str">
        <f t="shared" si="535"/>
        <v>MAIN UNIT</v>
      </c>
      <c r="Q1836" s="13" t="s">
        <v>61</v>
      </c>
      <c r="R1836" s="13" t="s">
        <v>62</v>
      </c>
      <c r="S1836" s="13" t="s">
        <v>49</v>
      </c>
      <c r="T1836" s="13" t="s">
        <v>78</v>
      </c>
      <c r="U1836" s="13" t="s">
        <v>79</v>
      </c>
      <c r="V1836" s="13" t="s">
        <v>126</v>
      </c>
      <c r="W1836" s="13" t="s">
        <v>109</v>
      </c>
      <c r="X1836" s="135">
        <v>9000000</v>
      </c>
      <c r="Y1836" s="157" t="str">
        <f t="shared" si="546"/>
        <v>1</v>
      </c>
      <c r="Z1836" s="18">
        <f t="shared" si="545"/>
        <v>9000000</v>
      </c>
      <c r="AA1836" s="13">
        <v>7.4499999999999997E-2</v>
      </c>
      <c r="AB1836" s="21">
        <f t="shared" si="529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0"/>
        <v>57778307.282035396</v>
      </c>
      <c r="AJ1836" s="19">
        <f t="shared" si="531"/>
        <v>7259860.7225420559</v>
      </c>
      <c r="AK1836" s="20">
        <f t="shared" si="538"/>
        <v>0.12565028406083667</v>
      </c>
      <c r="AL1836" s="17"/>
      <c r="AM1836" s="17"/>
      <c r="AN1836" s="17"/>
      <c r="AO1836" s="17"/>
      <c r="AP1836" s="28" t="str">
        <f t="shared" si="539"/>
        <v>20213</v>
      </c>
      <c r="AQ1836" s="28" t="str">
        <f t="shared" si="540"/>
        <v>20213JPY</v>
      </c>
      <c r="AR1836" s="206" t="str">
        <f t="shared" si="541"/>
        <v>YAMAHA_Mounter</v>
      </c>
      <c r="AS1836" s="22">
        <f t="shared" si="542"/>
        <v>2</v>
      </c>
      <c r="AT1836" s="24" t="str">
        <f t="shared" si="543"/>
        <v>0-3 months</v>
      </c>
      <c r="AU1836" s="22" t="s">
        <v>3746</v>
      </c>
    </row>
    <row r="1837" spans="1:47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48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1667</v>
      </c>
      <c r="K1837" s="155" t="s">
        <v>1634</v>
      </c>
      <c r="L1837" s="17" t="s">
        <v>67</v>
      </c>
      <c r="M1837" s="13" t="s">
        <v>60</v>
      </c>
      <c r="N1837" s="13">
        <v>1</v>
      </c>
      <c r="O1837" s="13"/>
      <c r="P1837" s="33" t="str">
        <f t="shared" si="535"/>
        <v>MAIN UNIT</v>
      </c>
      <c r="Q1837" s="13" t="s">
        <v>61</v>
      </c>
      <c r="R1837" s="13" t="s">
        <v>62</v>
      </c>
      <c r="S1837" s="13" t="s">
        <v>49</v>
      </c>
      <c r="T1837" s="13" t="s">
        <v>78</v>
      </c>
      <c r="U1837" s="13" t="s">
        <v>79</v>
      </c>
      <c r="V1837" s="13" t="s">
        <v>126</v>
      </c>
      <c r="W1837" s="13" t="s">
        <v>109</v>
      </c>
      <c r="X1837" s="135">
        <v>9000000</v>
      </c>
      <c r="Y1837" s="157" t="str">
        <f t="shared" si="546"/>
        <v>1</v>
      </c>
      <c r="Z1837" s="18">
        <f t="shared" si="545"/>
        <v>9000000</v>
      </c>
      <c r="AA1837" s="13">
        <v>7.4499999999999997E-2</v>
      </c>
      <c r="AB1837" s="21">
        <f t="shared" si="529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0"/>
        <v>57778307.282035396</v>
      </c>
      <c r="AJ1837" s="19">
        <f t="shared" si="531"/>
        <v>7259860.7225420559</v>
      </c>
      <c r="AK1837" s="20">
        <f t="shared" si="538"/>
        <v>0.12565028406083667</v>
      </c>
      <c r="AL1837" s="17"/>
      <c r="AM1837" s="17"/>
      <c r="AN1837" s="17"/>
      <c r="AO1837" s="17"/>
      <c r="AP1837" s="28" t="str">
        <f t="shared" si="539"/>
        <v>20213</v>
      </c>
      <c r="AQ1837" s="28" t="str">
        <f t="shared" si="540"/>
        <v>20213JPY</v>
      </c>
      <c r="AR1837" s="206" t="str">
        <f t="shared" si="541"/>
        <v>YAMAHA_Mounter</v>
      </c>
      <c r="AS1837" s="22">
        <f t="shared" si="542"/>
        <v>2</v>
      </c>
      <c r="AT1837" s="24" t="str">
        <f t="shared" si="543"/>
        <v>0-3 months</v>
      </c>
      <c r="AU1837" s="22" t="s">
        <v>3746</v>
      </c>
    </row>
    <row r="1838" spans="1:47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48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1667</v>
      </c>
      <c r="K1838" s="155" t="s">
        <v>1634</v>
      </c>
      <c r="L1838" s="17" t="s">
        <v>67</v>
      </c>
      <c r="M1838" s="13" t="s">
        <v>60</v>
      </c>
      <c r="N1838" s="13">
        <v>1</v>
      </c>
      <c r="O1838" s="13"/>
      <c r="P1838" s="33" t="str">
        <f t="shared" si="535"/>
        <v>MAIN UNIT</v>
      </c>
      <c r="Q1838" s="13" t="s">
        <v>61</v>
      </c>
      <c r="R1838" s="13" t="s">
        <v>62</v>
      </c>
      <c r="S1838" s="13" t="s">
        <v>49</v>
      </c>
      <c r="T1838" s="13" t="s">
        <v>78</v>
      </c>
      <c r="U1838" s="13" t="s">
        <v>79</v>
      </c>
      <c r="V1838" s="13" t="s">
        <v>126</v>
      </c>
      <c r="W1838" s="13" t="s">
        <v>109</v>
      </c>
      <c r="X1838" s="135">
        <v>9000000</v>
      </c>
      <c r="Y1838" s="157" t="str">
        <f t="shared" si="546"/>
        <v>1</v>
      </c>
      <c r="Z1838" s="18">
        <f t="shared" si="545"/>
        <v>9000000</v>
      </c>
      <c r="AA1838" s="13">
        <v>7.4499999999999997E-2</v>
      </c>
      <c r="AB1838" s="21">
        <f t="shared" si="529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0"/>
        <v>57778307.282035396</v>
      </c>
      <c r="AJ1838" s="19">
        <f t="shared" si="531"/>
        <v>7259860.7225420559</v>
      </c>
      <c r="AK1838" s="20">
        <f t="shared" si="538"/>
        <v>0.12565028406083667</v>
      </c>
      <c r="AL1838" s="17"/>
      <c r="AM1838" s="17"/>
      <c r="AN1838" s="17"/>
      <c r="AO1838" s="17"/>
      <c r="AP1838" s="28" t="str">
        <f t="shared" si="539"/>
        <v>20213</v>
      </c>
      <c r="AQ1838" s="28" t="str">
        <f t="shared" si="540"/>
        <v>20213JPY</v>
      </c>
      <c r="AR1838" s="206" t="str">
        <f t="shared" si="541"/>
        <v>YAMAHA_Mounter</v>
      </c>
      <c r="AS1838" s="22">
        <f t="shared" si="542"/>
        <v>2</v>
      </c>
      <c r="AT1838" s="24" t="str">
        <f t="shared" si="543"/>
        <v>0-3 months</v>
      </c>
      <c r="AU1838" s="22" t="s">
        <v>3746</v>
      </c>
    </row>
    <row r="1839" spans="1:47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48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1667</v>
      </c>
      <c r="K1839" s="155" t="s">
        <v>1634</v>
      </c>
      <c r="L1839" s="17" t="s">
        <v>67</v>
      </c>
      <c r="M1839" s="13" t="s">
        <v>60</v>
      </c>
      <c r="N1839" s="13">
        <v>1</v>
      </c>
      <c r="O1839" s="13"/>
      <c r="P1839" s="33" t="str">
        <f t="shared" si="535"/>
        <v>MAIN UNIT</v>
      </c>
      <c r="Q1839" s="13" t="s">
        <v>61</v>
      </c>
      <c r="R1839" s="13" t="s">
        <v>62</v>
      </c>
      <c r="S1839" s="13" t="s">
        <v>49</v>
      </c>
      <c r="T1839" s="13" t="s">
        <v>78</v>
      </c>
      <c r="U1839" s="13" t="s">
        <v>79</v>
      </c>
      <c r="V1839" s="13" t="s">
        <v>126</v>
      </c>
      <c r="W1839" s="13" t="s">
        <v>109</v>
      </c>
      <c r="X1839" s="135">
        <v>9000000</v>
      </c>
      <c r="Y1839" s="157" t="str">
        <f t="shared" si="546"/>
        <v>1</v>
      </c>
      <c r="Z1839" s="18">
        <f t="shared" si="545"/>
        <v>9000000</v>
      </c>
      <c r="AA1839" s="13">
        <v>7.4499999999999997E-2</v>
      </c>
      <c r="AB1839" s="21">
        <f t="shared" si="529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0"/>
        <v>57778307.282035396</v>
      </c>
      <c r="AJ1839" s="19">
        <f t="shared" si="531"/>
        <v>7259860.7225420559</v>
      </c>
      <c r="AK1839" s="20">
        <f t="shared" si="538"/>
        <v>0.12565028406083667</v>
      </c>
      <c r="AL1839" s="17"/>
      <c r="AM1839" s="17"/>
      <c r="AN1839" s="17"/>
      <c r="AO1839" s="17"/>
      <c r="AP1839" s="28" t="str">
        <f t="shared" si="539"/>
        <v>20213</v>
      </c>
      <c r="AQ1839" s="28" t="str">
        <f t="shared" si="540"/>
        <v>20213JPY</v>
      </c>
      <c r="AR1839" s="206" t="str">
        <f t="shared" si="541"/>
        <v>YAMAHA_Mounter</v>
      </c>
      <c r="AS1839" s="22">
        <f t="shared" si="542"/>
        <v>2</v>
      </c>
      <c r="AT1839" s="24" t="str">
        <f t="shared" si="543"/>
        <v>0-3 months</v>
      </c>
      <c r="AU1839" s="22" t="s">
        <v>3746</v>
      </c>
    </row>
    <row r="1840" spans="1:47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53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1985</v>
      </c>
      <c r="K1840" s="155" t="s">
        <v>1634</v>
      </c>
      <c r="L1840" s="17" t="s">
        <v>92</v>
      </c>
      <c r="M1840" s="13" t="s">
        <v>60</v>
      </c>
      <c r="N1840" s="13">
        <v>1</v>
      </c>
      <c r="O1840" s="13"/>
      <c r="P1840" s="33" t="str">
        <f t="shared" si="535"/>
        <v>MAIN UNIT</v>
      </c>
      <c r="Q1840" s="13" t="s">
        <v>61</v>
      </c>
      <c r="R1840" s="13" t="s">
        <v>62</v>
      </c>
      <c r="S1840" s="13" t="s">
        <v>49</v>
      </c>
      <c r="T1840" s="13" t="s">
        <v>78</v>
      </c>
      <c r="U1840" s="13" t="s">
        <v>79</v>
      </c>
      <c r="V1840" s="13" t="s">
        <v>126</v>
      </c>
      <c r="W1840" s="13" t="s">
        <v>109</v>
      </c>
      <c r="X1840" s="135">
        <v>16500000</v>
      </c>
      <c r="Y1840" s="157" t="str">
        <f t="shared" si="546"/>
        <v>1</v>
      </c>
      <c r="Z1840" s="18">
        <f t="shared" si="545"/>
        <v>16500000</v>
      </c>
      <c r="AA1840" s="13">
        <v>6.9199999999999998E-2</v>
      </c>
      <c r="AB1840" s="21">
        <f t="shared" si="529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0"/>
        <v>28726768.133805312</v>
      </c>
      <c r="AJ1840" s="19">
        <f t="shared" si="531"/>
        <v>3853638.1988864429</v>
      </c>
      <c r="AK1840" s="20">
        <f t="shared" si="538"/>
        <v>0.1341479898099476</v>
      </c>
      <c r="AL1840" s="17"/>
      <c r="AM1840" s="17"/>
      <c r="AN1840" s="17"/>
      <c r="AO1840" s="17"/>
      <c r="AP1840" s="28" t="str">
        <f t="shared" si="539"/>
        <v>20223</v>
      </c>
      <c r="AQ1840" s="28" t="str">
        <f t="shared" si="540"/>
        <v>20223JPY</v>
      </c>
      <c r="AR1840" s="206" t="str">
        <f t="shared" si="541"/>
        <v>YAMAHA_Mounter</v>
      </c>
      <c r="AS1840" s="22">
        <f t="shared" si="542"/>
        <v>5</v>
      </c>
      <c r="AT1840" s="24" t="str">
        <f t="shared" si="543"/>
        <v>4-6 months</v>
      </c>
      <c r="AU1840" s="22" t="s">
        <v>3746</v>
      </c>
    </row>
    <row r="1841" spans="1:47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53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1985</v>
      </c>
      <c r="K1841" s="155" t="s">
        <v>1634</v>
      </c>
      <c r="L1841" s="17" t="s">
        <v>67</v>
      </c>
      <c r="M1841" s="13" t="s">
        <v>60</v>
      </c>
      <c r="N1841" s="13">
        <v>1</v>
      </c>
      <c r="O1841" s="13"/>
      <c r="P1841" s="33" t="str">
        <f t="shared" si="535"/>
        <v>MAIN UNIT</v>
      </c>
      <c r="Q1841" s="13" t="s">
        <v>61</v>
      </c>
      <c r="R1841" s="13" t="s">
        <v>62</v>
      </c>
      <c r="S1841" s="13" t="s">
        <v>49</v>
      </c>
      <c r="T1841" s="13" t="s">
        <v>78</v>
      </c>
      <c r="U1841" s="13" t="s">
        <v>79</v>
      </c>
      <c r="V1841" s="13" t="s">
        <v>126</v>
      </c>
      <c r="W1841" s="13" t="s">
        <v>109</v>
      </c>
      <c r="X1841" s="135">
        <v>9000000</v>
      </c>
      <c r="Y1841" s="157" t="str">
        <f t="shared" si="546"/>
        <v>1</v>
      </c>
      <c r="Z1841" s="18">
        <f t="shared" si="545"/>
        <v>9000000</v>
      </c>
      <c r="AA1841" s="13">
        <v>6.9199999999999998E-2</v>
      </c>
      <c r="AB1841" s="21">
        <f t="shared" si="529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0"/>
        <v>28726768.133805312</v>
      </c>
      <c r="AJ1841" s="19">
        <f t="shared" si="531"/>
        <v>3853638.1988864429</v>
      </c>
      <c r="AK1841" s="20">
        <f t="shared" si="538"/>
        <v>0.1341479898099476</v>
      </c>
      <c r="AL1841" s="17"/>
      <c r="AM1841" s="17"/>
      <c r="AN1841" s="17"/>
      <c r="AO1841" s="17"/>
      <c r="AP1841" s="28" t="str">
        <f t="shared" si="539"/>
        <v>20223</v>
      </c>
      <c r="AQ1841" s="28" t="str">
        <f t="shared" si="540"/>
        <v>20223JPY</v>
      </c>
      <c r="AR1841" s="206" t="str">
        <f t="shared" si="541"/>
        <v>YAMAHA_Mounter</v>
      </c>
      <c r="AS1841" s="22">
        <f t="shared" si="542"/>
        <v>5</v>
      </c>
      <c r="AT1841" s="24" t="str">
        <f t="shared" si="543"/>
        <v>4-6 months</v>
      </c>
      <c r="AU1841" s="22" t="s">
        <v>3746</v>
      </c>
    </row>
    <row r="1842" spans="1:47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54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1985</v>
      </c>
      <c r="K1842" s="155" t="s">
        <v>1634</v>
      </c>
      <c r="L1842" s="17" t="s">
        <v>92</v>
      </c>
      <c r="M1842" s="13" t="s">
        <v>60</v>
      </c>
      <c r="N1842" s="13">
        <v>1</v>
      </c>
      <c r="O1842" s="13"/>
      <c r="P1842" s="33" t="str">
        <f t="shared" si="535"/>
        <v>MAIN UNIT</v>
      </c>
      <c r="Q1842" s="13" t="s">
        <v>61</v>
      </c>
      <c r="R1842" s="13" t="s">
        <v>62</v>
      </c>
      <c r="S1842" s="13" t="s">
        <v>49</v>
      </c>
      <c r="T1842" s="13" t="s">
        <v>78</v>
      </c>
      <c r="U1842" s="13" t="s">
        <v>79</v>
      </c>
      <c r="V1842" s="13" t="s">
        <v>126</v>
      </c>
      <c r="W1842" s="13" t="s">
        <v>109</v>
      </c>
      <c r="X1842" s="135">
        <v>16500000</v>
      </c>
      <c r="Y1842" s="157" t="str">
        <f t="shared" si="546"/>
        <v>1</v>
      </c>
      <c r="Z1842" s="18">
        <f t="shared" si="545"/>
        <v>16500000</v>
      </c>
      <c r="AA1842" s="13">
        <v>6.54E-2</v>
      </c>
      <c r="AB1842" s="21">
        <f t="shared" si="529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0"/>
        <v>46600814.041769907</v>
      </c>
      <c r="AJ1842" s="19">
        <f t="shared" si="531"/>
        <v>5956366.3435927071</v>
      </c>
      <c r="AK1842" s="20">
        <f t="shared" si="538"/>
        <v>0.1278167874546958</v>
      </c>
      <c r="AL1842" s="17"/>
      <c r="AM1842" s="17"/>
      <c r="AN1842" s="17"/>
      <c r="AO1842" s="17"/>
      <c r="AP1842" s="28" t="str">
        <f t="shared" si="539"/>
        <v>20224</v>
      </c>
      <c r="AQ1842" s="28" t="str">
        <f t="shared" si="540"/>
        <v>20224JPY</v>
      </c>
      <c r="AR1842" s="206" t="str">
        <f t="shared" si="541"/>
        <v>YAMAHA_Mounter</v>
      </c>
      <c r="AS1842" s="22">
        <f t="shared" si="542"/>
        <v>6</v>
      </c>
      <c r="AT1842" s="24" t="str">
        <f t="shared" si="543"/>
        <v>4-6 months</v>
      </c>
      <c r="AU1842" s="22" t="s">
        <v>3746</v>
      </c>
    </row>
    <row r="1843" spans="1:47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54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1985</v>
      </c>
      <c r="K1843" s="155" t="s">
        <v>1634</v>
      </c>
      <c r="L1843" s="17" t="s">
        <v>67</v>
      </c>
      <c r="M1843" s="13" t="s">
        <v>60</v>
      </c>
      <c r="N1843" s="13">
        <v>1</v>
      </c>
      <c r="O1843" s="13"/>
      <c r="P1843" s="33" t="str">
        <f t="shared" si="535"/>
        <v>MAIN UNIT</v>
      </c>
      <c r="Q1843" s="13" t="s">
        <v>61</v>
      </c>
      <c r="R1843" s="13" t="s">
        <v>62</v>
      </c>
      <c r="S1843" s="13" t="s">
        <v>49</v>
      </c>
      <c r="T1843" s="13" t="s">
        <v>78</v>
      </c>
      <c r="U1843" s="13" t="s">
        <v>79</v>
      </c>
      <c r="V1843" s="13" t="s">
        <v>126</v>
      </c>
      <c r="W1843" s="13" t="s">
        <v>109</v>
      </c>
      <c r="X1843" s="135">
        <v>9000000</v>
      </c>
      <c r="Y1843" s="157" t="str">
        <f t="shared" si="546"/>
        <v>1</v>
      </c>
      <c r="Z1843" s="18">
        <f t="shared" si="545"/>
        <v>9000000</v>
      </c>
      <c r="AA1843" s="13">
        <v>6.54E-2</v>
      </c>
      <c r="AB1843" s="21">
        <f t="shared" si="529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0"/>
        <v>46600814.041769907</v>
      </c>
      <c r="AJ1843" s="19">
        <f t="shared" si="531"/>
        <v>5956366.3435927071</v>
      </c>
      <c r="AK1843" s="20">
        <f t="shared" si="538"/>
        <v>0.1278167874546958</v>
      </c>
      <c r="AL1843" s="17"/>
      <c r="AM1843" s="17"/>
      <c r="AN1843" s="17"/>
      <c r="AO1843" s="17"/>
      <c r="AP1843" s="28" t="str">
        <f t="shared" si="539"/>
        <v>20224</v>
      </c>
      <c r="AQ1843" s="28" t="str">
        <f t="shared" si="540"/>
        <v>20224JPY</v>
      </c>
      <c r="AR1843" s="206" t="str">
        <f t="shared" si="541"/>
        <v>YAMAHA_Mounter</v>
      </c>
      <c r="AS1843" s="22">
        <f t="shared" si="542"/>
        <v>6</v>
      </c>
      <c r="AT1843" s="24" t="str">
        <f t="shared" si="543"/>
        <v>4-6 months</v>
      </c>
      <c r="AU1843" s="22" t="s">
        <v>3746</v>
      </c>
    </row>
    <row r="1844" spans="1:47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54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1985</v>
      </c>
      <c r="K1844" s="155" t="s">
        <v>1634</v>
      </c>
      <c r="L1844" s="17" t="s">
        <v>67</v>
      </c>
      <c r="M1844" s="13" t="s">
        <v>60</v>
      </c>
      <c r="N1844" s="13">
        <v>1</v>
      </c>
      <c r="O1844" s="13"/>
      <c r="P1844" s="33" t="str">
        <f t="shared" si="535"/>
        <v>MAIN UNIT</v>
      </c>
      <c r="Q1844" s="13" t="s">
        <v>61</v>
      </c>
      <c r="R1844" s="13" t="s">
        <v>62</v>
      </c>
      <c r="S1844" s="13" t="s">
        <v>49</v>
      </c>
      <c r="T1844" s="13" t="s">
        <v>78</v>
      </c>
      <c r="U1844" s="13" t="s">
        <v>79</v>
      </c>
      <c r="V1844" s="13" t="s">
        <v>126</v>
      </c>
      <c r="W1844" s="13" t="s">
        <v>109</v>
      </c>
      <c r="X1844" s="135">
        <v>9000000</v>
      </c>
      <c r="Y1844" s="157" t="str">
        <f t="shared" si="546"/>
        <v>1</v>
      </c>
      <c r="Z1844" s="18">
        <f t="shared" si="545"/>
        <v>9000000</v>
      </c>
      <c r="AA1844" s="13">
        <v>6.54E-2</v>
      </c>
      <c r="AB1844" s="21">
        <f t="shared" si="529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0"/>
        <v>46600814.041769907</v>
      </c>
      <c r="AJ1844" s="19">
        <f t="shared" si="531"/>
        <v>5956366.3435927071</v>
      </c>
      <c r="AK1844" s="20">
        <f t="shared" si="538"/>
        <v>0.1278167874546958</v>
      </c>
      <c r="AL1844" s="17"/>
      <c r="AM1844" s="17"/>
      <c r="AN1844" s="17"/>
      <c r="AO1844" s="17"/>
      <c r="AP1844" s="28" t="str">
        <f t="shared" si="539"/>
        <v>20224</v>
      </c>
      <c r="AQ1844" s="28" t="str">
        <f t="shared" si="540"/>
        <v>20224JPY</v>
      </c>
      <c r="AR1844" s="206" t="str">
        <f t="shared" si="541"/>
        <v>YAMAHA_Mounter</v>
      </c>
      <c r="AS1844" s="22">
        <f t="shared" si="542"/>
        <v>6</v>
      </c>
      <c r="AT1844" s="24" t="str">
        <f t="shared" si="543"/>
        <v>4-6 months</v>
      </c>
      <c r="AU1844" s="22" t="s">
        <v>3746</v>
      </c>
    </row>
    <row r="1845" spans="1:47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185</v>
      </c>
      <c r="F1845" s="13" t="s">
        <v>185</v>
      </c>
      <c r="G1845" s="152" t="s">
        <v>185</v>
      </c>
      <c r="H1845" s="155"/>
      <c r="I1845" s="33" t="str">
        <f t="shared" si="534"/>
        <v>Cancel</v>
      </c>
      <c r="J1845" s="186" t="s">
        <v>2061</v>
      </c>
      <c r="K1845" s="155" t="s">
        <v>1634</v>
      </c>
      <c r="L1845" s="17" t="s">
        <v>92</v>
      </c>
      <c r="M1845" s="13" t="s">
        <v>60</v>
      </c>
      <c r="N1845" s="13">
        <v>1</v>
      </c>
      <c r="O1845" s="13"/>
      <c r="P1845" s="33" t="str">
        <f t="shared" si="535"/>
        <v>MAIN UNIT</v>
      </c>
      <c r="Q1845" s="13" t="s">
        <v>61</v>
      </c>
      <c r="R1845" s="13" t="s">
        <v>62</v>
      </c>
      <c r="S1845" s="13" t="s">
        <v>49</v>
      </c>
      <c r="T1845" s="13" t="s">
        <v>78</v>
      </c>
      <c r="U1845" s="13" t="s">
        <v>79</v>
      </c>
      <c r="V1845" s="13" t="s">
        <v>126</v>
      </c>
      <c r="W1845" s="13" t="s">
        <v>109</v>
      </c>
      <c r="X1845" s="135">
        <v>14400000</v>
      </c>
      <c r="Y1845" s="157" t="str">
        <f t="shared" si="546"/>
        <v>1</v>
      </c>
      <c r="Z1845" s="18">
        <f t="shared" si="545"/>
        <v>14400000</v>
      </c>
      <c r="AA1845" s="13">
        <v>7.17E-2</v>
      </c>
      <c r="AB1845" s="21">
        <f t="shared" si="529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0"/>
        <v>499582152.5142017</v>
      </c>
      <c r="AJ1845" s="19">
        <f t="shared" si="531"/>
        <v>59520528.679470733</v>
      </c>
      <c r="AK1845" s="20">
        <f t="shared" si="538"/>
        <v>0.11914062257814291</v>
      </c>
      <c r="AL1845" s="17"/>
      <c r="AM1845" s="17"/>
      <c r="AN1845" s="17"/>
      <c r="AO1845" s="17"/>
      <c r="AP1845" s="28" t="str">
        <f t="shared" si="539"/>
        <v>CancelCancel</v>
      </c>
      <c r="AQ1845" s="28" t="str">
        <f t="shared" si="540"/>
        <v>CancelCancelJPY</v>
      </c>
      <c r="AR1845" s="206" t="str">
        <f t="shared" si="541"/>
        <v>YAMAHA_Mounter</v>
      </c>
      <c r="AS1845" s="22" t="str">
        <f t="shared" si="542"/>
        <v/>
      </c>
      <c r="AT1845" s="24" t="str">
        <f t="shared" si="543"/>
        <v/>
      </c>
      <c r="AU1845" s="22" t="s">
        <v>3746</v>
      </c>
    </row>
    <row r="1846" spans="1:47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185</v>
      </c>
      <c r="F1846" s="13" t="s">
        <v>185</v>
      </c>
      <c r="G1846" s="152" t="s">
        <v>185</v>
      </c>
      <c r="H1846" s="155"/>
      <c r="I1846" s="33" t="str">
        <f t="shared" si="534"/>
        <v>Cancel</v>
      </c>
      <c r="J1846" s="186" t="s">
        <v>2061</v>
      </c>
      <c r="K1846" s="155" t="s">
        <v>1634</v>
      </c>
      <c r="L1846" s="17" t="s">
        <v>92</v>
      </c>
      <c r="M1846" s="13" t="s">
        <v>60</v>
      </c>
      <c r="N1846" s="13">
        <v>1</v>
      </c>
      <c r="O1846" s="13"/>
      <c r="P1846" s="33" t="str">
        <f t="shared" si="535"/>
        <v>MAIN UNIT</v>
      </c>
      <c r="Q1846" s="13" t="s">
        <v>61</v>
      </c>
      <c r="R1846" s="13" t="s">
        <v>62</v>
      </c>
      <c r="S1846" s="13" t="s">
        <v>49</v>
      </c>
      <c r="T1846" s="13" t="s">
        <v>78</v>
      </c>
      <c r="U1846" s="13" t="s">
        <v>79</v>
      </c>
      <c r="V1846" s="13" t="s">
        <v>126</v>
      </c>
      <c r="W1846" s="13" t="s">
        <v>109</v>
      </c>
      <c r="X1846" s="135">
        <v>14400000</v>
      </c>
      <c r="Y1846" s="157" t="str">
        <f t="shared" si="546"/>
        <v>1</v>
      </c>
      <c r="Z1846" s="18">
        <f t="shared" si="545"/>
        <v>14400000</v>
      </c>
      <c r="AA1846" s="13">
        <v>7.17E-2</v>
      </c>
      <c r="AB1846" s="21">
        <f t="shared" ref="AB1846:AB1909" si="547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0"/>
        <v>499582152.5142017</v>
      </c>
      <c r="AJ1846" s="19">
        <f t="shared" si="531"/>
        <v>59520528.679470733</v>
      </c>
      <c r="AK1846" s="20">
        <f t="shared" si="538"/>
        <v>0.11914062257814291</v>
      </c>
      <c r="AL1846" s="17"/>
      <c r="AM1846" s="17"/>
      <c r="AN1846" s="17"/>
      <c r="AO1846" s="17"/>
      <c r="AP1846" s="28" t="str">
        <f t="shared" si="539"/>
        <v>CancelCancel</v>
      </c>
      <c r="AQ1846" s="28" t="str">
        <f t="shared" si="540"/>
        <v>CancelCancelJPY</v>
      </c>
      <c r="AR1846" s="206" t="str">
        <f t="shared" si="541"/>
        <v>YAMAHA_Mounter</v>
      </c>
      <c r="AS1846" s="22" t="str">
        <f t="shared" si="542"/>
        <v/>
      </c>
      <c r="AT1846" s="24" t="str">
        <f t="shared" si="543"/>
        <v/>
      </c>
      <c r="AU1846" s="22" t="s">
        <v>3746</v>
      </c>
    </row>
    <row r="1847" spans="1:47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185</v>
      </c>
      <c r="F1847" s="13" t="s">
        <v>185</v>
      </c>
      <c r="G1847" s="152" t="s">
        <v>185</v>
      </c>
      <c r="H1847" s="155"/>
      <c r="I1847" s="33" t="str">
        <f t="shared" si="534"/>
        <v>Cancel</v>
      </c>
      <c r="J1847" s="186" t="s">
        <v>2061</v>
      </c>
      <c r="K1847" s="155" t="s">
        <v>1634</v>
      </c>
      <c r="L1847" s="17" t="s">
        <v>92</v>
      </c>
      <c r="M1847" s="13" t="s">
        <v>60</v>
      </c>
      <c r="N1847" s="13">
        <v>1</v>
      </c>
      <c r="O1847" s="13"/>
      <c r="P1847" s="33" t="str">
        <f t="shared" si="535"/>
        <v>MAIN UNIT</v>
      </c>
      <c r="Q1847" s="13" t="s">
        <v>61</v>
      </c>
      <c r="R1847" s="13" t="s">
        <v>62</v>
      </c>
      <c r="S1847" s="13" t="s">
        <v>49</v>
      </c>
      <c r="T1847" s="13" t="s">
        <v>78</v>
      </c>
      <c r="U1847" s="13" t="s">
        <v>79</v>
      </c>
      <c r="V1847" s="13" t="s">
        <v>126</v>
      </c>
      <c r="W1847" s="13" t="s">
        <v>109</v>
      </c>
      <c r="X1847" s="135">
        <v>14400000</v>
      </c>
      <c r="Y1847" s="157" t="str">
        <f t="shared" si="546"/>
        <v>1</v>
      </c>
      <c r="Z1847" s="18">
        <f t="shared" si="545"/>
        <v>14400000</v>
      </c>
      <c r="AA1847" s="13">
        <v>7.17E-2</v>
      </c>
      <c r="AB1847" s="21">
        <f t="shared" si="547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0"/>
        <v>499582152.5142017</v>
      </c>
      <c r="AJ1847" s="19">
        <f t="shared" si="531"/>
        <v>59520528.679470733</v>
      </c>
      <c r="AK1847" s="20">
        <f t="shared" si="538"/>
        <v>0.11914062257814291</v>
      </c>
      <c r="AL1847" s="17"/>
      <c r="AM1847" s="17"/>
      <c r="AN1847" s="17"/>
      <c r="AO1847" s="17"/>
      <c r="AP1847" s="28" t="str">
        <f t="shared" si="539"/>
        <v>CancelCancel</v>
      </c>
      <c r="AQ1847" s="28" t="str">
        <f t="shared" si="540"/>
        <v>CancelCancelJPY</v>
      </c>
      <c r="AR1847" s="206" t="str">
        <f t="shared" si="541"/>
        <v>YAMAHA_Mounter</v>
      </c>
      <c r="AS1847" s="22" t="str">
        <f t="shared" si="542"/>
        <v/>
      </c>
      <c r="AT1847" s="24" t="str">
        <f t="shared" si="543"/>
        <v/>
      </c>
      <c r="AU1847" s="22" t="s">
        <v>3746</v>
      </c>
    </row>
    <row r="1848" spans="1:47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185</v>
      </c>
      <c r="F1848" s="13" t="s">
        <v>185</v>
      </c>
      <c r="G1848" s="152" t="s">
        <v>185</v>
      </c>
      <c r="H1848" s="155"/>
      <c r="I1848" s="33" t="str">
        <f t="shared" si="534"/>
        <v>Cancel</v>
      </c>
      <c r="J1848" s="186" t="s">
        <v>2061</v>
      </c>
      <c r="K1848" s="155" t="s">
        <v>1634</v>
      </c>
      <c r="L1848" s="17" t="s">
        <v>67</v>
      </c>
      <c r="M1848" s="13" t="s">
        <v>60</v>
      </c>
      <c r="N1848" s="13">
        <v>1</v>
      </c>
      <c r="O1848" s="13"/>
      <c r="P1848" s="33" t="str">
        <f t="shared" si="535"/>
        <v>MAIN UNIT</v>
      </c>
      <c r="Q1848" s="13" t="s">
        <v>61</v>
      </c>
      <c r="R1848" s="13" t="s">
        <v>62</v>
      </c>
      <c r="S1848" s="13" t="s">
        <v>49</v>
      </c>
      <c r="T1848" s="13" t="s">
        <v>78</v>
      </c>
      <c r="U1848" s="13" t="s">
        <v>79</v>
      </c>
      <c r="V1848" s="13" t="s">
        <v>126</v>
      </c>
      <c r="W1848" s="13" t="s">
        <v>109</v>
      </c>
      <c r="X1848" s="135">
        <v>9000000</v>
      </c>
      <c r="Y1848" s="157" t="str">
        <f t="shared" si="546"/>
        <v>1</v>
      </c>
      <c r="Z1848" s="18">
        <f t="shared" si="545"/>
        <v>9000000</v>
      </c>
      <c r="AA1848" s="13">
        <v>7.17E-2</v>
      </c>
      <c r="AB1848" s="21">
        <f t="shared" si="547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0"/>
        <v>499582152.5142017</v>
      </c>
      <c r="AJ1848" s="19">
        <f t="shared" si="531"/>
        <v>59520528.679470733</v>
      </c>
      <c r="AK1848" s="20">
        <f t="shared" si="538"/>
        <v>0.11914062257814291</v>
      </c>
      <c r="AL1848" s="17"/>
      <c r="AM1848" s="17"/>
      <c r="AN1848" s="17"/>
      <c r="AO1848" s="17"/>
      <c r="AP1848" s="28" t="str">
        <f t="shared" si="539"/>
        <v>CancelCancel</v>
      </c>
      <c r="AQ1848" s="28" t="str">
        <f t="shared" si="540"/>
        <v>CancelCancelJPY</v>
      </c>
      <c r="AR1848" s="206" t="str">
        <f t="shared" si="541"/>
        <v>YAMAHA_Mounter</v>
      </c>
      <c r="AS1848" s="22" t="str">
        <f t="shared" si="542"/>
        <v/>
      </c>
      <c r="AT1848" s="24" t="str">
        <f t="shared" si="543"/>
        <v/>
      </c>
      <c r="AU1848" s="22" t="s">
        <v>3746</v>
      </c>
    </row>
    <row r="1849" spans="1:47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185</v>
      </c>
      <c r="F1849" s="13" t="s">
        <v>185</v>
      </c>
      <c r="G1849" s="152" t="s">
        <v>185</v>
      </c>
      <c r="H1849" s="155"/>
      <c r="I1849" s="33" t="str">
        <f t="shared" si="534"/>
        <v>Cancel</v>
      </c>
      <c r="J1849" s="186" t="s">
        <v>2061</v>
      </c>
      <c r="K1849" s="155" t="s">
        <v>1634</v>
      </c>
      <c r="L1849" s="17" t="s">
        <v>67</v>
      </c>
      <c r="M1849" s="13" t="s">
        <v>60</v>
      </c>
      <c r="N1849" s="13">
        <v>1</v>
      </c>
      <c r="O1849" s="13"/>
      <c r="P1849" s="33" t="str">
        <f t="shared" si="535"/>
        <v>MAIN UNIT</v>
      </c>
      <c r="Q1849" s="13" t="s">
        <v>61</v>
      </c>
      <c r="R1849" s="13" t="s">
        <v>62</v>
      </c>
      <c r="S1849" s="13" t="s">
        <v>49</v>
      </c>
      <c r="T1849" s="13" t="s">
        <v>78</v>
      </c>
      <c r="U1849" s="13" t="s">
        <v>79</v>
      </c>
      <c r="V1849" s="13" t="s">
        <v>126</v>
      </c>
      <c r="W1849" s="13" t="s">
        <v>109</v>
      </c>
      <c r="X1849" s="135">
        <v>9000000</v>
      </c>
      <c r="Y1849" s="157" t="str">
        <f t="shared" si="546"/>
        <v>1</v>
      </c>
      <c r="Z1849" s="18">
        <f t="shared" si="545"/>
        <v>9000000</v>
      </c>
      <c r="AA1849" s="13">
        <v>7.17E-2</v>
      </c>
      <c r="AB1849" s="21">
        <f t="shared" si="547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0"/>
        <v>499582152.5142017</v>
      </c>
      <c r="AJ1849" s="19">
        <f t="shared" si="531"/>
        <v>59520528.679470733</v>
      </c>
      <c r="AK1849" s="20">
        <f t="shared" si="538"/>
        <v>0.11914062257814291</v>
      </c>
      <c r="AL1849" s="17"/>
      <c r="AM1849" s="17"/>
      <c r="AN1849" s="17"/>
      <c r="AO1849" s="17"/>
      <c r="AP1849" s="28" t="str">
        <f t="shared" si="539"/>
        <v>CancelCancel</v>
      </c>
      <c r="AQ1849" s="28" t="str">
        <f t="shared" si="540"/>
        <v>CancelCancelJPY</v>
      </c>
      <c r="AR1849" s="206" t="str">
        <f t="shared" si="541"/>
        <v>YAMAHA_Mounter</v>
      </c>
      <c r="AS1849" s="22" t="str">
        <f t="shared" si="542"/>
        <v/>
      </c>
      <c r="AT1849" s="24" t="str">
        <f t="shared" si="543"/>
        <v/>
      </c>
      <c r="AU1849" s="22" t="s">
        <v>3746</v>
      </c>
    </row>
    <row r="1850" spans="1:47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185</v>
      </c>
      <c r="F1850" s="13" t="s">
        <v>185</v>
      </c>
      <c r="G1850" s="152" t="s">
        <v>185</v>
      </c>
      <c r="H1850" s="155"/>
      <c r="I1850" s="33" t="str">
        <f t="shared" si="534"/>
        <v>Cancel</v>
      </c>
      <c r="J1850" s="186" t="s">
        <v>2061</v>
      </c>
      <c r="K1850" s="155" t="s">
        <v>1634</v>
      </c>
      <c r="L1850" s="17" t="s">
        <v>67</v>
      </c>
      <c r="M1850" s="13" t="s">
        <v>60</v>
      </c>
      <c r="N1850" s="13">
        <v>1</v>
      </c>
      <c r="O1850" s="13"/>
      <c r="P1850" s="33" t="str">
        <f t="shared" si="535"/>
        <v>MAIN UNIT</v>
      </c>
      <c r="Q1850" s="13" t="s">
        <v>61</v>
      </c>
      <c r="R1850" s="13" t="s">
        <v>62</v>
      </c>
      <c r="S1850" s="13" t="s">
        <v>49</v>
      </c>
      <c r="T1850" s="13" t="s">
        <v>78</v>
      </c>
      <c r="U1850" s="13" t="s">
        <v>79</v>
      </c>
      <c r="V1850" s="13" t="s">
        <v>126</v>
      </c>
      <c r="W1850" s="13" t="s">
        <v>109</v>
      </c>
      <c r="X1850" s="135">
        <v>9000000</v>
      </c>
      <c r="Y1850" s="157" t="str">
        <f t="shared" si="546"/>
        <v>1</v>
      </c>
      <c r="Z1850" s="18">
        <f t="shared" si="545"/>
        <v>9000000</v>
      </c>
      <c r="AA1850" s="13">
        <v>7.17E-2</v>
      </c>
      <c r="AB1850" s="21">
        <f t="shared" si="547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0"/>
        <v>499582152.5142017</v>
      </c>
      <c r="AJ1850" s="19">
        <f t="shared" si="531"/>
        <v>59520528.679470733</v>
      </c>
      <c r="AK1850" s="20">
        <f t="shared" si="538"/>
        <v>0.11914062257814291</v>
      </c>
      <c r="AL1850" s="17"/>
      <c r="AM1850" s="17"/>
      <c r="AN1850" s="17"/>
      <c r="AO1850" s="17"/>
      <c r="AP1850" s="28" t="str">
        <f t="shared" si="539"/>
        <v>CancelCancel</v>
      </c>
      <c r="AQ1850" s="28" t="str">
        <f t="shared" si="540"/>
        <v>CancelCancelJPY</v>
      </c>
      <c r="AR1850" s="206" t="str">
        <f t="shared" si="541"/>
        <v>YAMAHA_Mounter</v>
      </c>
      <c r="AS1850" s="22" t="str">
        <f t="shared" si="542"/>
        <v/>
      </c>
      <c r="AT1850" s="24" t="str">
        <f t="shared" si="543"/>
        <v/>
      </c>
      <c r="AU1850" s="22" t="s">
        <v>3746</v>
      </c>
    </row>
    <row r="1851" spans="1:47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185</v>
      </c>
      <c r="F1851" s="13" t="s">
        <v>185</v>
      </c>
      <c r="G1851" s="152" t="s">
        <v>185</v>
      </c>
      <c r="H1851" s="155"/>
      <c r="I1851" s="33" t="str">
        <f t="shared" si="534"/>
        <v>Cancel</v>
      </c>
      <c r="J1851" s="186" t="s">
        <v>2061</v>
      </c>
      <c r="K1851" s="155" t="s">
        <v>1634</v>
      </c>
      <c r="L1851" s="17" t="s">
        <v>67</v>
      </c>
      <c r="M1851" s="13" t="s">
        <v>60</v>
      </c>
      <c r="N1851" s="13">
        <v>1</v>
      </c>
      <c r="O1851" s="13"/>
      <c r="P1851" s="33" t="str">
        <f t="shared" si="535"/>
        <v>MAIN UNIT</v>
      </c>
      <c r="Q1851" s="13" t="s">
        <v>61</v>
      </c>
      <c r="R1851" s="13" t="s">
        <v>62</v>
      </c>
      <c r="S1851" s="13" t="s">
        <v>49</v>
      </c>
      <c r="T1851" s="13" t="s">
        <v>78</v>
      </c>
      <c r="U1851" s="13" t="s">
        <v>79</v>
      </c>
      <c r="V1851" s="13" t="s">
        <v>126</v>
      </c>
      <c r="W1851" s="13" t="s">
        <v>109</v>
      </c>
      <c r="X1851" s="135">
        <v>9000000</v>
      </c>
      <c r="Y1851" s="157" t="str">
        <f t="shared" si="546"/>
        <v>1</v>
      </c>
      <c r="Z1851" s="18">
        <f t="shared" si="545"/>
        <v>9000000</v>
      </c>
      <c r="AA1851" s="13">
        <v>7.17E-2</v>
      </c>
      <c r="AB1851" s="21">
        <f t="shared" si="547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0"/>
        <v>499582152.5142017</v>
      </c>
      <c r="AJ1851" s="19">
        <f t="shared" si="531"/>
        <v>59520528.679470733</v>
      </c>
      <c r="AK1851" s="20">
        <f t="shared" si="538"/>
        <v>0.11914062257814291</v>
      </c>
      <c r="AL1851" s="17"/>
      <c r="AM1851" s="17"/>
      <c r="AN1851" s="17"/>
      <c r="AO1851" s="17"/>
      <c r="AP1851" s="28" t="str">
        <f t="shared" si="539"/>
        <v>CancelCancel</v>
      </c>
      <c r="AQ1851" s="28" t="str">
        <f t="shared" si="540"/>
        <v>CancelCancelJPY</v>
      </c>
      <c r="AR1851" s="206" t="str">
        <f t="shared" si="541"/>
        <v>YAMAHA_Mounter</v>
      </c>
      <c r="AS1851" s="22" t="str">
        <f t="shared" si="542"/>
        <v/>
      </c>
      <c r="AT1851" s="24" t="str">
        <f t="shared" si="543"/>
        <v/>
      </c>
      <c r="AU1851" s="22" t="s">
        <v>3746</v>
      </c>
    </row>
    <row r="1852" spans="1:47" s="12" customFormat="1">
      <c r="A1852" s="33" t="str">
        <f t="shared" si="532"/>
        <v>cancel</v>
      </c>
      <c r="B1852" s="152"/>
      <c r="C1852" s="152" t="s">
        <v>185</v>
      </c>
      <c r="D1852" s="33" t="str">
        <f t="shared" si="533"/>
        <v/>
      </c>
      <c r="E1852" s="33" t="s">
        <v>185</v>
      </c>
      <c r="F1852" s="13" t="s">
        <v>185</v>
      </c>
      <c r="G1852" s="152" t="s">
        <v>185</v>
      </c>
      <c r="H1852" s="155"/>
      <c r="I1852" s="33" t="str">
        <f t="shared" si="534"/>
        <v>Cancel</v>
      </c>
      <c r="J1852" s="186" t="s">
        <v>2703</v>
      </c>
      <c r="K1852" s="155" t="s">
        <v>591</v>
      </c>
      <c r="L1852" s="17" t="s">
        <v>92</v>
      </c>
      <c r="M1852" s="13" t="s">
        <v>60</v>
      </c>
      <c r="N1852" s="13">
        <v>1</v>
      </c>
      <c r="O1852" s="13"/>
      <c r="P1852" s="33" t="str">
        <f t="shared" si="535"/>
        <v>MAIN UNIT</v>
      </c>
      <c r="Q1852" s="13" t="s">
        <v>61</v>
      </c>
      <c r="R1852" s="13" t="s">
        <v>62</v>
      </c>
      <c r="S1852" s="13" t="s">
        <v>49</v>
      </c>
      <c r="T1852" s="13" t="s">
        <v>78</v>
      </c>
      <c r="U1852" s="13" t="s">
        <v>79</v>
      </c>
      <c r="V1852" s="13" t="s">
        <v>126</v>
      </c>
      <c r="W1852" s="13" t="s">
        <v>109</v>
      </c>
      <c r="X1852" s="135">
        <v>16150000</v>
      </c>
      <c r="Y1852" s="156">
        <v>1</v>
      </c>
      <c r="Z1852" s="18">
        <f t="shared" si="545"/>
        <v>16150000</v>
      </c>
      <c r="AA1852" s="13">
        <v>7.2999999999999995E-2</v>
      </c>
      <c r="AB1852" s="21">
        <f t="shared" si="547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0"/>
        <v>499582152.5142017</v>
      </c>
      <c r="AJ1852" s="19">
        <f t="shared" si="531"/>
        <v>59520528.679470733</v>
      </c>
      <c r="AK1852" s="20">
        <f t="shared" si="538"/>
        <v>0.11914062257814291</v>
      </c>
      <c r="AL1852" s="17"/>
      <c r="AM1852" s="17"/>
      <c r="AN1852" s="17"/>
      <c r="AO1852" s="17"/>
      <c r="AP1852" s="28" t="str">
        <f t="shared" si="539"/>
        <v>CancelCancel</v>
      </c>
      <c r="AQ1852" s="28" t="str">
        <f t="shared" si="540"/>
        <v>CancelCancelJPY</v>
      </c>
      <c r="AR1852" s="206" t="str">
        <f t="shared" si="541"/>
        <v>YAMAHA_Mounter</v>
      </c>
      <c r="AS1852" s="22" t="str">
        <f t="shared" si="542"/>
        <v/>
      </c>
      <c r="AT1852" s="24" t="str">
        <f t="shared" si="543"/>
        <v/>
      </c>
      <c r="AU1852" s="22" t="s">
        <v>3745</v>
      </c>
    </row>
    <row r="1853" spans="1:47" s="12" customFormat="1">
      <c r="A1853" s="33" t="str">
        <f t="shared" si="532"/>
        <v>cancel</v>
      </c>
      <c r="B1853" s="152"/>
      <c r="C1853" s="152" t="s">
        <v>185</v>
      </c>
      <c r="D1853" s="33" t="str">
        <f t="shared" si="533"/>
        <v/>
      </c>
      <c r="E1853" s="33" t="s">
        <v>185</v>
      </c>
      <c r="F1853" s="13" t="s">
        <v>185</v>
      </c>
      <c r="G1853" s="152" t="s">
        <v>185</v>
      </c>
      <c r="H1853" s="155"/>
      <c r="I1853" s="33" t="str">
        <f t="shared" si="534"/>
        <v>Cancel</v>
      </c>
      <c r="J1853" s="186" t="s">
        <v>2703</v>
      </c>
      <c r="K1853" s="155" t="s">
        <v>591</v>
      </c>
      <c r="L1853" s="17" t="s">
        <v>92</v>
      </c>
      <c r="M1853" s="13" t="s">
        <v>60</v>
      </c>
      <c r="N1853" s="13">
        <v>1</v>
      </c>
      <c r="O1853" s="13"/>
      <c r="P1853" s="33" t="str">
        <f t="shared" si="535"/>
        <v>MAIN UNIT</v>
      </c>
      <c r="Q1853" s="13" t="s">
        <v>61</v>
      </c>
      <c r="R1853" s="13" t="s">
        <v>62</v>
      </c>
      <c r="S1853" s="13" t="s">
        <v>49</v>
      </c>
      <c r="T1853" s="13" t="s">
        <v>78</v>
      </c>
      <c r="U1853" s="13" t="s">
        <v>79</v>
      </c>
      <c r="V1853" s="13" t="s">
        <v>126</v>
      </c>
      <c r="W1853" s="13" t="s">
        <v>109</v>
      </c>
      <c r="X1853" s="135">
        <v>16150000</v>
      </c>
      <c r="Y1853" s="156">
        <v>1</v>
      </c>
      <c r="Z1853" s="18">
        <f t="shared" si="545"/>
        <v>16150000</v>
      </c>
      <c r="AA1853" s="13">
        <v>7.2999999999999995E-2</v>
      </c>
      <c r="AB1853" s="21">
        <f t="shared" si="547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0"/>
        <v>499582152.5142017</v>
      </c>
      <c r="AJ1853" s="19">
        <f t="shared" si="531"/>
        <v>59520528.679470733</v>
      </c>
      <c r="AK1853" s="20">
        <f t="shared" si="538"/>
        <v>0.11914062257814291</v>
      </c>
      <c r="AL1853" s="17"/>
      <c r="AM1853" s="17"/>
      <c r="AN1853" s="17"/>
      <c r="AO1853" s="17"/>
      <c r="AP1853" s="28" t="str">
        <f t="shared" si="539"/>
        <v>CancelCancel</v>
      </c>
      <c r="AQ1853" s="28" t="str">
        <f t="shared" si="540"/>
        <v>CancelCancelJPY</v>
      </c>
      <c r="AR1853" s="206" t="str">
        <f t="shared" si="541"/>
        <v>YAMAHA_Mounter</v>
      </c>
      <c r="AS1853" s="22" t="str">
        <f t="shared" si="542"/>
        <v/>
      </c>
      <c r="AT1853" s="24" t="str">
        <f t="shared" si="543"/>
        <v/>
      </c>
      <c r="AU1853" s="22" t="s">
        <v>3745</v>
      </c>
    </row>
    <row r="1854" spans="1:47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3340</v>
      </c>
      <c r="K1854" s="29" t="s">
        <v>3341</v>
      </c>
      <c r="L1854" s="17" t="s">
        <v>92</v>
      </c>
      <c r="M1854" s="22" t="s">
        <v>60</v>
      </c>
      <c r="N1854" s="22">
        <v>1</v>
      </c>
      <c r="O1854" s="22"/>
      <c r="P1854" s="33" t="str">
        <f t="shared" si="535"/>
        <v>MAIN UNIT</v>
      </c>
      <c r="Q1854" s="13" t="s">
        <v>61</v>
      </c>
      <c r="R1854" s="22" t="s">
        <v>62</v>
      </c>
      <c r="S1854" s="22" t="s">
        <v>49</v>
      </c>
      <c r="T1854" s="22" t="s">
        <v>78</v>
      </c>
      <c r="U1854" s="22" t="s">
        <v>78</v>
      </c>
      <c r="V1854" s="22" t="s">
        <v>112</v>
      </c>
      <c r="W1854" s="22" t="s">
        <v>109</v>
      </c>
      <c r="X1854" s="30">
        <v>11000000</v>
      </c>
      <c r="Y1854" s="31" t="str">
        <f>IF(W1854="","",IF(W1854="RMB","1.13", "1"))</f>
        <v>1</v>
      </c>
      <c r="Z1854" s="18">
        <f t="shared" si="545"/>
        <v>11000000</v>
      </c>
      <c r="AA1854" s="13">
        <v>5.0999999999999997E-2</v>
      </c>
      <c r="AB1854" s="21">
        <f t="shared" si="547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0"/>
        <v>27308925.887079656</v>
      </c>
      <c r="AJ1854" s="27">
        <f t="shared" si="531"/>
        <v>3319273.860338124</v>
      </c>
      <c r="AK1854" s="28">
        <f t="shared" si="538"/>
        <v>0.12154538314919709</v>
      </c>
      <c r="AL1854" s="24"/>
      <c r="AM1854" s="24"/>
      <c r="AN1854" s="24"/>
      <c r="AO1854" s="24"/>
      <c r="AP1854" s="28" t="str">
        <f t="shared" si="539"/>
        <v>20246</v>
      </c>
      <c r="AQ1854" s="28" t="str">
        <f t="shared" si="540"/>
        <v>20246JPY</v>
      </c>
      <c r="AR1854" s="206" t="str">
        <f t="shared" si="541"/>
        <v>YAMAHA_Mounter</v>
      </c>
      <c r="AS1854" s="22">
        <f t="shared" si="542"/>
        <v>3</v>
      </c>
      <c r="AT1854" s="24" t="str">
        <f t="shared" si="543"/>
        <v>0-3 months</v>
      </c>
      <c r="AU1854" s="22" t="s">
        <v>3745</v>
      </c>
    </row>
    <row r="1855" spans="1:47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3340</v>
      </c>
      <c r="K1855" s="29" t="s">
        <v>3341</v>
      </c>
      <c r="L1855" s="17" t="s">
        <v>92</v>
      </c>
      <c r="M1855" s="22" t="s">
        <v>60</v>
      </c>
      <c r="N1855" s="22">
        <v>1</v>
      </c>
      <c r="O1855" s="22"/>
      <c r="P1855" s="33" t="str">
        <f t="shared" si="535"/>
        <v>MAIN UNIT</v>
      </c>
      <c r="Q1855" s="13" t="s">
        <v>61</v>
      </c>
      <c r="R1855" s="22" t="s">
        <v>62</v>
      </c>
      <c r="S1855" s="22" t="s">
        <v>49</v>
      </c>
      <c r="T1855" s="22" t="s">
        <v>78</v>
      </c>
      <c r="U1855" s="22" t="s">
        <v>78</v>
      </c>
      <c r="V1855" s="22" t="s">
        <v>112</v>
      </c>
      <c r="W1855" s="22" t="s">
        <v>109</v>
      </c>
      <c r="X1855" s="30">
        <v>11000000</v>
      </c>
      <c r="Y1855" s="31" t="str">
        <f>IF(W1855="","",IF(W1855="RMB","1.13", "1"))</f>
        <v>1</v>
      </c>
      <c r="Z1855" s="18">
        <f t="shared" si="545"/>
        <v>11000000</v>
      </c>
      <c r="AA1855" s="13">
        <v>5.0999999999999997E-2</v>
      </c>
      <c r="AB1855" s="21">
        <f t="shared" si="547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0"/>
        <v>27308925.887079656</v>
      </c>
      <c r="AJ1855" s="27">
        <f t="shared" si="531"/>
        <v>3319273.860338124</v>
      </c>
      <c r="AK1855" s="28">
        <f t="shared" si="538"/>
        <v>0.12154538314919709</v>
      </c>
      <c r="AL1855" s="24"/>
      <c r="AM1855" s="24"/>
      <c r="AN1855" s="24"/>
      <c r="AO1855" s="24"/>
      <c r="AP1855" s="28" t="str">
        <f t="shared" si="539"/>
        <v>20246</v>
      </c>
      <c r="AQ1855" s="28" t="str">
        <f t="shared" si="540"/>
        <v>20246JPY</v>
      </c>
      <c r="AR1855" s="206" t="str">
        <f t="shared" si="541"/>
        <v>YAMAHA_Mounter</v>
      </c>
      <c r="AS1855" s="22">
        <f t="shared" si="542"/>
        <v>3</v>
      </c>
      <c r="AT1855" s="24" t="str">
        <f t="shared" si="543"/>
        <v>0-3 months</v>
      </c>
      <c r="AU1855" s="22" t="s">
        <v>3745</v>
      </c>
    </row>
    <row r="1856" spans="1:47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3340</v>
      </c>
      <c r="K1856" s="29" t="s">
        <v>3341</v>
      </c>
      <c r="L1856" s="17" t="s">
        <v>92</v>
      </c>
      <c r="M1856" s="22" t="s">
        <v>60</v>
      </c>
      <c r="N1856" s="22">
        <v>1</v>
      </c>
      <c r="O1856" s="22"/>
      <c r="P1856" s="33" t="str">
        <f t="shared" si="535"/>
        <v>MAIN UNIT</v>
      </c>
      <c r="Q1856" s="13" t="s">
        <v>61</v>
      </c>
      <c r="R1856" s="22" t="s">
        <v>62</v>
      </c>
      <c r="S1856" s="22" t="s">
        <v>49</v>
      </c>
      <c r="T1856" s="22" t="s">
        <v>78</v>
      </c>
      <c r="U1856" s="22" t="s">
        <v>78</v>
      </c>
      <c r="V1856" s="22" t="s">
        <v>112</v>
      </c>
      <c r="W1856" s="22" t="s">
        <v>109</v>
      </c>
      <c r="X1856" s="30">
        <v>11000000</v>
      </c>
      <c r="Y1856" s="31" t="str">
        <f>IF(W1856="","",IF(W1856="RMB","1.13", "1"))</f>
        <v>1</v>
      </c>
      <c r="Z1856" s="18">
        <f t="shared" si="545"/>
        <v>11000000</v>
      </c>
      <c r="AA1856" s="13">
        <v>5.0999999999999997E-2</v>
      </c>
      <c r="AB1856" s="21">
        <f t="shared" si="547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0"/>
        <v>27308925.887079656</v>
      </c>
      <c r="AJ1856" s="27">
        <f t="shared" si="531"/>
        <v>3319273.860338124</v>
      </c>
      <c r="AK1856" s="28">
        <f t="shared" si="538"/>
        <v>0.12154538314919709</v>
      </c>
      <c r="AL1856" s="24"/>
      <c r="AM1856" s="24"/>
      <c r="AN1856" s="24"/>
      <c r="AO1856" s="24"/>
      <c r="AP1856" s="28" t="str">
        <f t="shared" si="539"/>
        <v>20246</v>
      </c>
      <c r="AQ1856" s="28" t="str">
        <f t="shared" si="540"/>
        <v>20246JPY</v>
      </c>
      <c r="AR1856" s="206" t="str">
        <f t="shared" si="541"/>
        <v>YAMAHA_Mounter</v>
      </c>
      <c r="AS1856" s="22">
        <f t="shared" si="542"/>
        <v>3</v>
      </c>
      <c r="AT1856" s="24" t="str">
        <f t="shared" si="543"/>
        <v>0-3 months</v>
      </c>
      <c r="AU1856" s="22" t="s">
        <v>3745</v>
      </c>
    </row>
    <row r="1857" spans="1:47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3340</v>
      </c>
      <c r="K1857" s="29" t="s">
        <v>3341</v>
      </c>
      <c r="L1857" s="17" t="s">
        <v>92</v>
      </c>
      <c r="M1857" s="22" t="s">
        <v>60</v>
      </c>
      <c r="N1857" s="22">
        <v>1</v>
      </c>
      <c r="O1857" s="22"/>
      <c r="P1857" s="33" t="str">
        <f t="shared" si="535"/>
        <v>MAIN UNIT</v>
      </c>
      <c r="Q1857" s="13" t="s">
        <v>61</v>
      </c>
      <c r="R1857" s="22" t="s">
        <v>62</v>
      </c>
      <c r="S1857" s="22" t="s">
        <v>49</v>
      </c>
      <c r="T1857" s="22" t="s">
        <v>78</v>
      </c>
      <c r="U1857" s="22" t="s">
        <v>78</v>
      </c>
      <c r="V1857" s="22" t="s">
        <v>112</v>
      </c>
      <c r="W1857" s="22" t="s">
        <v>109</v>
      </c>
      <c r="X1857" s="30">
        <v>11000000</v>
      </c>
      <c r="Y1857" s="31" t="str">
        <f>IF(W1857="","",IF(W1857="RMB","1.13", "1"))</f>
        <v>1</v>
      </c>
      <c r="Z1857" s="18">
        <f t="shared" si="545"/>
        <v>11000000</v>
      </c>
      <c r="AA1857" s="13">
        <v>5.0999999999999997E-2</v>
      </c>
      <c r="AB1857" s="21">
        <f t="shared" si="547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0"/>
        <v>27308925.887079656</v>
      </c>
      <c r="AJ1857" s="27">
        <f t="shared" si="531"/>
        <v>3319273.860338124</v>
      </c>
      <c r="AK1857" s="28">
        <f t="shared" si="538"/>
        <v>0.12154538314919709</v>
      </c>
      <c r="AL1857" s="24"/>
      <c r="AM1857" s="24"/>
      <c r="AN1857" s="24"/>
      <c r="AO1857" s="24"/>
      <c r="AP1857" s="28" t="str">
        <f t="shared" si="539"/>
        <v>20246</v>
      </c>
      <c r="AQ1857" s="28" t="str">
        <f t="shared" si="540"/>
        <v>20246JPY</v>
      </c>
      <c r="AR1857" s="206" t="str">
        <f t="shared" si="541"/>
        <v>YAMAHA_Mounter</v>
      </c>
      <c r="AS1857" s="22">
        <f t="shared" si="542"/>
        <v>3</v>
      </c>
      <c r="AT1857" s="24" t="str">
        <f t="shared" si="543"/>
        <v>0-3 months</v>
      </c>
      <c r="AU1857" s="22" t="s">
        <v>3745</v>
      </c>
    </row>
    <row r="1858" spans="1:47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3340</v>
      </c>
      <c r="K1858" s="29" t="s">
        <v>3341</v>
      </c>
      <c r="L1858" s="17" t="s">
        <v>92</v>
      </c>
      <c r="M1858" s="22" t="s">
        <v>60</v>
      </c>
      <c r="N1858" s="22">
        <v>1</v>
      </c>
      <c r="O1858" s="22"/>
      <c r="P1858" s="33" t="str">
        <f t="shared" si="535"/>
        <v>MAIN UNIT</v>
      </c>
      <c r="Q1858" s="13" t="s">
        <v>61</v>
      </c>
      <c r="R1858" s="22" t="s">
        <v>62</v>
      </c>
      <c r="S1858" s="22" t="s">
        <v>49</v>
      </c>
      <c r="T1858" s="22" t="s">
        <v>78</v>
      </c>
      <c r="U1858" s="22" t="s">
        <v>78</v>
      </c>
      <c r="V1858" s="22" t="s">
        <v>112</v>
      </c>
      <c r="W1858" s="22" t="s">
        <v>109</v>
      </c>
      <c r="X1858" s="30">
        <v>11000000</v>
      </c>
      <c r="Y1858" s="31" t="str">
        <f>IF(W1858="","",IF(W1858="RMB","1.13", "1"))</f>
        <v>1</v>
      </c>
      <c r="Z1858" s="18">
        <f t="shared" si="545"/>
        <v>11000000</v>
      </c>
      <c r="AA1858" s="13">
        <v>5.0999999999999997E-2</v>
      </c>
      <c r="AB1858" s="21">
        <f t="shared" si="547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ref="AI1858:AI1921" si="548">IF(P1858="C66 SERVICE","",SUMIFS(AB:AB,F:F,F1858,G:G,G1858,E:E,E1858))</f>
        <v>27308925.887079656</v>
      </c>
      <c r="AJ1858" s="27">
        <f t="shared" ref="AJ1858:AJ1921" si="549">IF(P1858="C66 SERVICE","",SUMIFS(AC:AC,F:F,F1858,G:G,G1858,E:E,E1858))</f>
        <v>3319273.860338124</v>
      </c>
      <c r="AK1858" s="28">
        <f t="shared" si="538"/>
        <v>0.12154538314919709</v>
      </c>
      <c r="AL1858" s="24"/>
      <c r="AM1858" s="24"/>
      <c r="AN1858" s="24"/>
      <c r="AO1858" s="24"/>
      <c r="AP1858" s="28" t="str">
        <f t="shared" si="539"/>
        <v>20246</v>
      </c>
      <c r="AQ1858" s="28" t="str">
        <f t="shared" si="540"/>
        <v>20246JPY</v>
      </c>
      <c r="AR1858" s="206" t="str">
        <f t="shared" si="541"/>
        <v>YAMAHA_Mounter</v>
      </c>
      <c r="AS1858" s="22">
        <f t="shared" si="542"/>
        <v>3</v>
      </c>
      <c r="AT1858" s="24" t="str">
        <f t="shared" si="543"/>
        <v>0-3 months</v>
      </c>
      <c r="AU1858" s="22" t="s">
        <v>3745</v>
      </c>
    </row>
    <row r="1859" spans="1:47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53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2139</v>
      </c>
      <c r="K1859" s="155" t="s">
        <v>2140</v>
      </c>
      <c r="L1859" s="17" t="s">
        <v>92</v>
      </c>
      <c r="M1859" s="13" t="s">
        <v>60</v>
      </c>
      <c r="N1859" s="13">
        <v>1</v>
      </c>
      <c r="O1859" s="13"/>
      <c r="P1859" s="33" t="str">
        <f t="shared" si="535"/>
        <v>MAIN UNIT</v>
      </c>
      <c r="Q1859" s="13" t="s">
        <v>68</v>
      </c>
      <c r="R1859" s="13" t="s">
        <v>62</v>
      </c>
      <c r="S1859" s="13" t="s">
        <v>49</v>
      </c>
      <c r="T1859" s="13" t="s">
        <v>78</v>
      </c>
      <c r="U1859" s="13" t="s">
        <v>79</v>
      </c>
      <c r="V1859" s="13" t="s">
        <v>80</v>
      </c>
      <c r="W1859" s="13" t="s">
        <v>109</v>
      </c>
      <c r="X1859" s="135">
        <v>13200000</v>
      </c>
      <c r="Y1859" s="157" t="str">
        <f>IF(W1859="RMB","1.13", "1")</f>
        <v>1</v>
      </c>
      <c r="Z1859" s="18">
        <f t="shared" si="545"/>
        <v>13200000</v>
      </c>
      <c r="AA1859" s="13">
        <v>6.9199999999999998E-2</v>
      </c>
      <c r="AB1859" s="21">
        <f t="shared" si="547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48"/>
        <v>28726768.133805312</v>
      </c>
      <c r="AJ1859" s="19">
        <f t="shared" si="549"/>
        <v>3853638.1988864429</v>
      </c>
      <c r="AK1859" s="20">
        <f t="shared" si="538"/>
        <v>0.1341479898099476</v>
      </c>
      <c r="AL1859" s="17"/>
      <c r="AM1859" s="17"/>
      <c r="AN1859" s="17"/>
      <c r="AO1859" s="17"/>
      <c r="AP1859" s="28" t="str">
        <f t="shared" si="539"/>
        <v>20223</v>
      </c>
      <c r="AQ1859" s="28" t="str">
        <f t="shared" si="540"/>
        <v>20223JPY</v>
      </c>
      <c r="AR1859" s="206" t="str">
        <f t="shared" si="541"/>
        <v>YAMAHA_Mounter</v>
      </c>
      <c r="AS1859" s="22">
        <f t="shared" si="542"/>
        <v>0</v>
      </c>
      <c r="AT1859" s="24" t="str">
        <f t="shared" si="543"/>
        <v>0-3 months</v>
      </c>
      <c r="AU1859" s="22" t="s">
        <v>3745</v>
      </c>
    </row>
    <row r="1860" spans="1:47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3340</v>
      </c>
      <c r="K1860" s="29" t="s">
        <v>3341</v>
      </c>
      <c r="L1860" s="17" t="s">
        <v>92</v>
      </c>
      <c r="M1860" s="22" t="s">
        <v>60</v>
      </c>
      <c r="N1860" s="22">
        <v>1</v>
      </c>
      <c r="O1860" s="22"/>
      <c r="P1860" s="33" t="str">
        <f t="shared" si="535"/>
        <v>MAIN UNIT</v>
      </c>
      <c r="Q1860" s="13" t="s">
        <v>61</v>
      </c>
      <c r="R1860" s="22" t="s">
        <v>62</v>
      </c>
      <c r="S1860" s="22" t="s">
        <v>49</v>
      </c>
      <c r="T1860" s="22" t="s">
        <v>78</v>
      </c>
      <c r="U1860" s="22" t="s">
        <v>78</v>
      </c>
      <c r="V1860" s="22" t="s">
        <v>112</v>
      </c>
      <c r="W1860" s="22" t="s">
        <v>109</v>
      </c>
      <c r="X1860" s="30">
        <v>11000000</v>
      </c>
      <c r="Y1860" s="31" t="str">
        <f>IF(W1860="","",IF(W1860="RMB","1.13", "1"))</f>
        <v>1</v>
      </c>
      <c r="Z1860" s="18">
        <f t="shared" si="545"/>
        <v>11000000</v>
      </c>
      <c r="AA1860" s="13">
        <v>5.0999999999999997E-2</v>
      </c>
      <c r="AB1860" s="21">
        <f t="shared" si="547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48"/>
        <v>27308925.887079656</v>
      </c>
      <c r="AJ1860" s="27">
        <f t="shared" si="549"/>
        <v>3319273.860338124</v>
      </c>
      <c r="AK1860" s="28">
        <f t="shared" si="538"/>
        <v>0.12154538314919709</v>
      </c>
      <c r="AL1860" s="24"/>
      <c r="AM1860" s="24"/>
      <c r="AN1860" s="24"/>
      <c r="AO1860" s="24"/>
      <c r="AP1860" s="28" t="str">
        <f t="shared" si="539"/>
        <v>20246</v>
      </c>
      <c r="AQ1860" s="28" t="str">
        <f t="shared" si="540"/>
        <v>20246JPY</v>
      </c>
      <c r="AR1860" s="206" t="str">
        <f t="shared" si="541"/>
        <v>YAMAHA_Mounter</v>
      </c>
      <c r="AS1860" s="22">
        <f t="shared" si="542"/>
        <v>3</v>
      </c>
      <c r="AT1860" s="24" t="str">
        <f t="shared" si="543"/>
        <v>0-3 months</v>
      </c>
      <c r="AU1860" s="22" t="s">
        <v>3745</v>
      </c>
    </row>
    <row r="1861" spans="1:47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55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2470</v>
      </c>
      <c r="K1861" s="155" t="s">
        <v>2471</v>
      </c>
      <c r="L1861" s="17" t="s">
        <v>516</v>
      </c>
      <c r="M1861" s="13" t="s">
        <v>60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61</v>
      </c>
      <c r="R1861" s="13" t="s">
        <v>62</v>
      </c>
      <c r="S1861" s="13" t="s">
        <v>52</v>
      </c>
      <c r="T1861" s="13" t="s">
        <v>274</v>
      </c>
      <c r="U1861" s="13" t="s">
        <v>177</v>
      </c>
      <c r="V1861" s="13" t="s">
        <v>178</v>
      </c>
      <c r="W1861" s="13" t="s">
        <v>64</v>
      </c>
      <c r="X1861" s="135">
        <v>3184.654</v>
      </c>
      <c r="Y1861" s="157" t="str">
        <f>IF(W1861="RMB","1.13", "1")</f>
        <v>1.13</v>
      </c>
      <c r="Z1861" s="18">
        <f t="shared" si="545"/>
        <v>378973.826</v>
      </c>
      <c r="AA1861" s="13">
        <v>1.1399999999999999</v>
      </c>
      <c r="AB1861" s="21">
        <f t="shared" si="547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48"/>
        <v>30573205.452778768</v>
      </c>
      <c r="AJ1861" s="19">
        <f t="shared" si="549"/>
        <v>3790930.1683151261</v>
      </c>
      <c r="AK1861" s="20">
        <f t="shared" si="538"/>
        <v>0.12399518179964254</v>
      </c>
      <c r="AL1861" s="17"/>
      <c r="AM1861" s="17"/>
      <c r="AN1861" s="17"/>
      <c r="AO1861" s="17"/>
      <c r="AP1861" s="28" t="str">
        <f t="shared" si="539"/>
        <v>20234</v>
      </c>
      <c r="AQ1861" s="28" t="str">
        <f t="shared" si="540"/>
        <v>20234RMB</v>
      </c>
      <c r="AR1861" s="206" t="str">
        <f t="shared" si="541"/>
        <v>YAMAHA_Mounter</v>
      </c>
      <c r="AS1861" s="22">
        <f t="shared" si="542"/>
        <v>1</v>
      </c>
      <c r="AT1861" s="24" t="str">
        <f t="shared" si="543"/>
        <v>0-3 months</v>
      </c>
      <c r="AU1861" s="22" t="s">
        <v>3240</v>
      </c>
    </row>
    <row r="1862" spans="1:47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55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2470</v>
      </c>
      <c r="K1862" s="155" t="s">
        <v>2471</v>
      </c>
      <c r="L1862" s="17" t="s">
        <v>516</v>
      </c>
      <c r="M1862" s="13" t="s">
        <v>60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61</v>
      </c>
      <c r="R1862" s="13" t="s">
        <v>62</v>
      </c>
      <c r="S1862" s="13" t="s">
        <v>52</v>
      </c>
      <c r="T1862" s="13" t="s">
        <v>274</v>
      </c>
      <c r="U1862" s="13" t="s">
        <v>177</v>
      </c>
      <c r="V1862" s="13" t="s">
        <v>178</v>
      </c>
      <c r="W1862" s="13" t="s">
        <v>64</v>
      </c>
      <c r="X1862" s="135">
        <v>377481</v>
      </c>
      <c r="Y1862" s="157" t="str">
        <f>IF(W1862="RMB","1.13", "1")</f>
        <v>1.13</v>
      </c>
      <c r="Z1862" s="18">
        <f t="shared" si="545"/>
        <v>377481</v>
      </c>
      <c r="AA1862" s="13">
        <v>1.135</v>
      </c>
      <c r="AB1862" s="21">
        <f t="shared" si="547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si="548"/>
        <v>28177779.013274338</v>
      </c>
      <c r="AJ1862" s="19">
        <f t="shared" si="549"/>
        <v>4727216.6376190251</v>
      </c>
      <c r="AK1862" s="20">
        <f t="shared" ref="AK1862:AK1925" si="556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7">IF(F1862="","",F1862&amp;G1862)</f>
        <v>20235</v>
      </c>
      <c r="AQ1862" s="28" t="str">
        <f t="shared" ref="AQ1862:AQ1925" si="558">IF(W1862="","",F1862&amp;G1862&amp;W1862)</f>
        <v>20235RMB</v>
      </c>
      <c r="AR1862" s="206" t="str">
        <f t="shared" ref="AR1862:AR1925" si="559">IFERROR(IF(AND(M1862="YAMAHA", R1862="C28"), "YAMAHA_Non_Mounter", IF(AND(M1862="YAMAHA", R1862="C49"), "YAMAHA_Mounter", M1862)),"")</f>
        <v>YAMAHA_Mounter</v>
      </c>
      <c r="AS1862" s="22">
        <f t="shared" ref="AS1862:AS1925" si="560">IFERROR(IF(OR(G1862="TBA", G1862=""), "", DATEDIF(DATE(B1862, C1862, 1), DATE(F1862, G1862, 1), "M")),"")</f>
        <v>2</v>
      </c>
      <c r="AT1862" s="24" t="str">
        <f t="shared" ref="AT1862:AT1925" si="561">IF(ISNUMBER(AS1862), IF(AS1862&gt;=0, IF(AS1862&lt;=3, "0-3 months", IF(AS1862&lt;=6, "4-6 months", "&gt; 6 months"))), "")</f>
        <v>0-3 months</v>
      </c>
      <c r="AU1862" s="22" t="s">
        <v>3240</v>
      </c>
    </row>
    <row r="1863" spans="1:47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55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2470</v>
      </c>
      <c r="K1863" s="155" t="s">
        <v>2471</v>
      </c>
      <c r="L1863" s="17" t="s">
        <v>516</v>
      </c>
      <c r="M1863" s="13" t="s">
        <v>60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61</v>
      </c>
      <c r="R1863" s="13" t="s">
        <v>62</v>
      </c>
      <c r="S1863" s="13" t="s">
        <v>52</v>
      </c>
      <c r="T1863" s="13" t="s">
        <v>274</v>
      </c>
      <c r="U1863" s="13" t="s">
        <v>177</v>
      </c>
      <c r="V1863" s="13" t="s">
        <v>178</v>
      </c>
      <c r="W1863" s="13" t="s">
        <v>64</v>
      </c>
      <c r="X1863" s="135">
        <v>244545.14</v>
      </c>
      <c r="Y1863" s="157" t="str">
        <f>IF(W1863="RMB","1.13", "1")</f>
        <v>1.13</v>
      </c>
      <c r="Z1863" s="18">
        <f t="shared" si="545"/>
        <v>244545.14</v>
      </c>
      <c r="AA1863" s="13">
        <v>1.105</v>
      </c>
      <c r="AB1863" s="21">
        <f t="shared" si="547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48"/>
        <v>13640480.497522123</v>
      </c>
      <c r="AJ1863" s="19">
        <f t="shared" si="549"/>
        <v>1928605.8020906283</v>
      </c>
      <c r="AK1863" s="20">
        <f t="shared" si="556"/>
        <v>0.1413884065477731</v>
      </c>
      <c r="AL1863" s="17"/>
      <c r="AM1863" s="17"/>
      <c r="AN1863" s="17"/>
      <c r="AO1863" s="17"/>
      <c r="AP1863" s="28" t="str">
        <f t="shared" si="557"/>
        <v>20236</v>
      </c>
      <c r="AQ1863" s="28" t="str">
        <f t="shared" si="558"/>
        <v>20236RMB</v>
      </c>
      <c r="AR1863" s="206" t="str">
        <f t="shared" si="559"/>
        <v>YAMAHA_Mounter</v>
      </c>
      <c r="AS1863" s="22">
        <f t="shared" si="560"/>
        <v>3</v>
      </c>
      <c r="AT1863" s="24" t="str">
        <f t="shared" si="561"/>
        <v>0-3 months</v>
      </c>
      <c r="AU1863" s="22" t="s">
        <v>3240</v>
      </c>
    </row>
    <row r="1864" spans="1:47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41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2849</v>
      </c>
      <c r="K1864" s="155" t="s">
        <v>2850</v>
      </c>
      <c r="L1864" s="17" t="s">
        <v>2837</v>
      </c>
      <c r="M1864" s="13" t="s">
        <v>2832</v>
      </c>
      <c r="N1864" s="13">
        <v>1</v>
      </c>
      <c r="O1864" s="13"/>
      <c r="P1864" s="33" t="str">
        <f t="shared" si="553"/>
        <v>MAIN UNIT</v>
      </c>
      <c r="Q1864" s="13" t="s">
        <v>61</v>
      </c>
      <c r="R1864" s="13" t="s">
        <v>2055</v>
      </c>
      <c r="S1864" s="13" t="s">
        <v>49</v>
      </c>
      <c r="T1864" s="13" t="s">
        <v>2851</v>
      </c>
      <c r="U1864" s="13" t="s">
        <v>79</v>
      </c>
      <c r="V1864" s="13" t="s">
        <v>2828</v>
      </c>
      <c r="W1864" s="13" t="s">
        <v>64</v>
      </c>
      <c r="X1864" s="135">
        <v>380000</v>
      </c>
      <c r="Y1864" s="156">
        <v>1.1599999999999999</v>
      </c>
      <c r="Z1864" s="18">
        <f t="shared" si="545"/>
        <v>380000</v>
      </c>
      <c r="AA1864" s="13">
        <v>1.125</v>
      </c>
      <c r="AB1864" s="21">
        <f t="shared" si="547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48"/>
        <v>23237072.69172414</v>
      </c>
      <c r="AJ1864" s="19">
        <f t="shared" si="549"/>
        <v>2402195.7372206897</v>
      </c>
      <c r="AK1864" s="20">
        <f t="shared" si="556"/>
        <v>0.10337772614862238</v>
      </c>
      <c r="AL1864" s="17"/>
      <c r="AM1864" s="17"/>
      <c r="AN1864" s="17"/>
      <c r="AO1864" s="17"/>
      <c r="AP1864" s="28" t="str">
        <f t="shared" si="557"/>
        <v>20191</v>
      </c>
      <c r="AQ1864" s="28" t="str">
        <f t="shared" si="558"/>
        <v>20191RMB</v>
      </c>
      <c r="AR1864" s="206" t="str">
        <f t="shared" si="559"/>
        <v>PEMTRON</v>
      </c>
      <c r="AS1864" s="22">
        <f t="shared" si="560"/>
        <v>3</v>
      </c>
      <c r="AT1864" s="24" t="str">
        <f t="shared" si="561"/>
        <v>0-3 months</v>
      </c>
      <c r="AU1864" s="22" t="s">
        <v>3744</v>
      </c>
    </row>
    <row r="1865" spans="1:47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41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272</v>
      </c>
      <c r="K1865" s="155" t="s">
        <v>273</v>
      </c>
      <c r="L1865" s="17" t="s">
        <v>92</v>
      </c>
      <c r="M1865" s="13" t="s">
        <v>60</v>
      </c>
      <c r="N1865" s="13">
        <v>1</v>
      </c>
      <c r="O1865" s="13"/>
      <c r="P1865" s="33" t="str">
        <f t="shared" si="553"/>
        <v>MAIN UNIT</v>
      </c>
      <c r="Q1865" s="13" t="s">
        <v>68</v>
      </c>
      <c r="R1865" s="13" t="s">
        <v>62</v>
      </c>
      <c r="S1865" s="13" t="s">
        <v>52</v>
      </c>
      <c r="T1865" s="13" t="s">
        <v>274</v>
      </c>
      <c r="U1865" s="13" t="s">
        <v>275</v>
      </c>
      <c r="V1865" s="13" t="s">
        <v>178</v>
      </c>
      <c r="W1865" s="13" t="s">
        <v>64</v>
      </c>
      <c r="X1865" s="135">
        <v>1180000</v>
      </c>
      <c r="Y1865" s="156">
        <v>1.1599999999999999</v>
      </c>
      <c r="Z1865" s="18">
        <f t="shared" si="545"/>
        <v>1180000</v>
      </c>
      <c r="AA1865" s="13">
        <v>1.125</v>
      </c>
      <c r="AB1865" s="21">
        <f t="shared" si="547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48"/>
        <v>29840797.698275864</v>
      </c>
      <c r="AJ1865" s="19">
        <f t="shared" si="549"/>
        <v>3940167.6555448272</v>
      </c>
      <c r="AK1865" s="20">
        <f t="shared" si="556"/>
        <v>0.13203962224416277</v>
      </c>
      <c r="AL1865" s="17"/>
      <c r="AM1865" s="17"/>
      <c r="AN1865" s="17"/>
      <c r="AO1865" s="17" t="s">
        <v>61</v>
      </c>
      <c r="AP1865" s="28" t="str">
        <f t="shared" si="557"/>
        <v>201812</v>
      </c>
      <c r="AQ1865" s="28" t="str">
        <f t="shared" si="558"/>
        <v>201812RMB</v>
      </c>
      <c r="AR1865" s="206" t="str">
        <f t="shared" si="559"/>
        <v>YAMAHA_Mounter</v>
      </c>
      <c r="AS1865" s="22">
        <f t="shared" si="560"/>
        <v>4</v>
      </c>
      <c r="AT1865" s="24" t="str">
        <f t="shared" si="561"/>
        <v>4-6 months</v>
      </c>
      <c r="AU1865" s="22" t="s">
        <v>3240</v>
      </c>
    </row>
    <row r="1866" spans="1:47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41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272</v>
      </c>
      <c r="K1866" s="155" t="s">
        <v>273</v>
      </c>
      <c r="L1866" s="17" t="s">
        <v>92</v>
      </c>
      <c r="M1866" s="13" t="s">
        <v>60</v>
      </c>
      <c r="N1866" s="13">
        <v>1</v>
      </c>
      <c r="O1866" s="13"/>
      <c r="P1866" s="33" t="str">
        <f t="shared" si="553"/>
        <v>MAIN UNIT</v>
      </c>
      <c r="Q1866" s="13" t="s">
        <v>68</v>
      </c>
      <c r="R1866" s="13" t="s">
        <v>62</v>
      </c>
      <c r="S1866" s="13" t="s">
        <v>52</v>
      </c>
      <c r="T1866" s="13" t="s">
        <v>274</v>
      </c>
      <c r="U1866" s="13" t="s">
        <v>275</v>
      </c>
      <c r="V1866" s="13" t="s">
        <v>178</v>
      </c>
      <c r="W1866" s="13" t="s">
        <v>64</v>
      </c>
      <c r="X1866" s="135">
        <v>1360000</v>
      </c>
      <c r="Y1866" s="156">
        <v>1.1599999999999999</v>
      </c>
      <c r="Z1866" s="18">
        <f t="shared" ref="Z1866:Z1929" si="562">IF(X1866="","",X1866*MAX(O1866,N1866))</f>
        <v>1360000</v>
      </c>
      <c r="AA1866" s="13">
        <v>1.125</v>
      </c>
      <c r="AB1866" s="21">
        <f t="shared" si="547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48"/>
        <v>29840797.698275864</v>
      </c>
      <c r="AJ1866" s="19">
        <f t="shared" si="549"/>
        <v>3940167.6555448272</v>
      </c>
      <c r="AK1866" s="20">
        <f t="shared" si="556"/>
        <v>0.13203962224416277</v>
      </c>
      <c r="AL1866" s="17"/>
      <c r="AM1866" s="17"/>
      <c r="AN1866" s="17"/>
      <c r="AO1866" s="17" t="s">
        <v>61</v>
      </c>
      <c r="AP1866" s="28" t="str">
        <f t="shared" si="557"/>
        <v>201812</v>
      </c>
      <c r="AQ1866" s="28" t="str">
        <f t="shared" si="558"/>
        <v>201812RMB</v>
      </c>
      <c r="AR1866" s="206" t="str">
        <f t="shared" si="559"/>
        <v>YAMAHA_Mounter</v>
      </c>
      <c r="AS1866" s="22">
        <f t="shared" si="560"/>
        <v>4</v>
      </c>
      <c r="AT1866" s="24" t="str">
        <f t="shared" si="561"/>
        <v>4-6 months</v>
      </c>
      <c r="AU1866" s="22" t="s">
        <v>3240</v>
      </c>
    </row>
    <row r="1867" spans="1:47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48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1453</v>
      </c>
      <c r="K1867" s="155" t="s">
        <v>273</v>
      </c>
      <c r="L1867" s="17" t="s">
        <v>92</v>
      </c>
      <c r="M1867" s="13" t="s">
        <v>60</v>
      </c>
      <c r="N1867" s="13">
        <v>1</v>
      </c>
      <c r="O1867" s="13"/>
      <c r="P1867" s="33" t="str">
        <f t="shared" si="553"/>
        <v>MAIN UNIT</v>
      </c>
      <c r="Q1867" s="13" t="s">
        <v>61</v>
      </c>
      <c r="R1867" s="13" t="s">
        <v>62</v>
      </c>
      <c r="S1867" s="13" t="s">
        <v>52</v>
      </c>
      <c r="T1867" s="13" t="s">
        <v>274</v>
      </c>
      <c r="U1867" s="13" t="s">
        <v>177</v>
      </c>
      <c r="V1867" s="13" t="s">
        <v>178</v>
      </c>
      <c r="W1867" s="13" t="s">
        <v>64</v>
      </c>
      <c r="X1867" s="135">
        <v>1376000</v>
      </c>
      <c r="Y1867" s="157" t="str">
        <f>IF(W1867="RMB","1.13", "1")</f>
        <v>1.13</v>
      </c>
      <c r="Z1867" s="18">
        <f t="shared" si="562"/>
        <v>1376000</v>
      </c>
      <c r="AA1867" s="13">
        <v>1.175</v>
      </c>
      <c r="AB1867" s="21">
        <f t="shared" si="547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48"/>
        <v>48763143.537654862</v>
      </c>
      <c r="AJ1867" s="19">
        <f t="shared" si="549"/>
        <v>5924029.9702154724</v>
      </c>
      <c r="AK1867" s="20">
        <f t="shared" si="556"/>
        <v>0.1214858095774925</v>
      </c>
      <c r="AL1867" s="17"/>
      <c r="AM1867" s="17"/>
      <c r="AN1867" s="17"/>
      <c r="AO1867" s="17"/>
      <c r="AP1867" s="28" t="str">
        <f t="shared" si="557"/>
        <v>202012</v>
      </c>
      <c r="AQ1867" s="28" t="str">
        <f t="shared" si="558"/>
        <v>202012RMB</v>
      </c>
      <c r="AR1867" s="206" t="str">
        <f t="shared" si="559"/>
        <v>YAMAHA_Mounter</v>
      </c>
      <c r="AS1867" s="22">
        <f t="shared" si="560"/>
        <v>2</v>
      </c>
      <c r="AT1867" s="24" t="str">
        <f t="shared" si="561"/>
        <v>0-3 months</v>
      </c>
      <c r="AU1867" s="22" t="s">
        <v>3240</v>
      </c>
    </row>
    <row r="1868" spans="1:47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48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1453</v>
      </c>
      <c r="K1868" s="155" t="s">
        <v>273</v>
      </c>
      <c r="L1868" s="17" t="s">
        <v>92</v>
      </c>
      <c r="M1868" s="13" t="s">
        <v>60</v>
      </c>
      <c r="N1868" s="13">
        <v>1</v>
      </c>
      <c r="O1868" s="13"/>
      <c r="P1868" s="33" t="str">
        <f t="shared" si="553"/>
        <v>MAIN UNIT</v>
      </c>
      <c r="Q1868" s="13" t="s">
        <v>61</v>
      </c>
      <c r="R1868" s="13" t="s">
        <v>62</v>
      </c>
      <c r="S1868" s="13" t="s">
        <v>52</v>
      </c>
      <c r="T1868" s="13" t="s">
        <v>274</v>
      </c>
      <c r="U1868" s="13" t="s">
        <v>177</v>
      </c>
      <c r="V1868" s="13" t="s">
        <v>178</v>
      </c>
      <c r="W1868" s="13" t="s">
        <v>64</v>
      </c>
      <c r="X1868" s="135">
        <v>1376000</v>
      </c>
      <c r="Y1868" s="157" t="str">
        <f>IF(W1868="RMB","1.13", "1")</f>
        <v>1.13</v>
      </c>
      <c r="Z1868" s="18">
        <f t="shared" si="562"/>
        <v>1376000</v>
      </c>
      <c r="AA1868" s="13">
        <v>1.175</v>
      </c>
      <c r="AB1868" s="21">
        <f t="shared" si="547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48"/>
        <v>48763143.537654862</v>
      </c>
      <c r="AJ1868" s="19">
        <f t="shared" si="549"/>
        <v>5924029.9702154724</v>
      </c>
      <c r="AK1868" s="20">
        <f t="shared" si="556"/>
        <v>0.1214858095774925</v>
      </c>
      <c r="AL1868" s="17"/>
      <c r="AM1868" s="17"/>
      <c r="AN1868" s="17"/>
      <c r="AO1868" s="17"/>
      <c r="AP1868" s="28" t="str">
        <f t="shared" si="557"/>
        <v>202012</v>
      </c>
      <c r="AQ1868" s="28" t="str">
        <f t="shared" si="558"/>
        <v>202012RMB</v>
      </c>
      <c r="AR1868" s="206" t="str">
        <f t="shared" si="559"/>
        <v>YAMAHA_Mounter</v>
      </c>
      <c r="AS1868" s="22">
        <f t="shared" si="560"/>
        <v>2</v>
      </c>
      <c r="AT1868" s="24" t="str">
        <f t="shared" si="561"/>
        <v>0-3 months</v>
      </c>
      <c r="AU1868" s="22" t="s">
        <v>3240</v>
      </c>
    </row>
    <row r="1869" spans="1:47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48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2937</v>
      </c>
      <c r="K1869" s="155" t="s">
        <v>273</v>
      </c>
      <c r="L1869" s="17" t="s">
        <v>2915</v>
      </c>
      <c r="M1869" s="13" t="s">
        <v>2832</v>
      </c>
      <c r="N1869" s="13">
        <v>1</v>
      </c>
      <c r="O1869" s="13"/>
      <c r="P1869" s="33" t="str">
        <f t="shared" si="553"/>
        <v>MAIN UNIT</v>
      </c>
      <c r="Q1869" s="13" t="s">
        <v>61</v>
      </c>
      <c r="R1869" s="13" t="s">
        <v>2055</v>
      </c>
      <c r="S1869" s="13" t="s">
        <v>52</v>
      </c>
      <c r="T1869" s="13" t="s">
        <v>274</v>
      </c>
      <c r="U1869" s="13" t="s">
        <v>177</v>
      </c>
      <c r="V1869" s="13" t="s">
        <v>178</v>
      </c>
      <c r="W1869" s="13" t="s">
        <v>64</v>
      </c>
      <c r="X1869" s="135">
        <v>348000</v>
      </c>
      <c r="Y1869" s="157" t="str">
        <f>IF(W1869="RMB","1.13", "1")</f>
        <v>1.13</v>
      </c>
      <c r="Z1869" s="18">
        <f t="shared" si="562"/>
        <v>348000</v>
      </c>
      <c r="AA1869" s="13">
        <v>1.175</v>
      </c>
      <c r="AB1869" s="21">
        <f t="shared" si="547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48"/>
        <v>48763143.537654862</v>
      </c>
      <c r="AJ1869" s="19">
        <f t="shared" si="549"/>
        <v>5924029.9702154724</v>
      </c>
      <c r="AK1869" s="20">
        <f t="shared" si="556"/>
        <v>0.1214858095774925</v>
      </c>
      <c r="AL1869" s="17"/>
      <c r="AM1869" s="17"/>
      <c r="AN1869" s="17"/>
      <c r="AO1869" s="17"/>
      <c r="AP1869" s="28" t="str">
        <f t="shared" si="557"/>
        <v>202012</v>
      </c>
      <c r="AQ1869" s="28" t="str">
        <f t="shared" si="558"/>
        <v>202012RMB</v>
      </c>
      <c r="AR1869" s="206" t="str">
        <f t="shared" si="559"/>
        <v>PEMTRON</v>
      </c>
      <c r="AS1869" s="22">
        <f t="shared" si="560"/>
        <v>1</v>
      </c>
      <c r="AT1869" s="24" t="str">
        <f t="shared" si="561"/>
        <v>0-3 months</v>
      </c>
      <c r="AU1869" s="22" t="s">
        <v>3240</v>
      </c>
    </row>
    <row r="1870" spans="1:47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48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2938</v>
      </c>
      <c r="K1870" s="155" t="s">
        <v>273</v>
      </c>
      <c r="L1870" s="17" t="s">
        <v>2620</v>
      </c>
      <c r="M1870" s="13" t="s">
        <v>60</v>
      </c>
      <c r="N1870" s="13">
        <v>1</v>
      </c>
      <c r="O1870" s="13"/>
      <c r="P1870" s="33" t="str">
        <f t="shared" si="553"/>
        <v>MAIN UNIT</v>
      </c>
      <c r="Q1870" s="13" t="s">
        <v>61</v>
      </c>
      <c r="R1870" s="13" t="s">
        <v>2055</v>
      </c>
      <c r="S1870" s="13" t="s">
        <v>52</v>
      </c>
      <c r="T1870" s="13" t="s">
        <v>274</v>
      </c>
      <c r="U1870" s="13" t="s">
        <v>177</v>
      </c>
      <c r="V1870" s="13" t="s">
        <v>178</v>
      </c>
      <c r="W1870" s="13" t="s">
        <v>64</v>
      </c>
      <c r="X1870" s="135">
        <v>428000</v>
      </c>
      <c r="Y1870" s="157" t="str">
        <f>IF(W1870="RMB","1.13", "1")</f>
        <v>1.13</v>
      </c>
      <c r="Z1870" s="18">
        <f t="shared" si="562"/>
        <v>428000</v>
      </c>
      <c r="AA1870" s="13">
        <v>1.175</v>
      </c>
      <c r="AB1870" s="21">
        <f t="shared" si="547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48"/>
        <v>48763143.537654862</v>
      </c>
      <c r="AJ1870" s="19">
        <f t="shared" si="549"/>
        <v>5924029.9702154724</v>
      </c>
      <c r="AK1870" s="20">
        <f t="shared" si="556"/>
        <v>0.1214858095774925</v>
      </c>
      <c r="AL1870" s="17"/>
      <c r="AM1870" s="17"/>
      <c r="AN1870" s="17"/>
      <c r="AO1870" s="17"/>
      <c r="AP1870" s="28" t="str">
        <f t="shared" si="557"/>
        <v>202012</v>
      </c>
      <c r="AQ1870" s="28" t="str">
        <f t="shared" si="558"/>
        <v>202012RMB</v>
      </c>
      <c r="AR1870" s="206" t="str">
        <f t="shared" si="559"/>
        <v>YAMAHA_Non_Mounter</v>
      </c>
      <c r="AS1870" s="22">
        <f t="shared" si="560"/>
        <v>1</v>
      </c>
      <c r="AT1870" s="24" t="str">
        <f t="shared" si="561"/>
        <v>0-3 months</v>
      </c>
      <c r="AU1870" s="22" t="s">
        <v>3240</v>
      </c>
    </row>
    <row r="1871" spans="1:47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54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3028</v>
      </c>
      <c r="K1871" s="155" t="s">
        <v>3029</v>
      </c>
      <c r="L1871" s="17" t="s">
        <v>2837</v>
      </c>
      <c r="M1871" s="13" t="s">
        <v>2832</v>
      </c>
      <c r="N1871" s="13">
        <v>2</v>
      </c>
      <c r="O1871" s="13"/>
      <c r="P1871" s="33" t="str">
        <f t="shared" si="553"/>
        <v>MAIN UNIT</v>
      </c>
      <c r="Q1871" s="13" t="s">
        <v>68</v>
      </c>
      <c r="R1871" s="13" t="s">
        <v>2055</v>
      </c>
      <c r="S1871" s="13" t="s">
        <v>51</v>
      </c>
      <c r="T1871" s="13" t="s">
        <v>412</v>
      </c>
      <c r="U1871" s="13" t="s">
        <v>149</v>
      </c>
      <c r="V1871" s="13" t="s">
        <v>2833</v>
      </c>
      <c r="W1871" s="13" t="s">
        <v>64</v>
      </c>
      <c r="X1871" s="135">
        <v>464000</v>
      </c>
      <c r="Y1871" s="157" t="str">
        <f>IF(W1871="","",IF(W1871="RMB","1.13", "1"))</f>
        <v>1.13</v>
      </c>
      <c r="Z1871" s="18">
        <f t="shared" si="562"/>
        <v>928000</v>
      </c>
      <c r="AA1871" s="13">
        <v>1.08</v>
      </c>
      <c r="AB1871" s="21">
        <f t="shared" si="547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48"/>
        <v>31017966.201968137</v>
      </c>
      <c r="AJ1871" s="19">
        <f t="shared" si="549"/>
        <v>4704250.3347305888</v>
      </c>
      <c r="AK1871" s="20">
        <f t="shared" si="556"/>
        <v>0.15166211427595458</v>
      </c>
      <c r="AL1871" s="17"/>
      <c r="AM1871" s="17"/>
      <c r="AN1871" s="17"/>
      <c r="AO1871" s="17"/>
      <c r="AP1871" s="28" t="str">
        <f t="shared" si="557"/>
        <v>202211</v>
      </c>
      <c r="AQ1871" s="28" t="str">
        <f t="shared" si="558"/>
        <v>202211RMB</v>
      </c>
      <c r="AR1871" s="206" t="str">
        <f t="shared" si="559"/>
        <v>PEMTRON</v>
      </c>
      <c r="AS1871" s="22">
        <f t="shared" si="560"/>
        <v>2</v>
      </c>
      <c r="AT1871" s="24" t="str">
        <f t="shared" si="561"/>
        <v>0-3 months</v>
      </c>
      <c r="AU1871" s="22" t="s">
        <v>3240</v>
      </c>
    </row>
    <row r="1872" spans="1:47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48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1585</v>
      </c>
      <c r="K1872" s="155" t="s">
        <v>1586</v>
      </c>
      <c r="L1872" s="17" t="s">
        <v>67</v>
      </c>
      <c r="M1872" s="13" t="s">
        <v>60</v>
      </c>
      <c r="N1872" s="13">
        <v>1</v>
      </c>
      <c r="O1872" s="13"/>
      <c r="P1872" s="33" t="str">
        <f t="shared" si="553"/>
        <v>MAIN UNIT</v>
      </c>
      <c r="Q1872" s="13" t="s">
        <v>61</v>
      </c>
      <c r="R1872" s="13" t="s">
        <v>62</v>
      </c>
      <c r="S1872" s="13" t="s">
        <v>52</v>
      </c>
      <c r="T1872" s="13" t="s">
        <v>412</v>
      </c>
      <c r="U1872" s="13" t="s">
        <v>1077</v>
      </c>
      <c r="V1872" s="13" t="s">
        <v>143</v>
      </c>
      <c r="W1872" s="13" t="s">
        <v>64</v>
      </c>
      <c r="X1872" s="135">
        <v>580000</v>
      </c>
      <c r="Y1872" s="157" t="str">
        <f>IF(W1872="RMB","1.13", "1")</f>
        <v>1.13</v>
      </c>
      <c r="Z1872" s="18">
        <f t="shared" si="562"/>
        <v>580000</v>
      </c>
      <c r="AA1872" s="13">
        <v>1.1850000000000001</v>
      </c>
      <c r="AB1872" s="21">
        <f t="shared" si="547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48"/>
        <v>45803245.025628321</v>
      </c>
      <c r="AJ1872" s="19">
        <f t="shared" si="549"/>
        <v>5664636.2584379362</v>
      </c>
      <c r="AK1872" s="20">
        <f t="shared" si="556"/>
        <v>0.12367325186825515</v>
      </c>
      <c r="AL1872" s="17"/>
      <c r="AM1872" s="17"/>
      <c r="AN1872" s="17"/>
      <c r="AO1872" s="17"/>
      <c r="AP1872" s="28" t="str">
        <f t="shared" si="557"/>
        <v>20211</v>
      </c>
      <c r="AQ1872" s="28" t="str">
        <f t="shared" si="558"/>
        <v>20211RMB</v>
      </c>
      <c r="AR1872" s="206" t="str">
        <f t="shared" si="559"/>
        <v>YAMAHA_Mounter</v>
      </c>
      <c r="AS1872" s="22">
        <f t="shared" si="560"/>
        <v>1</v>
      </c>
      <c r="AT1872" s="24" t="str">
        <f t="shared" si="561"/>
        <v>0-3 months</v>
      </c>
      <c r="AU1872" s="22" t="s">
        <v>3240</v>
      </c>
    </row>
    <row r="1873" spans="1:47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54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2233</v>
      </c>
      <c r="K1873" s="155" t="s">
        <v>2234</v>
      </c>
      <c r="L1873" s="17" t="s">
        <v>67</v>
      </c>
      <c r="M1873" s="13" t="s">
        <v>60</v>
      </c>
      <c r="N1873" s="13">
        <v>1</v>
      </c>
      <c r="O1873" s="13"/>
      <c r="P1873" s="33" t="str">
        <f t="shared" si="553"/>
        <v>MAIN UNIT</v>
      </c>
      <c r="Q1873" s="13" t="s">
        <v>68</v>
      </c>
      <c r="R1873" s="13" t="s">
        <v>62</v>
      </c>
      <c r="S1873" s="13" t="s">
        <v>52</v>
      </c>
      <c r="T1873" s="13" t="s">
        <v>412</v>
      </c>
      <c r="U1873" s="13" t="s">
        <v>1077</v>
      </c>
      <c r="V1873" s="13" t="s">
        <v>143</v>
      </c>
      <c r="W1873" s="13" t="s">
        <v>64</v>
      </c>
      <c r="X1873" s="135">
        <v>500000</v>
      </c>
      <c r="Y1873" s="157" t="str">
        <f>IF(W1873="RMB","1.13", "1")</f>
        <v>1.13</v>
      </c>
      <c r="Z1873" s="18">
        <f t="shared" si="562"/>
        <v>500000</v>
      </c>
      <c r="AA1873" s="13">
        <v>1.17</v>
      </c>
      <c r="AB1873" s="21">
        <f t="shared" si="547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48"/>
        <v>36480247.665929198</v>
      </c>
      <c r="AJ1873" s="19">
        <f t="shared" si="549"/>
        <v>5330996.6372757526</v>
      </c>
      <c r="AK1873" s="20">
        <f t="shared" si="556"/>
        <v>0.14613378412599562</v>
      </c>
      <c r="AL1873" s="17"/>
      <c r="AM1873" s="17"/>
      <c r="AN1873" s="17"/>
      <c r="AO1873" s="17"/>
      <c r="AP1873" s="28" t="str">
        <f t="shared" si="557"/>
        <v>20227</v>
      </c>
      <c r="AQ1873" s="28" t="str">
        <f t="shared" si="558"/>
        <v>20227RMB</v>
      </c>
      <c r="AR1873" s="206" t="str">
        <f t="shared" si="559"/>
        <v>YAMAHA_Mounter</v>
      </c>
      <c r="AS1873" s="22">
        <f t="shared" si="560"/>
        <v>1</v>
      </c>
      <c r="AT1873" s="24" t="str">
        <f t="shared" si="561"/>
        <v>0-3 months</v>
      </c>
      <c r="AU1873" s="22" t="s">
        <v>3240</v>
      </c>
    </row>
    <row r="1874" spans="1:47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47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934</v>
      </c>
      <c r="K1874" s="155" t="s">
        <v>935</v>
      </c>
      <c r="L1874" s="17" t="s">
        <v>67</v>
      </c>
      <c r="M1874" s="13" t="s">
        <v>60</v>
      </c>
      <c r="N1874" s="13">
        <v>1</v>
      </c>
      <c r="O1874" s="13"/>
      <c r="P1874" s="33" t="str">
        <f t="shared" si="553"/>
        <v>MAIN UNIT</v>
      </c>
      <c r="Q1874" s="13" t="s">
        <v>61</v>
      </c>
      <c r="R1874" s="13" t="s">
        <v>62</v>
      </c>
      <c r="S1874" s="13" t="s">
        <v>52</v>
      </c>
      <c r="T1874" s="13" t="s">
        <v>936</v>
      </c>
      <c r="U1874" s="13" t="s">
        <v>275</v>
      </c>
      <c r="V1874" s="13" t="s">
        <v>178</v>
      </c>
      <c r="W1874" s="13" t="s">
        <v>64</v>
      </c>
      <c r="X1874" s="135">
        <v>550000</v>
      </c>
      <c r="Y1874" s="156">
        <v>1.1299999999999999</v>
      </c>
      <c r="Z1874" s="18">
        <f t="shared" si="562"/>
        <v>550000</v>
      </c>
      <c r="AA1874" s="13">
        <v>1.095</v>
      </c>
      <c r="AB1874" s="21">
        <f t="shared" si="547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48"/>
        <v>28647263.974455759</v>
      </c>
      <c r="AJ1874" s="19">
        <f t="shared" si="549"/>
        <v>3219855.6912513468</v>
      </c>
      <c r="AK1874" s="20">
        <f t="shared" si="556"/>
        <v>0.11239662168514358</v>
      </c>
      <c r="AL1874" s="17"/>
      <c r="AM1874" s="17"/>
      <c r="AN1874" s="17"/>
      <c r="AO1874" s="17"/>
      <c r="AP1874" s="28" t="str">
        <f t="shared" si="557"/>
        <v>201910</v>
      </c>
      <c r="AQ1874" s="28" t="str">
        <f t="shared" si="558"/>
        <v>201910RMB</v>
      </c>
      <c r="AR1874" s="206" t="str">
        <f t="shared" si="559"/>
        <v>YAMAHA_Mounter</v>
      </c>
      <c r="AS1874" s="22">
        <f t="shared" si="560"/>
        <v>0</v>
      </c>
      <c r="AT1874" s="24" t="str">
        <f t="shared" si="561"/>
        <v>0-3 months</v>
      </c>
      <c r="AU1874" s="22" t="s">
        <v>3240</v>
      </c>
    </row>
    <row r="1875" spans="1:47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55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2595</v>
      </c>
      <c r="K1875" s="155" t="s">
        <v>2596</v>
      </c>
      <c r="L1875" s="17" t="s">
        <v>67</v>
      </c>
      <c r="M1875" s="13" t="s">
        <v>60</v>
      </c>
      <c r="N1875" s="13">
        <v>1</v>
      </c>
      <c r="O1875" s="13"/>
      <c r="P1875" s="33" t="str">
        <f t="shared" si="553"/>
        <v>MAIN UNIT</v>
      </c>
      <c r="Q1875" s="13" t="s">
        <v>68</v>
      </c>
      <c r="R1875" s="13" t="s">
        <v>62</v>
      </c>
      <c r="S1875" s="13" t="s">
        <v>52</v>
      </c>
      <c r="T1875" s="13" t="s">
        <v>1659</v>
      </c>
      <c r="U1875" s="13" t="s">
        <v>177</v>
      </c>
      <c r="V1875" s="13" t="s">
        <v>178</v>
      </c>
      <c r="W1875" s="13" t="s">
        <v>64</v>
      </c>
      <c r="X1875" s="135">
        <v>525000</v>
      </c>
      <c r="Y1875" s="157" t="str">
        <f>IF(W1875="","",IF(W1875="RMB","1.13", "1"))</f>
        <v>1.13</v>
      </c>
      <c r="Z1875" s="18">
        <f t="shared" si="562"/>
        <v>525000</v>
      </c>
      <c r="AA1875" s="13">
        <v>1.07</v>
      </c>
      <c r="AB1875" s="21">
        <f t="shared" si="547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48"/>
        <v>11730565.00042478</v>
      </c>
      <c r="AJ1875" s="19">
        <f t="shared" si="549"/>
        <v>1439625.5685810833</v>
      </c>
      <c r="AK1875" s="20">
        <f t="shared" si="556"/>
        <v>0.12272431622253084</v>
      </c>
      <c r="AL1875" s="17"/>
      <c r="AM1875" s="17"/>
      <c r="AN1875" s="17"/>
      <c r="AO1875" s="17"/>
      <c r="AP1875" s="28" t="str">
        <f t="shared" si="557"/>
        <v>202311</v>
      </c>
      <c r="AQ1875" s="28" t="str">
        <f t="shared" si="558"/>
        <v>202311RMB</v>
      </c>
      <c r="AR1875" s="206" t="str">
        <f t="shared" si="559"/>
        <v>YAMAHA_Mounter</v>
      </c>
      <c r="AS1875" s="22">
        <f t="shared" si="560"/>
        <v>1</v>
      </c>
      <c r="AT1875" s="24" t="str">
        <f t="shared" si="561"/>
        <v>0-3 months</v>
      </c>
      <c r="AU1875" s="22" t="s">
        <v>3240</v>
      </c>
    </row>
    <row r="1876" spans="1:47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55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2595</v>
      </c>
      <c r="K1876" s="155" t="s">
        <v>2596</v>
      </c>
      <c r="L1876" s="17" t="s">
        <v>67</v>
      </c>
      <c r="M1876" s="13" t="s">
        <v>60</v>
      </c>
      <c r="N1876" s="13">
        <v>1</v>
      </c>
      <c r="O1876" s="13"/>
      <c r="P1876" s="33" t="str">
        <f t="shared" si="553"/>
        <v>MAIN UNIT</v>
      </c>
      <c r="Q1876" s="13" t="s">
        <v>68</v>
      </c>
      <c r="R1876" s="13" t="s">
        <v>62</v>
      </c>
      <c r="S1876" s="13" t="s">
        <v>52</v>
      </c>
      <c r="T1876" s="13" t="s">
        <v>1659</v>
      </c>
      <c r="U1876" s="13" t="s">
        <v>177</v>
      </c>
      <c r="V1876" s="13" t="s">
        <v>178</v>
      </c>
      <c r="W1876" s="13" t="s">
        <v>64</v>
      </c>
      <c r="X1876" s="135">
        <v>525000</v>
      </c>
      <c r="Y1876" s="157" t="str">
        <f>IF(W1876="","",IF(W1876="RMB","1.13", "1"))</f>
        <v>1.13</v>
      </c>
      <c r="Z1876" s="18">
        <f t="shared" si="562"/>
        <v>525000</v>
      </c>
      <c r="AA1876" s="13">
        <v>1.07</v>
      </c>
      <c r="AB1876" s="21">
        <f t="shared" si="547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48"/>
        <v>11730565.00042478</v>
      </c>
      <c r="AJ1876" s="19">
        <f t="shared" si="549"/>
        <v>1439625.5685810833</v>
      </c>
      <c r="AK1876" s="20">
        <f t="shared" si="556"/>
        <v>0.12272431622253084</v>
      </c>
      <c r="AL1876" s="17"/>
      <c r="AM1876" s="17"/>
      <c r="AN1876" s="17"/>
      <c r="AO1876" s="17"/>
      <c r="AP1876" s="28" t="str">
        <f t="shared" si="557"/>
        <v>202311</v>
      </c>
      <c r="AQ1876" s="28" t="str">
        <f t="shared" si="558"/>
        <v>202311RMB</v>
      </c>
      <c r="AR1876" s="206" t="str">
        <f t="shared" si="559"/>
        <v>YAMAHA_Mounter</v>
      </c>
      <c r="AS1876" s="22">
        <f t="shared" si="560"/>
        <v>1</v>
      </c>
      <c r="AT1876" s="24" t="str">
        <f t="shared" si="561"/>
        <v>0-3 months</v>
      </c>
      <c r="AU1876" s="22" t="s">
        <v>3240</v>
      </c>
    </row>
    <row r="1877" spans="1:47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53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1671</v>
      </c>
      <c r="K1877" s="155" t="s">
        <v>1672</v>
      </c>
      <c r="L1877" s="17" t="s">
        <v>67</v>
      </c>
      <c r="M1877" s="13" t="s">
        <v>60</v>
      </c>
      <c r="N1877" s="13">
        <v>1</v>
      </c>
      <c r="O1877" s="13"/>
      <c r="P1877" s="33" t="str">
        <f t="shared" si="553"/>
        <v>MAIN UNIT</v>
      </c>
      <c r="Q1877" s="13" t="s">
        <v>68</v>
      </c>
      <c r="R1877" s="13" t="s">
        <v>62</v>
      </c>
      <c r="S1877" s="13" t="s">
        <v>52</v>
      </c>
      <c r="T1877" s="13" t="s">
        <v>176</v>
      </c>
      <c r="U1877" s="13" t="s">
        <v>177</v>
      </c>
      <c r="V1877" s="13" t="s">
        <v>178</v>
      </c>
      <c r="W1877" s="13" t="s">
        <v>64</v>
      </c>
      <c r="X1877" s="135">
        <v>475000</v>
      </c>
      <c r="Y1877" s="157" t="str">
        <f>IF(W1877="RMB","1.13", "1")</f>
        <v>1.13</v>
      </c>
      <c r="Z1877" s="18">
        <f t="shared" si="562"/>
        <v>475000</v>
      </c>
      <c r="AA1877" s="13">
        <v>1.18</v>
      </c>
      <c r="AB1877" s="21">
        <f t="shared" si="547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48"/>
        <v>43684091.636631854</v>
      </c>
      <c r="AJ1877" s="19">
        <f t="shared" si="549"/>
        <v>6483951.8242071122</v>
      </c>
      <c r="AK1877" s="20">
        <f t="shared" si="556"/>
        <v>0.14842821680123736</v>
      </c>
      <c r="AL1877" s="17"/>
      <c r="AM1877" s="17"/>
      <c r="AN1877" s="17"/>
      <c r="AO1877" s="17"/>
      <c r="AP1877" s="28" t="str">
        <f t="shared" si="557"/>
        <v>20214</v>
      </c>
      <c r="AQ1877" s="28" t="str">
        <f t="shared" si="558"/>
        <v>20214RMB</v>
      </c>
      <c r="AR1877" s="206" t="str">
        <f t="shared" si="559"/>
        <v>YAMAHA_Mounter</v>
      </c>
      <c r="AS1877" s="22">
        <f t="shared" si="560"/>
        <v>3</v>
      </c>
      <c r="AT1877" s="24" t="str">
        <f t="shared" si="561"/>
        <v>0-3 months</v>
      </c>
      <c r="AU1877" s="22" t="s">
        <v>3240</v>
      </c>
    </row>
    <row r="1878" spans="1:47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53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1904</v>
      </c>
      <c r="K1878" s="155" t="s">
        <v>1905</v>
      </c>
      <c r="L1878" s="17" t="s">
        <v>92</v>
      </c>
      <c r="M1878" s="13" t="s">
        <v>60</v>
      </c>
      <c r="N1878" s="13">
        <v>1</v>
      </c>
      <c r="O1878" s="13"/>
      <c r="P1878" s="33" t="str">
        <f t="shared" si="553"/>
        <v>MAIN UNIT</v>
      </c>
      <c r="Q1878" s="13" t="s">
        <v>61</v>
      </c>
      <c r="R1878" s="13" t="s">
        <v>62</v>
      </c>
      <c r="S1878" s="13" t="s">
        <v>52</v>
      </c>
      <c r="T1878" s="13" t="s">
        <v>176</v>
      </c>
      <c r="U1878" s="13" t="s">
        <v>177</v>
      </c>
      <c r="V1878" s="13" t="s">
        <v>178</v>
      </c>
      <c r="W1878" s="13" t="s">
        <v>64</v>
      </c>
      <c r="X1878" s="135">
        <v>1110000</v>
      </c>
      <c r="Y1878" s="157" t="str">
        <f>IF(W1878="RMB","1.13", "1")</f>
        <v>1.13</v>
      </c>
      <c r="Z1878" s="18">
        <f t="shared" si="562"/>
        <v>1110000</v>
      </c>
      <c r="AA1878" s="13">
        <v>1.21</v>
      </c>
      <c r="AB1878" s="21">
        <f t="shared" si="547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48"/>
        <v>29500529.005044252</v>
      </c>
      <c r="AJ1878" s="19">
        <f t="shared" si="549"/>
        <v>3253064.846231177</v>
      </c>
      <c r="AK1878" s="20">
        <f t="shared" si="556"/>
        <v>0.11027140718984871</v>
      </c>
      <c r="AL1878" s="17"/>
      <c r="AM1878" s="17"/>
      <c r="AN1878" s="17"/>
      <c r="AO1878" s="17"/>
      <c r="AP1878" s="28" t="str">
        <f t="shared" si="557"/>
        <v>202111</v>
      </c>
      <c r="AQ1878" s="28" t="str">
        <f t="shared" si="558"/>
        <v>202111RMB</v>
      </c>
      <c r="AR1878" s="206" t="str">
        <f t="shared" si="559"/>
        <v>YAMAHA_Mounter</v>
      </c>
      <c r="AS1878" s="22">
        <f t="shared" si="560"/>
        <v>1</v>
      </c>
      <c r="AT1878" s="24" t="str">
        <f t="shared" si="561"/>
        <v>0-3 months</v>
      </c>
      <c r="AU1878" s="22" t="s">
        <v>3240</v>
      </c>
    </row>
    <row r="1879" spans="1:47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53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1904</v>
      </c>
      <c r="K1879" s="155" t="s">
        <v>1905</v>
      </c>
      <c r="L1879" s="17" t="s">
        <v>92</v>
      </c>
      <c r="M1879" s="13" t="s">
        <v>60</v>
      </c>
      <c r="N1879" s="13">
        <v>1</v>
      </c>
      <c r="O1879" s="13"/>
      <c r="P1879" s="33" t="str">
        <f t="shared" si="553"/>
        <v>MAIN UNIT</v>
      </c>
      <c r="Q1879" s="13" t="s">
        <v>61</v>
      </c>
      <c r="R1879" s="13" t="s">
        <v>62</v>
      </c>
      <c r="S1879" s="13" t="s">
        <v>52</v>
      </c>
      <c r="T1879" s="13" t="s">
        <v>176</v>
      </c>
      <c r="U1879" s="13" t="s">
        <v>177</v>
      </c>
      <c r="V1879" s="13" t="s">
        <v>178</v>
      </c>
      <c r="W1879" s="13" t="s">
        <v>64</v>
      </c>
      <c r="X1879" s="135">
        <v>1110000</v>
      </c>
      <c r="Y1879" s="157" t="str">
        <f>IF(W1879="RMB","1.13", "1")</f>
        <v>1.13</v>
      </c>
      <c r="Z1879" s="18">
        <f t="shared" si="562"/>
        <v>1110000</v>
      </c>
      <c r="AA1879" s="13">
        <v>1.21</v>
      </c>
      <c r="AB1879" s="21">
        <f t="shared" si="547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48"/>
        <v>29500529.005044252</v>
      </c>
      <c r="AJ1879" s="19">
        <f t="shared" si="549"/>
        <v>3253064.846231177</v>
      </c>
      <c r="AK1879" s="20">
        <f t="shared" si="556"/>
        <v>0.11027140718984871</v>
      </c>
      <c r="AL1879" s="17"/>
      <c r="AM1879" s="17"/>
      <c r="AN1879" s="17"/>
      <c r="AO1879" s="17"/>
      <c r="AP1879" s="28" t="str">
        <f t="shared" si="557"/>
        <v>202111</v>
      </c>
      <c r="AQ1879" s="28" t="str">
        <f t="shared" si="558"/>
        <v>202111RMB</v>
      </c>
      <c r="AR1879" s="206" t="str">
        <f t="shared" si="559"/>
        <v>YAMAHA_Mounter</v>
      </c>
      <c r="AS1879" s="22">
        <f t="shared" si="560"/>
        <v>1</v>
      </c>
      <c r="AT1879" s="24" t="str">
        <f t="shared" si="561"/>
        <v>0-3 months</v>
      </c>
      <c r="AU1879" s="22" t="s">
        <v>3240</v>
      </c>
    </row>
    <row r="1880" spans="1:47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3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3340</v>
      </c>
      <c r="K1880" s="29" t="s">
        <v>3341</v>
      </c>
      <c r="L1880" s="17" t="s">
        <v>92</v>
      </c>
      <c r="M1880" s="22" t="s">
        <v>60</v>
      </c>
      <c r="N1880" s="22">
        <v>1</v>
      </c>
      <c r="O1880" s="22"/>
      <c r="P1880" s="33" t="str">
        <f t="shared" si="553"/>
        <v>MAIN UNIT</v>
      </c>
      <c r="Q1880" s="13" t="s">
        <v>61</v>
      </c>
      <c r="R1880" s="22" t="s">
        <v>62</v>
      </c>
      <c r="S1880" s="22" t="s">
        <v>49</v>
      </c>
      <c r="T1880" s="22" t="s">
        <v>78</v>
      </c>
      <c r="U1880" s="22" t="s">
        <v>78</v>
      </c>
      <c r="V1880" s="22" t="s">
        <v>112</v>
      </c>
      <c r="W1880" s="22" t="s">
        <v>109</v>
      </c>
      <c r="X1880" s="30">
        <v>11000000</v>
      </c>
      <c r="Y1880" s="31" t="str">
        <f t="shared" ref="Y1880:Y1886" si="564">IF(W1880="","",IF(W1880="RMB","1.13", "1"))</f>
        <v>1</v>
      </c>
      <c r="Z1880" s="18">
        <f t="shared" si="562"/>
        <v>11000000</v>
      </c>
      <c r="AA1880" s="13">
        <v>5.0999999999999997E-2</v>
      </c>
      <c r="AB1880" s="21">
        <f t="shared" si="547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48"/>
        <v>27308925.887079656</v>
      </c>
      <c r="AJ1880" s="27">
        <f t="shared" si="549"/>
        <v>3319273.860338124</v>
      </c>
      <c r="AK1880" s="28">
        <f t="shared" si="556"/>
        <v>0.12154538314919709</v>
      </c>
      <c r="AL1880" s="24"/>
      <c r="AM1880" s="24"/>
      <c r="AN1880" s="24"/>
      <c r="AO1880" s="24"/>
      <c r="AP1880" s="28" t="str">
        <f t="shared" si="557"/>
        <v>20246</v>
      </c>
      <c r="AQ1880" s="28" t="str">
        <f t="shared" si="558"/>
        <v>20246JPY</v>
      </c>
      <c r="AR1880" s="206" t="str">
        <f t="shared" si="559"/>
        <v>YAMAHA_Mounter</v>
      </c>
      <c r="AS1880" s="22">
        <f t="shared" si="560"/>
        <v>3</v>
      </c>
      <c r="AT1880" s="24" t="str">
        <f t="shared" si="561"/>
        <v>0-3 months</v>
      </c>
      <c r="AU1880" s="22" t="s">
        <v>3745</v>
      </c>
    </row>
    <row r="1881" spans="1:47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3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3397</v>
      </c>
      <c r="K1881" s="29" t="s">
        <v>3398</v>
      </c>
      <c r="L1881" s="17" t="s">
        <v>92</v>
      </c>
      <c r="M1881" s="22" t="s">
        <v>60</v>
      </c>
      <c r="N1881" s="22">
        <v>1</v>
      </c>
      <c r="O1881" s="22"/>
      <c r="P1881" s="33" t="str">
        <f t="shared" si="553"/>
        <v>MAIN UNIT</v>
      </c>
      <c r="Q1881" s="13" t="s">
        <v>61</v>
      </c>
      <c r="R1881" s="22" t="s">
        <v>62</v>
      </c>
      <c r="S1881" s="22" t="s">
        <v>49</v>
      </c>
      <c r="T1881" s="22" t="s">
        <v>78</v>
      </c>
      <c r="U1881" s="22" t="s">
        <v>78</v>
      </c>
      <c r="V1881" s="22" t="s">
        <v>112</v>
      </c>
      <c r="W1881" s="22" t="s">
        <v>64</v>
      </c>
      <c r="X1881" s="30">
        <v>837083.3</v>
      </c>
      <c r="Y1881" s="31" t="str">
        <f t="shared" si="564"/>
        <v>1.13</v>
      </c>
      <c r="Z1881" s="18">
        <f t="shared" si="562"/>
        <v>837083.3</v>
      </c>
      <c r="AA1881" s="22">
        <v>1.08</v>
      </c>
      <c r="AB1881" s="21">
        <f t="shared" si="547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48"/>
        <v>27308925.887079656</v>
      </c>
      <c r="AJ1881" s="27">
        <f t="shared" si="549"/>
        <v>3319273.860338124</v>
      </c>
      <c r="AK1881" s="28">
        <f t="shared" si="556"/>
        <v>0.12154538314919709</v>
      </c>
      <c r="AL1881" s="24"/>
      <c r="AM1881" s="24"/>
      <c r="AN1881" s="24"/>
      <c r="AO1881" s="24"/>
      <c r="AP1881" s="28" t="str">
        <f t="shared" si="557"/>
        <v>20246</v>
      </c>
      <c r="AQ1881" s="28" t="str">
        <f t="shared" si="558"/>
        <v>20246RMB</v>
      </c>
      <c r="AR1881" s="206" t="str">
        <f t="shared" si="559"/>
        <v>YAMAHA_Mounter</v>
      </c>
      <c r="AS1881" s="22">
        <f t="shared" si="560"/>
        <v>2</v>
      </c>
      <c r="AT1881" s="24" t="str">
        <f t="shared" si="561"/>
        <v>0-3 months</v>
      </c>
      <c r="AU1881" s="22" t="s">
        <v>3751</v>
      </c>
    </row>
    <row r="1882" spans="1:47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3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3397</v>
      </c>
      <c r="K1882" s="29" t="s">
        <v>3398</v>
      </c>
      <c r="L1882" s="17" t="s">
        <v>92</v>
      </c>
      <c r="M1882" s="22" t="s">
        <v>60</v>
      </c>
      <c r="N1882" s="22">
        <v>1</v>
      </c>
      <c r="O1882" s="22"/>
      <c r="P1882" s="33" t="str">
        <f t="shared" si="553"/>
        <v>MAIN UNIT</v>
      </c>
      <c r="Q1882" s="13" t="s">
        <v>61</v>
      </c>
      <c r="R1882" s="22" t="s">
        <v>62</v>
      </c>
      <c r="S1882" s="22" t="s">
        <v>49</v>
      </c>
      <c r="T1882" s="22" t="s">
        <v>78</v>
      </c>
      <c r="U1882" s="22" t="s">
        <v>78</v>
      </c>
      <c r="V1882" s="22" t="s">
        <v>112</v>
      </c>
      <c r="W1882" s="22" t="s">
        <v>64</v>
      </c>
      <c r="X1882" s="30">
        <v>837083.3</v>
      </c>
      <c r="Y1882" s="31" t="str">
        <f t="shared" si="564"/>
        <v>1.13</v>
      </c>
      <c r="Z1882" s="18">
        <f t="shared" si="562"/>
        <v>837083.3</v>
      </c>
      <c r="AA1882" s="22">
        <v>1.08</v>
      </c>
      <c r="AB1882" s="21">
        <f t="shared" si="547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48"/>
        <v>27308925.887079656</v>
      </c>
      <c r="AJ1882" s="27">
        <f t="shared" si="549"/>
        <v>3319273.860338124</v>
      </c>
      <c r="AK1882" s="28">
        <f t="shared" si="556"/>
        <v>0.12154538314919709</v>
      </c>
      <c r="AL1882" s="24"/>
      <c r="AM1882" s="24"/>
      <c r="AN1882" s="24"/>
      <c r="AO1882" s="24"/>
      <c r="AP1882" s="28" t="str">
        <f t="shared" si="557"/>
        <v>20246</v>
      </c>
      <c r="AQ1882" s="28" t="str">
        <f t="shared" si="558"/>
        <v>20246RMB</v>
      </c>
      <c r="AR1882" s="206" t="str">
        <f t="shared" si="559"/>
        <v>YAMAHA_Mounter</v>
      </c>
      <c r="AS1882" s="22">
        <f t="shared" si="560"/>
        <v>2</v>
      </c>
      <c r="AT1882" s="24" t="str">
        <f t="shared" si="561"/>
        <v>0-3 months</v>
      </c>
      <c r="AU1882" s="22" t="s">
        <v>3751</v>
      </c>
    </row>
    <row r="1883" spans="1:47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3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3412</v>
      </c>
      <c r="K1883" s="29" t="s">
        <v>1448</v>
      </c>
      <c r="L1883" s="17" t="s">
        <v>67</v>
      </c>
      <c r="M1883" s="22" t="s">
        <v>60</v>
      </c>
      <c r="N1883" s="22">
        <v>1</v>
      </c>
      <c r="O1883" s="22"/>
      <c r="P1883" s="33" t="str">
        <f t="shared" si="553"/>
        <v>MAIN UNIT</v>
      </c>
      <c r="Q1883" s="13" t="s">
        <v>61</v>
      </c>
      <c r="R1883" s="22" t="s">
        <v>62</v>
      </c>
      <c r="S1883" s="22" t="s">
        <v>50</v>
      </c>
      <c r="T1883" s="22" t="s">
        <v>2374</v>
      </c>
      <c r="U1883" s="22" t="s">
        <v>70</v>
      </c>
      <c r="V1883" s="22" t="s">
        <v>2123</v>
      </c>
      <c r="W1883" s="22" t="s">
        <v>109</v>
      </c>
      <c r="X1883" s="30">
        <v>6891220</v>
      </c>
      <c r="Y1883" s="31" t="str">
        <f t="shared" si="564"/>
        <v>1</v>
      </c>
      <c r="Z1883" s="18">
        <f t="shared" si="562"/>
        <v>6891220</v>
      </c>
      <c r="AA1883" s="22">
        <v>5.0999999999999997E-2</v>
      </c>
      <c r="AB1883" s="21">
        <f t="shared" si="547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48"/>
        <v>27308925.887079656</v>
      </c>
      <c r="AJ1883" s="27">
        <f t="shared" si="549"/>
        <v>3319273.860338124</v>
      </c>
      <c r="AK1883" s="28">
        <f t="shared" si="556"/>
        <v>0.12154538314919709</v>
      </c>
      <c r="AL1883" s="24"/>
      <c r="AM1883" s="24"/>
      <c r="AN1883" s="24"/>
      <c r="AO1883" s="24"/>
      <c r="AP1883" s="28" t="str">
        <f t="shared" si="557"/>
        <v>20246</v>
      </c>
      <c r="AQ1883" s="28" t="str">
        <f t="shared" si="558"/>
        <v>20246JPY</v>
      </c>
      <c r="AR1883" s="206" t="str">
        <f t="shared" si="559"/>
        <v>YAMAHA_Mounter</v>
      </c>
      <c r="AS1883" s="22">
        <f t="shared" si="560"/>
        <v>2</v>
      </c>
      <c r="AT1883" s="24" t="str">
        <f t="shared" si="561"/>
        <v>0-3 months</v>
      </c>
      <c r="AU1883" s="22" t="s">
        <v>3240</v>
      </c>
    </row>
    <row r="1884" spans="1:47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3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3412</v>
      </c>
      <c r="K1884" s="29" t="s">
        <v>1448</v>
      </c>
      <c r="L1884" s="17" t="s">
        <v>67</v>
      </c>
      <c r="M1884" s="22" t="s">
        <v>60</v>
      </c>
      <c r="N1884" s="22">
        <v>1</v>
      </c>
      <c r="O1884" s="22"/>
      <c r="P1884" s="33" t="str">
        <f t="shared" si="553"/>
        <v>MAIN UNIT</v>
      </c>
      <c r="Q1884" s="13" t="s">
        <v>61</v>
      </c>
      <c r="R1884" s="22" t="s">
        <v>62</v>
      </c>
      <c r="S1884" s="22" t="s">
        <v>50</v>
      </c>
      <c r="T1884" s="22" t="s">
        <v>2374</v>
      </c>
      <c r="U1884" s="22" t="s">
        <v>70</v>
      </c>
      <c r="V1884" s="22" t="s">
        <v>2123</v>
      </c>
      <c r="W1884" s="22" t="s">
        <v>109</v>
      </c>
      <c r="X1884" s="30">
        <v>6891220</v>
      </c>
      <c r="Y1884" s="31" t="str">
        <f t="shared" si="564"/>
        <v>1</v>
      </c>
      <c r="Z1884" s="18">
        <f t="shared" si="562"/>
        <v>6891220</v>
      </c>
      <c r="AA1884" s="22">
        <v>5.0999999999999997E-2</v>
      </c>
      <c r="AB1884" s="21">
        <f t="shared" si="547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48"/>
        <v>27308925.887079656</v>
      </c>
      <c r="AJ1884" s="27">
        <f t="shared" si="549"/>
        <v>3319273.860338124</v>
      </c>
      <c r="AK1884" s="28">
        <f t="shared" si="556"/>
        <v>0.12154538314919709</v>
      </c>
      <c r="AL1884" s="24"/>
      <c r="AM1884" s="24"/>
      <c r="AN1884" s="24"/>
      <c r="AO1884" s="24"/>
      <c r="AP1884" s="28" t="str">
        <f t="shared" si="557"/>
        <v>20246</v>
      </c>
      <c r="AQ1884" s="28" t="str">
        <f t="shared" si="558"/>
        <v>20246JPY</v>
      </c>
      <c r="AR1884" s="206" t="str">
        <f t="shared" si="559"/>
        <v>YAMAHA_Mounter</v>
      </c>
      <c r="AS1884" s="22">
        <f t="shared" si="560"/>
        <v>2</v>
      </c>
      <c r="AT1884" s="24" t="str">
        <f t="shared" si="561"/>
        <v>0-3 months</v>
      </c>
      <c r="AU1884" s="22" t="s">
        <v>3240</v>
      </c>
    </row>
    <row r="1885" spans="1:47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3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3412</v>
      </c>
      <c r="K1885" s="29" t="s">
        <v>1448</v>
      </c>
      <c r="L1885" s="17" t="s">
        <v>67</v>
      </c>
      <c r="M1885" s="22" t="s">
        <v>60</v>
      </c>
      <c r="N1885" s="22">
        <v>1</v>
      </c>
      <c r="O1885" s="22"/>
      <c r="P1885" s="33" t="str">
        <f t="shared" si="553"/>
        <v>MAIN UNIT</v>
      </c>
      <c r="Q1885" s="13" t="s">
        <v>61</v>
      </c>
      <c r="R1885" s="22" t="s">
        <v>62</v>
      </c>
      <c r="S1885" s="22" t="s">
        <v>50</v>
      </c>
      <c r="T1885" s="22" t="s">
        <v>2374</v>
      </c>
      <c r="U1885" s="22" t="s">
        <v>70</v>
      </c>
      <c r="V1885" s="22" t="s">
        <v>2123</v>
      </c>
      <c r="W1885" s="22" t="s">
        <v>109</v>
      </c>
      <c r="X1885" s="30">
        <v>6891220</v>
      </c>
      <c r="Y1885" s="31" t="str">
        <f t="shared" si="564"/>
        <v>1</v>
      </c>
      <c r="Z1885" s="18">
        <f t="shared" si="562"/>
        <v>6891220</v>
      </c>
      <c r="AA1885" s="22">
        <v>5.0999999999999997E-2</v>
      </c>
      <c r="AB1885" s="21">
        <f t="shared" si="547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48"/>
        <v>27308925.887079656</v>
      </c>
      <c r="AJ1885" s="27">
        <f t="shared" si="549"/>
        <v>3319273.860338124</v>
      </c>
      <c r="AK1885" s="28">
        <f t="shared" si="556"/>
        <v>0.12154538314919709</v>
      </c>
      <c r="AL1885" s="24"/>
      <c r="AM1885" s="24"/>
      <c r="AN1885" s="24"/>
      <c r="AO1885" s="24"/>
      <c r="AP1885" s="28" t="str">
        <f t="shared" si="557"/>
        <v>20246</v>
      </c>
      <c r="AQ1885" s="28" t="str">
        <f t="shared" si="558"/>
        <v>20246JPY</v>
      </c>
      <c r="AR1885" s="206" t="str">
        <f t="shared" si="559"/>
        <v>YAMAHA_Mounter</v>
      </c>
      <c r="AS1885" s="22">
        <f t="shared" si="560"/>
        <v>2</v>
      </c>
      <c r="AT1885" s="24" t="str">
        <f t="shared" si="561"/>
        <v>0-3 months</v>
      </c>
      <c r="AU1885" s="22" t="s">
        <v>3240</v>
      </c>
    </row>
    <row r="1886" spans="1:47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3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3412</v>
      </c>
      <c r="K1886" s="29" t="s">
        <v>1448</v>
      </c>
      <c r="L1886" s="17" t="s">
        <v>67</v>
      </c>
      <c r="M1886" s="22" t="s">
        <v>60</v>
      </c>
      <c r="N1886" s="22">
        <v>1</v>
      </c>
      <c r="O1886" s="22"/>
      <c r="P1886" s="33" t="str">
        <f t="shared" si="553"/>
        <v>MAIN UNIT</v>
      </c>
      <c r="Q1886" s="13" t="s">
        <v>61</v>
      </c>
      <c r="R1886" s="22" t="s">
        <v>62</v>
      </c>
      <c r="S1886" s="22" t="s">
        <v>50</v>
      </c>
      <c r="T1886" s="22" t="s">
        <v>2374</v>
      </c>
      <c r="U1886" s="22" t="s">
        <v>70</v>
      </c>
      <c r="V1886" s="22" t="s">
        <v>2123</v>
      </c>
      <c r="W1886" s="22" t="s">
        <v>109</v>
      </c>
      <c r="X1886" s="30">
        <v>6891220</v>
      </c>
      <c r="Y1886" s="31" t="str">
        <f t="shared" si="564"/>
        <v>1</v>
      </c>
      <c r="Z1886" s="18">
        <f t="shared" si="562"/>
        <v>6891220</v>
      </c>
      <c r="AA1886" s="22">
        <v>5.0999999999999997E-2</v>
      </c>
      <c r="AB1886" s="21">
        <f t="shared" si="547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48"/>
        <v>27308925.887079656</v>
      </c>
      <c r="AJ1886" s="27">
        <f t="shared" si="549"/>
        <v>3319273.860338124</v>
      </c>
      <c r="AK1886" s="28">
        <f t="shared" si="556"/>
        <v>0.12154538314919709</v>
      </c>
      <c r="AL1886" s="24"/>
      <c r="AM1886" s="24"/>
      <c r="AN1886" s="24"/>
      <c r="AO1886" s="24"/>
      <c r="AP1886" s="28" t="str">
        <f t="shared" si="557"/>
        <v>20246</v>
      </c>
      <c r="AQ1886" s="28" t="str">
        <f t="shared" si="558"/>
        <v>20246JPY</v>
      </c>
      <c r="AR1886" s="206" t="str">
        <f t="shared" si="559"/>
        <v>YAMAHA_Mounter</v>
      </c>
      <c r="AS1886" s="22">
        <f t="shared" si="560"/>
        <v>2</v>
      </c>
      <c r="AT1886" s="24" t="str">
        <f t="shared" si="561"/>
        <v>0-3 months</v>
      </c>
      <c r="AU1886" s="22" t="s">
        <v>3240</v>
      </c>
    </row>
    <row r="1887" spans="1:47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41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174</v>
      </c>
      <c r="K1887" s="155" t="s">
        <v>175</v>
      </c>
      <c r="L1887" s="17" t="s">
        <v>77</v>
      </c>
      <c r="M1887" s="13" t="s">
        <v>60</v>
      </c>
      <c r="N1887" s="13">
        <v>1</v>
      </c>
      <c r="O1887" s="13"/>
      <c r="P1887" s="33" t="str">
        <f t="shared" si="553"/>
        <v>MAIN UNIT</v>
      </c>
      <c r="Q1887" s="13" t="s">
        <v>61</v>
      </c>
      <c r="R1887" s="13" t="s">
        <v>62</v>
      </c>
      <c r="S1887" s="13" t="s">
        <v>52</v>
      </c>
      <c r="T1887" s="13" t="s">
        <v>176</v>
      </c>
      <c r="U1887" s="13" t="s">
        <v>177</v>
      </c>
      <c r="V1887" s="13" t="s">
        <v>178</v>
      </c>
      <c r="W1887" s="13" t="s">
        <v>64</v>
      </c>
      <c r="X1887" s="135">
        <v>800000</v>
      </c>
      <c r="Y1887" s="156">
        <v>1.1599999999999999</v>
      </c>
      <c r="Z1887" s="18">
        <f t="shared" si="562"/>
        <v>800000</v>
      </c>
      <c r="AA1887" s="13">
        <v>1.23</v>
      </c>
      <c r="AB1887" s="21">
        <f t="shared" si="547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48"/>
        <v>34109166.105589926</v>
      </c>
      <c r="AJ1887" s="19">
        <f t="shared" si="549"/>
        <v>4642032.7199573703</v>
      </c>
      <c r="AK1887" s="20">
        <f t="shared" si="556"/>
        <v>0.13609340977692849</v>
      </c>
      <c r="AL1887" s="17" t="s">
        <v>179</v>
      </c>
      <c r="AM1887" s="17">
        <v>800000</v>
      </c>
      <c r="AN1887" s="17" t="s">
        <v>180</v>
      </c>
      <c r="AO1887" s="17"/>
      <c r="AP1887" s="28" t="str">
        <f t="shared" si="557"/>
        <v>20185</v>
      </c>
      <c r="AQ1887" s="28" t="str">
        <f t="shared" si="558"/>
        <v>20185RMB</v>
      </c>
      <c r="AR1887" s="206" t="str">
        <f t="shared" si="559"/>
        <v>YAMAHA_Mounter</v>
      </c>
      <c r="AS1887" s="22">
        <f t="shared" si="560"/>
        <v>6</v>
      </c>
      <c r="AT1887" s="24" t="str">
        <f t="shared" si="561"/>
        <v>4-6 months</v>
      </c>
      <c r="AU1887" s="22" t="s">
        <v>3240</v>
      </c>
    </row>
    <row r="1888" spans="1:47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41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174</v>
      </c>
      <c r="K1888" s="155" t="s">
        <v>175</v>
      </c>
      <c r="L1888" s="17" t="s">
        <v>100</v>
      </c>
      <c r="M1888" s="13" t="s">
        <v>60</v>
      </c>
      <c r="N1888" s="13">
        <v>1</v>
      </c>
      <c r="O1888" s="13"/>
      <c r="P1888" s="33" t="str">
        <f t="shared" si="553"/>
        <v>MAIN UNIT</v>
      </c>
      <c r="Q1888" s="13" t="s">
        <v>61</v>
      </c>
      <c r="R1888" s="13" t="s">
        <v>62</v>
      </c>
      <c r="S1888" s="13" t="s">
        <v>52</v>
      </c>
      <c r="T1888" s="13" t="s">
        <v>176</v>
      </c>
      <c r="U1888" s="13" t="s">
        <v>177</v>
      </c>
      <c r="V1888" s="13" t="s">
        <v>178</v>
      </c>
      <c r="W1888" s="13" t="s">
        <v>64</v>
      </c>
      <c r="X1888" s="135">
        <v>710000</v>
      </c>
      <c r="Y1888" s="156">
        <v>1.1599999999999999</v>
      </c>
      <c r="Z1888" s="18">
        <f t="shared" si="562"/>
        <v>710000</v>
      </c>
      <c r="AA1888" s="13">
        <v>1.23</v>
      </c>
      <c r="AB1888" s="21">
        <f t="shared" si="547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48"/>
        <v>34109166.105589926</v>
      </c>
      <c r="AJ1888" s="19">
        <f t="shared" si="549"/>
        <v>4642032.7199573703</v>
      </c>
      <c r="AK1888" s="20">
        <f t="shared" si="556"/>
        <v>0.13609340977692849</v>
      </c>
      <c r="AL1888" s="17" t="s">
        <v>179</v>
      </c>
      <c r="AM1888" s="17">
        <v>697094</v>
      </c>
      <c r="AN1888" s="17" t="s">
        <v>181</v>
      </c>
      <c r="AO1888" s="17"/>
      <c r="AP1888" s="28" t="str">
        <f t="shared" si="557"/>
        <v>20185</v>
      </c>
      <c r="AQ1888" s="28" t="str">
        <f t="shared" si="558"/>
        <v>20185RMB</v>
      </c>
      <c r="AR1888" s="206" t="str">
        <f t="shared" si="559"/>
        <v>YAMAHA_Mounter</v>
      </c>
      <c r="AS1888" s="22">
        <f t="shared" si="560"/>
        <v>6</v>
      </c>
      <c r="AT1888" s="24" t="str">
        <f t="shared" si="561"/>
        <v>4-6 months</v>
      </c>
      <c r="AU1888" s="22" t="s">
        <v>3240</v>
      </c>
    </row>
    <row r="1889" spans="1:47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53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1944</v>
      </c>
      <c r="K1889" s="155" t="s">
        <v>1945</v>
      </c>
      <c r="L1889" s="17" t="s">
        <v>67</v>
      </c>
      <c r="M1889" s="13" t="s">
        <v>60</v>
      </c>
      <c r="N1889" s="13">
        <v>1</v>
      </c>
      <c r="O1889" s="13"/>
      <c r="P1889" s="33" t="str">
        <f t="shared" si="553"/>
        <v>MAIN UNIT</v>
      </c>
      <c r="Q1889" s="13" t="s">
        <v>68</v>
      </c>
      <c r="R1889" s="13" t="s">
        <v>62</v>
      </c>
      <c r="S1889" s="13" t="s">
        <v>52</v>
      </c>
      <c r="T1889" s="13" t="s">
        <v>176</v>
      </c>
      <c r="U1889" s="13" t="s">
        <v>177</v>
      </c>
      <c r="V1889" s="13" t="s">
        <v>178</v>
      </c>
      <c r="W1889" s="13" t="s">
        <v>64</v>
      </c>
      <c r="X1889" s="135">
        <v>630000</v>
      </c>
      <c r="Y1889" s="157" t="str">
        <f>IF(W1889="RMB","1.13", "1")</f>
        <v>1.13</v>
      </c>
      <c r="Z1889" s="18">
        <f t="shared" si="562"/>
        <v>630000</v>
      </c>
      <c r="AA1889" s="13">
        <v>1.22</v>
      </c>
      <c r="AB1889" s="21">
        <f t="shared" si="547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48"/>
        <v>26407088.359292038</v>
      </c>
      <c r="AJ1889" s="19">
        <f t="shared" si="549"/>
        <v>3424510.6998470789</v>
      </c>
      <c r="AK1889" s="20">
        <f t="shared" si="556"/>
        <v>0.12968149510667554</v>
      </c>
      <c r="AL1889" s="17"/>
      <c r="AM1889" s="17"/>
      <c r="AN1889" s="17"/>
      <c r="AO1889" s="17"/>
      <c r="AP1889" s="28" t="str">
        <f t="shared" si="557"/>
        <v>20221</v>
      </c>
      <c r="AQ1889" s="28" t="str">
        <f t="shared" si="558"/>
        <v>20221RMB</v>
      </c>
      <c r="AR1889" s="206" t="str">
        <f t="shared" si="559"/>
        <v>YAMAHA_Mounter</v>
      </c>
      <c r="AS1889" s="22">
        <f t="shared" si="560"/>
        <v>2</v>
      </c>
      <c r="AT1889" s="24" t="str">
        <f t="shared" si="561"/>
        <v>0-3 months</v>
      </c>
      <c r="AU1889" s="22" t="s">
        <v>3240</v>
      </c>
    </row>
    <row r="1890" spans="1:47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53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1944</v>
      </c>
      <c r="K1890" s="155" t="s">
        <v>1945</v>
      </c>
      <c r="L1890" s="17" t="s">
        <v>92</v>
      </c>
      <c r="M1890" s="13" t="s">
        <v>60</v>
      </c>
      <c r="N1890" s="13">
        <v>1</v>
      </c>
      <c r="O1890" s="13"/>
      <c r="P1890" s="33" t="str">
        <f t="shared" si="553"/>
        <v>MAIN UNIT</v>
      </c>
      <c r="Q1890" s="13" t="s">
        <v>68</v>
      </c>
      <c r="R1890" s="13" t="s">
        <v>62</v>
      </c>
      <c r="S1890" s="13" t="s">
        <v>52</v>
      </c>
      <c r="T1890" s="13" t="s">
        <v>176</v>
      </c>
      <c r="U1890" s="13" t="s">
        <v>177</v>
      </c>
      <c r="V1890" s="13" t="s">
        <v>178</v>
      </c>
      <c r="W1890" s="13" t="s">
        <v>64</v>
      </c>
      <c r="X1890" s="135">
        <v>1000000</v>
      </c>
      <c r="Y1890" s="157" t="str">
        <f>IF(W1890="RMB","1.13", "1")</f>
        <v>1.13</v>
      </c>
      <c r="Z1890" s="18">
        <f t="shared" si="562"/>
        <v>1000000</v>
      </c>
      <c r="AA1890" s="13">
        <v>1.22</v>
      </c>
      <c r="AB1890" s="21">
        <f t="shared" si="547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48"/>
        <v>26407088.359292038</v>
      </c>
      <c r="AJ1890" s="19">
        <f t="shared" si="549"/>
        <v>3424510.6998470789</v>
      </c>
      <c r="AK1890" s="20">
        <f t="shared" si="556"/>
        <v>0.12968149510667554</v>
      </c>
      <c r="AL1890" s="17"/>
      <c r="AM1890" s="17"/>
      <c r="AN1890" s="17"/>
      <c r="AO1890" s="17"/>
      <c r="AP1890" s="28" t="str">
        <f t="shared" si="557"/>
        <v>20221</v>
      </c>
      <c r="AQ1890" s="28" t="str">
        <f t="shared" si="558"/>
        <v>20221RMB</v>
      </c>
      <c r="AR1890" s="206" t="str">
        <f t="shared" si="559"/>
        <v>YAMAHA_Mounter</v>
      </c>
      <c r="AS1890" s="22">
        <f t="shared" si="560"/>
        <v>2</v>
      </c>
      <c r="AT1890" s="24" t="str">
        <f t="shared" si="561"/>
        <v>0-3 months</v>
      </c>
      <c r="AU1890" s="22" t="s">
        <v>3240</v>
      </c>
    </row>
    <row r="1891" spans="1:47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54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2194</v>
      </c>
      <c r="K1891" s="155" t="s">
        <v>2195</v>
      </c>
      <c r="L1891" s="17" t="s">
        <v>92</v>
      </c>
      <c r="M1891" s="13" t="s">
        <v>60</v>
      </c>
      <c r="N1891" s="13">
        <v>1</v>
      </c>
      <c r="O1891" s="13"/>
      <c r="P1891" s="33" t="str">
        <f t="shared" si="553"/>
        <v>MAIN UNIT</v>
      </c>
      <c r="Q1891" s="13" t="s">
        <v>61</v>
      </c>
      <c r="R1891" s="13" t="s">
        <v>62</v>
      </c>
      <c r="S1891" s="13" t="s">
        <v>52</v>
      </c>
      <c r="T1891" s="13" t="s">
        <v>176</v>
      </c>
      <c r="U1891" s="13" t="s">
        <v>177</v>
      </c>
      <c r="V1891" s="13" t="s">
        <v>178</v>
      </c>
      <c r="W1891" s="13" t="s">
        <v>64</v>
      </c>
      <c r="X1891" s="135">
        <v>1000000</v>
      </c>
      <c r="Y1891" s="157" t="str">
        <f>IF(W1891="RMB","1.13", "1")</f>
        <v>1.13</v>
      </c>
      <c r="Z1891" s="18">
        <f t="shared" si="562"/>
        <v>1000000</v>
      </c>
      <c r="AA1891" s="13">
        <v>1.175</v>
      </c>
      <c r="AB1891" s="21">
        <f t="shared" si="547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48"/>
        <v>35682787.057522126</v>
      </c>
      <c r="AJ1891" s="19">
        <f t="shared" si="549"/>
        <v>5833368.3789623892</v>
      </c>
      <c r="AK1891" s="20">
        <f t="shared" si="556"/>
        <v>0.16347849649632912</v>
      </c>
      <c r="AL1891" s="17"/>
      <c r="AM1891" s="17"/>
      <c r="AN1891" s="17"/>
      <c r="AO1891" s="17"/>
      <c r="AP1891" s="28" t="str">
        <f t="shared" si="557"/>
        <v>20226</v>
      </c>
      <c r="AQ1891" s="28" t="str">
        <f t="shared" si="558"/>
        <v>20226RMB</v>
      </c>
      <c r="AR1891" s="206" t="str">
        <f t="shared" si="559"/>
        <v>YAMAHA_Mounter</v>
      </c>
      <c r="AS1891" s="22">
        <f t="shared" si="560"/>
        <v>3</v>
      </c>
      <c r="AT1891" s="24" t="str">
        <f t="shared" si="561"/>
        <v>0-3 months</v>
      </c>
      <c r="AU1891" s="22" t="s">
        <v>3240</v>
      </c>
    </row>
    <row r="1892" spans="1:47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54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2194</v>
      </c>
      <c r="K1892" s="155" t="s">
        <v>2195</v>
      </c>
      <c r="L1892" s="17" t="s">
        <v>67</v>
      </c>
      <c r="M1892" s="13" t="s">
        <v>60</v>
      </c>
      <c r="N1892" s="13">
        <v>1</v>
      </c>
      <c r="O1892" s="13"/>
      <c r="P1892" s="33" t="str">
        <f t="shared" si="553"/>
        <v>MAIN UNIT</v>
      </c>
      <c r="Q1892" s="13" t="s">
        <v>61</v>
      </c>
      <c r="R1892" s="13" t="s">
        <v>62</v>
      </c>
      <c r="S1892" s="13" t="s">
        <v>52</v>
      </c>
      <c r="T1892" s="13" t="s">
        <v>176</v>
      </c>
      <c r="U1892" s="13" t="s">
        <v>177</v>
      </c>
      <c r="V1892" s="13" t="s">
        <v>178</v>
      </c>
      <c r="W1892" s="13" t="s">
        <v>64</v>
      </c>
      <c r="X1892" s="135">
        <v>610000</v>
      </c>
      <c r="Y1892" s="157" t="str">
        <f>IF(W1892="RMB","1.13", "1")</f>
        <v>1.13</v>
      </c>
      <c r="Z1892" s="18">
        <f t="shared" si="562"/>
        <v>610000</v>
      </c>
      <c r="AA1892" s="13">
        <v>1.175</v>
      </c>
      <c r="AB1892" s="21">
        <f t="shared" si="547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48"/>
        <v>35682787.057522126</v>
      </c>
      <c r="AJ1892" s="19">
        <f t="shared" si="549"/>
        <v>5833368.3789623892</v>
      </c>
      <c r="AK1892" s="20">
        <f t="shared" si="556"/>
        <v>0.16347849649632912</v>
      </c>
      <c r="AL1892" s="17"/>
      <c r="AM1892" s="17"/>
      <c r="AN1892" s="17"/>
      <c r="AO1892" s="17"/>
      <c r="AP1892" s="28" t="str">
        <f t="shared" si="557"/>
        <v>20226</v>
      </c>
      <c r="AQ1892" s="28" t="str">
        <f t="shared" si="558"/>
        <v>20226RMB</v>
      </c>
      <c r="AR1892" s="206" t="str">
        <f t="shared" si="559"/>
        <v>YAMAHA_Mounter</v>
      </c>
      <c r="AS1892" s="22">
        <f t="shared" si="560"/>
        <v>3</v>
      </c>
      <c r="AT1892" s="24" t="str">
        <f t="shared" si="561"/>
        <v>0-3 months</v>
      </c>
      <c r="AU1892" s="22" t="s">
        <v>3240</v>
      </c>
    </row>
    <row r="1893" spans="1:47" s="12" customFormat="1">
      <c r="A1893" s="33" t="str">
        <f t="shared" si="550"/>
        <v>cancel</v>
      </c>
      <c r="B1893" s="152"/>
      <c r="C1893" s="152" t="s">
        <v>185</v>
      </c>
      <c r="D1893" s="33" t="str">
        <f t="shared" si="551"/>
        <v/>
      </c>
      <c r="E1893" s="33" t="s">
        <v>185</v>
      </c>
      <c r="F1893" s="13" t="s">
        <v>185</v>
      </c>
      <c r="G1893" s="152" t="s">
        <v>1616</v>
      </c>
      <c r="H1893" s="155"/>
      <c r="I1893" s="33" t="str">
        <f t="shared" si="552"/>
        <v>Cancel</v>
      </c>
      <c r="J1893" s="186" t="s">
        <v>2764</v>
      </c>
      <c r="K1893" s="155" t="s">
        <v>2765</v>
      </c>
      <c r="L1893" s="17" t="s">
        <v>67</v>
      </c>
      <c r="M1893" s="13" t="s">
        <v>60</v>
      </c>
      <c r="N1893" s="13">
        <v>1</v>
      </c>
      <c r="O1893" s="13"/>
      <c r="P1893" s="33" t="str">
        <f t="shared" si="553"/>
        <v>MAIN UNIT</v>
      </c>
      <c r="Q1893" s="13" t="s">
        <v>68</v>
      </c>
      <c r="R1893" s="13" t="s">
        <v>62</v>
      </c>
      <c r="S1893" s="13" t="s">
        <v>49</v>
      </c>
      <c r="T1893" s="13" t="s">
        <v>78</v>
      </c>
      <c r="U1893" s="13" t="s">
        <v>79</v>
      </c>
      <c r="V1893" s="13" t="s">
        <v>311</v>
      </c>
      <c r="W1893" s="13" t="s">
        <v>109</v>
      </c>
      <c r="X1893" s="135">
        <v>7200000</v>
      </c>
      <c r="Y1893" s="157" t="str">
        <f>IF(W1893="RMB","1.13", "1")</f>
        <v>1</v>
      </c>
      <c r="Z1893" s="18">
        <f t="shared" si="562"/>
        <v>7200000</v>
      </c>
      <c r="AA1893" s="13">
        <v>7.2800000000000004E-2</v>
      </c>
      <c r="AB1893" s="21">
        <f t="shared" si="547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48"/>
        <v>499582152.5142017</v>
      </c>
      <c r="AJ1893" s="19">
        <f t="shared" si="549"/>
        <v>59520528.679470733</v>
      </c>
      <c r="AK1893" s="20">
        <f t="shared" si="556"/>
        <v>0.11914062257814291</v>
      </c>
      <c r="AL1893" s="17"/>
      <c r="AM1893" s="17"/>
      <c r="AN1893" s="17"/>
      <c r="AO1893" s="17"/>
      <c r="AP1893" s="28" t="str">
        <f t="shared" si="557"/>
        <v>CancelCANCEL</v>
      </c>
      <c r="AQ1893" s="28" t="str">
        <f t="shared" si="558"/>
        <v>CancelCANCELJPY</v>
      </c>
      <c r="AR1893" s="206" t="str">
        <f t="shared" si="559"/>
        <v>YAMAHA_Mounter</v>
      </c>
      <c r="AS1893" s="22" t="str">
        <f t="shared" si="560"/>
        <v/>
      </c>
      <c r="AT1893" s="24" t="str">
        <f t="shared" si="561"/>
        <v/>
      </c>
      <c r="AU1893" s="22" t="s">
        <v>3745</v>
      </c>
    </row>
    <row r="1894" spans="1:47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48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1159</v>
      </c>
      <c r="K1894" s="155" t="s">
        <v>1160</v>
      </c>
      <c r="L1894" s="17" t="s">
        <v>92</v>
      </c>
      <c r="M1894" s="13" t="s">
        <v>60</v>
      </c>
      <c r="N1894" s="13">
        <v>1</v>
      </c>
      <c r="O1894" s="13"/>
      <c r="P1894" s="33" t="str">
        <f t="shared" si="553"/>
        <v>MAIN UNIT</v>
      </c>
      <c r="Q1894" s="13" t="s">
        <v>61</v>
      </c>
      <c r="R1894" s="13" t="s">
        <v>62</v>
      </c>
      <c r="S1894" s="13" t="s">
        <v>49</v>
      </c>
      <c r="T1894" s="13" t="s">
        <v>78</v>
      </c>
      <c r="U1894" s="13" t="s">
        <v>79</v>
      </c>
      <c r="V1894" s="13" t="s">
        <v>725</v>
      </c>
      <c r="W1894" s="13" t="s">
        <v>109</v>
      </c>
      <c r="X1894" s="135">
        <v>11000000</v>
      </c>
      <c r="Y1894" s="156">
        <v>1</v>
      </c>
      <c r="Z1894" s="18">
        <f t="shared" si="562"/>
        <v>11000000</v>
      </c>
      <c r="AA1894" s="13">
        <v>7.3400000000000007E-2</v>
      </c>
      <c r="AB1894" s="21">
        <f t="shared" si="547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48"/>
        <v>35384300.169380538</v>
      </c>
      <c r="AJ1894" s="19">
        <f t="shared" si="549"/>
        <v>5044538.8896988509</v>
      </c>
      <c r="AK1894" s="20">
        <f t="shared" si="556"/>
        <v>0.14256432557804533</v>
      </c>
      <c r="AL1894" s="17"/>
      <c r="AM1894" s="17"/>
      <c r="AN1894" s="17"/>
      <c r="AO1894" s="17"/>
      <c r="AP1894" s="28" t="str">
        <f t="shared" si="557"/>
        <v>20207</v>
      </c>
      <c r="AQ1894" s="28" t="str">
        <f t="shared" si="558"/>
        <v>20207JPY</v>
      </c>
      <c r="AR1894" s="206" t="str">
        <f t="shared" si="559"/>
        <v>YAMAHA_Mounter</v>
      </c>
      <c r="AS1894" s="22">
        <f t="shared" si="560"/>
        <v>4</v>
      </c>
      <c r="AT1894" s="24" t="str">
        <f t="shared" si="561"/>
        <v>4-6 months</v>
      </c>
      <c r="AU1894" s="22" t="s">
        <v>3745</v>
      </c>
    </row>
    <row r="1895" spans="1:47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48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1159</v>
      </c>
      <c r="K1895" s="155" t="s">
        <v>1160</v>
      </c>
      <c r="L1895" s="17" t="s">
        <v>67</v>
      </c>
      <c r="M1895" s="13" t="s">
        <v>60</v>
      </c>
      <c r="N1895" s="13">
        <v>1</v>
      </c>
      <c r="O1895" s="13"/>
      <c r="P1895" s="33" t="str">
        <f t="shared" si="553"/>
        <v>MAIN UNIT</v>
      </c>
      <c r="Q1895" s="13" t="s">
        <v>68</v>
      </c>
      <c r="R1895" s="13" t="s">
        <v>62</v>
      </c>
      <c r="S1895" s="13" t="s">
        <v>49</v>
      </c>
      <c r="T1895" s="13" t="s">
        <v>78</v>
      </c>
      <c r="U1895" s="13" t="s">
        <v>79</v>
      </c>
      <c r="V1895" s="13" t="s">
        <v>725</v>
      </c>
      <c r="W1895" s="13" t="s">
        <v>109</v>
      </c>
      <c r="X1895" s="135">
        <v>9800000</v>
      </c>
      <c r="Y1895" s="156">
        <v>1</v>
      </c>
      <c r="Z1895" s="18">
        <f t="shared" si="562"/>
        <v>9800000</v>
      </c>
      <c r="AA1895" s="13">
        <v>7.4300000000000005E-2</v>
      </c>
      <c r="AB1895" s="21">
        <f t="shared" si="547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48"/>
        <v>28065694.408805311</v>
      </c>
      <c r="AJ1895" s="19">
        <f t="shared" si="549"/>
        <v>4157433.2906989697</v>
      </c>
      <c r="AK1895" s="20">
        <f t="shared" si="556"/>
        <v>0.14813220831602228</v>
      </c>
      <c r="AL1895" s="17"/>
      <c r="AM1895" s="17"/>
      <c r="AN1895" s="17"/>
      <c r="AO1895" s="17"/>
      <c r="AP1895" s="28" t="str">
        <f t="shared" si="557"/>
        <v>20205</v>
      </c>
      <c r="AQ1895" s="28" t="str">
        <f t="shared" si="558"/>
        <v>20205JPY</v>
      </c>
      <c r="AR1895" s="206" t="str">
        <f t="shared" si="559"/>
        <v>YAMAHA_Mounter</v>
      </c>
      <c r="AS1895" s="22">
        <f t="shared" si="560"/>
        <v>2</v>
      </c>
      <c r="AT1895" s="24" t="str">
        <f t="shared" si="561"/>
        <v>0-3 months</v>
      </c>
      <c r="AU1895" s="22" t="s">
        <v>3745</v>
      </c>
    </row>
    <row r="1896" spans="1:47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48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1330</v>
      </c>
      <c r="K1896" s="155" t="s">
        <v>1331</v>
      </c>
      <c r="L1896" s="17" t="s">
        <v>92</v>
      </c>
      <c r="M1896" s="13" t="s">
        <v>60</v>
      </c>
      <c r="N1896" s="13">
        <v>1</v>
      </c>
      <c r="O1896" s="13"/>
      <c r="P1896" s="33" t="str">
        <f t="shared" si="553"/>
        <v>MAIN UNIT</v>
      </c>
      <c r="Q1896" s="13" t="s">
        <v>61</v>
      </c>
      <c r="R1896" s="13" t="s">
        <v>62</v>
      </c>
      <c r="S1896" s="13" t="s">
        <v>49</v>
      </c>
      <c r="T1896" s="13" t="s">
        <v>78</v>
      </c>
      <c r="U1896" s="13" t="s">
        <v>79</v>
      </c>
      <c r="V1896" s="13" t="s">
        <v>1125</v>
      </c>
      <c r="W1896" s="13" t="s">
        <v>1105</v>
      </c>
      <c r="X1896" s="135">
        <v>11834000</v>
      </c>
      <c r="Y1896" s="156">
        <v>1</v>
      </c>
      <c r="Z1896" s="18">
        <f t="shared" si="562"/>
        <v>11834000</v>
      </c>
      <c r="AA1896" s="13">
        <v>7.4899999999999994E-2</v>
      </c>
      <c r="AB1896" s="21">
        <f t="shared" si="547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48"/>
        <v>47907808.356810622</v>
      </c>
      <c r="AJ1896" s="19">
        <f t="shared" si="549"/>
        <v>6027384.8806384448</v>
      </c>
      <c r="AK1896" s="20">
        <f t="shared" si="556"/>
        <v>0.12581216063459488</v>
      </c>
      <c r="AL1896" s="17"/>
      <c r="AM1896" s="17"/>
      <c r="AN1896" s="17"/>
      <c r="AO1896" s="17"/>
      <c r="AP1896" s="28" t="str">
        <f t="shared" si="557"/>
        <v>20209</v>
      </c>
      <c r="AQ1896" s="28" t="str">
        <f t="shared" si="558"/>
        <v>20209JPY</v>
      </c>
      <c r="AR1896" s="206" t="str">
        <f t="shared" si="559"/>
        <v>YAMAHA_Mounter</v>
      </c>
      <c r="AS1896" s="22">
        <f t="shared" si="560"/>
        <v>2</v>
      </c>
      <c r="AT1896" s="24" t="str">
        <f t="shared" si="561"/>
        <v>0-3 months</v>
      </c>
      <c r="AU1896" s="22" t="s">
        <v>3745</v>
      </c>
    </row>
    <row r="1897" spans="1:47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48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1366</v>
      </c>
      <c r="K1897" s="155" t="s">
        <v>1331</v>
      </c>
      <c r="L1897" s="17" t="s">
        <v>67</v>
      </c>
      <c r="M1897" s="13" t="s">
        <v>60</v>
      </c>
      <c r="N1897" s="13">
        <v>1</v>
      </c>
      <c r="O1897" s="13"/>
      <c r="P1897" s="33" t="str">
        <f t="shared" si="553"/>
        <v>MAIN UNIT</v>
      </c>
      <c r="Q1897" s="13" t="s">
        <v>61</v>
      </c>
      <c r="R1897" s="13" t="s">
        <v>62</v>
      </c>
      <c r="S1897" s="13" t="s">
        <v>49</v>
      </c>
      <c r="T1897" s="13" t="s">
        <v>78</v>
      </c>
      <c r="U1897" s="13" t="s">
        <v>79</v>
      </c>
      <c r="V1897" s="13" t="s">
        <v>1125</v>
      </c>
      <c r="W1897" s="13" t="s">
        <v>1105</v>
      </c>
      <c r="X1897" s="135">
        <v>7942000</v>
      </c>
      <c r="Y1897" s="156">
        <v>1</v>
      </c>
      <c r="Z1897" s="18">
        <f t="shared" si="562"/>
        <v>7942000</v>
      </c>
      <c r="AA1897" s="13">
        <v>7.4899999999999994E-2</v>
      </c>
      <c r="AB1897" s="21">
        <f t="shared" si="547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48"/>
        <v>47907808.356810622</v>
      </c>
      <c r="AJ1897" s="19">
        <f t="shared" si="549"/>
        <v>6027384.8806384448</v>
      </c>
      <c r="AK1897" s="20">
        <f t="shared" si="556"/>
        <v>0.12581216063459488</v>
      </c>
      <c r="AL1897" s="17"/>
      <c r="AM1897" s="17"/>
      <c r="AN1897" s="17"/>
      <c r="AO1897" s="17"/>
      <c r="AP1897" s="28" t="str">
        <f t="shared" si="557"/>
        <v>20209</v>
      </c>
      <c r="AQ1897" s="28" t="str">
        <f t="shared" si="558"/>
        <v>20209JPY</v>
      </c>
      <c r="AR1897" s="206" t="str">
        <f t="shared" si="559"/>
        <v>YAMAHA_Mounter</v>
      </c>
      <c r="AS1897" s="22">
        <f t="shared" si="560"/>
        <v>2</v>
      </c>
      <c r="AT1897" s="24" t="str">
        <f t="shared" si="561"/>
        <v>0-3 months</v>
      </c>
      <c r="AU1897" s="22" t="s">
        <v>3745</v>
      </c>
    </row>
    <row r="1898" spans="1:47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48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1531</v>
      </c>
      <c r="K1898" s="155" t="s">
        <v>1532</v>
      </c>
      <c r="L1898" s="17" t="s">
        <v>67</v>
      </c>
      <c r="M1898" s="13" t="s">
        <v>60</v>
      </c>
      <c r="N1898" s="13">
        <v>1</v>
      </c>
      <c r="O1898" s="13"/>
      <c r="P1898" s="33" t="str">
        <f t="shared" si="553"/>
        <v>MAIN UNIT</v>
      </c>
      <c r="Q1898" s="13" t="s">
        <v>61</v>
      </c>
      <c r="R1898" s="13" t="s">
        <v>62</v>
      </c>
      <c r="S1898" s="13" t="s">
        <v>49</v>
      </c>
      <c r="T1898" s="13" t="s">
        <v>78</v>
      </c>
      <c r="U1898" s="13" t="s">
        <v>79</v>
      </c>
      <c r="V1898" s="13" t="s">
        <v>311</v>
      </c>
      <c r="W1898" s="13" t="s">
        <v>109</v>
      </c>
      <c r="X1898" s="135">
        <v>7186000</v>
      </c>
      <c r="Y1898" s="157" t="str">
        <f>IF(W1898="RMB","1.13", "1")</f>
        <v>1</v>
      </c>
      <c r="Z1898" s="18">
        <f t="shared" si="562"/>
        <v>7186000</v>
      </c>
      <c r="AA1898" s="13">
        <v>7.6799999999999993E-2</v>
      </c>
      <c r="AB1898" s="21">
        <f t="shared" si="547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48"/>
        <v>45803245.025628321</v>
      </c>
      <c r="AJ1898" s="19">
        <f t="shared" si="549"/>
        <v>5664636.2584379362</v>
      </c>
      <c r="AK1898" s="20">
        <f t="shared" si="556"/>
        <v>0.12367325186825515</v>
      </c>
      <c r="AL1898" s="17"/>
      <c r="AM1898" s="17"/>
      <c r="AN1898" s="17"/>
      <c r="AO1898" s="17"/>
      <c r="AP1898" s="28" t="str">
        <f t="shared" si="557"/>
        <v>20211</v>
      </c>
      <c r="AQ1898" s="28" t="str">
        <f t="shared" si="558"/>
        <v>20211JPY</v>
      </c>
      <c r="AR1898" s="206" t="str">
        <f t="shared" si="559"/>
        <v>YAMAHA_Mounter</v>
      </c>
      <c r="AS1898" s="22">
        <f t="shared" si="560"/>
        <v>2</v>
      </c>
      <c r="AT1898" s="24" t="str">
        <f t="shared" si="561"/>
        <v>0-3 months</v>
      </c>
      <c r="AU1898" s="22" t="s">
        <v>3745</v>
      </c>
    </row>
    <row r="1899" spans="1:47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185</v>
      </c>
      <c r="F1899" s="13" t="s">
        <v>185</v>
      </c>
      <c r="G1899" s="152" t="s">
        <v>185</v>
      </c>
      <c r="H1899" s="155"/>
      <c r="I1899" s="33" t="str">
        <f t="shared" si="552"/>
        <v>Cancel</v>
      </c>
      <c r="J1899" s="186" t="s">
        <v>1636</v>
      </c>
      <c r="K1899" s="155" t="s">
        <v>1532</v>
      </c>
      <c r="L1899" s="17" t="s">
        <v>67</v>
      </c>
      <c r="M1899" s="13" t="s">
        <v>60</v>
      </c>
      <c r="N1899" s="13">
        <v>1</v>
      </c>
      <c r="O1899" s="13"/>
      <c r="P1899" s="33" t="str">
        <f t="shared" si="553"/>
        <v>MAIN UNIT</v>
      </c>
      <c r="Q1899" s="13" t="s">
        <v>61</v>
      </c>
      <c r="R1899" s="13" t="s">
        <v>62</v>
      </c>
      <c r="S1899" s="13" t="s">
        <v>49</v>
      </c>
      <c r="T1899" s="13" t="s">
        <v>78</v>
      </c>
      <c r="U1899" s="13" t="s">
        <v>79</v>
      </c>
      <c r="V1899" s="13" t="s">
        <v>311</v>
      </c>
      <c r="W1899" s="13" t="s">
        <v>109</v>
      </c>
      <c r="X1899" s="135">
        <v>7340000</v>
      </c>
      <c r="Y1899" s="157" t="str">
        <f>IF(W1899="RMB","1.13", "1")</f>
        <v>1</v>
      </c>
      <c r="Z1899" s="18">
        <f t="shared" si="562"/>
        <v>7340000</v>
      </c>
      <c r="AA1899" s="13">
        <v>7.2400000000000006E-2</v>
      </c>
      <c r="AB1899" s="21">
        <f t="shared" si="547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48"/>
        <v>499582152.5142017</v>
      </c>
      <c r="AJ1899" s="19">
        <f t="shared" si="549"/>
        <v>59520528.679470733</v>
      </c>
      <c r="AK1899" s="20">
        <f t="shared" si="556"/>
        <v>0.11914062257814291</v>
      </c>
      <c r="AL1899" s="17"/>
      <c r="AM1899" s="17"/>
      <c r="AN1899" s="17"/>
      <c r="AO1899" s="17"/>
      <c r="AP1899" s="28" t="str">
        <f t="shared" si="557"/>
        <v>CancelCancel</v>
      </c>
      <c r="AQ1899" s="28" t="str">
        <f t="shared" si="558"/>
        <v>CancelCancelJPY</v>
      </c>
      <c r="AR1899" s="206" t="str">
        <f t="shared" si="559"/>
        <v>YAMAHA_Mounter</v>
      </c>
      <c r="AS1899" s="22" t="str">
        <f t="shared" si="560"/>
        <v/>
      </c>
      <c r="AT1899" s="24" t="str">
        <f t="shared" si="561"/>
        <v/>
      </c>
      <c r="AU1899" s="22" t="s">
        <v>3745</v>
      </c>
    </row>
    <row r="1900" spans="1:47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54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2188</v>
      </c>
      <c r="K1900" s="155" t="s">
        <v>1532</v>
      </c>
      <c r="L1900" s="17" t="s">
        <v>92</v>
      </c>
      <c r="M1900" s="13" t="s">
        <v>60</v>
      </c>
      <c r="N1900" s="13">
        <v>1</v>
      </c>
      <c r="O1900" s="13"/>
      <c r="P1900" s="33" t="str">
        <f t="shared" si="553"/>
        <v>MAIN UNIT</v>
      </c>
      <c r="Q1900" s="13" t="s">
        <v>61</v>
      </c>
      <c r="R1900" s="13" t="s">
        <v>62</v>
      </c>
      <c r="S1900" s="13" t="s">
        <v>49</v>
      </c>
      <c r="T1900" s="13" t="s">
        <v>78</v>
      </c>
      <c r="U1900" s="13" t="s">
        <v>79</v>
      </c>
      <c r="V1900" s="13" t="s">
        <v>311</v>
      </c>
      <c r="W1900" s="13" t="s">
        <v>109</v>
      </c>
      <c r="X1900" s="135">
        <v>14190000</v>
      </c>
      <c r="Y1900" s="157" t="str">
        <f>IF(W1900="RMB","1.13", "1")</f>
        <v>1</v>
      </c>
      <c r="Z1900" s="18">
        <f t="shared" si="562"/>
        <v>14190000</v>
      </c>
      <c r="AA1900" s="13">
        <v>6.25E-2</v>
      </c>
      <c r="AB1900" s="21">
        <f t="shared" si="547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48"/>
        <v>35682787.057522126</v>
      </c>
      <c r="AJ1900" s="19">
        <f t="shared" si="549"/>
        <v>5833368.3789623892</v>
      </c>
      <c r="AK1900" s="20">
        <f t="shared" si="556"/>
        <v>0.16347849649632912</v>
      </c>
      <c r="AL1900" s="17"/>
      <c r="AM1900" s="17"/>
      <c r="AN1900" s="17"/>
      <c r="AO1900" s="17"/>
      <c r="AP1900" s="28" t="str">
        <f t="shared" si="557"/>
        <v>20226</v>
      </c>
      <c r="AQ1900" s="28" t="str">
        <f t="shared" si="558"/>
        <v>20226JPY</v>
      </c>
      <c r="AR1900" s="206" t="str">
        <f t="shared" si="559"/>
        <v>YAMAHA_Mounter</v>
      </c>
      <c r="AS1900" s="22">
        <f t="shared" si="560"/>
        <v>4</v>
      </c>
      <c r="AT1900" s="24" t="str">
        <f t="shared" si="561"/>
        <v>4-6 months</v>
      </c>
      <c r="AU1900" s="22" t="s">
        <v>3745</v>
      </c>
    </row>
    <row r="1901" spans="1:47" s="12" customFormat="1">
      <c r="A1901" s="33" t="str">
        <f t="shared" si="550"/>
        <v>cancel</v>
      </c>
      <c r="B1901" s="152"/>
      <c r="C1901" s="152" t="s">
        <v>185</v>
      </c>
      <c r="D1901" s="33" t="str">
        <f t="shared" si="551"/>
        <v/>
      </c>
      <c r="E1901" s="33" t="s">
        <v>185</v>
      </c>
      <c r="F1901" s="13" t="s">
        <v>185</v>
      </c>
      <c r="G1901" s="152" t="s">
        <v>185</v>
      </c>
      <c r="H1901" s="155"/>
      <c r="I1901" s="33" t="str">
        <f t="shared" si="552"/>
        <v>Cancel</v>
      </c>
      <c r="J1901" s="186" t="s">
        <v>2680</v>
      </c>
      <c r="K1901" s="155" t="s">
        <v>1532</v>
      </c>
      <c r="L1901" s="17" t="s">
        <v>92</v>
      </c>
      <c r="M1901" s="13" t="s">
        <v>60</v>
      </c>
      <c r="N1901" s="13">
        <v>1</v>
      </c>
      <c r="O1901" s="13"/>
      <c r="P1901" s="33" t="str">
        <f t="shared" si="553"/>
        <v>MAIN UNIT</v>
      </c>
      <c r="Q1901" s="13" t="s">
        <v>68</v>
      </c>
      <c r="R1901" s="13" t="s">
        <v>62</v>
      </c>
      <c r="S1901" s="13" t="s">
        <v>49</v>
      </c>
      <c r="T1901" s="13" t="s">
        <v>78</v>
      </c>
      <c r="U1901" s="13" t="s">
        <v>79</v>
      </c>
      <c r="V1901" s="13" t="s">
        <v>725</v>
      </c>
      <c r="W1901" s="13" t="s">
        <v>109</v>
      </c>
      <c r="X1901" s="135">
        <v>12274000</v>
      </c>
      <c r="Y1901" s="156">
        <v>1</v>
      </c>
      <c r="Z1901" s="18">
        <f t="shared" si="562"/>
        <v>12274000</v>
      </c>
      <c r="AA1901" s="13">
        <v>7.2999999999999995E-2</v>
      </c>
      <c r="AB1901" s="21">
        <f t="shared" si="547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48"/>
        <v>499582152.5142017</v>
      </c>
      <c r="AJ1901" s="19">
        <f t="shared" si="549"/>
        <v>59520528.679470733</v>
      </c>
      <c r="AK1901" s="20">
        <f t="shared" si="556"/>
        <v>0.11914062257814291</v>
      </c>
      <c r="AL1901" s="17"/>
      <c r="AM1901" s="17"/>
      <c r="AN1901" s="17"/>
      <c r="AO1901" s="17"/>
      <c r="AP1901" s="28" t="str">
        <f t="shared" si="557"/>
        <v>CancelCancel</v>
      </c>
      <c r="AQ1901" s="28" t="str">
        <f t="shared" si="558"/>
        <v>CancelCancelJPY</v>
      </c>
      <c r="AR1901" s="206" t="str">
        <f t="shared" si="559"/>
        <v>YAMAHA_Mounter</v>
      </c>
      <c r="AS1901" s="22" t="str">
        <f t="shared" si="560"/>
        <v/>
      </c>
      <c r="AT1901" s="24" t="str">
        <f t="shared" si="561"/>
        <v/>
      </c>
      <c r="AU1901" s="22" t="s">
        <v>3745</v>
      </c>
    </row>
    <row r="1902" spans="1:47" s="12" customFormat="1">
      <c r="A1902" s="33" t="str">
        <f t="shared" si="550"/>
        <v>cancel</v>
      </c>
      <c r="B1902" s="152"/>
      <c r="C1902" s="152" t="s">
        <v>185</v>
      </c>
      <c r="D1902" s="33" t="str">
        <f t="shared" si="551"/>
        <v/>
      </c>
      <c r="E1902" s="33" t="s">
        <v>185</v>
      </c>
      <c r="F1902" s="13" t="s">
        <v>185</v>
      </c>
      <c r="G1902" s="152" t="s">
        <v>185</v>
      </c>
      <c r="H1902" s="155"/>
      <c r="I1902" s="33" t="str">
        <f t="shared" si="552"/>
        <v>Cancel</v>
      </c>
      <c r="J1902" s="186" t="s">
        <v>2714</v>
      </c>
      <c r="K1902" s="155" t="s">
        <v>1532</v>
      </c>
      <c r="L1902" s="17" t="s">
        <v>92</v>
      </c>
      <c r="M1902" s="13" t="s">
        <v>60</v>
      </c>
      <c r="N1902" s="13">
        <v>1</v>
      </c>
      <c r="O1902" s="13"/>
      <c r="P1902" s="33" t="str">
        <f t="shared" si="553"/>
        <v>MAIN UNIT</v>
      </c>
      <c r="Q1902" s="13" t="s">
        <v>61</v>
      </c>
      <c r="R1902" s="13" t="s">
        <v>62</v>
      </c>
      <c r="S1902" s="13" t="s">
        <v>49</v>
      </c>
      <c r="T1902" s="13" t="s">
        <v>78</v>
      </c>
      <c r="U1902" s="13" t="s">
        <v>79</v>
      </c>
      <c r="V1902" s="13" t="s">
        <v>311</v>
      </c>
      <c r="W1902" s="13" t="s">
        <v>109</v>
      </c>
      <c r="X1902" s="135">
        <v>14356000</v>
      </c>
      <c r="Y1902" s="156">
        <v>1</v>
      </c>
      <c r="Z1902" s="18">
        <f t="shared" si="562"/>
        <v>14356000</v>
      </c>
      <c r="AA1902" s="13">
        <v>7.3400000000000007E-2</v>
      </c>
      <c r="AB1902" s="21">
        <f t="shared" si="547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48"/>
        <v>499582152.5142017</v>
      </c>
      <c r="AJ1902" s="19">
        <f t="shared" si="549"/>
        <v>59520528.679470733</v>
      </c>
      <c r="AK1902" s="20">
        <f t="shared" si="556"/>
        <v>0.11914062257814291</v>
      </c>
      <c r="AL1902" s="17"/>
      <c r="AM1902" s="17"/>
      <c r="AN1902" s="17"/>
      <c r="AO1902" s="17"/>
      <c r="AP1902" s="28" t="str">
        <f t="shared" si="557"/>
        <v>CancelCancel</v>
      </c>
      <c r="AQ1902" s="28" t="str">
        <f t="shared" si="558"/>
        <v>CancelCancelJPY</v>
      </c>
      <c r="AR1902" s="206" t="str">
        <f t="shared" si="559"/>
        <v>YAMAHA_Mounter</v>
      </c>
      <c r="AS1902" s="22" t="str">
        <f t="shared" si="560"/>
        <v/>
      </c>
      <c r="AT1902" s="24" t="str">
        <f t="shared" si="561"/>
        <v/>
      </c>
      <c r="AU1902" s="22" t="s">
        <v>3745</v>
      </c>
    </row>
    <row r="1903" spans="1:47" s="12" customFormat="1">
      <c r="A1903" s="33" t="str">
        <f t="shared" si="550"/>
        <v>cancel</v>
      </c>
      <c r="B1903" s="152"/>
      <c r="C1903" s="152" t="s">
        <v>185</v>
      </c>
      <c r="D1903" s="33" t="str">
        <f t="shared" si="551"/>
        <v/>
      </c>
      <c r="E1903" s="33" t="s">
        <v>185</v>
      </c>
      <c r="F1903" s="13" t="s">
        <v>185</v>
      </c>
      <c r="G1903" s="152" t="s">
        <v>185</v>
      </c>
      <c r="H1903" s="155"/>
      <c r="I1903" s="33" t="str">
        <f t="shared" si="552"/>
        <v>Cancel</v>
      </c>
      <c r="J1903" s="186" t="s">
        <v>2719</v>
      </c>
      <c r="K1903" s="155" t="s">
        <v>1331</v>
      </c>
      <c r="L1903" s="17" t="s">
        <v>67</v>
      </c>
      <c r="M1903" s="13" t="s">
        <v>60</v>
      </c>
      <c r="N1903" s="13">
        <v>1</v>
      </c>
      <c r="O1903" s="13"/>
      <c r="P1903" s="33" t="str">
        <f t="shared" si="553"/>
        <v>MAIN UNIT</v>
      </c>
      <c r="Q1903" s="13" t="s">
        <v>61</v>
      </c>
      <c r="R1903" s="13" t="s">
        <v>62</v>
      </c>
      <c r="S1903" s="13" t="s">
        <v>49</v>
      </c>
      <c r="T1903" s="13" t="s">
        <v>78</v>
      </c>
      <c r="U1903" s="13" t="s">
        <v>79</v>
      </c>
      <c r="V1903" s="13" t="s">
        <v>1125</v>
      </c>
      <c r="W1903" s="13" t="s">
        <v>1105</v>
      </c>
      <c r="X1903" s="135">
        <v>8758000</v>
      </c>
      <c r="Y1903" s="156">
        <v>1</v>
      </c>
      <c r="Z1903" s="18">
        <f t="shared" si="562"/>
        <v>8758000</v>
      </c>
      <c r="AA1903" s="13">
        <v>7.5700000000000003E-2</v>
      </c>
      <c r="AB1903" s="21">
        <f t="shared" si="547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48"/>
        <v>499582152.5142017</v>
      </c>
      <c r="AJ1903" s="19">
        <f t="shared" si="549"/>
        <v>59520528.679470733</v>
      </c>
      <c r="AK1903" s="20">
        <f t="shared" si="556"/>
        <v>0.11914062257814291</v>
      </c>
      <c r="AL1903" s="17"/>
      <c r="AM1903" s="17"/>
      <c r="AN1903" s="17"/>
      <c r="AO1903" s="17"/>
      <c r="AP1903" s="28" t="str">
        <f t="shared" si="557"/>
        <v>CancelCancel</v>
      </c>
      <c r="AQ1903" s="28" t="str">
        <f t="shared" si="558"/>
        <v>CancelCancelJPY</v>
      </c>
      <c r="AR1903" s="206" t="str">
        <f t="shared" si="559"/>
        <v>YAMAHA_Mounter</v>
      </c>
      <c r="AS1903" s="22" t="str">
        <f t="shared" si="560"/>
        <v/>
      </c>
      <c r="AT1903" s="24" t="str">
        <f t="shared" si="561"/>
        <v/>
      </c>
      <c r="AU1903" s="22" t="s">
        <v>3745</v>
      </c>
    </row>
    <row r="1904" spans="1:47" s="12" customFormat="1">
      <c r="A1904" s="33" t="str">
        <f t="shared" si="550"/>
        <v>cancel</v>
      </c>
      <c r="B1904" s="152"/>
      <c r="C1904" s="152" t="s">
        <v>185</v>
      </c>
      <c r="D1904" s="33" t="str">
        <f t="shared" si="551"/>
        <v/>
      </c>
      <c r="E1904" s="33" t="s">
        <v>185</v>
      </c>
      <c r="F1904" s="13" t="s">
        <v>185</v>
      </c>
      <c r="G1904" s="152" t="s">
        <v>185</v>
      </c>
      <c r="H1904" s="155"/>
      <c r="I1904" s="33" t="str">
        <f t="shared" si="552"/>
        <v>Cancel</v>
      </c>
      <c r="J1904" s="186" t="s">
        <v>2746</v>
      </c>
      <c r="K1904" s="155" t="s">
        <v>1532</v>
      </c>
      <c r="L1904" s="17" t="s">
        <v>67</v>
      </c>
      <c r="M1904" s="13" t="s">
        <v>60</v>
      </c>
      <c r="N1904" s="13">
        <v>1</v>
      </c>
      <c r="O1904" s="13"/>
      <c r="P1904" s="33" t="str">
        <f t="shared" si="553"/>
        <v>MAIN UNIT</v>
      </c>
      <c r="Q1904" s="13" t="s">
        <v>61</v>
      </c>
      <c r="R1904" s="13" t="s">
        <v>62</v>
      </c>
      <c r="S1904" s="13" t="s">
        <v>49</v>
      </c>
      <c r="T1904" s="13" t="s">
        <v>78</v>
      </c>
      <c r="U1904" s="13" t="s">
        <v>79</v>
      </c>
      <c r="V1904" s="13" t="s">
        <v>311</v>
      </c>
      <c r="W1904" s="13" t="s">
        <v>109</v>
      </c>
      <c r="X1904" s="135">
        <v>7932000</v>
      </c>
      <c r="Y1904" s="157" t="str">
        <f>IF(W1904="RMB","1.13", "1")</f>
        <v>1</v>
      </c>
      <c r="Z1904" s="18">
        <f t="shared" si="562"/>
        <v>7932000</v>
      </c>
      <c r="AA1904" s="13">
        <v>7.4899999999999994E-2</v>
      </c>
      <c r="AB1904" s="21">
        <f t="shared" si="547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48"/>
        <v>499582152.5142017</v>
      </c>
      <c r="AJ1904" s="19">
        <f t="shared" si="549"/>
        <v>59520528.679470733</v>
      </c>
      <c r="AK1904" s="20">
        <f t="shared" si="556"/>
        <v>0.11914062257814291</v>
      </c>
      <c r="AL1904" s="17"/>
      <c r="AM1904" s="17"/>
      <c r="AN1904" s="17"/>
      <c r="AO1904" s="17"/>
      <c r="AP1904" s="28" t="str">
        <f t="shared" si="557"/>
        <v>CancelCancel</v>
      </c>
      <c r="AQ1904" s="28" t="str">
        <f t="shared" si="558"/>
        <v>CancelCancelJPY</v>
      </c>
      <c r="AR1904" s="206" t="str">
        <f t="shared" si="559"/>
        <v>YAMAHA_Mounter</v>
      </c>
      <c r="AS1904" s="22" t="str">
        <f t="shared" si="560"/>
        <v/>
      </c>
      <c r="AT1904" s="24" t="str">
        <f t="shared" si="561"/>
        <v/>
      </c>
      <c r="AU1904" s="22" t="s">
        <v>3745</v>
      </c>
    </row>
    <row r="1905" spans="1:47" s="12" customFormat="1">
      <c r="A1905" s="33" t="str">
        <f t="shared" si="550"/>
        <v>cancel</v>
      </c>
      <c r="B1905" s="152"/>
      <c r="C1905" s="152" t="s">
        <v>185</v>
      </c>
      <c r="D1905" s="33" t="str">
        <f t="shared" si="551"/>
        <v/>
      </c>
      <c r="E1905" s="33" t="s">
        <v>185</v>
      </c>
      <c r="F1905" s="13" t="s">
        <v>185</v>
      </c>
      <c r="G1905" s="152" t="s">
        <v>185</v>
      </c>
      <c r="H1905" s="155"/>
      <c r="I1905" s="33" t="str">
        <f t="shared" si="552"/>
        <v>Cancel</v>
      </c>
      <c r="J1905" s="186" t="s">
        <v>2747</v>
      </c>
      <c r="K1905" s="155" t="s">
        <v>1532</v>
      </c>
      <c r="L1905" s="17" t="s">
        <v>92</v>
      </c>
      <c r="M1905" s="13" t="s">
        <v>60</v>
      </c>
      <c r="N1905" s="13">
        <v>1</v>
      </c>
      <c r="O1905" s="13"/>
      <c r="P1905" s="33" t="str">
        <f t="shared" si="553"/>
        <v>MAIN UNIT</v>
      </c>
      <c r="Q1905" s="13" t="s">
        <v>61</v>
      </c>
      <c r="R1905" s="13" t="s">
        <v>62</v>
      </c>
      <c r="S1905" s="13" t="s">
        <v>49</v>
      </c>
      <c r="T1905" s="13" t="s">
        <v>78</v>
      </c>
      <c r="U1905" s="13" t="s">
        <v>79</v>
      </c>
      <c r="V1905" s="13" t="s">
        <v>311</v>
      </c>
      <c r="W1905" s="13" t="s">
        <v>109</v>
      </c>
      <c r="X1905" s="135">
        <v>12306000</v>
      </c>
      <c r="Y1905" s="157" t="str">
        <f>IF(W1905="RMB","1.13", "1")</f>
        <v>1</v>
      </c>
      <c r="Z1905" s="18">
        <f t="shared" si="562"/>
        <v>12306000</v>
      </c>
      <c r="AA1905" s="13">
        <v>7.4899999999999994E-2</v>
      </c>
      <c r="AB1905" s="21">
        <f t="shared" si="547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48"/>
        <v>499582152.5142017</v>
      </c>
      <c r="AJ1905" s="19">
        <f t="shared" si="549"/>
        <v>59520528.679470733</v>
      </c>
      <c r="AK1905" s="20">
        <f t="shared" si="556"/>
        <v>0.11914062257814291</v>
      </c>
      <c r="AL1905" s="17"/>
      <c r="AM1905" s="17"/>
      <c r="AN1905" s="17"/>
      <c r="AO1905" s="17"/>
      <c r="AP1905" s="28" t="str">
        <f t="shared" si="557"/>
        <v>CancelCancel</v>
      </c>
      <c r="AQ1905" s="28" t="str">
        <f t="shared" si="558"/>
        <v>CancelCancelJPY</v>
      </c>
      <c r="AR1905" s="206" t="str">
        <f t="shared" si="559"/>
        <v>YAMAHA_Mounter</v>
      </c>
      <c r="AS1905" s="22" t="str">
        <f t="shared" si="560"/>
        <v/>
      </c>
      <c r="AT1905" s="24" t="str">
        <f t="shared" si="561"/>
        <v/>
      </c>
      <c r="AU1905" s="22" t="s">
        <v>3745</v>
      </c>
    </row>
    <row r="1906" spans="1:47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41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519</v>
      </c>
      <c r="K1906" s="155" t="s">
        <v>520</v>
      </c>
      <c r="L1906" s="17" t="s">
        <v>67</v>
      </c>
      <c r="M1906" s="13" t="s">
        <v>60</v>
      </c>
      <c r="N1906" s="13">
        <v>1</v>
      </c>
      <c r="O1906" s="13"/>
      <c r="P1906" s="33" t="str">
        <f t="shared" si="553"/>
        <v>MAIN UNIT</v>
      </c>
      <c r="Q1906" s="13" t="s">
        <v>68</v>
      </c>
      <c r="R1906" s="13" t="s">
        <v>62</v>
      </c>
      <c r="S1906" s="13" t="s">
        <v>52</v>
      </c>
      <c r="T1906" s="13" t="s">
        <v>141</v>
      </c>
      <c r="U1906" s="13" t="s">
        <v>142</v>
      </c>
      <c r="V1906" s="13" t="s">
        <v>143</v>
      </c>
      <c r="W1906" s="13" t="s">
        <v>64</v>
      </c>
      <c r="X1906" s="135">
        <v>708000</v>
      </c>
      <c r="Y1906" s="156">
        <v>1.1599999999999999</v>
      </c>
      <c r="Z1906" s="18">
        <f t="shared" si="562"/>
        <v>708000</v>
      </c>
      <c r="AA1906" s="13">
        <v>1.1399999999999999</v>
      </c>
      <c r="AB1906" s="21">
        <f t="shared" si="547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48"/>
        <v>29840797.698275864</v>
      </c>
      <c r="AJ1906" s="19">
        <f t="shared" si="549"/>
        <v>3940167.6555448272</v>
      </c>
      <c r="AK1906" s="20">
        <f t="shared" si="556"/>
        <v>0.13203962224416277</v>
      </c>
      <c r="AL1906" s="17"/>
      <c r="AM1906" s="17"/>
      <c r="AN1906" s="17"/>
      <c r="AO1906" s="17" t="s">
        <v>61</v>
      </c>
      <c r="AP1906" s="28" t="str">
        <f t="shared" si="557"/>
        <v>201812</v>
      </c>
      <c r="AQ1906" s="28" t="str">
        <f t="shared" si="558"/>
        <v>201812RMB</v>
      </c>
      <c r="AR1906" s="206" t="str">
        <f t="shared" si="559"/>
        <v>YAMAHA_Mounter</v>
      </c>
      <c r="AS1906" s="22">
        <f t="shared" si="560"/>
        <v>3</v>
      </c>
      <c r="AT1906" s="24" t="str">
        <f t="shared" si="561"/>
        <v>0-3 months</v>
      </c>
      <c r="AU1906" s="22" t="s">
        <v>3240</v>
      </c>
    </row>
    <row r="1907" spans="1:47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55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2340</v>
      </c>
      <c r="K1907" s="155" t="s">
        <v>2341</v>
      </c>
      <c r="L1907" s="17" t="s">
        <v>92</v>
      </c>
      <c r="M1907" s="13" t="s">
        <v>60</v>
      </c>
      <c r="N1907" s="13">
        <v>1</v>
      </c>
      <c r="O1907" s="13"/>
      <c r="P1907" s="33" t="str">
        <f t="shared" si="553"/>
        <v>MAIN UNIT</v>
      </c>
      <c r="Q1907" s="13" t="s">
        <v>68</v>
      </c>
      <c r="R1907" s="13" t="s">
        <v>62</v>
      </c>
      <c r="S1907" s="13" t="s">
        <v>52</v>
      </c>
      <c r="T1907" s="13" t="s">
        <v>141</v>
      </c>
      <c r="U1907" s="13" t="s">
        <v>1077</v>
      </c>
      <c r="V1907" s="13" t="s">
        <v>143</v>
      </c>
      <c r="W1907" s="13" t="s">
        <v>64</v>
      </c>
      <c r="X1907" s="135">
        <v>1020000</v>
      </c>
      <c r="Y1907" s="157" t="str">
        <f>IF(W1907="RMB","1.13", "1")</f>
        <v>1.13</v>
      </c>
      <c r="Z1907" s="18">
        <f t="shared" si="562"/>
        <v>1020000</v>
      </c>
      <c r="AA1907" s="13">
        <v>1.077</v>
      </c>
      <c r="AB1907" s="21">
        <f t="shared" si="547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48"/>
        <v>26078226.463097349</v>
      </c>
      <c r="AJ1907" s="19">
        <f t="shared" si="549"/>
        <v>3137870.4427774516</v>
      </c>
      <c r="AK1907" s="20">
        <f t="shared" si="556"/>
        <v>0.12032530077218917</v>
      </c>
      <c r="AL1907" s="17"/>
      <c r="AM1907" s="17"/>
      <c r="AN1907" s="17"/>
      <c r="AO1907" s="17"/>
      <c r="AP1907" s="28" t="str">
        <f t="shared" si="557"/>
        <v>20239</v>
      </c>
      <c r="AQ1907" s="28" t="str">
        <f t="shared" si="558"/>
        <v>20239RMB</v>
      </c>
      <c r="AR1907" s="206" t="str">
        <f t="shared" si="559"/>
        <v>YAMAHA_Mounter</v>
      </c>
      <c r="AS1907" s="22">
        <f t="shared" si="560"/>
        <v>11</v>
      </c>
      <c r="AT1907" s="24" t="str">
        <f t="shared" si="561"/>
        <v>&gt; 6 months</v>
      </c>
      <c r="AU1907" s="22" t="s">
        <v>3240</v>
      </c>
    </row>
    <row r="1908" spans="1:47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55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3041</v>
      </c>
      <c r="K1908" s="155" t="s">
        <v>2341</v>
      </c>
      <c r="L1908" s="17" t="s">
        <v>2620</v>
      </c>
      <c r="M1908" s="13" t="s">
        <v>60</v>
      </c>
      <c r="N1908" s="13">
        <v>1</v>
      </c>
      <c r="O1908" s="13"/>
      <c r="P1908" s="33" t="str">
        <f t="shared" si="553"/>
        <v>MAIN UNIT</v>
      </c>
      <c r="Q1908" s="13" t="s">
        <v>61</v>
      </c>
      <c r="R1908" s="13" t="s">
        <v>2055</v>
      </c>
      <c r="S1908" s="13" t="s">
        <v>52</v>
      </c>
      <c r="T1908" s="13" t="s">
        <v>141</v>
      </c>
      <c r="U1908" s="13" t="s">
        <v>1077</v>
      </c>
      <c r="V1908" s="13" t="s">
        <v>143</v>
      </c>
      <c r="W1908" s="13" t="s">
        <v>64</v>
      </c>
      <c r="X1908" s="135">
        <v>450000</v>
      </c>
      <c r="Y1908" s="157" t="str">
        <f>IF(W1908="","",IF(W1908="RMB","1.13", "1"))</f>
        <v>1.13</v>
      </c>
      <c r="Z1908" s="18">
        <f t="shared" si="562"/>
        <v>450000</v>
      </c>
      <c r="AA1908" s="13">
        <v>1.077</v>
      </c>
      <c r="AB1908" s="21">
        <f t="shared" si="547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48"/>
        <v>26078226.463097349</v>
      </c>
      <c r="AJ1908" s="19">
        <f t="shared" si="549"/>
        <v>3137870.4427774516</v>
      </c>
      <c r="AK1908" s="20">
        <f t="shared" si="556"/>
        <v>0.12032530077218917</v>
      </c>
      <c r="AL1908" s="17"/>
      <c r="AM1908" s="17"/>
      <c r="AN1908" s="17"/>
      <c r="AO1908" s="17"/>
      <c r="AP1908" s="28" t="str">
        <f t="shared" si="557"/>
        <v>20239</v>
      </c>
      <c r="AQ1908" s="28" t="str">
        <f t="shared" si="558"/>
        <v>20239RMB</v>
      </c>
      <c r="AR1908" s="206" t="str">
        <f t="shared" si="559"/>
        <v>YAMAHA_Non_Mounter</v>
      </c>
      <c r="AS1908" s="22">
        <f t="shared" si="560"/>
        <v>11</v>
      </c>
      <c r="AT1908" s="24" t="str">
        <f t="shared" si="561"/>
        <v>&gt; 6 months</v>
      </c>
      <c r="AU1908" s="22" t="s">
        <v>3240</v>
      </c>
    </row>
    <row r="1909" spans="1:47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54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2398</v>
      </c>
      <c r="K1909" s="155" t="s">
        <v>2399</v>
      </c>
      <c r="L1909" s="17" t="s">
        <v>67</v>
      </c>
      <c r="M1909" s="13" t="s">
        <v>60</v>
      </c>
      <c r="N1909" s="13">
        <v>1</v>
      </c>
      <c r="O1909" s="13"/>
      <c r="P1909" s="33" t="str">
        <f t="shared" si="553"/>
        <v>MAIN UNIT</v>
      </c>
      <c r="Q1909" s="13" t="s">
        <v>68</v>
      </c>
      <c r="R1909" s="13" t="s">
        <v>62</v>
      </c>
      <c r="S1909" s="13" t="s">
        <v>52</v>
      </c>
      <c r="T1909" s="13" t="s">
        <v>141</v>
      </c>
      <c r="U1909" s="13" t="s">
        <v>1077</v>
      </c>
      <c r="V1909" s="13" t="s">
        <v>143</v>
      </c>
      <c r="W1909" s="13" t="s">
        <v>64</v>
      </c>
      <c r="X1909" s="135">
        <v>600000</v>
      </c>
      <c r="Y1909" s="157" t="str">
        <f t="shared" ref="Y1909:Y1924" si="565">IF(W1909="RMB","1.13", "1")</f>
        <v>1.13</v>
      </c>
      <c r="Z1909" s="18">
        <f t="shared" si="562"/>
        <v>600000</v>
      </c>
      <c r="AA1909" s="13">
        <v>1.0900000000000001</v>
      </c>
      <c r="AB1909" s="21">
        <f t="shared" si="547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48"/>
        <v>17329060.066371687</v>
      </c>
      <c r="AJ1909" s="19">
        <f t="shared" si="549"/>
        <v>2472600.2142256643</v>
      </c>
      <c r="AK1909" s="20">
        <f t="shared" si="556"/>
        <v>0.14268518919984163</v>
      </c>
      <c r="AL1909" s="17"/>
      <c r="AM1909" s="17"/>
      <c r="AN1909" s="17"/>
      <c r="AO1909" s="17"/>
      <c r="AP1909" s="28" t="str">
        <f t="shared" si="557"/>
        <v>202212</v>
      </c>
      <c r="AQ1909" s="28" t="str">
        <f t="shared" si="558"/>
        <v>202212RMB</v>
      </c>
      <c r="AR1909" s="206" t="str">
        <f t="shared" si="559"/>
        <v>YAMAHA_Mounter</v>
      </c>
      <c r="AS1909" s="22">
        <f t="shared" si="560"/>
        <v>0</v>
      </c>
      <c r="AT1909" s="24" t="str">
        <f t="shared" si="561"/>
        <v>0-3 months</v>
      </c>
      <c r="AU1909" s="22" t="s">
        <v>3240</v>
      </c>
    </row>
    <row r="1910" spans="1:47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48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1538</v>
      </c>
      <c r="K1910" s="155" t="s">
        <v>1539</v>
      </c>
      <c r="L1910" s="17" t="s">
        <v>92</v>
      </c>
      <c r="M1910" s="13" t="s">
        <v>60</v>
      </c>
      <c r="N1910" s="13">
        <v>1</v>
      </c>
      <c r="O1910" s="13"/>
      <c r="P1910" s="33" t="str">
        <f t="shared" si="553"/>
        <v>MAIN UNIT</v>
      </c>
      <c r="Q1910" s="13" t="s">
        <v>68</v>
      </c>
      <c r="R1910" s="13" t="s">
        <v>62</v>
      </c>
      <c r="S1910" s="13" t="s">
        <v>49</v>
      </c>
      <c r="T1910" s="13" t="s">
        <v>78</v>
      </c>
      <c r="U1910" s="13" t="s">
        <v>79</v>
      </c>
      <c r="V1910" s="13" t="s">
        <v>672</v>
      </c>
      <c r="W1910" s="13" t="s">
        <v>109</v>
      </c>
      <c r="X1910" s="135">
        <v>10550000</v>
      </c>
      <c r="Y1910" s="157" t="str">
        <f t="shared" si="565"/>
        <v>1</v>
      </c>
      <c r="Z1910" s="18">
        <f t="shared" si="562"/>
        <v>10550000</v>
      </c>
      <c r="AA1910" s="13">
        <v>7.5700000000000003E-2</v>
      </c>
      <c r="AB1910" s="21">
        <f t="shared" ref="AB1910:AB1973" si="566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48"/>
        <v>31097187.02948761</v>
      </c>
      <c r="AJ1910" s="19">
        <f t="shared" si="549"/>
        <v>3892353.6644401965</v>
      </c>
      <c r="AK1910" s="20">
        <f t="shared" si="556"/>
        <v>0.12516738767237401</v>
      </c>
      <c r="AL1910" s="17"/>
      <c r="AM1910" s="17"/>
      <c r="AN1910" s="17"/>
      <c r="AO1910" s="17"/>
      <c r="AP1910" s="28" t="str">
        <f t="shared" si="557"/>
        <v>20212</v>
      </c>
      <c r="AQ1910" s="28" t="str">
        <f t="shared" si="558"/>
        <v>20212JPY</v>
      </c>
      <c r="AR1910" s="206" t="str">
        <f t="shared" si="559"/>
        <v>YAMAHA_Mounter</v>
      </c>
      <c r="AS1910" s="22">
        <f t="shared" si="560"/>
        <v>3</v>
      </c>
      <c r="AT1910" s="24" t="str">
        <f t="shared" si="561"/>
        <v>0-3 months</v>
      </c>
      <c r="AU1910" s="22" t="s">
        <v>3745</v>
      </c>
    </row>
    <row r="1911" spans="1:47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48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1538</v>
      </c>
      <c r="K1911" s="155" t="s">
        <v>1539</v>
      </c>
      <c r="L1911" s="17" t="s">
        <v>67</v>
      </c>
      <c r="M1911" s="13" t="s">
        <v>60</v>
      </c>
      <c r="N1911" s="13">
        <v>1</v>
      </c>
      <c r="O1911" s="13"/>
      <c r="P1911" s="33" t="str">
        <f t="shared" si="553"/>
        <v>MAIN UNIT</v>
      </c>
      <c r="Q1911" s="13" t="s">
        <v>68</v>
      </c>
      <c r="R1911" s="13" t="s">
        <v>62</v>
      </c>
      <c r="S1911" s="13" t="s">
        <v>49</v>
      </c>
      <c r="T1911" s="13" t="s">
        <v>78</v>
      </c>
      <c r="U1911" s="13" t="s">
        <v>79</v>
      </c>
      <c r="V1911" s="13" t="s">
        <v>672</v>
      </c>
      <c r="W1911" s="13" t="s">
        <v>109</v>
      </c>
      <c r="X1911" s="135">
        <v>6400000</v>
      </c>
      <c r="Y1911" s="157" t="str">
        <f t="shared" si="565"/>
        <v>1</v>
      </c>
      <c r="Z1911" s="18">
        <f t="shared" si="562"/>
        <v>6400000</v>
      </c>
      <c r="AA1911" s="13">
        <v>7.5700000000000003E-2</v>
      </c>
      <c r="AB1911" s="21">
        <f t="shared" si="566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48"/>
        <v>31097187.02948761</v>
      </c>
      <c r="AJ1911" s="19">
        <f t="shared" si="549"/>
        <v>3892353.6644401965</v>
      </c>
      <c r="AK1911" s="20">
        <f t="shared" si="556"/>
        <v>0.12516738767237401</v>
      </c>
      <c r="AL1911" s="17"/>
      <c r="AM1911" s="17"/>
      <c r="AN1911" s="17"/>
      <c r="AO1911" s="17" t="s">
        <v>1540</v>
      </c>
      <c r="AP1911" s="28" t="str">
        <f t="shared" si="557"/>
        <v>20212</v>
      </c>
      <c r="AQ1911" s="28" t="str">
        <f t="shared" si="558"/>
        <v>20212JPY</v>
      </c>
      <c r="AR1911" s="206" t="str">
        <f t="shared" si="559"/>
        <v>YAMAHA_Mounter</v>
      </c>
      <c r="AS1911" s="22">
        <f t="shared" si="560"/>
        <v>3</v>
      </c>
      <c r="AT1911" s="24" t="str">
        <f t="shared" si="561"/>
        <v>0-3 months</v>
      </c>
      <c r="AU1911" s="22" t="s">
        <v>3745</v>
      </c>
    </row>
    <row r="1912" spans="1:47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48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1538</v>
      </c>
      <c r="K1912" s="155" t="s">
        <v>1539</v>
      </c>
      <c r="L1912" s="17" t="s">
        <v>67</v>
      </c>
      <c r="M1912" s="13" t="s">
        <v>60</v>
      </c>
      <c r="N1912" s="13">
        <v>1</v>
      </c>
      <c r="O1912" s="13"/>
      <c r="P1912" s="33" t="str">
        <f t="shared" si="553"/>
        <v>MAIN UNIT</v>
      </c>
      <c r="Q1912" s="13" t="s">
        <v>68</v>
      </c>
      <c r="R1912" s="13" t="s">
        <v>62</v>
      </c>
      <c r="S1912" s="13" t="s">
        <v>49</v>
      </c>
      <c r="T1912" s="13" t="s">
        <v>78</v>
      </c>
      <c r="U1912" s="13" t="s">
        <v>79</v>
      </c>
      <c r="V1912" s="13" t="s">
        <v>672</v>
      </c>
      <c r="W1912" s="13" t="s">
        <v>109</v>
      </c>
      <c r="X1912" s="135">
        <v>6400000</v>
      </c>
      <c r="Y1912" s="157" t="str">
        <f t="shared" si="565"/>
        <v>1</v>
      </c>
      <c r="Z1912" s="18">
        <f t="shared" si="562"/>
        <v>6400000</v>
      </c>
      <c r="AA1912" s="13">
        <v>7.5700000000000003E-2</v>
      </c>
      <c r="AB1912" s="21">
        <f t="shared" si="566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48"/>
        <v>31097187.02948761</v>
      </c>
      <c r="AJ1912" s="19">
        <f t="shared" si="549"/>
        <v>3892353.6644401965</v>
      </c>
      <c r="AK1912" s="20">
        <f t="shared" si="556"/>
        <v>0.12516738767237401</v>
      </c>
      <c r="AL1912" s="17"/>
      <c r="AM1912" s="17"/>
      <c r="AN1912" s="17"/>
      <c r="AO1912" s="17" t="s">
        <v>1540</v>
      </c>
      <c r="AP1912" s="28" t="str">
        <f t="shared" si="557"/>
        <v>20212</v>
      </c>
      <c r="AQ1912" s="28" t="str">
        <f t="shared" si="558"/>
        <v>20212JPY</v>
      </c>
      <c r="AR1912" s="206" t="str">
        <f t="shared" si="559"/>
        <v>YAMAHA_Mounter</v>
      </c>
      <c r="AS1912" s="22">
        <f t="shared" si="560"/>
        <v>3</v>
      </c>
      <c r="AT1912" s="24" t="str">
        <f t="shared" si="561"/>
        <v>0-3 months</v>
      </c>
      <c r="AU1912" s="22" t="s">
        <v>3745</v>
      </c>
    </row>
    <row r="1913" spans="1:47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53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1538</v>
      </c>
      <c r="K1913" s="155" t="s">
        <v>1539</v>
      </c>
      <c r="L1913" s="17" t="s">
        <v>92</v>
      </c>
      <c r="M1913" s="13" t="s">
        <v>60</v>
      </c>
      <c r="N1913" s="13">
        <v>1</v>
      </c>
      <c r="O1913" s="13"/>
      <c r="P1913" s="33" t="str">
        <f t="shared" si="553"/>
        <v>MAIN UNIT</v>
      </c>
      <c r="Q1913" s="13" t="s">
        <v>68</v>
      </c>
      <c r="R1913" s="13" t="s">
        <v>62</v>
      </c>
      <c r="S1913" s="13" t="s">
        <v>49</v>
      </c>
      <c r="T1913" s="13" t="s">
        <v>78</v>
      </c>
      <c r="U1913" s="13" t="s">
        <v>79</v>
      </c>
      <c r="V1913" s="13" t="s">
        <v>672</v>
      </c>
      <c r="W1913" s="13" t="s">
        <v>109</v>
      </c>
      <c r="X1913" s="135">
        <v>10550000</v>
      </c>
      <c r="Y1913" s="157" t="str">
        <f t="shared" si="565"/>
        <v>1</v>
      </c>
      <c r="Z1913" s="18">
        <f t="shared" si="562"/>
        <v>10550000</v>
      </c>
      <c r="AA1913" s="13">
        <v>7.2099999999999997E-2</v>
      </c>
      <c r="AB1913" s="21">
        <f t="shared" si="566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48"/>
        <v>54700260.692079648</v>
      </c>
      <c r="AJ1913" s="19">
        <f t="shared" si="549"/>
        <v>7482899.5749188727</v>
      </c>
      <c r="AK1913" s="20">
        <f t="shared" si="556"/>
        <v>0.13679824337660537</v>
      </c>
      <c r="AL1913" s="17"/>
      <c r="AM1913" s="17"/>
      <c r="AN1913" s="17"/>
      <c r="AO1913" s="17"/>
      <c r="AP1913" s="28" t="str">
        <f t="shared" si="557"/>
        <v>20216</v>
      </c>
      <c r="AQ1913" s="28" t="str">
        <f t="shared" si="558"/>
        <v>20216JPY</v>
      </c>
      <c r="AR1913" s="206" t="str">
        <f t="shared" si="559"/>
        <v>YAMAHA_Mounter</v>
      </c>
      <c r="AS1913" s="22">
        <f t="shared" si="560"/>
        <v>7</v>
      </c>
      <c r="AT1913" s="24" t="str">
        <f t="shared" si="561"/>
        <v>&gt; 6 months</v>
      </c>
      <c r="AU1913" s="22" t="s">
        <v>3745</v>
      </c>
    </row>
    <row r="1914" spans="1:47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53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1538</v>
      </c>
      <c r="K1914" s="155" t="s">
        <v>1539</v>
      </c>
      <c r="L1914" s="17" t="s">
        <v>92</v>
      </c>
      <c r="M1914" s="13" t="s">
        <v>60</v>
      </c>
      <c r="N1914" s="13">
        <v>1</v>
      </c>
      <c r="O1914" s="13"/>
      <c r="P1914" s="33" t="str">
        <f t="shared" si="553"/>
        <v>MAIN UNIT</v>
      </c>
      <c r="Q1914" s="13" t="s">
        <v>68</v>
      </c>
      <c r="R1914" s="13" t="s">
        <v>62</v>
      </c>
      <c r="S1914" s="13" t="s">
        <v>49</v>
      </c>
      <c r="T1914" s="13" t="s">
        <v>78</v>
      </c>
      <c r="U1914" s="13" t="s">
        <v>79</v>
      </c>
      <c r="V1914" s="13" t="s">
        <v>672</v>
      </c>
      <c r="W1914" s="13" t="s">
        <v>109</v>
      </c>
      <c r="X1914" s="135">
        <v>10550000</v>
      </c>
      <c r="Y1914" s="157" t="str">
        <f t="shared" si="565"/>
        <v>1</v>
      </c>
      <c r="Z1914" s="18">
        <f t="shared" si="562"/>
        <v>10550000</v>
      </c>
      <c r="AA1914" s="13">
        <v>7.2400000000000006E-2</v>
      </c>
      <c r="AB1914" s="21">
        <f t="shared" si="566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48"/>
        <v>47458373.787610628</v>
      </c>
      <c r="AJ1914" s="19">
        <f t="shared" si="549"/>
        <v>7436880.1411522133</v>
      </c>
      <c r="AK1914" s="20">
        <f t="shared" si="556"/>
        <v>0.15670322321692506</v>
      </c>
      <c r="AL1914" s="17"/>
      <c r="AM1914" s="17"/>
      <c r="AN1914" s="17"/>
      <c r="AO1914" s="17"/>
      <c r="AP1914" s="28" t="str">
        <f t="shared" si="557"/>
        <v>20218</v>
      </c>
      <c r="AQ1914" s="28" t="str">
        <f t="shared" si="558"/>
        <v>20218JPY</v>
      </c>
      <c r="AR1914" s="206" t="str">
        <f t="shared" si="559"/>
        <v>YAMAHA_Mounter</v>
      </c>
      <c r="AS1914" s="22">
        <f t="shared" si="560"/>
        <v>9</v>
      </c>
      <c r="AT1914" s="24" t="str">
        <f t="shared" si="561"/>
        <v>&gt; 6 months</v>
      </c>
      <c r="AU1914" s="22" t="s">
        <v>3745</v>
      </c>
    </row>
    <row r="1915" spans="1:47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185</v>
      </c>
      <c r="F1915" s="13" t="s">
        <v>185</v>
      </c>
      <c r="G1915" s="152" t="s">
        <v>185</v>
      </c>
      <c r="H1915" s="155"/>
      <c r="I1915" s="33" t="str">
        <f t="shared" si="552"/>
        <v>Cancel</v>
      </c>
      <c r="J1915" s="186" t="s">
        <v>1538</v>
      </c>
      <c r="K1915" s="155" t="s">
        <v>1539</v>
      </c>
      <c r="L1915" s="17" t="s">
        <v>92</v>
      </c>
      <c r="M1915" s="13" t="s">
        <v>60</v>
      </c>
      <c r="N1915" s="13">
        <v>1</v>
      </c>
      <c r="O1915" s="13"/>
      <c r="P1915" s="33" t="str">
        <f t="shared" si="553"/>
        <v>MAIN UNIT</v>
      </c>
      <c r="Q1915" s="13" t="s">
        <v>68</v>
      </c>
      <c r="R1915" s="13" t="s">
        <v>62</v>
      </c>
      <c r="S1915" s="13" t="s">
        <v>49</v>
      </c>
      <c r="T1915" s="13" t="s">
        <v>78</v>
      </c>
      <c r="U1915" s="13" t="s">
        <v>79</v>
      </c>
      <c r="V1915" s="13" t="s">
        <v>672</v>
      </c>
      <c r="W1915" s="13" t="s">
        <v>109</v>
      </c>
      <c r="X1915" s="135">
        <v>10550000</v>
      </c>
      <c r="Y1915" s="157" t="str">
        <f t="shared" si="565"/>
        <v>1</v>
      </c>
      <c r="Z1915" s="18">
        <f t="shared" si="562"/>
        <v>10550000</v>
      </c>
      <c r="AA1915" s="13">
        <v>7.2400000000000006E-2</v>
      </c>
      <c r="AB1915" s="21">
        <f t="shared" si="566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48"/>
        <v>499582152.5142017</v>
      </c>
      <c r="AJ1915" s="19">
        <f t="shared" si="549"/>
        <v>59520528.679470733</v>
      </c>
      <c r="AK1915" s="20">
        <f t="shared" si="556"/>
        <v>0.11914062257814291</v>
      </c>
      <c r="AL1915" s="17"/>
      <c r="AM1915" s="17"/>
      <c r="AN1915" s="17"/>
      <c r="AO1915" s="17"/>
      <c r="AP1915" s="28" t="str">
        <f t="shared" si="557"/>
        <v>CancelCancel</v>
      </c>
      <c r="AQ1915" s="28" t="str">
        <f t="shared" si="558"/>
        <v>CancelCancelJPY</v>
      </c>
      <c r="AR1915" s="206" t="str">
        <f t="shared" si="559"/>
        <v>YAMAHA_Mounter</v>
      </c>
      <c r="AS1915" s="22" t="str">
        <f t="shared" si="560"/>
        <v/>
      </c>
      <c r="AT1915" s="24" t="str">
        <f t="shared" si="561"/>
        <v/>
      </c>
      <c r="AU1915" s="22" t="s">
        <v>3745</v>
      </c>
    </row>
    <row r="1916" spans="1:47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185</v>
      </c>
      <c r="F1916" s="13" t="s">
        <v>185</v>
      </c>
      <c r="G1916" s="152" t="s">
        <v>185</v>
      </c>
      <c r="H1916" s="155"/>
      <c r="I1916" s="33" t="str">
        <f t="shared" si="552"/>
        <v>Cancel</v>
      </c>
      <c r="J1916" s="186" t="s">
        <v>1538</v>
      </c>
      <c r="K1916" s="155" t="s">
        <v>1539</v>
      </c>
      <c r="L1916" s="17" t="s">
        <v>92</v>
      </c>
      <c r="M1916" s="13" t="s">
        <v>60</v>
      </c>
      <c r="N1916" s="13">
        <v>1</v>
      </c>
      <c r="O1916" s="13"/>
      <c r="P1916" s="33" t="str">
        <f t="shared" si="553"/>
        <v>MAIN UNIT</v>
      </c>
      <c r="Q1916" s="13" t="s">
        <v>68</v>
      </c>
      <c r="R1916" s="13" t="s">
        <v>62</v>
      </c>
      <c r="S1916" s="13" t="s">
        <v>49</v>
      </c>
      <c r="T1916" s="13" t="s">
        <v>78</v>
      </c>
      <c r="U1916" s="13" t="s">
        <v>79</v>
      </c>
      <c r="V1916" s="13" t="s">
        <v>672</v>
      </c>
      <c r="W1916" s="13" t="s">
        <v>109</v>
      </c>
      <c r="X1916" s="135">
        <v>10550000</v>
      </c>
      <c r="Y1916" s="157" t="str">
        <f t="shared" si="565"/>
        <v>1</v>
      </c>
      <c r="Z1916" s="18">
        <f t="shared" si="562"/>
        <v>10550000</v>
      </c>
      <c r="AA1916" s="13">
        <v>7.2400000000000006E-2</v>
      </c>
      <c r="AB1916" s="21">
        <f t="shared" si="566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48"/>
        <v>499582152.5142017</v>
      </c>
      <c r="AJ1916" s="19">
        <f t="shared" si="549"/>
        <v>59520528.679470733</v>
      </c>
      <c r="AK1916" s="20">
        <f t="shared" si="556"/>
        <v>0.11914062257814291</v>
      </c>
      <c r="AL1916" s="17"/>
      <c r="AM1916" s="17"/>
      <c r="AN1916" s="17"/>
      <c r="AO1916" s="17"/>
      <c r="AP1916" s="28" t="str">
        <f t="shared" si="557"/>
        <v>CancelCancel</v>
      </c>
      <c r="AQ1916" s="28" t="str">
        <f t="shared" si="558"/>
        <v>CancelCancelJPY</v>
      </c>
      <c r="AR1916" s="206" t="str">
        <f t="shared" si="559"/>
        <v>YAMAHA_Mounter</v>
      </c>
      <c r="AS1916" s="22" t="str">
        <f t="shared" si="560"/>
        <v/>
      </c>
      <c r="AT1916" s="24" t="str">
        <f t="shared" si="561"/>
        <v/>
      </c>
      <c r="AU1916" s="22" t="s">
        <v>3745</v>
      </c>
    </row>
    <row r="1917" spans="1:47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185</v>
      </c>
      <c r="F1917" s="13" t="s">
        <v>185</v>
      </c>
      <c r="G1917" s="152" t="s">
        <v>185</v>
      </c>
      <c r="H1917" s="155"/>
      <c r="I1917" s="33" t="str">
        <f t="shared" si="552"/>
        <v>Cancel</v>
      </c>
      <c r="J1917" s="186" t="s">
        <v>1538</v>
      </c>
      <c r="K1917" s="155" t="s">
        <v>1539</v>
      </c>
      <c r="L1917" s="17" t="s">
        <v>92</v>
      </c>
      <c r="M1917" s="13" t="s">
        <v>60</v>
      </c>
      <c r="N1917" s="13">
        <v>1</v>
      </c>
      <c r="O1917" s="13"/>
      <c r="P1917" s="33" t="str">
        <f t="shared" si="553"/>
        <v>MAIN UNIT</v>
      </c>
      <c r="Q1917" s="13" t="s">
        <v>68</v>
      </c>
      <c r="R1917" s="13" t="s">
        <v>62</v>
      </c>
      <c r="S1917" s="13" t="s">
        <v>49</v>
      </c>
      <c r="T1917" s="13" t="s">
        <v>78</v>
      </c>
      <c r="U1917" s="13" t="s">
        <v>79</v>
      </c>
      <c r="V1917" s="13" t="s">
        <v>672</v>
      </c>
      <c r="W1917" s="13" t="s">
        <v>109</v>
      </c>
      <c r="X1917" s="135">
        <v>10550000</v>
      </c>
      <c r="Y1917" s="157" t="str">
        <f t="shared" si="565"/>
        <v>1</v>
      </c>
      <c r="Z1917" s="18">
        <f t="shared" si="562"/>
        <v>10550000</v>
      </c>
      <c r="AA1917" s="13">
        <v>7.2400000000000006E-2</v>
      </c>
      <c r="AB1917" s="21">
        <f t="shared" si="566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48"/>
        <v>499582152.5142017</v>
      </c>
      <c r="AJ1917" s="19">
        <f t="shared" si="549"/>
        <v>59520528.679470733</v>
      </c>
      <c r="AK1917" s="20">
        <f t="shared" si="556"/>
        <v>0.11914062257814291</v>
      </c>
      <c r="AL1917" s="17"/>
      <c r="AM1917" s="17"/>
      <c r="AN1917" s="17"/>
      <c r="AO1917" s="17"/>
      <c r="AP1917" s="28" t="str">
        <f t="shared" si="557"/>
        <v>CancelCancel</v>
      </c>
      <c r="AQ1917" s="28" t="str">
        <f t="shared" si="558"/>
        <v>CancelCancelJPY</v>
      </c>
      <c r="AR1917" s="206" t="str">
        <f t="shared" si="559"/>
        <v>YAMAHA_Mounter</v>
      </c>
      <c r="AS1917" s="22" t="str">
        <f t="shared" si="560"/>
        <v/>
      </c>
      <c r="AT1917" s="24" t="str">
        <f t="shared" si="561"/>
        <v/>
      </c>
      <c r="AU1917" s="22" t="s">
        <v>3745</v>
      </c>
    </row>
    <row r="1918" spans="1:47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185</v>
      </c>
      <c r="F1918" s="13" t="s">
        <v>185</v>
      </c>
      <c r="G1918" s="152" t="s">
        <v>185</v>
      </c>
      <c r="H1918" s="155"/>
      <c r="I1918" s="33" t="str">
        <f t="shared" si="552"/>
        <v>Cancel</v>
      </c>
      <c r="J1918" s="186" t="s">
        <v>1538</v>
      </c>
      <c r="K1918" s="155" t="s">
        <v>1539</v>
      </c>
      <c r="L1918" s="17" t="s">
        <v>92</v>
      </c>
      <c r="M1918" s="13" t="s">
        <v>60</v>
      </c>
      <c r="N1918" s="13">
        <v>1</v>
      </c>
      <c r="O1918" s="13"/>
      <c r="P1918" s="33" t="str">
        <f t="shared" si="553"/>
        <v>MAIN UNIT</v>
      </c>
      <c r="Q1918" s="13" t="s">
        <v>68</v>
      </c>
      <c r="R1918" s="13" t="s">
        <v>62</v>
      </c>
      <c r="S1918" s="13" t="s">
        <v>49</v>
      </c>
      <c r="T1918" s="13" t="s">
        <v>78</v>
      </c>
      <c r="U1918" s="13" t="s">
        <v>79</v>
      </c>
      <c r="V1918" s="13" t="s">
        <v>672</v>
      </c>
      <c r="W1918" s="13" t="s">
        <v>109</v>
      </c>
      <c r="X1918" s="135">
        <v>10550000</v>
      </c>
      <c r="Y1918" s="157" t="str">
        <f t="shared" si="565"/>
        <v>1</v>
      </c>
      <c r="Z1918" s="18">
        <f t="shared" si="562"/>
        <v>10550000</v>
      </c>
      <c r="AA1918" s="13">
        <v>7.2400000000000006E-2</v>
      </c>
      <c r="AB1918" s="21">
        <f t="shared" si="566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48"/>
        <v>499582152.5142017</v>
      </c>
      <c r="AJ1918" s="19">
        <f t="shared" si="549"/>
        <v>59520528.679470733</v>
      </c>
      <c r="AK1918" s="20">
        <f t="shared" si="556"/>
        <v>0.11914062257814291</v>
      </c>
      <c r="AL1918" s="17"/>
      <c r="AM1918" s="17"/>
      <c r="AN1918" s="17"/>
      <c r="AO1918" s="17"/>
      <c r="AP1918" s="28" t="str">
        <f t="shared" si="557"/>
        <v>CancelCancel</v>
      </c>
      <c r="AQ1918" s="28" t="str">
        <f t="shared" si="558"/>
        <v>CancelCancelJPY</v>
      </c>
      <c r="AR1918" s="206" t="str">
        <f t="shared" si="559"/>
        <v>YAMAHA_Mounter</v>
      </c>
      <c r="AS1918" s="22" t="str">
        <f t="shared" si="560"/>
        <v/>
      </c>
      <c r="AT1918" s="24" t="str">
        <f t="shared" si="561"/>
        <v/>
      </c>
      <c r="AU1918" s="22" t="s">
        <v>3745</v>
      </c>
    </row>
    <row r="1919" spans="1:47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185</v>
      </c>
      <c r="F1919" s="13" t="s">
        <v>185</v>
      </c>
      <c r="G1919" s="152" t="s">
        <v>185</v>
      </c>
      <c r="H1919" s="155"/>
      <c r="I1919" s="33" t="str">
        <f t="shared" si="552"/>
        <v>Cancel</v>
      </c>
      <c r="J1919" s="186" t="s">
        <v>1538</v>
      </c>
      <c r="K1919" s="155" t="s">
        <v>1539</v>
      </c>
      <c r="L1919" s="17" t="s">
        <v>92</v>
      </c>
      <c r="M1919" s="13" t="s">
        <v>60</v>
      </c>
      <c r="N1919" s="13">
        <v>1</v>
      </c>
      <c r="O1919" s="13"/>
      <c r="P1919" s="33" t="str">
        <f t="shared" si="553"/>
        <v>MAIN UNIT</v>
      </c>
      <c r="Q1919" s="13" t="s">
        <v>68</v>
      </c>
      <c r="R1919" s="13" t="s">
        <v>62</v>
      </c>
      <c r="S1919" s="13" t="s">
        <v>49</v>
      </c>
      <c r="T1919" s="13" t="s">
        <v>78</v>
      </c>
      <c r="U1919" s="13" t="s">
        <v>79</v>
      </c>
      <c r="V1919" s="13" t="s">
        <v>672</v>
      </c>
      <c r="W1919" s="13" t="s">
        <v>109</v>
      </c>
      <c r="X1919" s="135">
        <v>10550000</v>
      </c>
      <c r="Y1919" s="157" t="str">
        <f t="shared" si="565"/>
        <v>1</v>
      </c>
      <c r="Z1919" s="18">
        <f t="shared" si="562"/>
        <v>10550000</v>
      </c>
      <c r="AA1919" s="13">
        <v>7.2400000000000006E-2</v>
      </c>
      <c r="AB1919" s="21">
        <f t="shared" si="566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48"/>
        <v>499582152.5142017</v>
      </c>
      <c r="AJ1919" s="19">
        <f t="shared" si="549"/>
        <v>59520528.679470733</v>
      </c>
      <c r="AK1919" s="20">
        <f t="shared" si="556"/>
        <v>0.11914062257814291</v>
      </c>
      <c r="AL1919" s="17"/>
      <c r="AM1919" s="17"/>
      <c r="AN1919" s="17"/>
      <c r="AO1919" s="17"/>
      <c r="AP1919" s="28" t="str">
        <f t="shared" si="557"/>
        <v>CancelCancel</v>
      </c>
      <c r="AQ1919" s="28" t="str">
        <f t="shared" si="558"/>
        <v>CancelCancelJPY</v>
      </c>
      <c r="AR1919" s="206" t="str">
        <f t="shared" si="559"/>
        <v>YAMAHA_Mounter</v>
      </c>
      <c r="AS1919" s="22" t="str">
        <f t="shared" si="560"/>
        <v/>
      </c>
      <c r="AT1919" s="24" t="str">
        <f t="shared" si="561"/>
        <v/>
      </c>
      <c r="AU1919" s="22" t="s">
        <v>3745</v>
      </c>
    </row>
    <row r="1920" spans="1:47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185</v>
      </c>
      <c r="F1920" s="13" t="s">
        <v>185</v>
      </c>
      <c r="G1920" s="152" t="s">
        <v>185</v>
      </c>
      <c r="H1920" s="155"/>
      <c r="I1920" s="33" t="str">
        <f t="shared" si="552"/>
        <v>Cancel</v>
      </c>
      <c r="J1920" s="186" t="s">
        <v>1538</v>
      </c>
      <c r="K1920" s="155" t="s">
        <v>1539</v>
      </c>
      <c r="L1920" s="17" t="s">
        <v>92</v>
      </c>
      <c r="M1920" s="13" t="s">
        <v>60</v>
      </c>
      <c r="N1920" s="13">
        <v>1</v>
      </c>
      <c r="O1920" s="13"/>
      <c r="P1920" s="33" t="str">
        <f t="shared" si="553"/>
        <v>MAIN UNIT</v>
      </c>
      <c r="Q1920" s="13" t="s">
        <v>68</v>
      </c>
      <c r="R1920" s="13" t="s">
        <v>62</v>
      </c>
      <c r="S1920" s="13" t="s">
        <v>49</v>
      </c>
      <c r="T1920" s="13" t="s">
        <v>78</v>
      </c>
      <c r="U1920" s="13" t="s">
        <v>79</v>
      </c>
      <c r="V1920" s="13" t="s">
        <v>672</v>
      </c>
      <c r="W1920" s="13" t="s">
        <v>109</v>
      </c>
      <c r="X1920" s="135">
        <v>10550000</v>
      </c>
      <c r="Y1920" s="157" t="str">
        <f t="shared" si="565"/>
        <v>1</v>
      </c>
      <c r="Z1920" s="18">
        <f t="shared" si="562"/>
        <v>10550000</v>
      </c>
      <c r="AA1920" s="13">
        <v>7.2400000000000006E-2</v>
      </c>
      <c r="AB1920" s="21">
        <f t="shared" si="566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48"/>
        <v>499582152.5142017</v>
      </c>
      <c r="AJ1920" s="19">
        <f t="shared" si="549"/>
        <v>59520528.679470733</v>
      </c>
      <c r="AK1920" s="20">
        <f t="shared" si="556"/>
        <v>0.11914062257814291</v>
      </c>
      <c r="AL1920" s="17"/>
      <c r="AM1920" s="17"/>
      <c r="AN1920" s="17"/>
      <c r="AO1920" s="17"/>
      <c r="AP1920" s="28" t="str">
        <f t="shared" si="557"/>
        <v>CancelCancel</v>
      </c>
      <c r="AQ1920" s="28" t="str">
        <f t="shared" si="558"/>
        <v>CancelCancelJPY</v>
      </c>
      <c r="AR1920" s="206" t="str">
        <f t="shared" si="559"/>
        <v>YAMAHA_Mounter</v>
      </c>
      <c r="AS1920" s="22" t="str">
        <f t="shared" si="560"/>
        <v/>
      </c>
      <c r="AT1920" s="24" t="str">
        <f t="shared" si="561"/>
        <v/>
      </c>
      <c r="AU1920" s="22" t="s">
        <v>3745</v>
      </c>
    </row>
    <row r="1921" spans="1:47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185</v>
      </c>
      <c r="F1921" s="13" t="s">
        <v>185</v>
      </c>
      <c r="G1921" s="152" t="s">
        <v>185</v>
      </c>
      <c r="H1921" s="155"/>
      <c r="I1921" s="33" t="str">
        <f t="shared" si="552"/>
        <v>Cancel</v>
      </c>
      <c r="J1921" s="186" t="s">
        <v>1538</v>
      </c>
      <c r="K1921" s="155" t="s">
        <v>1539</v>
      </c>
      <c r="L1921" s="17" t="s">
        <v>92</v>
      </c>
      <c r="M1921" s="13" t="s">
        <v>60</v>
      </c>
      <c r="N1921" s="13">
        <v>1</v>
      </c>
      <c r="O1921" s="13"/>
      <c r="P1921" s="33" t="str">
        <f t="shared" si="553"/>
        <v>MAIN UNIT</v>
      </c>
      <c r="Q1921" s="13" t="s">
        <v>68</v>
      </c>
      <c r="R1921" s="13" t="s">
        <v>62</v>
      </c>
      <c r="S1921" s="13" t="s">
        <v>49</v>
      </c>
      <c r="T1921" s="13" t="s">
        <v>78</v>
      </c>
      <c r="U1921" s="13" t="s">
        <v>79</v>
      </c>
      <c r="V1921" s="13" t="s">
        <v>672</v>
      </c>
      <c r="W1921" s="13" t="s">
        <v>109</v>
      </c>
      <c r="X1921" s="135">
        <v>10550000</v>
      </c>
      <c r="Y1921" s="157" t="str">
        <f t="shared" si="565"/>
        <v>1</v>
      </c>
      <c r="Z1921" s="18">
        <f t="shared" si="562"/>
        <v>10550000</v>
      </c>
      <c r="AA1921" s="13">
        <v>7.2400000000000006E-2</v>
      </c>
      <c r="AB1921" s="21">
        <f t="shared" si="566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48"/>
        <v>499582152.5142017</v>
      </c>
      <c r="AJ1921" s="19">
        <f t="shared" si="549"/>
        <v>59520528.679470733</v>
      </c>
      <c r="AK1921" s="20">
        <f t="shared" si="556"/>
        <v>0.11914062257814291</v>
      </c>
      <c r="AL1921" s="17"/>
      <c r="AM1921" s="17"/>
      <c r="AN1921" s="17"/>
      <c r="AO1921" s="17"/>
      <c r="AP1921" s="28" t="str">
        <f t="shared" si="557"/>
        <v>CancelCancel</v>
      </c>
      <c r="AQ1921" s="28" t="str">
        <f t="shared" si="558"/>
        <v>CancelCancelJPY</v>
      </c>
      <c r="AR1921" s="206" t="str">
        <f t="shared" si="559"/>
        <v>YAMAHA_Mounter</v>
      </c>
      <c r="AS1921" s="22" t="str">
        <f t="shared" si="560"/>
        <v/>
      </c>
      <c r="AT1921" s="24" t="str">
        <f t="shared" si="561"/>
        <v/>
      </c>
      <c r="AU1921" s="22" t="s">
        <v>3745</v>
      </c>
    </row>
    <row r="1922" spans="1:47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185</v>
      </c>
      <c r="F1922" s="13" t="s">
        <v>185</v>
      </c>
      <c r="G1922" s="152" t="s">
        <v>185</v>
      </c>
      <c r="H1922" s="155"/>
      <c r="I1922" s="33" t="str">
        <f t="shared" si="552"/>
        <v>Cancel</v>
      </c>
      <c r="J1922" s="186" t="s">
        <v>1538</v>
      </c>
      <c r="K1922" s="155" t="s">
        <v>1539</v>
      </c>
      <c r="L1922" s="17" t="s">
        <v>67</v>
      </c>
      <c r="M1922" s="13" t="s">
        <v>60</v>
      </c>
      <c r="N1922" s="13">
        <v>1</v>
      </c>
      <c r="O1922" s="13"/>
      <c r="P1922" s="33" t="str">
        <f t="shared" si="553"/>
        <v>MAIN UNIT</v>
      </c>
      <c r="Q1922" s="13" t="s">
        <v>68</v>
      </c>
      <c r="R1922" s="13" t="s">
        <v>62</v>
      </c>
      <c r="S1922" s="13" t="s">
        <v>49</v>
      </c>
      <c r="T1922" s="13" t="s">
        <v>78</v>
      </c>
      <c r="U1922" s="13" t="s">
        <v>79</v>
      </c>
      <c r="V1922" s="13" t="s">
        <v>672</v>
      </c>
      <c r="W1922" s="13" t="s">
        <v>109</v>
      </c>
      <c r="X1922" s="135">
        <v>6400000</v>
      </c>
      <c r="Y1922" s="157" t="str">
        <f t="shared" si="565"/>
        <v>1</v>
      </c>
      <c r="Z1922" s="18">
        <f t="shared" si="562"/>
        <v>6400000</v>
      </c>
      <c r="AA1922" s="13">
        <v>7.2400000000000006E-2</v>
      </c>
      <c r="AB1922" s="21">
        <f t="shared" si="566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ref="AI1922:AI1985" si="567">IF(P1922="C66 SERVICE","",SUMIFS(AB:AB,F:F,F1922,G:G,G1922,E:E,E1922))</f>
        <v>499582152.5142017</v>
      </c>
      <c r="AJ1922" s="19">
        <f t="shared" ref="AJ1922:AJ1985" si="568">IF(P1922="C66 SERVICE","",SUMIFS(AC:AC,F:F,F1922,G:G,G1922,E:E,E1922))</f>
        <v>59520528.679470733</v>
      </c>
      <c r="AK1922" s="20">
        <f t="shared" si="556"/>
        <v>0.11914062257814291</v>
      </c>
      <c r="AL1922" s="17"/>
      <c r="AM1922" s="17"/>
      <c r="AN1922" s="17"/>
      <c r="AO1922" s="17"/>
      <c r="AP1922" s="28" t="str">
        <f t="shared" si="557"/>
        <v>CancelCancel</v>
      </c>
      <c r="AQ1922" s="28" t="str">
        <f t="shared" si="558"/>
        <v>CancelCancelJPY</v>
      </c>
      <c r="AR1922" s="206" t="str">
        <f t="shared" si="559"/>
        <v>YAMAHA_Mounter</v>
      </c>
      <c r="AS1922" s="22" t="str">
        <f t="shared" si="560"/>
        <v/>
      </c>
      <c r="AT1922" s="24" t="str">
        <f t="shared" si="561"/>
        <v/>
      </c>
      <c r="AU1922" s="22" t="s">
        <v>3745</v>
      </c>
    </row>
    <row r="1923" spans="1:47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185</v>
      </c>
      <c r="F1923" s="13" t="s">
        <v>185</v>
      </c>
      <c r="G1923" s="152" t="s">
        <v>185</v>
      </c>
      <c r="H1923" s="155"/>
      <c r="I1923" s="33" t="str">
        <f t="shared" si="552"/>
        <v>Cancel</v>
      </c>
      <c r="J1923" s="186" t="s">
        <v>1538</v>
      </c>
      <c r="K1923" s="155" t="s">
        <v>1539</v>
      </c>
      <c r="L1923" s="17" t="s">
        <v>67</v>
      </c>
      <c r="M1923" s="13" t="s">
        <v>60</v>
      </c>
      <c r="N1923" s="13">
        <v>1</v>
      </c>
      <c r="O1923" s="13"/>
      <c r="P1923" s="33" t="str">
        <f t="shared" si="553"/>
        <v>MAIN UNIT</v>
      </c>
      <c r="Q1923" s="13" t="s">
        <v>68</v>
      </c>
      <c r="R1923" s="13" t="s">
        <v>62</v>
      </c>
      <c r="S1923" s="13" t="s">
        <v>49</v>
      </c>
      <c r="T1923" s="13" t="s">
        <v>78</v>
      </c>
      <c r="U1923" s="13" t="s">
        <v>79</v>
      </c>
      <c r="V1923" s="13" t="s">
        <v>672</v>
      </c>
      <c r="W1923" s="13" t="s">
        <v>109</v>
      </c>
      <c r="X1923" s="135">
        <v>6400000</v>
      </c>
      <c r="Y1923" s="157" t="str">
        <f t="shared" si="565"/>
        <v>1</v>
      </c>
      <c r="Z1923" s="18">
        <f t="shared" si="562"/>
        <v>6400000</v>
      </c>
      <c r="AA1923" s="13">
        <v>7.2400000000000006E-2</v>
      </c>
      <c r="AB1923" s="21">
        <f t="shared" si="566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67"/>
        <v>499582152.5142017</v>
      </c>
      <c r="AJ1923" s="19">
        <f t="shared" si="568"/>
        <v>59520528.679470733</v>
      </c>
      <c r="AK1923" s="20">
        <f t="shared" si="556"/>
        <v>0.11914062257814291</v>
      </c>
      <c r="AL1923" s="17"/>
      <c r="AM1923" s="17"/>
      <c r="AN1923" s="17"/>
      <c r="AO1923" s="17"/>
      <c r="AP1923" s="28" t="str">
        <f t="shared" si="557"/>
        <v>CancelCancel</v>
      </c>
      <c r="AQ1923" s="28" t="str">
        <f t="shared" si="558"/>
        <v>CancelCancelJPY</v>
      </c>
      <c r="AR1923" s="206" t="str">
        <f t="shared" si="559"/>
        <v>YAMAHA_Mounter</v>
      </c>
      <c r="AS1923" s="22" t="str">
        <f t="shared" si="560"/>
        <v/>
      </c>
      <c r="AT1923" s="24" t="str">
        <f t="shared" si="561"/>
        <v/>
      </c>
      <c r="AU1923" s="22" t="s">
        <v>3745</v>
      </c>
    </row>
    <row r="1924" spans="1:47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185</v>
      </c>
      <c r="F1924" s="13" t="s">
        <v>185</v>
      </c>
      <c r="G1924" s="152" t="s">
        <v>185</v>
      </c>
      <c r="H1924" s="155"/>
      <c r="I1924" s="33" t="str">
        <f t="shared" si="552"/>
        <v>Cancel</v>
      </c>
      <c r="J1924" s="186" t="s">
        <v>1538</v>
      </c>
      <c r="K1924" s="155" t="s">
        <v>1539</v>
      </c>
      <c r="L1924" s="17" t="s">
        <v>67</v>
      </c>
      <c r="M1924" s="13" t="s">
        <v>60</v>
      </c>
      <c r="N1924" s="13">
        <v>1</v>
      </c>
      <c r="O1924" s="13"/>
      <c r="P1924" s="33" t="str">
        <f t="shared" si="553"/>
        <v>MAIN UNIT</v>
      </c>
      <c r="Q1924" s="13" t="s">
        <v>68</v>
      </c>
      <c r="R1924" s="13" t="s">
        <v>62</v>
      </c>
      <c r="S1924" s="13" t="s">
        <v>49</v>
      </c>
      <c r="T1924" s="13" t="s">
        <v>78</v>
      </c>
      <c r="U1924" s="13" t="s">
        <v>79</v>
      </c>
      <c r="V1924" s="13" t="s">
        <v>672</v>
      </c>
      <c r="W1924" s="13" t="s">
        <v>109</v>
      </c>
      <c r="X1924" s="135">
        <v>6400000</v>
      </c>
      <c r="Y1924" s="157" t="str">
        <f t="shared" si="565"/>
        <v>1</v>
      </c>
      <c r="Z1924" s="18">
        <f t="shared" si="562"/>
        <v>6400000</v>
      </c>
      <c r="AA1924" s="13">
        <v>7.2400000000000006E-2</v>
      </c>
      <c r="AB1924" s="21">
        <f t="shared" si="566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67"/>
        <v>499582152.5142017</v>
      </c>
      <c r="AJ1924" s="19">
        <f t="shared" si="568"/>
        <v>59520528.679470733</v>
      </c>
      <c r="AK1924" s="20">
        <f t="shared" si="556"/>
        <v>0.11914062257814291</v>
      </c>
      <c r="AL1924" s="17"/>
      <c r="AM1924" s="17"/>
      <c r="AN1924" s="17"/>
      <c r="AO1924" s="17"/>
      <c r="AP1924" s="28" t="str">
        <f t="shared" si="557"/>
        <v>CancelCancel</v>
      </c>
      <c r="AQ1924" s="28" t="str">
        <f t="shared" si="558"/>
        <v>CancelCancelJPY</v>
      </c>
      <c r="AR1924" s="206" t="str">
        <f t="shared" si="559"/>
        <v>YAMAHA_Mounter</v>
      </c>
      <c r="AS1924" s="22" t="str">
        <f t="shared" si="560"/>
        <v/>
      </c>
      <c r="AT1924" s="24" t="str">
        <f t="shared" si="561"/>
        <v/>
      </c>
      <c r="AU1924" s="22" t="s">
        <v>3745</v>
      </c>
    </row>
    <row r="1925" spans="1:47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41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448</v>
      </c>
      <c r="K1925" s="155" t="s">
        <v>449</v>
      </c>
      <c r="L1925" s="17" t="s">
        <v>92</v>
      </c>
      <c r="M1925" s="13" t="s">
        <v>60</v>
      </c>
      <c r="N1925" s="13">
        <v>1</v>
      </c>
      <c r="O1925" s="13"/>
      <c r="P1925" s="33" t="str">
        <f t="shared" si="553"/>
        <v>MAIN UNIT</v>
      </c>
      <c r="Q1925" s="13" t="s">
        <v>61</v>
      </c>
      <c r="R1925" s="13" t="s">
        <v>62</v>
      </c>
      <c r="S1925" s="13" t="s">
        <v>49</v>
      </c>
      <c r="T1925" s="13" t="s">
        <v>249</v>
      </c>
      <c r="U1925" s="13" t="s">
        <v>79</v>
      </c>
      <c r="V1925" s="13" t="s">
        <v>112</v>
      </c>
      <c r="W1925" s="13" t="s">
        <v>109</v>
      </c>
      <c r="X1925" s="135">
        <v>16833680</v>
      </c>
      <c r="Y1925" s="156">
        <v>1</v>
      </c>
      <c r="Z1925" s="18">
        <f t="shared" si="562"/>
        <v>16833680</v>
      </c>
      <c r="AA1925" s="13">
        <v>7.2099999999999997E-2</v>
      </c>
      <c r="AB1925" s="21">
        <f t="shared" si="566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67"/>
        <v>26754147.763010349</v>
      </c>
      <c r="AJ1925" s="19">
        <f t="shared" si="568"/>
        <v>3429137.9965357962</v>
      </c>
      <c r="AK1925" s="20">
        <f t="shared" si="556"/>
        <v>0.12817220069617921</v>
      </c>
      <c r="AL1925" s="17"/>
      <c r="AM1925" s="17"/>
      <c r="AN1925" s="17"/>
      <c r="AO1925" s="17"/>
      <c r="AP1925" s="28" t="str">
        <f t="shared" si="557"/>
        <v>20188</v>
      </c>
      <c r="AQ1925" s="28" t="str">
        <f t="shared" si="558"/>
        <v>20188JPY</v>
      </c>
      <c r="AR1925" s="206" t="str">
        <f t="shared" si="559"/>
        <v>YAMAHA_Mounter</v>
      </c>
      <c r="AS1925" s="22">
        <f t="shared" si="560"/>
        <v>5</v>
      </c>
      <c r="AT1925" s="24" t="str">
        <f t="shared" si="561"/>
        <v>4-6 months</v>
      </c>
      <c r="AU1925" s="22" t="s">
        <v>3746</v>
      </c>
    </row>
    <row r="1926" spans="1:47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185</v>
      </c>
      <c r="F1926" s="13" t="s">
        <v>185</v>
      </c>
      <c r="G1926" s="152" t="s">
        <v>185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620</v>
      </c>
      <c r="K1926" s="155" t="s">
        <v>449</v>
      </c>
      <c r="L1926" s="17" t="s">
        <v>92</v>
      </c>
      <c r="M1926" s="13" t="s">
        <v>60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61</v>
      </c>
      <c r="R1926" s="13" t="s">
        <v>62</v>
      </c>
      <c r="S1926" s="13" t="s">
        <v>49</v>
      </c>
      <c r="T1926" s="13" t="s">
        <v>249</v>
      </c>
      <c r="U1926" s="13" t="s">
        <v>79</v>
      </c>
      <c r="V1926" s="13" t="s">
        <v>112</v>
      </c>
      <c r="W1926" s="13" t="s">
        <v>109</v>
      </c>
      <c r="X1926" s="135">
        <v>14820000</v>
      </c>
      <c r="Y1926" s="156">
        <v>1</v>
      </c>
      <c r="Z1926" s="18">
        <f t="shared" si="562"/>
        <v>14820000</v>
      </c>
      <c r="AA1926" s="13">
        <v>7.2300000000000003E-2</v>
      </c>
      <c r="AB1926" s="21">
        <f t="shared" si="566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si="567"/>
        <v>499582152.5142017</v>
      </c>
      <c r="AJ1926" s="19">
        <f t="shared" si="568"/>
        <v>59520528.679470733</v>
      </c>
      <c r="AK1926" s="20">
        <f t="shared" ref="AK1926:AK1989" si="575">IF(AJ1926&gt;0,AJ1926/AI1926,"")</f>
        <v>0.11914062257814291</v>
      </c>
      <c r="AL1926" s="17"/>
      <c r="AM1926" s="17"/>
      <c r="AN1926" s="17"/>
      <c r="AO1926" s="17"/>
      <c r="AP1926" s="28" t="str">
        <f t="shared" ref="AP1926:AP1989" si="576">IF(F1926="","",F1926&amp;G1926)</f>
        <v>CancelCancel</v>
      </c>
      <c r="AQ1926" s="28" t="str">
        <f t="shared" ref="AQ1926:AQ1989" si="577">IF(W1926="","",F1926&amp;G1926&amp;W1926)</f>
        <v>CancelCancelJPY</v>
      </c>
      <c r="AR1926" s="206" t="str">
        <f t="shared" ref="AR1926:AR1989" si="578">IFERROR(IF(AND(M1926="YAMAHA", R1926="C28"), "YAMAHA_Non_Mounter", IF(AND(M1926="YAMAHA", R1926="C49"), "YAMAHA_Mounter", M1926)),"")</f>
        <v>YAMAHA_Mounter</v>
      </c>
      <c r="AS1926" s="22" t="str">
        <f t="shared" ref="AS1926:AS1989" si="579">IFERROR(IF(OR(G1926="TBA", G1926=""), "", DATEDIF(DATE(B1926, C1926, 1), DATE(F1926, G1926, 1), "M")),"")</f>
        <v/>
      </c>
      <c r="AT1926" s="24" t="str">
        <f t="shared" ref="AT1926:AT1989" si="580">IF(ISNUMBER(AS1926), IF(AS1926&gt;=0, IF(AS1926&lt;=3, "0-3 months", IF(AS1926&lt;=6, "4-6 months", "&gt; 6 months"))), "")</f>
        <v/>
      </c>
      <c r="AU1926" s="22" t="s">
        <v>3746</v>
      </c>
    </row>
    <row r="1927" spans="1:47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48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1048</v>
      </c>
      <c r="K1927" s="155" t="s">
        <v>1049</v>
      </c>
      <c r="L1927" s="17" t="s">
        <v>92</v>
      </c>
      <c r="M1927" s="13" t="s">
        <v>60</v>
      </c>
      <c r="N1927" s="13">
        <v>1</v>
      </c>
      <c r="O1927" s="13"/>
      <c r="P1927" s="33" t="str">
        <f t="shared" si="572"/>
        <v>MAIN UNIT</v>
      </c>
      <c r="Q1927" s="13" t="s">
        <v>61</v>
      </c>
      <c r="R1927" s="13" t="s">
        <v>62</v>
      </c>
      <c r="S1927" s="13" t="s">
        <v>49</v>
      </c>
      <c r="T1927" s="13" t="s">
        <v>249</v>
      </c>
      <c r="U1927" s="13" t="s">
        <v>79</v>
      </c>
      <c r="V1927" s="13" t="s">
        <v>112</v>
      </c>
      <c r="W1927" s="13" t="s">
        <v>109</v>
      </c>
      <c r="X1927" s="135">
        <v>17593685</v>
      </c>
      <c r="Y1927" s="156">
        <v>1</v>
      </c>
      <c r="Z1927" s="18">
        <f t="shared" si="562"/>
        <v>17593685</v>
      </c>
      <c r="AA1927" s="13">
        <v>7.3599999999999999E-2</v>
      </c>
      <c r="AB1927" s="21">
        <f t="shared" si="566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67"/>
        <v>33477255.428389374</v>
      </c>
      <c r="AJ1927" s="19">
        <f t="shared" si="568"/>
        <v>4578663.362915583</v>
      </c>
      <c r="AK1927" s="20">
        <f t="shared" si="575"/>
        <v>0.13676937682988152</v>
      </c>
      <c r="AL1927" s="17"/>
      <c r="AM1927" s="17"/>
      <c r="AN1927" s="17"/>
      <c r="AO1927" s="17"/>
      <c r="AP1927" s="28" t="str">
        <f t="shared" si="576"/>
        <v>20204</v>
      </c>
      <c r="AQ1927" s="28" t="str">
        <f t="shared" si="577"/>
        <v>20204JPY</v>
      </c>
      <c r="AR1927" s="206" t="str">
        <f t="shared" si="578"/>
        <v>YAMAHA_Mounter</v>
      </c>
      <c r="AS1927" s="22">
        <f t="shared" si="579"/>
        <v>1</v>
      </c>
      <c r="AT1927" s="24" t="str">
        <f t="shared" si="580"/>
        <v>0-3 months</v>
      </c>
      <c r="AU1927" s="22" t="s">
        <v>3745</v>
      </c>
    </row>
    <row r="1928" spans="1:47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53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1784</v>
      </c>
      <c r="K1928" s="155" t="s">
        <v>449</v>
      </c>
      <c r="L1928" s="17" t="s">
        <v>92</v>
      </c>
      <c r="M1928" s="13" t="s">
        <v>60</v>
      </c>
      <c r="N1928" s="13">
        <v>1</v>
      </c>
      <c r="O1928" s="13"/>
      <c r="P1928" s="33" t="str">
        <f t="shared" si="572"/>
        <v>MAIN UNIT</v>
      </c>
      <c r="Q1928" s="13" t="s">
        <v>61</v>
      </c>
      <c r="R1928" s="13" t="s">
        <v>62</v>
      </c>
      <c r="S1928" s="13" t="s">
        <v>49</v>
      </c>
      <c r="T1928" s="13" t="s">
        <v>78</v>
      </c>
      <c r="U1928" s="13" t="s">
        <v>79</v>
      </c>
      <c r="V1928" s="13" t="s">
        <v>112</v>
      </c>
      <c r="W1928" s="13" t="s">
        <v>109</v>
      </c>
      <c r="X1928" s="135">
        <v>11200000</v>
      </c>
      <c r="Y1928" s="157" t="str">
        <f>IF(W1928="RMB","1.13", "1")</f>
        <v>1</v>
      </c>
      <c r="Z1928" s="18">
        <f t="shared" si="562"/>
        <v>11200000</v>
      </c>
      <c r="AA1928" s="13">
        <v>7.2099999999999997E-2</v>
      </c>
      <c r="AB1928" s="21">
        <f t="shared" si="566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67"/>
        <v>54700260.692079648</v>
      </c>
      <c r="AJ1928" s="19">
        <f t="shared" si="568"/>
        <v>7482899.5749188727</v>
      </c>
      <c r="AK1928" s="20">
        <f t="shared" si="575"/>
        <v>0.13679824337660537</v>
      </c>
      <c r="AL1928" s="17"/>
      <c r="AM1928" s="17"/>
      <c r="AN1928" s="17"/>
      <c r="AO1928" s="17"/>
      <c r="AP1928" s="28" t="str">
        <f t="shared" si="576"/>
        <v>20216</v>
      </c>
      <c r="AQ1928" s="28" t="str">
        <f t="shared" si="577"/>
        <v>20216JPY</v>
      </c>
      <c r="AR1928" s="206" t="str">
        <f t="shared" si="578"/>
        <v>YAMAHA_Mounter</v>
      </c>
      <c r="AS1928" s="22">
        <f t="shared" si="579"/>
        <v>3</v>
      </c>
      <c r="AT1928" s="24" t="str">
        <f t="shared" si="580"/>
        <v>0-3 months</v>
      </c>
      <c r="AU1928" s="22" t="s">
        <v>3745</v>
      </c>
    </row>
    <row r="1929" spans="1:47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54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2153</v>
      </c>
      <c r="K1929" s="155" t="s">
        <v>2154</v>
      </c>
      <c r="L1929" s="17" t="s">
        <v>92</v>
      </c>
      <c r="M1929" s="13" t="s">
        <v>60</v>
      </c>
      <c r="N1929" s="13">
        <v>1</v>
      </c>
      <c r="O1929" s="13"/>
      <c r="P1929" s="33" t="str">
        <f t="shared" si="572"/>
        <v>MAIN UNIT</v>
      </c>
      <c r="Q1929" s="13" t="s">
        <v>61</v>
      </c>
      <c r="R1929" s="13" t="s">
        <v>62</v>
      </c>
      <c r="S1929" s="13" t="s">
        <v>50</v>
      </c>
      <c r="T1929" s="13" t="s">
        <v>78</v>
      </c>
      <c r="U1929" s="13" t="s">
        <v>79</v>
      </c>
      <c r="V1929" s="13" t="s">
        <v>126</v>
      </c>
      <c r="W1929" s="13" t="s">
        <v>64</v>
      </c>
      <c r="X1929" s="135">
        <v>900000</v>
      </c>
      <c r="Y1929" s="157" t="str">
        <f>IF(W1929="RMB","1.13", "1")</f>
        <v>1.13</v>
      </c>
      <c r="Z1929" s="18">
        <f t="shared" si="562"/>
        <v>900000</v>
      </c>
      <c r="AA1929" s="13">
        <v>1.22</v>
      </c>
      <c r="AB1929" s="21">
        <f t="shared" si="566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67"/>
        <v>46600814.041769907</v>
      </c>
      <c r="AJ1929" s="19">
        <f t="shared" si="568"/>
        <v>5956366.3435927071</v>
      </c>
      <c r="AK1929" s="20">
        <f t="shared" si="575"/>
        <v>0.1278167874546958</v>
      </c>
      <c r="AL1929" s="17"/>
      <c r="AM1929" s="17"/>
      <c r="AN1929" s="17"/>
      <c r="AO1929" s="17" t="s">
        <v>2148</v>
      </c>
      <c r="AP1929" s="28" t="str">
        <f t="shared" si="576"/>
        <v>20224</v>
      </c>
      <c r="AQ1929" s="28" t="str">
        <f t="shared" si="577"/>
        <v>20224RMB</v>
      </c>
      <c r="AR1929" s="206" t="str">
        <f t="shared" si="578"/>
        <v>YAMAHA_Mounter</v>
      </c>
      <c r="AS1929" s="22">
        <f t="shared" si="579"/>
        <v>1</v>
      </c>
      <c r="AT1929" s="24" t="str">
        <f t="shared" si="580"/>
        <v>0-3 months</v>
      </c>
      <c r="AU1929" s="22" t="s">
        <v>3751</v>
      </c>
    </row>
    <row r="1930" spans="1:47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54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2260</v>
      </c>
      <c r="K1930" s="155" t="s">
        <v>2261</v>
      </c>
      <c r="L1930" s="17" t="s">
        <v>92</v>
      </c>
      <c r="M1930" s="13" t="s">
        <v>60</v>
      </c>
      <c r="N1930" s="13">
        <v>1</v>
      </c>
      <c r="O1930" s="13"/>
      <c r="P1930" s="33" t="str">
        <f t="shared" si="572"/>
        <v>MAIN UNIT</v>
      </c>
      <c r="Q1930" s="13" t="s">
        <v>61</v>
      </c>
      <c r="R1930" s="13" t="s">
        <v>62</v>
      </c>
      <c r="S1930" s="13" t="s">
        <v>49</v>
      </c>
      <c r="T1930" s="13" t="s">
        <v>78</v>
      </c>
      <c r="U1930" s="13" t="s">
        <v>79</v>
      </c>
      <c r="V1930" s="13" t="s">
        <v>126</v>
      </c>
      <c r="W1930" s="13" t="s">
        <v>64</v>
      </c>
      <c r="X1930" s="135">
        <v>860640</v>
      </c>
      <c r="Y1930" s="157" t="str">
        <f>IF(W1930="RMB","1.13", "1")</f>
        <v>1.13</v>
      </c>
      <c r="Z1930" s="18">
        <f t="shared" ref="Z1930:Z1993" si="581">IF(X1930="","",X1930*MAX(O1930,N1930))</f>
        <v>860640</v>
      </c>
      <c r="AA1930" s="13">
        <v>1.163</v>
      </c>
      <c r="AB1930" s="21">
        <f t="shared" si="566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67"/>
        <v>35073581.838938057</v>
      </c>
      <c r="AJ1930" s="19">
        <f t="shared" si="568"/>
        <v>5034113.9728989396</v>
      </c>
      <c r="AK1930" s="20">
        <f t="shared" si="575"/>
        <v>0.14353007902118958</v>
      </c>
      <c r="AL1930" s="17"/>
      <c r="AM1930" s="17"/>
      <c r="AN1930" s="17"/>
      <c r="AO1930" s="17"/>
      <c r="AP1930" s="28" t="str">
        <f t="shared" si="576"/>
        <v>20228</v>
      </c>
      <c r="AQ1930" s="28" t="str">
        <f t="shared" si="577"/>
        <v>20228RMB</v>
      </c>
      <c r="AR1930" s="206" t="str">
        <f t="shared" si="578"/>
        <v>YAMAHA_Mounter</v>
      </c>
      <c r="AS1930" s="22">
        <f t="shared" si="579"/>
        <v>1</v>
      </c>
      <c r="AT1930" s="24" t="str">
        <f t="shared" si="580"/>
        <v>0-3 months</v>
      </c>
      <c r="AU1930" s="22" t="s">
        <v>3751</v>
      </c>
    </row>
    <row r="1931" spans="1:47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48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1438</v>
      </c>
      <c r="K1931" s="155" t="s">
        <v>1439</v>
      </c>
      <c r="L1931" s="17" t="s">
        <v>67</v>
      </c>
      <c r="M1931" s="13" t="s">
        <v>60</v>
      </c>
      <c r="N1931" s="13">
        <v>1</v>
      </c>
      <c r="O1931" s="13"/>
      <c r="P1931" s="33" t="str">
        <f t="shared" si="572"/>
        <v>MAIN UNIT</v>
      </c>
      <c r="Q1931" s="13" t="s">
        <v>61</v>
      </c>
      <c r="R1931" s="13" t="s">
        <v>62</v>
      </c>
      <c r="S1931" s="13" t="s">
        <v>49</v>
      </c>
      <c r="T1931" s="13" t="s">
        <v>78</v>
      </c>
      <c r="U1931" s="13" t="s">
        <v>79</v>
      </c>
      <c r="V1931" s="13" t="s">
        <v>311</v>
      </c>
      <c r="W1931" s="13" t="s">
        <v>109</v>
      </c>
      <c r="X1931" s="135">
        <v>8500000</v>
      </c>
      <c r="Y1931" s="157" t="str">
        <f>IF(W1931="RMB","1.13", "1")</f>
        <v>1</v>
      </c>
      <c r="Z1931" s="18">
        <f t="shared" si="581"/>
        <v>8500000</v>
      </c>
      <c r="AA1931" s="13">
        <v>7.6100000000000001E-2</v>
      </c>
      <c r="AB1931" s="21">
        <f t="shared" si="566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67"/>
        <v>48763143.537654862</v>
      </c>
      <c r="AJ1931" s="19">
        <f t="shared" si="568"/>
        <v>5924029.9702154724</v>
      </c>
      <c r="AK1931" s="20">
        <f t="shared" si="575"/>
        <v>0.1214858095774925</v>
      </c>
      <c r="AL1931" s="17"/>
      <c r="AM1931" s="17"/>
      <c r="AN1931" s="17"/>
      <c r="AO1931" s="17" t="s">
        <v>1440</v>
      </c>
      <c r="AP1931" s="28" t="str">
        <f t="shared" si="576"/>
        <v>202012</v>
      </c>
      <c r="AQ1931" s="28" t="str">
        <f t="shared" si="577"/>
        <v>202012JPY</v>
      </c>
      <c r="AR1931" s="206" t="str">
        <f t="shared" si="578"/>
        <v>YAMAHA_Mounter</v>
      </c>
      <c r="AS1931" s="22">
        <f t="shared" si="579"/>
        <v>3</v>
      </c>
      <c r="AT1931" s="24" t="str">
        <f t="shared" si="580"/>
        <v>0-3 months</v>
      </c>
      <c r="AU1931" s="22" t="s">
        <v>3745</v>
      </c>
    </row>
    <row r="1932" spans="1:47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47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917</v>
      </c>
      <c r="K1932" s="155" t="s">
        <v>918</v>
      </c>
      <c r="L1932" s="17" t="s">
        <v>92</v>
      </c>
      <c r="M1932" s="13" t="s">
        <v>60</v>
      </c>
      <c r="N1932" s="13">
        <v>1</v>
      </c>
      <c r="O1932" s="13"/>
      <c r="P1932" s="33" t="str">
        <f t="shared" si="572"/>
        <v>MAIN UNIT</v>
      </c>
      <c r="Q1932" s="13" t="s">
        <v>68</v>
      </c>
      <c r="R1932" s="13" t="s">
        <v>62</v>
      </c>
      <c r="S1932" s="13" t="s">
        <v>49</v>
      </c>
      <c r="T1932" s="13" t="s">
        <v>78</v>
      </c>
      <c r="U1932" s="13" t="s">
        <v>79</v>
      </c>
      <c r="V1932" s="13" t="s">
        <v>471</v>
      </c>
      <c r="W1932" s="13" t="s">
        <v>64</v>
      </c>
      <c r="X1932" s="135">
        <v>1200000</v>
      </c>
      <c r="Y1932" s="156">
        <v>1.1299999999999999</v>
      </c>
      <c r="Z1932" s="18">
        <f t="shared" si="581"/>
        <v>1200000</v>
      </c>
      <c r="AA1932" s="13">
        <v>1.095</v>
      </c>
      <c r="AB1932" s="21">
        <f t="shared" si="566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67"/>
        <v>28647263.974455759</v>
      </c>
      <c r="AJ1932" s="19">
        <f t="shared" si="568"/>
        <v>3219855.6912513468</v>
      </c>
      <c r="AK1932" s="20">
        <f t="shared" si="575"/>
        <v>0.11239662168514358</v>
      </c>
      <c r="AL1932" s="17"/>
      <c r="AM1932" s="17"/>
      <c r="AN1932" s="17"/>
      <c r="AO1932" s="17"/>
      <c r="AP1932" s="28" t="str">
        <f t="shared" si="576"/>
        <v>201910</v>
      </c>
      <c r="AQ1932" s="28" t="str">
        <f t="shared" si="577"/>
        <v>201910RMB</v>
      </c>
      <c r="AR1932" s="206" t="str">
        <f t="shared" si="578"/>
        <v>YAMAHA_Mounter</v>
      </c>
      <c r="AS1932" s="22">
        <f t="shared" si="579"/>
        <v>2</v>
      </c>
      <c r="AT1932" s="24" t="str">
        <f t="shared" si="580"/>
        <v>0-3 months</v>
      </c>
      <c r="AU1932" s="22" t="s">
        <v>3744</v>
      </c>
    </row>
    <row r="1933" spans="1:47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47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917</v>
      </c>
      <c r="K1933" s="155" t="s">
        <v>918</v>
      </c>
      <c r="L1933" s="17" t="s">
        <v>67</v>
      </c>
      <c r="M1933" s="13" t="s">
        <v>60</v>
      </c>
      <c r="N1933" s="13">
        <v>1</v>
      </c>
      <c r="O1933" s="13"/>
      <c r="P1933" s="33" t="str">
        <f t="shared" si="572"/>
        <v>MAIN UNIT</v>
      </c>
      <c r="Q1933" s="13" t="s">
        <v>68</v>
      </c>
      <c r="R1933" s="13" t="s">
        <v>62</v>
      </c>
      <c r="S1933" s="13" t="s">
        <v>49</v>
      </c>
      <c r="T1933" s="13" t="s">
        <v>78</v>
      </c>
      <c r="U1933" s="13" t="s">
        <v>79</v>
      </c>
      <c r="V1933" s="13" t="s">
        <v>471</v>
      </c>
      <c r="W1933" s="13" t="s">
        <v>64</v>
      </c>
      <c r="X1933" s="135">
        <v>800000</v>
      </c>
      <c r="Y1933" s="156">
        <v>1.1299999999999999</v>
      </c>
      <c r="Z1933" s="18">
        <f t="shared" si="581"/>
        <v>800000</v>
      </c>
      <c r="AA1933" s="13">
        <v>1.095</v>
      </c>
      <c r="AB1933" s="21">
        <f t="shared" si="566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67"/>
        <v>28647263.974455759</v>
      </c>
      <c r="AJ1933" s="19">
        <f t="shared" si="568"/>
        <v>3219855.6912513468</v>
      </c>
      <c r="AK1933" s="20">
        <f t="shared" si="575"/>
        <v>0.11239662168514358</v>
      </c>
      <c r="AL1933" s="17"/>
      <c r="AM1933" s="17"/>
      <c r="AN1933" s="17"/>
      <c r="AO1933" s="17"/>
      <c r="AP1933" s="28" t="str">
        <f t="shared" si="576"/>
        <v>201910</v>
      </c>
      <c r="AQ1933" s="28" t="str">
        <f t="shared" si="577"/>
        <v>201910RMB</v>
      </c>
      <c r="AR1933" s="206" t="str">
        <f t="shared" si="578"/>
        <v>YAMAHA_Mounter</v>
      </c>
      <c r="AS1933" s="22">
        <f t="shared" si="579"/>
        <v>2</v>
      </c>
      <c r="AT1933" s="24" t="str">
        <f t="shared" si="580"/>
        <v>0-3 months</v>
      </c>
      <c r="AU1933" s="22" t="s">
        <v>3744</v>
      </c>
    </row>
    <row r="1934" spans="1:47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47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917</v>
      </c>
      <c r="K1934" s="155" t="s">
        <v>918</v>
      </c>
      <c r="L1934" s="17" t="s">
        <v>67</v>
      </c>
      <c r="M1934" s="13" t="s">
        <v>60</v>
      </c>
      <c r="N1934" s="13">
        <v>1</v>
      </c>
      <c r="O1934" s="13"/>
      <c r="P1934" s="33" t="str">
        <f t="shared" si="572"/>
        <v>MAIN UNIT</v>
      </c>
      <c r="Q1934" s="13" t="s">
        <v>68</v>
      </c>
      <c r="R1934" s="13" t="s">
        <v>62</v>
      </c>
      <c r="S1934" s="13" t="s">
        <v>49</v>
      </c>
      <c r="T1934" s="13" t="s">
        <v>78</v>
      </c>
      <c r="U1934" s="13" t="s">
        <v>79</v>
      </c>
      <c r="V1934" s="13" t="s">
        <v>471</v>
      </c>
      <c r="W1934" s="13" t="s">
        <v>64</v>
      </c>
      <c r="X1934" s="135">
        <v>800000</v>
      </c>
      <c r="Y1934" s="156">
        <v>1.1299999999999999</v>
      </c>
      <c r="Z1934" s="18">
        <f t="shared" si="581"/>
        <v>800000</v>
      </c>
      <c r="AA1934" s="13">
        <v>1.095</v>
      </c>
      <c r="AB1934" s="21">
        <f t="shared" si="566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67"/>
        <v>28647263.974455759</v>
      </c>
      <c r="AJ1934" s="19">
        <f t="shared" si="568"/>
        <v>3219855.6912513468</v>
      </c>
      <c r="AK1934" s="20">
        <f t="shared" si="575"/>
        <v>0.11239662168514358</v>
      </c>
      <c r="AL1934" s="17"/>
      <c r="AM1934" s="17"/>
      <c r="AN1934" s="17"/>
      <c r="AO1934" s="17"/>
      <c r="AP1934" s="28" t="str">
        <f t="shared" si="576"/>
        <v>201910</v>
      </c>
      <c r="AQ1934" s="28" t="str">
        <f t="shared" si="577"/>
        <v>201910RMB</v>
      </c>
      <c r="AR1934" s="206" t="str">
        <f t="shared" si="578"/>
        <v>YAMAHA_Mounter</v>
      </c>
      <c r="AS1934" s="22">
        <f t="shared" si="579"/>
        <v>2</v>
      </c>
      <c r="AT1934" s="24" t="str">
        <f t="shared" si="580"/>
        <v>0-3 months</v>
      </c>
      <c r="AU1934" s="22" t="s">
        <v>3744</v>
      </c>
    </row>
    <row r="1935" spans="1:47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3172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3422</v>
      </c>
      <c r="K1935" s="29" t="s">
        <v>2291</v>
      </c>
      <c r="L1935" s="17" t="s">
        <v>92</v>
      </c>
      <c r="M1935" s="22" t="s">
        <v>60</v>
      </c>
      <c r="N1935" s="22">
        <v>1</v>
      </c>
      <c r="O1935" s="22"/>
      <c r="P1935" s="33" t="str">
        <f t="shared" si="572"/>
        <v>MAIN UNIT</v>
      </c>
      <c r="Q1935" s="13" t="s">
        <v>61</v>
      </c>
      <c r="R1935" s="22" t="s">
        <v>62</v>
      </c>
      <c r="S1935" s="22" t="s">
        <v>49</v>
      </c>
      <c r="T1935" s="22" t="s">
        <v>78</v>
      </c>
      <c r="U1935" s="22" t="s">
        <v>78</v>
      </c>
      <c r="V1935" s="22" t="s">
        <v>126</v>
      </c>
      <c r="W1935" s="22" t="s">
        <v>109</v>
      </c>
      <c r="X1935" s="94">
        <v>12800000</v>
      </c>
      <c r="Y1935" s="195" t="str">
        <f>IF(W1935="","",IF(W1935="RMB","1.13", "1"))</f>
        <v>1</v>
      </c>
      <c r="Z1935" s="196">
        <f t="shared" si="581"/>
        <v>12800000</v>
      </c>
      <c r="AA1935" s="22">
        <v>5.0999999999999997E-2</v>
      </c>
      <c r="AB1935" s="197">
        <f t="shared" si="566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67"/>
        <v>27308925.887079656</v>
      </c>
      <c r="AJ1935" s="200">
        <f t="shared" si="568"/>
        <v>3319273.860338124</v>
      </c>
      <c r="AK1935" s="201">
        <f t="shared" si="575"/>
        <v>0.12154538314919709</v>
      </c>
      <c r="AL1935" s="24"/>
      <c r="AM1935" s="24"/>
      <c r="AN1935" s="24"/>
      <c r="AO1935" s="24"/>
      <c r="AP1935" s="28" t="str">
        <f t="shared" si="576"/>
        <v>20246</v>
      </c>
      <c r="AQ1935" s="28" t="str">
        <f t="shared" si="577"/>
        <v>20246JPY</v>
      </c>
      <c r="AR1935" s="206" t="str">
        <f t="shared" si="578"/>
        <v>YAMAHA_Mounter</v>
      </c>
      <c r="AS1935" s="22">
        <f t="shared" si="579"/>
        <v>1</v>
      </c>
      <c r="AT1935" s="24" t="str">
        <f t="shared" si="580"/>
        <v>0-3 months</v>
      </c>
      <c r="AU1935" s="22" t="s">
        <v>3745</v>
      </c>
    </row>
    <row r="1936" spans="1:47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3376</v>
      </c>
      <c r="K1936" s="29" t="s">
        <v>3377</v>
      </c>
      <c r="L1936" s="17" t="s">
        <v>67</v>
      </c>
      <c r="M1936" s="22" t="s">
        <v>60</v>
      </c>
      <c r="N1936" s="22">
        <v>1</v>
      </c>
      <c r="O1936" s="22"/>
      <c r="P1936" s="33" t="str">
        <f t="shared" si="572"/>
        <v>MAIN UNIT</v>
      </c>
      <c r="Q1936" s="13" t="s">
        <v>61</v>
      </c>
      <c r="R1936" s="22" t="s">
        <v>62</v>
      </c>
      <c r="S1936" s="22" t="s">
        <v>49</v>
      </c>
      <c r="T1936" s="22" t="s">
        <v>78</v>
      </c>
      <c r="U1936" s="22" t="s">
        <v>78</v>
      </c>
      <c r="V1936" s="22" t="s">
        <v>126</v>
      </c>
      <c r="W1936" s="22" t="s">
        <v>109</v>
      </c>
      <c r="X1936" s="30">
        <v>6750000</v>
      </c>
      <c r="Y1936" s="31" t="str">
        <f>IF(W1936="","",IF(W1936="RMB","1.13", "1"))</f>
        <v>1</v>
      </c>
      <c r="Z1936" s="18">
        <f t="shared" si="581"/>
        <v>6750000</v>
      </c>
      <c r="AA1936" s="22">
        <v>5.0999999999999997E-2</v>
      </c>
      <c r="AB1936" s="21">
        <f t="shared" si="566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67"/>
        <v>27308925.887079656</v>
      </c>
      <c r="AJ1936" s="27">
        <f t="shared" si="568"/>
        <v>3319273.860338124</v>
      </c>
      <c r="AK1936" s="28">
        <f t="shared" si="575"/>
        <v>0.12154538314919709</v>
      </c>
      <c r="AL1936" s="24"/>
      <c r="AM1936" s="24"/>
      <c r="AN1936" s="24"/>
      <c r="AO1936" s="24"/>
      <c r="AP1936" s="28" t="str">
        <f t="shared" si="576"/>
        <v>20246</v>
      </c>
      <c r="AQ1936" s="28" t="str">
        <f t="shared" si="577"/>
        <v>20246JPY</v>
      </c>
      <c r="AR1936" s="206" t="str">
        <f t="shared" si="578"/>
        <v>YAMAHA_Mounter</v>
      </c>
      <c r="AS1936" s="22">
        <f t="shared" si="579"/>
        <v>2</v>
      </c>
      <c r="AT1936" s="24" t="str">
        <f t="shared" si="580"/>
        <v>0-3 months</v>
      </c>
      <c r="AU1936" s="22" t="s">
        <v>3745</v>
      </c>
    </row>
    <row r="1937" spans="1:47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3172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3383</v>
      </c>
      <c r="K1937" s="29" t="s">
        <v>3384</v>
      </c>
      <c r="L1937" s="17" t="s">
        <v>92</v>
      </c>
      <c r="M1937" s="22" t="s">
        <v>60</v>
      </c>
      <c r="N1937" s="22">
        <v>1</v>
      </c>
      <c r="O1937" s="22"/>
      <c r="P1937" s="33" t="str">
        <f t="shared" si="572"/>
        <v>MAIN UNIT</v>
      </c>
      <c r="Q1937" s="13" t="s">
        <v>68</v>
      </c>
      <c r="R1937" s="22" t="s">
        <v>62</v>
      </c>
      <c r="S1937" s="22" t="s">
        <v>49</v>
      </c>
      <c r="T1937" s="22" t="s">
        <v>78</v>
      </c>
      <c r="U1937" s="22" t="s">
        <v>78</v>
      </c>
      <c r="V1937" s="22" t="s">
        <v>311</v>
      </c>
      <c r="W1937" s="22" t="s">
        <v>109</v>
      </c>
      <c r="X1937" s="30">
        <v>12000000</v>
      </c>
      <c r="Y1937" s="31" t="str">
        <f>IF(W1937="","",IF(W1937="RMB","1.13", "1"))</f>
        <v>1</v>
      </c>
      <c r="Z1937" s="18">
        <f t="shared" si="581"/>
        <v>12000000</v>
      </c>
      <c r="AA1937" s="22">
        <v>5.0999999999999997E-2</v>
      </c>
      <c r="AB1937" s="21">
        <f t="shared" si="566"/>
        <v>612000</v>
      </c>
      <c r="AC1937" s="25">
        <f t="shared" si="573"/>
        <v>50428.800000000003</v>
      </c>
      <c r="AD1937" s="22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67"/>
        <v>27308925.887079656</v>
      </c>
      <c r="AJ1937" s="27">
        <f t="shared" si="568"/>
        <v>3319273.860338124</v>
      </c>
      <c r="AK1937" s="28">
        <f t="shared" si="575"/>
        <v>0.12154538314919709</v>
      </c>
      <c r="AL1937" s="24"/>
      <c r="AM1937" s="24"/>
      <c r="AN1937" s="24"/>
      <c r="AO1937" s="24"/>
      <c r="AP1937" s="28" t="str">
        <f t="shared" si="576"/>
        <v>20246</v>
      </c>
      <c r="AQ1937" s="28" t="str">
        <f t="shared" si="577"/>
        <v>20246JPY</v>
      </c>
      <c r="AR1937" s="206" t="str">
        <f t="shared" si="578"/>
        <v>YAMAHA_Mounter</v>
      </c>
      <c r="AS1937" s="22">
        <f t="shared" si="579"/>
        <v>2</v>
      </c>
      <c r="AT1937" s="24" t="str">
        <f t="shared" si="580"/>
        <v>0-3 months</v>
      </c>
      <c r="AU1937" s="22" t="s">
        <v>3745</v>
      </c>
    </row>
    <row r="1938" spans="1:47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3172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3383</v>
      </c>
      <c r="K1938" s="29" t="s">
        <v>3384</v>
      </c>
      <c r="L1938" s="17" t="s">
        <v>92</v>
      </c>
      <c r="M1938" s="22" t="s">
        <v>60</v>
      </c>
      <c r="N1938" s="22">
        <v>1</v>
      </c>
      <c r="O1938" s="22"/>
      <c r="P1938" s="33" t="str">
        <f t="shared" si="572"/>
        <v>MAIN UNIT</v>
      </c>
      <c r="Q1938" s="13" t="s">
        <v>68</v>
      </c>
      <c r="R1938" s="22" t="s">
        <v>62</v>
      </c>
      <c r="S1938" s="22" t="s">
        <v>49</v>
      </c>
      <c r="T1938" s="22" t="s">
        <v>78</v>
      </c>
      <c r="U1938" s="22" t="s">
        <v>78</v>
      </c>
      <c r="V1938" s="22" t="s">
        <v>311</v>
      </c>
      <c r="W1938" s="22" t="s">
        <v>109</v>
      </c>
      <c r="X1938" s="30">
        <v>12000000</v>
      </c>
      <c r="Y1938" s="31" t="str">
        <f>IF(W1938="","",IF(W1938="RMB","1.13", "1"))</f>
        <v>1</v>
      </c>
      <c r="Z1938" s="18">
        <f t="shared" si="581"/>
        <v>12000000</v>
      </c>
      <c r="AA1938" s="22">
        <v>5.0999999999999997E-2</v>
      </c>
      <c r="AB1938" s="21">
        <f t="shared" si="566"/>
        <v>612000</v>
      </c>
      <c r="AC1938" s="25">
        <f t="shared" si="573"/>
        <v>50428.800000000003</v>
      </c>
      <c r="AD1938" s="22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67"/>
        <v>27308925.887079656</v>
      </c>
      <c r="AJ1938" s="27">
        <f t="shared" si="568"/>
        <v>3319273.860338124</v>
      </c>
      <c r="AK1938" s="28">
        <f t="shared" si="575"/>
        <v>0.12154538314919709</v>
      </c>
      <c r="AL1938" s="24"/>
      <c r="AM1938" s="24"/>
      <c r="AN1938" s="24"/>
      <c r="AO1938" s="24"/>
      <c r="AP1938" s="28" t="str">
        <f t="shared" si="576"/>
        <v>20246</v>
      </c>
      <c r="AQ1938" s="28" t="str">
        <f t="shared" si="577"/>
        <v>20246JPY</v>
      </c>
      <c r="AR1938" s="206" t="str">
        <f t="shared" si="578"/>
        <v>YAMAHA_Mounter</v>
      </c>
      <c r="AS1938" s="22">
        <f t="shared" si="579"/>
        <v>2</v>
      </c>
      <c r="AT1938" s="24" t="str">
        <f t="shared" si="580"/>
        <v>0-3 months</v>
      </c>
      <c r="AU1938" s="22" t="s">
        <v>3745</v>
      </c>
    </row>
    <row r="1939" spans="1:47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53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1926</v>
      </c>
      <c r="K1939" s="155" t="s">
        <v>1927</v>
      </c>
      <c r="L1939" s="17" t="s">
        <v>92</v>
      </c>
      <c r="M1939" s="13" t="s">
        <v>60</v>
      </c>
      <c r="N1939" s="13">
        <v>1</v>
      </c>
      <c r="O1939" s="13"/>
      <c r="P1939" s="33" t="str">
        <f t="shared" si="572"/>
        <v>MAIN UNIT</v>
      </c>
      <c r="Q1939" s="13" t="s">
        <v>61</v>
      </c>
      <c r="R1939" s="13" t="s">
        <v>62</v>
      </c>
      <c r="S1939" s="13" t="s">
        <v>49</v>
      </c>
      <c r="T1939" s="13" t="s">
        <v>78</v>
      </c>
      <c r="U1939" s="13" t="s">
        <v>79</v>
      </c>
      <c r="V1939" s="13" t="s">
        <v>1486</v>
      </c>
      <c r="W1939" s="13" t="s">
        <v>1341</v>
      </c>
      <c r="X1939" s="135">
        <v>11800000</v>
      </c>
      <c r="Y1939" s="157" t="str">
        <f t="shared" ref="Y1939:Y1944" si="582">IF(W1939="RMB","1.13", "1")</f>
        <v>1</v>
      </c>
      <c r="Z1939" s="18">
        <f t="shared" si="581"/>
        <v>11800000</v>
      </c>
      <c r="AA1939" s="13">
        <v>6.9199999999999998E-2</v>
      </c>
      <c r="AB1939" s="21">
        <f t="shared" si="566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67"/>
        <v>26407088.359292038</v>
      </c>
      <c r="AJ1939" s="19">
        <f t="shared" si="568"/>
        <v>3424510.6998470789</v>
      </c>
      <c r="AK1939" s="20">
        <f t="shared" si="575"/>
        <v>0.12968149510667554</v>
      </c>
      <c r="AL1939" s="17"/>
      <c r="AM1939" s="17"/>
      <c r="AN1939" s="17"/>
      <c r="AO1939" s="17"/>
      <c r="AP1939" s="28" t="str">
        <f t="shared" si="576"/>
        <v>20221</v>
      </c>
      <c r="AQ1939" s="28" t="str">
        <f t="shared" si="577"/>
        <v>20221JPY</v>
      </c>
      <c r="AR1939" s="206" t="str">
        <f t="shared" si="578"/>
        <v>YAMAHA_Mounter</v>
      </c>
      <c r="AS1939" s="22">
        <f t="shared" si="579"/>
        <v>10</v>
      </c>
      <c r="AT1939" s="24" t="str">
        <f t="shared" si="580"/>
        <v>&gt; 6 months</v>
      </c>
      <c r="AU1939" s="22" t="s">
        <v>3746</v>
      </c>
    </row>
    <row r="1940" spans="1:47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53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1926</v>
      </c>
      <c r="K1940" s="155" t="s">
        <v>1927</v>
      </c>
      <c r="L1940" s="17" t="s">
        <v>67</v>
      </c>
      <c r="M1940" s="13" t="s">
        <v>60</v>
      </c>
      <c r="N1940" s="13">
        <v>1</v>
      </c>
      <c r="O1940" s="13"/>
      <c r="P1940" s="33" t="str">
        <f t="shared" si="572"/>
        <v>MAIN UNIT</v>
      </c>
      <c r="Q1940" s="13" t="s">
        <v>61</v>
      </c>
      <c r="R1940" s="13" t="s">
        <v>62</v>
      </c>
      <c r="S1940" s="13" t="s">
        <v>49</v>
      </c>
      <c r="T1940" s="13" t="s">
        <v>78</v>
      </c>
      <c r="U1940" s="13" t="s">
        <v>79</v>
      </c>
      <c r="V1940" s="13" t="s">
        <v>1486</v>
      </c>
      <c r="W1940" s="13" t="s">
        <v>1341</v>
      </c>
      <c r="X1940" s="135">
        <v>8000000</v>
      </c>
      <c r="Y1940" s="157" t="str">
        <f t="shared" si="582"/>
        <v>1</v>
      </c>
      <c r="Z1940" s="18">
        <f t="shared" si="581"/>
        <v>8000000</v>
      </c>
      <c r="AA1940" s="13">
        <v>6.9199999999999998E-2</v>
      </c>
      <c r="AB1940" s="21">
        <f t="shared" si="566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67"/>
        <v>28726768.133805312</v>
      </c>
      <c r="AJ1940" s="19">
        <f t="shared" si="568"/>
        <v>3853638.1988864429</v>
      </c>
      <c r="AK1940" s="20">
        <f t="shared" si="575"/>
        <v>0.1341479898099476</v>
      </c>
      <c r="AL1940" s="17"/>
      <c r="AM1940" s="17"/>
      <c r="AN1940" s="17"/>
      <c r="AO1940" s="17"/>
      <c r="AP1940" s="28" t="str">
        <f t="shared" si="576"/>
        <v>20223</v>
      </c>
      <c r="AQ1940" s="28" t="str">
        <f t="shared" si="577"/>
        <v>20223JPY</v>
      </c>
      <c r="AR1940" s="206" t="str">
        <f t="shared" si="578"/>
        <v>YAMAHA_Mounter</v>
      </c>
      <c r="AS1940" s="22">
        <f t="shared" si="579"/>
        <v>12</v>
      </c>
      <c r="AT1940" s="24" t="str">
        <f t="shared" si="580"/>
        <v>&gt; 6 months</v>
      </c>
      <c r="AU1940" s="22" t="s">
        <v>3240</v>
      </c>
    </row>
    <row r="1941" spans="1:47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54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2296</v>
      </c>
      <c r="K1941" s="155" t="s">
        <v>2297</v>
      </c>
      <c r="L1941" s="17" t="s">
        <v>92</v>
      </c>
      <c r="M1941" s="13" t="s">
        <v>60</v>
      </c>
      <c r="N1941" s="13">
        <v>1</v>
      </c>
      <c r="O1941" s="13"/>
      <c r="P1941" s="33" t="str">
        <f t="shared" si="572"/>
        <v>MAIN UNIT</v>
      </c>
      <c r="Q1941" s="13" t="s">
        <v>61</v>
      </c>
      <c r="R1941" s="13" t="s">
        <v>62</v>
      </c>
      <c r="S1941" s="13" t="s">
        <v>49</v>
      </c>
      <c r="T1941" s="13" t="s">
        <v>78</v>
      </c>
      <c r="U1941" s="13" t="s">
        <v>79</v>
      </c>
      <c r="V1941" s="13" t="s">
        <v>80</v>
      </c>
      <c r="W1941" s="13" t="s">
        <v>109</v>
      </c>
      <c r="X1941" s="135">
        <v>12600000</v>
      </c>
      <c r="Y1941" s="157" t="str">
        <f t="shared" si="582"/>
        <v>1</v>
      </c>
      <c r="Z1941" s="18">
        <f t="shared" si="581"/>
        <v>12600000</v>
      </c>
      <c r="AA1941" s="13">
        <v>5.5399999999999998E-2</v>
      </c>
      <c r="AB1941" s="21">
        <f t="shared" si="566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67"/>
        <v>22717528.991150443</v>
      </c>
      <c r="AJ1941" s="19">
        <f t="shared" si="568"/>
        <v>3947747.192555753</v>
      </c>
      <c r="AK1941" s="20">
        <f t="shared" si="575"/>
        <v>0.1737753782153679</v>
      </c>
      <c r="AL1941" s="17"/>
      <c r="AM1941" s="17"/>
      <c r="AN1941" s="17"/>
      <c r="AO1941" s="17"/>
      <c r="AP1941" s="28" t="str">
        <f t="shared" si="576"/>
        <v>202210</v>
      </c>
      <c r="AQ1941" s="28" t="str">
        <f t="shared" si="577"/>
        <v>202210JPY</v>
      </c>
      <c r="AR1941" s="206" t="str">
        <f t="shared" si="578"/>
        <v>YAMAHA_Mounter</v>
      </c>
      <c r="AS1941" s="22">
        <f t="shared" si="579"/>
        <v>1</v>
      </c>
      <c r="AT1941" s="24" t="str">
        <f t="shared" si="580"/>
        <v>0-3 months</v>
      </c>
      <c r="AU1941" s="22" t="s">
        <v>3745</v>
      </c>
    </row>
    <row r="1942" spans="1:47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54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2296</v>
      </c>
      <c r="K1942" s="155" t="s">
        <v>2297</v>
      </c>
      <c r="L1942" s="17" t="s">
        <v>67</v>
      </c>
      <c r="M1942" s="13" t="s">
        <v>60</v>
      </c>
      <c r="N1942" s="13">
        <v>1</v>
      </c>
      <c r="O1942" s="13"/>
      <c r="P1942" s="33" t="str">
        <f t="shared" si="572"/>
        <v>MAIN UNIT</v>
      </c>
      <c r="Q1942" s="13" t="s">
        <v>61</v>
      </c>
      <c r="R1942" s="13" t="s">
        <v>62</v>
      </c>
      <c r="S1942" s="13" t="s">
        <v>49</v>
      </c>
      <c r="T1942" s="13" t="s">
        <v>78</v>
      </c>
      <c r="U1942" s="13" t="s">
        <v>79</v>
      </c>
      <c r="V1942" s="13" t="s">
        <v>80</v>
      </c>
      <c r="W1942" s="13" t="s">
        <v>109</v>
      </c>
      <c r="X1942" s="135">
        <v>7600000</v>
      </c>
      <c r="Y1942" s="157" t="str">
        <f t="shared" si="582"/>
        <v>1</v>
      </c>
      <c r="Z1942" s="18">
        <f t="shared" si="581"/>
        <v>7600000</v>
      </c>
      <c r="AA1942" s="13">
        <v>5.5399999999999998E-2</v>
      </c>
      <c r="AB1942" s="21">
        <f t="shared" si="566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67"/>
        <v>22717528.991150443</v>
      </c>
      <c r="AJ1942" s="19">
        <f t="shared" si="568"/>
        <v>3947747.192555753</v>
      </c>
      <c r="AK1942" s="20">
        <f t="shared" si="575"/>
        <v>0.1737753782153679</v>
      </c>
      <c r="AL1942" s="17"/>
      <c r="AM1942" s="17"/>
      <c r="AN1942" s="17"/>
      <c r="AO1942" s="17"/>
      <c r="AP1942" s="28" t="str">
        <f t="shared" si="576"/>
        <v>202210</v>
      </c>
      <c r="AQ1942" s="28" t="str">
        <f t="shared" si="577"/>
        <v>202210JPY</v>
      </c>
      <c r="AR1942" s="206" t="str">
        <f t="shared" si="578"/>
        <v>YAMAHA_Mounter</v>
      </c>
      <c r="AS1942" s="22">
        <f t="shared" si="579"/>
        <v>1</v>
      </c>
      <c r="AT1942" s="24" t="str">
        <f t="shared" si="580"/>
        <v>0-3 months</v>
      </c>
      <c r="AU1942" s="22" t="s">
        <v>3745</v>
      </c>
    </row>
    <row r="1943" spans="1:47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54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2296</v>
      </c>
      <c r="K1943" s="155" t="s">
        <v>2297</v>
      </c>
      <c r="L1943" s="17" t="s">
        <v>67</v>
      </c>
      <c r="M1943" s="13" t="s">
        <v>60</v>
      </c>
      <c r="N1943" s="13">
        <v>1</v>
      </c>
      <c r="O1943" s="13"/>
      <c r="P1943" s="33" t="str">
        <f t="shared" si="572"/>
        <v>MAIN UNIT</v>
      </c>
      <c r="Q1943" s="13" t="s">
        <v>61</v>
      </c>
      <c r="R1943" s="13" t="s">
        <v>62</v>
      </c>
      <c r="S1943" s="13" t="s">
        <v>49</v>
      </c>
      <c r="T1943" s="13" t="s">
        <v>78</v>
      </c>
      <c r="U1943" s="13" t="s">
        <v>79</v>
      </c>
      <c r="V1943" s="13" t="s">
        <v>80</v>
      </c>
      <c r="W1943" s="13" t="s">
        <v>109</v>
      </c>
      <c r="X1943" s="135">
        <v>7600000</v>
      </c>
      <c r="Y1943" s="157" t="str">
        <f t="shared" si="582"/>
        <v>1</v>
      </c>
      <c r="Z1943" s="18">
        <f t="shared" si="581"/>
        <v>7600000</v>
      </c>
      <c r="AA1943" s="13">
        <v>5.5399999999999998E-2</v>
      </c>
      <c r="AB1943" s="21">
        <f t="shared" si="566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67"/>
        <v>22717528.991150443</v>
      </c>
      <c r="AJ1943" s="19">
        <f t="shared" si="568"/>
        <v>3947747.192555753</v>
      </c>
      <c r="AK1943" s="20">
        <f t="shared" si="575"/>
        <v>0.1737753782153679</v>
      </c>
      <c r="AL1943" s="17"/>
      <c r="AM1943" s="17"/>
      <c r="AN1943" s="17"/>
      <c r="AO1943" s="17"/>
      <c r="AP1943" s="28" t="str">
        <f t="shared" si="576"/>
        <v>202210</v>
      </c>
      <c r="AQ1943" s="28" t="str">
        <f t="shared" si="577"/>
        <v>202210JPY</v>
      </c>
      <c r="AR1943" s="206" t="str">
        <f t="shared" si="578"/>
        <v>YAMAHA_Mounter</v>
      </c>
      <c r="AS1943" s="22">
        <f t="shared" si="579"/>
        <v>1</v>
      </c>
      <c r="AT1943" s="24" t="str">
        <f t="shared" si="580"/>
        <v>0-3 months</v>
      </c>
      <c r="AU1943" s="22" t="s">
        <v>3745</v>
      </c>
    </row>
    <row r="1944" spans="1:47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54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2296</v>
      </c>
      <c r="K1944" s="155" t="s">
        <v>2297</v>
      </c>
      <c r="L1944" s="17" t="s">
        <v>67</v>
      </c>
      <c r="M1944" s="13" t="s">
        <v>60</v>
      </c>
      <c r="N1944" s="13">
        <v>1</v>
      </c>
      <c r="O1944" s="13"/>
      <c r="P1944" s="33" t="str">
        <f t="shared" si="572"/>
        <v>MAIN UNIT</v>
      </c>
      <c r="Q1944" s="13" t="s">
        <v>61</v>
      </c>
      <c r="R1944" s="13" t="s">
        <v>62</v>
      </c>
      <c r="S1944" s="13" t="s">
        <v>49</v>
      </c>
      <c r="T1944" s="13" t="s">
        <v>78</v>
      </c>
      <c r="U1944" s="13" t="s">
        <v>79</v>
      </c>
      <c r="V1944" s="13" t="s">
        <v>80</v>
      </c>
      <c r="W1944" s="13" t="s">
        <v>109</v>
      </c>
      <c r="X1944" s="135">
        <v>7600000</v>
      </c>
      <c r="Y1944" s="157" t="str">
        <f t="shared" si="582"/>
        <v>1</v>
      </c>
      <c r="Z1944" s="18">
        <f t="shared" si="581"/>
        <v>7600000</v>
      </c>
      <c r="AA1944" s="13">
        <v>5.5399999999999998E-2</v>
      </c>
      <c r="AB1944" s="21">
        <f t="shared" si="566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67"/>
        <v>22717528.991150443</v>
      </c>
      <c r="AJ1944" s="19">
        <f t="shared" si="568"/>
        <v>3947747.192555753</v>
      </c>
      <c r="AK1944" s="20">
        <f t="shared" si="575"/>
        <v>0.1737753782153679</v>
      </c>
      <c r="AL1944" s="17"/>
      <c r="AM1944" s="17"/>
      <c r="AN1944" s="17"/>
      <c r="AO1944" s="17"/>
      <c r="AP1944" s="28" t="str">
        <f t="shared" si="576"/>
        <v>202210</v>
      </c>
      <c r="AQ1944" s="28" t="str">
        <f t="shared" si="577"/>
        <v>202210JPY</v>
      </c>
      <c r="AR1944" s="206" t="str">
        <f t="shared" si="578"/>
        <v>YAMAHA_Mounter</v>
      </c>
      <c r="AS1944" s="22">
        <f t="shared" si="579"/>
        <v>1</v>
      </c>
      <c r="AT1944" s="24" t="str">
        <f t="shared" si="580"/>
        <v>0-3 months</v>
      </c>
      <c r="AU1944" s="22" t="s">
        <v>3745</v>
      </c>
    </row>
    <row r="1945" spans="1:47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56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452</v>
      </c>
      <c r="K1945" s="155" t="s">
        <v>453</v>
      </c>
      <c r="L1945" s="17" t="s">
        <v>67</v>
      </c>
      <c r="M1945" s="13" t="s">
        <v>60</v>
      </c>
      <c r="N1945" s="13">
        <v>1</v>
      </c>
      <c r="O1945" s="13"/>
      <c r="P1945" s="33" t="str">
        <f t="shared" si="572"/>
        <v>MAIN UNIT</v>
      </c>
      <c r="Q1945" s="13" t="s">
        <v>61</v>
      </c>
      <c r="R1945" s="13" t="s">
        <v>62</v>
      </c>
      <c r="S1945" s="13" t="s">
        <v>49</v>
      </c>
      <c r="T1945" s="13" t="s">
        <v>78</v>
      </c>
      <c r="U1945" s="13" t="s">
        <v>79</v>
      </c>
      <c r="V1945" s="13" t="s">
        <v>112</v>
      </c>
      <c r="W1945" s="13" t="s">
        <v>109</v>
      </c>
      <c r="X1945" s="135">
        <v>9098400</v>
      </c>
      <c r="Y1945" s="156">
        <v>1</v>
      </c>
      <c r="Z1945" s="18">
        <f t="shared" si="581"/>
        <v>9098400</v>
      </c>
      <c r="AA1945" s="13">
        <v>7.3200000000000001E-2</v>
      </c>
      <c r="AB1945" s="21">
        <f t="shared" si="566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67"/>
        <v>13250187.062905986</v>
      </c>
      <c r="AJ1945" s="19">
        <f t="shared" si="568"/>
        <v>1545643.7555487182</v>
      </c>
      <c r="AK1945" s="20">
        <f t="shared" si="575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6"/>
        <v>20183</v>
      </c>
      <c r="AQ1945" s="28" t="str">
        <f t="shared" si="577"/>
        <v>20183JPY</v>
      </c>
      <c r="AR1945" s="206" t="str">
        <f t="shared" si="578"/>
        <v>YAMAHA_Mounter</v>
      </c>
      <c r="AS1945" s="22">
        <f t="shared" si="579"/>
        <v>0</v>
      </c>
      <c r="AT1945" s="24" t="str">
        <f t="shared" si="580"/>
        <v>0-3 months</v>
      </c>
      <c r="AU1945" s="22" t="s">
        <v>3745</v>
      </c>
    </row>
    <row r="1946" spans="1:47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185</v>
      </c>
      <c r="F1946" s="13" t="s">
        <v>185</v>
      </c>
      <c r="G1946" s="152" t="s">
        <v>185</v>
      </c>
      <c r="H1946" s="155"/>
      <c r="I1946" s="33" t="str">
        <f t="shared" si="571"/>
        <v>Cancel</v>
      </c>
      <c r="J1946" s="186" t="s">
        <v>622</v>
      </c>
      <c r="K1946" s="155" t="s">
        <v>453</v>
      </c>
      <c r="L1946" s="17" t="s">
        <v>67</v>
      </c>
      <c r="M1946" s="13" t="s">
        <v>60</v>
      </c>
      <c r="N1946" s="13">
        <v>1</v>
      </c>
      <c r="O1946" s="13"/>
      <c r="P1946" s="33" t="str">
        <f t="shared" si="572"/>
        <v>MAIN UNIT</v>
      </c>
      <c r="Q1946" s="13" t="s">
        <v>61</v>
      </c>
      <c r="R1946" s="13" t="s">
        <v>62</v>
      </c>
      <c r="S1946" s="13" t="s">
        <v>49</v>
      </c>
      <c r="T1946" s="13" t="s">
        <v>78</v>
      </c>
      <c r="U1946" s="13" t="s">
        <v>79</v>
      </c>
      <c r="V1946" s="13" t="s">
        <v>112</v>
      </c>
      <c r="W1946" s="13" t="s">
        <v>109</v>
      </c>
      <c r="X1946" s="135">
        <v>9098400</v>
      </c>
      <c r="Y1946" s="156">
        <v>1</v>
      </c>
      <c r="Z1946" s="18">
        <f t="shared" si="581"/>
        <v>9098400</v>
      </c>
      <c r="AA1946" s="13">
        <v>7.3200000000000001E-2</v>
      </c>
      <c r="AB1946" s="21">
        <f t="shared" si="566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67"/>
        <v>499582152.5142017</v>
      </c>
      <c r="AJ1946" s="19">
        <f t="shared" si="568"/>
        <v>59520528.679470733</v>
      </c>
      <c r="AK1946" s="20">
        <f t="shared" si="575"/>
        <v>0.11914062257814291</v>
      </c>
      <c r="AL1946" s="17"/>
      <c r="AM1946" s="17"/>
      <c r="AN1946" s="17"/>
      <c r="AO1946" s="17"/>
      <c r="AP1946" s="28" t="str">
        <f t="shared" si="576"/>
        <v>CancelCancel</v>
      </c>
      <c r="AQ1946" s="28" t="str">
        <f t="shared" si="577"/>
        <v>CancelCancelJPY</v>
      </c>
      <c r="AR1946" s="206" t="str">
        <f t="shared" si="578"/>
        <v>YAMAHA_Mounter</v>
      </c>
      <c r="AS1946" s="22" t="str">
        <f t="shared" si="579"/>
        <v/>
      </c>
      <c r="AT1946" s="24" t="str">
        <f t="shared" si="580"/>
        <v/>
      </c>
      <c r="AU1946" s="22" t="s">
        <v>3745</v>
      </c>
    </row>
    <row r="1947" spans="1:47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41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860</v>
      </c>
      <c r="K1947" s="155" t="s">
        <v>453</v>
      </c>
      <c r="L1947" s="17" t="s">
        <v>92</v>
      </c>
      <c r="M1947" s="13" t="s">
        <v>60</v>
      </c>
      <c r="N1947" s="13">
        <v>1</v>
      </c>
      <c r="O1947" s="13"/>
      <c r="P1947" s="33" t="str">
        <f t="shared" si="572"/>
        <v>MAIN UNIT</v>
      </c>
      <c r="Q1947" s="13" t="s">
        <v>61</v>
      </c>
      <c r="R1947" s="13" t="s">
        <v>62</v>
      </c>
      <c r="S1947" s="13" t="s">
        <v>49</v>
      </c>
      <c r="T1947" s="13" t="s">
        <v>78</v>
      </c>
      <c r="U1947" s="13" t="s">
        <v>79</v>
      </c>
      <c r="V1947" s="13" t="s">
        <v>112</v>
      </c>
      <c r="W1947" s="13" t="s">
        <v>109</v>
      </c>
      <c r="X1947" s="135">
        <v>12293400</v>
      </c>
      <c r="Y1947" s="156">
        <v>1</v>
      </c>
      <c r="Z1947" s="18">
        <f t="shared" si="581"/>
        <v>12293400</v>
      </c>
      <c r="AA1947" s="13">
        <v>7.22E-2</v>
      </c>
      <c r="AB1947" s="21">
        <f t="shared" si="566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67"/>
        <v>47416008.333399981</v>
      </c>
      <c r="AJ1947" s="19">
        <f t="shared" si="568"/>
        <v>6981738.4465290187</v>
      </c>
      <c r="AK1947" s="20">
        <f t="shared" si="575"/>
        <v>0.14724433143839863</v>
      </c>
      <c r="AL1947" s="17"/>
      <c r="AM1947" s="17"/>
      <c r="AN1947" s="17"/>
      <c r="AO1947" s="17"/>
      <c r="AP1947" s="28" t="str">
        <f t="shared" si="576"/>
        <v>20193</v>
      </c>
      <c r="AQ1947" s="28" t="str">
        <f t="shared" si="577"/>
        <v>20193JPY</v>
      </c>
      <c r="AR1947" s="206" t="str">
        <f t="shared" si="578"/>
        <v>YAMAHA_Mounter</v>
      </c>
      <c r="AS1947" s="22">
        <f t="shared" si="579"/>
        <v>0</v>
      </c>
      <c r="AT1947" s="24" t="str">
        <f t="shared" si="580"/>
        <v>0-3 months</v>
      </c>
      <c r="AU1947" s="22" t="s">
        <v>3745</v>
      </c>
    </row>
    <row r="1948" spans="1:47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41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860</v>
      </c>
      <c r="K1948" s="155" t="s">
        <v>453</v>
      </c>
      <c r="L1948" s="17" t="s">
        <v>67</v>
      </c>
      <c r="M1948" s="13" t="s">
        <v>60</v>
      </c>
      <c r="N1948" s="13">
        <v>1</v>
      </c>
      <c r="O1948" s="13"/>
      <c r="P1948" s="33" t="str">
        <f t="shared" si="572"/>
        <v>MAIN UNIT</v>
      </c>
      <c r="Q1948" s="13" t="s">
        <v>61</v>
      </c>
      <c r="R1948" s="13" t="s">
        <v>62</v>
      </c>
      <c r="S1948" s="13" t="s">
        <v>49</v>
      </c>
      <c r="T1948" s="13" t="s">
        <v>78</v>
      </c>
      <c r="U1948" s="13" t="s">
        <v>79</v>
      </c>
      <c r="V1948" s="13" t="s">
        <v>112</v>
      </c>
      <c r="W1948" s="13" t="s">
        <v>109</v>
      </c>
      <c r="X1948" s="135">
        <v>9563000</v>
      </c>
      <c r="Y1948" s="156">
        <v>1</v>
      </c>
      <c r="Z1948" s="18">
        <f t="shared" si="581"/>
        <v>9563000</v>
      </c>
      <c r="AA1948" s="13">
        <v>7.22E-2</v>
      </c>
      <c r="AB1948" s="21">
        <f t="shared" si="566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67"/>
        <v>47416008.333399981</v>
      </c>
      <c r="AJ1948" s="19">
        <f t="shared" si="568"/>
        <v>6981738.4465290187</v>
      </c>
      <c r="AK1948" s="20">
        <f t="shared" si="575"/>
        <v>0.14724433143839863</v>
      </c>
      <c r="AL1948" s="17"/>
      <c r="AM1948" s="17"/>
      <c r="AN1948" s="17"/>
      <c r="AO1948" s="17"/>
      <c r="AP1948" s="28" t="str">
        <f t="shared" si="576"/>
        <v>20193</v>
      </c>
      <c r="AQ1948" s="28" t="str">
        <f t="shared" si="577"/>
        <v>20193JPY</v>
      </c>
      <c r="AR1948" s="206" t="str">
        <f t="shared" si="578"/>
        <v>YAMAHA_Mounter</v>
      </c>
      <c r="AS1948" s="22">
        <f t="shared" si="579"/>
        <v>0</v>
      </c>
      <c r="AT1948" s="24" t="str">
        <f t="shared" si="580"/>
        <v>0-3 months</v>
      </c>
      <c r="AU1948" s="22" t="s">
        <v>3745</v>
      </c>
    </row>
    <row r="1949" spans="1:47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48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1332</v>
      </c>
      <c r="K1949" s="155" t="s">
        <v>1333</v>
      </c>
      <c r="L1949" s="17" t="s">
        <v>67</v>
      </c>
      <c r="M1949" s="13" t="s">
        <v>60</v>
      </c>
      <c r="N1949" s="13">
        <v>1</v>
      </c>
      <c r="O1949" s="13"/>
      <c r="P1949" s="33" t="str">
        <f t="shared" si="572"/>
        <v>MAIN UNIT</v>
      </c>
      <c r="Q1949" s="13" t="s">
        <v>61</v>
      </c>
      <c r="R1949" s="13" t="s">
        <v>62</v>
      </c>
      <c r="S1949" s="13" t="s">
        <v>49</v>
      </c>
      <c r="T1949" s="13" t="s">
        <v>78</v>
      </c>
      <c r="U1949" s="13" t="s">
        <v>79</v>
      </c>
      <c r="V1949" s="13" t="s">
        <v>112</v>
      </c>
      <c r="W1949" s="13" t="s">
        <v>1105</v>
      </c>
      <c r="X1949" s="135">
        <v>9300000</v>
      </c>
      <c r="Y1949" s="156">
        <v>1</v>
      </c>
      <c r="Z1949" s="18">
        <f t="shared" si="581"/>
        <v>9300000</v>
      </c>
      <c r="AA1949" s="13">
        <v>7.6100000000000001E-2</v>
      </c>
      <c r="AB1949" s="21">
        <f t="shared" si="566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67"/>
        <v>44078731.611185849</v>
      </c>
      <c r="AJ1949" s="19">
        <f t="shared" si="568"/>
        <v>5508173.2163771465</v>
      </c>
      <c r="AK1949" s="20">
        <f t="shared" si="575"/>
        <v>0.12496215328889679</v>
      </c>
      <c r="AL1949" s="17"/>
      <c r="AM1949" s="17"/>
      <c r="AN1949" s="17"/>
      <c r="AO1949" s="17"/>
      <c r="AP1949" s="28" t="str">
        <f t="shared" si="576"/>
        <v>202011</v>
      </c>
      <c r="AQ1949" s="28" t="str">
        <f t="shared" si="577"/>
        <v>202011JPY</v>
      </c>
      <c r="AR1949" s="206" t="str">
        <f t="shared" si="578"/>
        <v>YAMAHA_Mounter</v>
      </c>
      <c r="AS1949" s="22">
        <f t="shared" si="579"/>
        <v>4</v>
      </c>
      <c r="AT1949" s="24" t="str">
        <f t="shared" si="580"/>
        <v>4-6 months</v>
      </c>
      <c r="AU1949" s="22" t="s">
        <v>3745</v>
      </c>
    </row>
    <row r="1950" spans="1:47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53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1603</v>
      </c>
      <c r="K1950" s="155" t="s">
        <v>453</v>
      </c>
      <c r="L1950" s="17" t="s">
        <v>92</v>
      </c>
      <c r="M1950" s="13" t="s">
        <v>60</v>
      </c>
      <c r="N1950" s="13">
        <v>1</v>
      </c>
      <c r="O1950" s="13"/>
      <c r="P1950" s="33" t="str">
        <f t="shared" si="572"/>
        <v>MAIN UNIT</v>
      </c>
      <c r="Q1950" s="13" t="s">
        <v>61</v>
      </c>
      <c r="R1950" s="13" t="s">
        <v>62</v>
      </c>
      <c r="S1950" s="13" t="s">
        <v>49</v>
      </c>
      <c r="T1950" s="13" t="s">
        <v>78</v>
      </c>
      <c r="U1950" s="13" t="s">
        <v>79</v>
      </c>
      <c r="V1950" s="13" t="s">
        <v>112</v>
      </c>
      <c r="W1950" s="13" t="s">
        <v>109</v>
      </c>
      <c r="X1950" s="135">
        <v>13000000</v>
      </c>
      <c r="Y1950" s="157" t="str">
        <f>IF(W1950="RMB","1.13", "1")</f>
        <v>1</v>
      </c>
      <c r="Z1950" s="18">
        <f t="shared" si="581"/>
        <v>13000000</v>
      </c>
      <c r="AA1950" s="13">
        <v>7.17E-2</v>
      </c>
      <c r="AB1950" s="21">
        <f t="shared" si="566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67"/>
        <v>43684091.636631854</v>
      </c>
      <c r="AJ1950" s="19">
        <f t="shared" si="568"/>
        <v>6483951.8242071122</v>
      </c>
      <c r="AK1950" s="20">
        <f t="shared" si="575"/>
        <v>0.14842821680123736</v>
      </c>
      <c r="AL1950" s="17"/>
      <c r="AM1950" s="17"/>
      <c r="AN1950" s="17"/>
      <c r="AO1950" s="17"/>
      <c r="AP1950" s="28" t="str">
        <f t="shared" si="576"/>
        <v>20214</v>
      </c>
      <c r="AQ1950" s="28" t="str">
        <f t="shared" si="577"/>
        <v>20214JPY</v>
      </c>
      <c r="AR1950" s="206" t="str">
        <f t="shared" si="578"/>
        <v>YAMAHA_Mounter</v>
      </c>
      <c r="AS1950" s="22">
        <f t="shared" si="579"/>
        <v>4</v>
      </c>
      <c r="AT1950" s="24" t="str">
        <f t="shared" si="580"/>
        <v>4-6 months</v>
      </c>
      <c r="AU1950" s="22" t="s">
        <v>3745</v>
      </c>
    </row>
    <row r="1951" spans="1:47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47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894</v>
      </c>
      <c r="K1951" s="155" t="s">
        <v>895</v>
      </c>
      <c r="L1951" s="17" t="s">
        <v>67</v>
      </c>
      <c r="M1951" s="13" t="s">
        <v>60</v>
      </c>
      <c r="N1951" s="13">
        <v>1</v>
      </c>
      <c r="O1951" s="13"/>
      <c r="P1951" s="33" t="str">
        <f t="shared" si="572"/>
        <v>MAIN UNIT</v>
      </c>
      <c r="Q1951" s="13" t="s">
        <v>61</v>
      </c>
      <c r="R1951" s="13" t="s">
        <v>62</v>
      </c>
      <c r="S1951" s="13" t="s">
        <v>49</v>
      </c>
      <c r="T1951" s="13" t="s">
        <v>78</v>
      </c>
      <c r="U1951" s="13" t="s">
        <v>79</v>
      </c>
      <c r="V1951" s="13" t="s">
        <v>134</v>
      </c>
      <c r="W1951" s="13" t="s">
        <v>109</v>
      </c>
      <c r="X1951" s="135">
        <v>9000000</v>
      </c>
      <c r="Y1951" s="156">
        <v>1</v>
      </c>
      <c r="Z1951" s="18">
        <f t="shared" si="581"/>
        <v>9000000</v>
      </c>
      <c r="AA1951" s="13">
        <v>7.3499999999999996E-2</v>
      </c>
      <c r="AB1951" s="21">
        <f t="shared" si="566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67"/>
        <v>26147030.909862842</v>
      </c>
      <c r="AJ1951" s="19">
        <f t="shared" si="568"/>
        <v>2743862.8630715334</v>
      </c>
      <c r="AK1951" s="20">
        <f t="shared" si="575"/>
        <v>0.10493974908778378</v>
      </c>
      <c r="AL1951" s="17"/>
      <c r="AM1951" s="17"/>
      <c r="AN1951" s="17"/>
      <c r="AO1951" s="17"/>
      <c r="AP1951" s="28" t="str">
        <f t="shared" si="576"/>
        <v>201911</v>
      </c>
      <c r="AQ1951" s="28" t="str">
        <f t="shared" si="577"/>
        <v>201911JPY</v>
      </c>
      <c r="AR1951" s="206" t="str">
        <f t="shared" si="578"/>
        <v>YAMAHA_Mounter</v>
      </c>
      <c r="AS1951" s="22">
        <f t="shared" si="579"/>
        <v>0</v>
      </c>
      <c r="AT1951" s="24" t="str">
        <f t="shared" si="580"/>
        <v>0-3 months</v>
      </c>
      <c r="AU1951" s="22" t="s">
        <v>3746</v>
      </c>
    </row>
    <row r="1952" spans="1:47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47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894</v>
      </c>
      <c r="K1952" s="155" t="s">
        <v>895</v>
      </c>
      <c r="L1952" s="17" t="s">
        <v>92</v>
      </c>
      <c r="M1952" s="13" t="s">
        <v>60</v>
      </c>
      <c r="N1952" s="13">
        <v>1</v>
      </c>
      <c r="O1952" s="13"/>
      <c r="P1952" s="33" t="str">
        <f t="shared" si="572"/>
        <v>MAIN UNIT</v>
      </c>
      <c r="Q1952" s="13" t="s">
        <v>61</v>
      </c>
      <c r="R1952" s="13" t="s">
        <v>62</v>
      </c>
      <c r="S1952" s="13" t="s">
        <v>49</v>
      </c>
      <c r="T1952" s="13" t="s">
        <v>78</v>
      </c>
      <c r="U1952" s="13" t="s">
        <v>79</v>
      </c>
      <c r="V1952" s="13" t="s">
        <v>134</v>
      </c>
      <c r="W1952" s="13" t="s">
        <v>109</v>
      </c>
      <c r="X1952" s="135">
        <v>12900000</v>
      </c>
      <c r="Y1952" s="156">
        <v>1</v>
      </c>
      <c r="Z1952" s="18">
        <f t="shared" si="581"/>
        <v>12900000</v>
      </c>
      <c r="AA1952" s="13">
        <v>7.3499999999999996E-2</v>
      </c>
      <c r="AB1952" s="21">
        <f t="shared" si="566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67"/>
        <v>26147030.909862842</v>
      </c>
      <c r="AJ1952" s="19">
        <f t="shared" si="568"/>
        <v>2743862.8630715334</v>
      </c>
      <c r="AK1952" s="20">
        <f t="shared" si="575"/>
        <v>0.10493974908778378</v>
      </c>
      <c r="AL1952" s="17"/>
      <c r="AM1952" s="17"/>
      <c r="AN1952" s="17"/>
      <c r="AO1952" s="17"/>
      <c r="AP1952" s="28" t="str">
        <f t="shared" si="576"/>
        <v>201911</v>
      </c>
      <c r="AQ1952" s="28" t="str">
        <f t="shared" si="577"/>
        <v>201911JPY</v>
      </c>
      <c r="AR1952" s="206" t="str">
        <f t="shared" si="578"/>
        <v>YAMAHA_Mounter</v>
      </c>
      <c r="AS1952" s="22">
        <f t="shared" si="579"/>
        <v>0</v>
      </c>
      <c r="AT1952" s="24" t="str">
        <f t="shared" si="580"/>
        <v>0-3 months</v>
      </c>
      <c r="AU1952" s="22" t="s">
        <v>3746</v>
      </c>
    </row>
    <row r="1953" spans="1:47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47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894</v>
      </c>
      <c r="K1953" s="155" t="s">
        <v>895</v>
      </c>
      <c r="L1953" s="17" t="s">
        <v>92</v>
      </c>
      <c r="M1953" s="13" t="s">
        <v>60</v>
      </c>
      <c r="N1953" s="13">
        <v>1</v>
      </c>
      <c r="O1953" s="13"/>
      <c r="P1953" s="33" t="str">
        <f t="shared" si="572"/>
        <v>MAIN UNIT</v>
      </c>
      <c r="Q1953" s="13" t="s">
        <v>61</v>
      </c>
      <c r="R1953" s="13" t="s">
        <v>62</v>
      </c>
      <c r="S1953" s="13" t="s">
        <v>49</v>
      </c>
      <c r="T1953" s="13" t="s">
        <v>78</v>
      </c>
      <c r="U1953" s="13" t="s">
        <v>79</v>
      </c>
      <c r="V1953" s="13" t="s">
        <v>134</v>
      </c>
      <c r="W1953" s="13" t="s">
        <v>109</v>
      </c>
      <c r="X1953" s="135">
        <v>12900000</v>
      </c>
      <c r="Y1953" s="156">
        <v>1</v>
      </c>
      <c r="Z1953" s="18">
        <f t="shared" si="581"/>
        <v>12900000</v>
      </c>
      <c r="AA1953" s="13">
        <v>7.3499999999999996E-2</v>
      </c>
      <c r="AB1953" s="21">
        <f t="shared" si="566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67"/>
        <v>26147030.909862842</v>
      </c>
      <c r="AJ1953" s="19">
        <f t="shared" si="568"/>
        <v>2743862.8630715334</v>
      </c>
      <c r="AK1953" s="20">
        <f t="shared" si="575"/>
        <v>0.10493974908778378</v>
      </c>
      <c r="AL1953" s="17"/>
      <c r="AM1953" s="17"/>
      <c r="AN1953" s="17"/>
      <c r="AO1953" s="17"/>
      <c r="AP1953" s="28" t="str">
        <f t="shared" si="576"/>
        <v>201911</v>
      </c>
      <c r="AQ1953" s="28" t="str">
        <f t="shared" si="577"/>
        <v>201911JPY</v>
      </c>
      <c r="AR1953" s="206" t="str">
        <f t="shared" si="578"/>
        <v>YAMAHA_Mounter</v>
      </c>
      <c r="AS1953" s="22">
        <f t="shared" si="579"/>
        <v>0</v>
      </c>
      <c r="AT1953" s="24" t="str">
        <f t="shared" si="580"/>
        <v>0-3 months</v>
      </c>
      <c r="AU1953" s="22" t="s">
        <v>3746</v>
      </c>
    </row>
    <row r="1954" spans="1:47" s="12" customFormat="1">
      <c r="A1954" s="33" t="str">
        <f t="shared" si="569"/>
        <v>cancel</v>
      </c>
      <c r="B1954" s="152"/>
      <c r="C1954" s="152" t="s">
        <v>185</v>
      </c>
      <c r="D1954" s="33" t="str">
        <f t="shared" si="570"/>
        <v/>
      </c>
      <c r="E1954" s="33" t="s">
        <v>185</v>
      </c>
      <c r="F1954" s="13" t="s">
        <v>185</v>
      </c>
      <c r="G1954" s="152" t="s">
        <v>185</v>
      </c>
      <c r="H1954" s="155"/>
      <c r="I1954" s="33" t="str">
        <f t="shared" si="571"/>
        <v>Cancel</v>
      </c>
      <c r="J1954" s="186" t="s">
        <v>2675</v>
      </c>
      <c r="K1954" s="155" t="s">
        <v>895</v>
      </c>
      <c r="L1954" s="17" t="s">
        <v>67</v>
      </c>
      <c r="M1954" s="13" t="s">
        <v>60</v>
      </c>
      <c r="N1954" s="13">
        <v>1</v>
      </c>
      <c r="O1954" s="13"/>
      <c r="P1954" s="33" t="str">
        <f t="shared" si="572"/>
        <v>MAIN UNIT</v>
      </c>
      <c r="Q1954" s="13" t="s">
        <v>68</v>
      </c>
      <c r="R1954" s="13" t="s">
        <v>62</v>
      </c>
      <c r="S1954" s="13" t="s">
        <v>49</v>
      </c>
      <c r="T1954" s="13" t="s">
        <v>78</v>
      </c>
      <c r="U1954" s="13" t="s">
        <v>79</v>
      </c>
      <c r="V1954" s="13" t="s">
        <v>134</v>
      </c>
      <c r="W1954" s="13" t="s">
        <v>109</v>
      </c>
      <c r="X1954" s="135">
        <v>9000000</v>
      </c>
      <c r="Y1954" s="156">
        <v>1</v>
      </c>
      <c r="Z1954" s="18">
        <f t="shared" si="581"/>
        <v>9000000</v>
      </c>
      <c r="AA1954" s="13">
        <v>7.1599999999999997E-2</v>
      </c>
      <c r="AB1954" s="21">
        <f t="shared" si="566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67"/>
        <v>499582152.5142017</v>
      </c>
      <c r="AJ1954" s="19">
        <f t="shared" si="568"/>
        <v>59520528.679470733</v>
      </c>
      <c r="AK1954" s="20">
        <f t="shared" si="575"/>
        <v>0.11914062257814291</v>
      </c>
      <c r="AL1954" s="17"/>
      <c r="AM1954" s="17"/>
      <c r="AN1954" s="17"/>
      <c r="AO1954" s="17"/>
      <c r="AP1954" s="28" t="str">
        <f t="shared" si="576"/>
        <v>CancelCancel</v>
      </c>
      <c r="AQ1954" s="28" t="str">
        <f t="shared" si="577"/>
        <v>CancelCancelJPY</v>
      </c>
      <c r="AR1954" s="206" t="str">
        <f t="shared" si="578"/>
        <v>YAMAHA_Mounter</v>
      </c>
      <c r="AS1954" s="22" t="str">
        <f t="shared" si="579"/>
        <v/>
      </c>
      <c r="AT1954" s="24" t="str">
        <f t="shared" si="580"/>
        <v/>
      </c>
      <c r="AU1954" s="22" t="s">
        <v>3746</v>
      </c>
    </row>
    <row r="1955" spans="1:47" s="12" customFormat="1">
      <c r="A1955" s="33" t="str">
        <f t="shared" si="569"/>
        <v>cancel</v>
      </c>
      <c r="B1955" s="152"/>
      <c r="C1955" s="152" t="s">
        <v>185</v>
      </c>
      <c r="D1955" s="33" t="str">
        <f t="shared" si="570"/>
        <v/>
      </c>
      <c r="E1955" s="33" t="s">
        <v>185</v>
      </c>
      <c r="F1955" s="13" t="s">
        <v>185</v>
      </c>
      <c r="G1955" s="152" t="s">
        <v>185</v>
      </c>
      <c r="H1955" s="155"/>
      <c r="I1955" s="33" t="str">
        <f t="shared" si="571"/>
        <v>Cancel</v>
      </c>
      <c r="J1955" s="186" t="s">
        <v>2675</v>
      </c>
      <c r="K1955" s="155" t="s">
        <v>895</v>
      </c>
      <c r="L1955" s="17" t="s">
        <v>92</v>
      </c>
      <c r="M1955" s="13" t="s">
        <v>60</v>
      </c>
      <c r="N1955" s="13">
        <v>1</v>
      </c>
      <c r="O1955" s="13"/>
      <c r="P1955" s="33" t="str">
        <f t="shared" si="572"/>
        <v>MAIN UNIT</v>
      </c>
      <c r="Q1955" s="13" t="s">
        <v>68</v>
      </c>
      <c r="R1955" s="13" t="s">
        <v>62</v>
      </c>
      <c r="S1955" s="13" t="s">
        <v>49</v>
      </c>
      <c r="T1955" s="13" t="s">
        <v>78</v>
      </c>
      <c r="U1955" s="13" t="s">
        <v>79</v>
      </c>
      <c r="V1955" s="13" t="s">
        <v>134</v>
      </c>
      <c r="W1955" s="13" t="s">
        <v>109</v>
      </c>
      <c r="X1955" s="135">
        <v>13500000</v>
      </c>
      <c r="Y1955" s="156">
        <v>1</v>
      </c>
      <c r="Z1955" s="18">
        <f t="shared" si="581"/>
        <v>13500000</v>
      </c>
      <c r="AA1955" s="13">
        <v>7.1599999999999997E-2</v>
      </c>
      <c r="AB1955" s="21">
        <f t="shared" si="566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67"/>
        <v>499582152.5142017</v>
      </c>
      <c r="AJ1955" s="19">
        <f t="shared" si="568"/>
        <v>59520528.679470733</v>
      </c>
      <c r="AK1955" s="20">
        <f t="shared" si="575"/>
        <v>0.11914062257814291</v>
      </c>
      <c r="AL1955" s="17"/>
      <c r="AM1955" s="17"/>
      <c r="AN1955" s="17"/>
      <c r="AO1955" s="17"/>
      <c r="AP1955" s="28" t="str">
        <f t="shared" si="576"/>
        <v>CancelCancel</v>
      </c>
      <c r="AQ1955" s="28" t="str">
        <f t="shared" si="577"/>
        <v>CancelCancelJPY</v>
      </c>
      <c r="AR1955" s="206" t="str">
        <f t="shared" si="578"/>
        <v>YAMAHA_Mounter</v>
      </c>
      <c r="AS1955" s="22" t="str">
        <f t="shared" si="579"/>
        <v/>
      </c>
      <c r="AT1955" s="24" t="str">
        <f t="shared" si="580"/>
        <v/>
      </c>
      <c r="AU1955" s="22" t="s">
        <v>3746</v>
      </c>
    </row>
    <row r="1956" spans="1:47" s="12" customFormat="1">
      <c r="A1956" s="33" t="str">
        <f t="shared" si="569"/>
        <v>cancel</v>
      </c>
      <c r="B1956" s="152"/>
      <c r="C1956" s="152" t="s">
        <v>185</v>
      </c>
      <c r="D1956" s="33" t="str">
        <f t="shared" si="570"/>
        <v/>
      </c>
      <c r="E1956" s="33" t="s">
        <v>185</v>
      </c>
      <c r="F1956" s="13" t="s">
        <v>185</v>
      </c>
      <c r="G1956" s="152" t="s">
        <v>185</v>
      </c>
      <c r="H1956" s="155"/>
      <c r="I1956" s="33" t="str">
        <f t="shared" si="571"/>
        <v>Cancel</v>
      </c>
      <c r="J1956" s="186" t="s">
        <v>2675</v>
      </c>
      <c r="K1956" s="155" t="s">
        <v>895</v>
      </c>
      <c r="L1956" s="17" t="s">
        <v>92</v>
      </c>
      <c r="M1956" s="13" t="s">
        <v>60</v>
      </c>
      <c r="N1956" s="13">
        <v>1</v>
      </c>
      <c r="O1956" s="13"/>
      <c r="P1956" s="33" t="str">
        <f t="shared" si="572"/>
        <v>MAIN UNIT</v>
      </c>
      <c r="Q1956" s="13" t="s">
        <v>68</v>
      </c>
      <c r="R1956" s="13" t="s">
        <v>62</v>
      </c>
      <c r="S1956" s="13" t="s">
        <v>49</v>
      </c>
      <c r="T1956" s="13" t="s">
        <v>78</v>
      </c>
      <c r="U1956" s="13" t="s">
        <v>79</v>
      </c>
      <c r="V1956" s="13" t="s">
        <v>134</v>
      </c>
      <c r="W1956" s="13" t="s">
        <v>109</v>
      </c>
      <c r="X1956" s="135">
        <v>13500000</v>
      </c>
      <c r="Y1956" s="156">
        <v>1</v>
      </c>
      <c r="Z1956" s="18">
        <f t="shared" si="581"/>
        <v>13500000</v>
      </c>
      <c r="AA1956" s="13">
        <v>7.1599999999999997E-2</v>
      </c>
      <c r="AB1956" s="21">
        <f t="shared" si="566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67"/>
        <v>499582152.5142017</v>
      </c>
      <c r="AJ1956" s="19">
        <f t="shared" si="568"/>
        <v>59520528.679470733</v>
      </c>
      <c r="AK1956" s="20">
        <f t="shared" si="575"/>
        <v>0.11914062257814291</v>
      </c>
      <c r="AL1956" s="17"/>
      <c r="AM1956" s="17"/>
      <c r="AN1956" s="17"/>
      <c r="AO1956" s="17"/>
      <c r="AP1956" s="28" t="str">
        <f t="shared" si="576"/>
        <v>CancelCancel</v>
      </c>
      <c r="AQ1956" s="28" t="str">
        <f t="shared" si="577"/>
        <v>CancelCancelJPY</v>
      </c>
      <c r="AR1956" s="206" t="str">
        <f t="shared" si="578"/>
        <v>YAMAHA_Mounter</v>
      </c>
      <c r="AS1956" s="22" t="str">
        <f t="shared" si="579"/>
        <v/>
      </c>
      <c r="AT1956" s="24" t="str">
        <f t="shared" si="580"/>
        <v/>
      </c>
      <c r="AU1956" s="22" t="s">
        <v>3746</v>
      </c>
    </row>
    <row r="1957" spans="1:47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47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842</v>
      </c>
      <c r="K1957" s="155" t="s">
        <v>843</v>
      </c>
      <c r="L1957" s="17" t="s">
        <v>67</v>
      </c>
      <c r="M1957" s="13" t="s">
        <v>60</v>
      </c>
      <c r="N1957" s="13">
        <v>1</v>
      </c>
      <c r="O1957" s="13"/>
      <c r="P1957" s="33" t="str">
        <f t="shared" si="572"/>
        <v>MAIN UNIT</v>
      </c>
      <c r="Q1957" s="13" t="s">
        <v>68</v>
      </c>
      <c r="R1957" s="13" t="s">
        <v>701</v>
      </c>
      <c r="S1957" s="13" t="s">
        <v>750</v>
      </c>
      <c r="T1957" s="13" t="s">
        <v>806</v>
      </c>
      <c r="U1957" s="13" t="s">
        <v>263</v>
      </c>
      <c r="V1957" s="13" t="s">
        <v>780</v>
      </c>
      <c r="W1957" s="13" t="s">
        <v>777</v>
      </c>
      <c r="X1957" s="135">
        <v>9000000</v>
      </c>
      <c r="Y1957" s="156">
        <v>1</v>
      </c>
      <c r="Z1957" s="18">
        <f t="shared" si="581"/>
        <v>9000000</v>
      </c>
      <c r="AA1957" s="13">
        <v>7.3400000000000007E-2</v>
      </c>
      <c r="AB1957" s="21">
        <f t="shared" si="566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67"/>
        <v>31296887.037898075</v>
      </c>
      <c r="AJ1957" s="19">
        <f t="shared" si="568"/>
        <v>3588873.9502021763</v>
      </c>
      <c r="AK1957" s="20">
        <f t="shared" si="575"/>
        <v>0.11467191436184473</v>
      </c>
      <c r="AL1957" s="17"/>
      <c r="AM1957" s="17"/>
      <c r="AN1957" s="17"/>
      <c r="AO1957" s="17"/>
      <c r="AP1957" s="28" t="str">
        <f t="shared" si="576"/>
        <v>20196</v>
      </c>
      <c r="AQ1957" s="28" t="str">
        <f t="shared" si="577"/>
        <v>20196JPY</v>
      </c>
      <c r="AR1957" s="206" t="str">
        <f t="shared" si="578"/>
        <v>YAMAHA_Mounter</v>
      </c>
      <c r="AS1957" s="22">
        <f t="shared" si="579"/>
        <v>1</v>
      </c>
      <c r="AT1957" s="24" t="str">
        <f t="shared" si="580"/>
        <v>0-3 months</v>
      </c>
      <c r="AU1957" s="22" t="s">
        <v>3746</v>
      </c>
    </row>
    <row r="1958" spans="1:47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47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842</v>
      </c>
      <c r="K1958" s="155" t="s">
        <v>843</v>
      </c>
      <c r="L1958" s="17" t="s">
        <v>92</v>
      </c>
      <c r="M1958" s="13" t="s">
        <v>60</v>
      </c>
      <c r="N1958" s="13">
        <v>1</v>
      </c>
      <c r="O1958" s="13"/>
      <c r="P1958" s="33" t="str">
        <f t="shared" si="572"/>
        <v>MAIN UNIT</v>
      </c>
      <c r="Q1958" s="13" t="s">
        <v>68</v>
      </c>
      <c r="R1958" s="13" t="s">
        <v>701</v>
      </c>
      <c r="S1958" s="13" t="s">
        <v>750</v>
      </c>
      <c r="T1958" s="13" t="s">
        <v>806</v>
      </c>
      <c r="U1958" s="13" t="s">
        <v>263</v>
      </c>
      <c r="V1958" s="13" t="s">
        <v>780</v>
      </c>
      <c r="W1958" s="13" t="s">
        <v>777</v>
      </c>
      <c r="X1958" s="135">
        <v>13500000</v>
      </c>
      <c r="Y1958" s="156">
        <v>1</v>
      </c>
      <c r="Z1958" s="18">
        <f t="shared" si="581"/>
        <v>13500000</v>
      </c>
      <c r="AA1958" s="13">
        <v>7.3400000000000007E-2</v>
      </c>
      <c r="AB1958" s="21">
        <f t="shared" si="566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67"/>
        <v>31296887.037898075</v>
      </c>
      <c r="AJ1958" s="19">
        <f t="shared" si="568"/>
        <v>3588873.9502021763</v>
      </c>
      <c r="AK1958" s="20">
        <f t="shared" si="575"/>
        <v>0.11467191436184473</v>
      </c>
      <c r="AL1958" s="17"/>
      <c r="AM1958" s="17"/>
      <c r="AN1958" s="17"/>
      <c r="AO1958" s="17"/>
      <c r="AP1958" s="28" t="str">
        <f t="shared" si="576"/>
        <v>20196</v>
      </c>
      <c r="AQ1958" s="28" t="str">
        <f t="shared" si="577"/>
        <v>20196JPY</v>
      </c>
      <c r="AR1958" s="206" t="str">
        <f t="shared" si="578"/>
        <v>YAMAHA_Mounter</v>
      </c>
      <c r="AS1958" s="22">
        <f t="shared" si="579"/>
        <v>1</v>
      </c>
      <c r="AT1958" s="24" t="str">
        <f t="shared" si="580"/>
        <v>0-3 months</v>
      </c>
      <c r="AU1958" s="22" t="s">
        <v>3746</v>
      </c>
    </row>
    <row r="1959" spans="1:47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47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842</v>
      </c>
      <c r="K1959" s="155" t="s">
        <v>843</v>
      </c>
      <c r="L1959" s="17" t="s">
        <v>92</v>
      </c>
      <c r="M1959" s="13" t="s">
        <v>60</v>
      </c>
      <c r="N1959" s="13">
        <v>1</v>
      </c>
      <c r="O1959" s="13"/>
      <c r="P1959" s="33" t="str">
        <f t="shared" si="572"/>
        <v>MAIN UNIT</v>
      </c>
      <c r="Q1959" s="13" t="s">
        <v>68</v>
      </c>
      <c r="R1959" s="13" t="s">
        <v>701</v>
      </c>
      <c r="S1959" s="13" t="s">
        <v>750</v>
      </c>
      <c r="T1959" s="13" t="s">
        <v>806</v>
      </c>
      <c r="U1959" s="13" t="s">
        <v>263</v>
      </c>
      <c r="V1959" s="13" t="s">
        <v>780</v>
      </c>
      <c r="W1959" s="13" t="s">
        <v>777</v>
      </c>
      <c r="X1959" s="135">
        <v>13500000</v>
      </c>
      <c r="Y1959" s="156">
        <v>1</v>
      </c>
      <c r="Z1959" s="18">
        <f t="shared" si="581"/>
        <v>13500000</v>
      </c>
      <c r="AA1959" s="13">
        <v>7.3400000000000007E-2</v>
      </c>
      <c r="AB1959" s="21">
        <f t="shared" si="566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67"/>
        <v>31296887.037898075</v>
      </c>
      <c r="AJ1959" s="19">
        <f t="shared" si="568"/>
        <v>3588873.9502021763</v>
      </c>
      <c r="AK1959" s="20">
        <f t="shared" si="575"/>
        <v>0.11467191436184473</v>
      </c>
      <c r="AL1959" s="17"/>
      <c r="AM1959" s="17"/>
      <c r="AN1959" s="17"/>
      <c r="AO1959" s="17"/>
      <c r="AP1959" s="28" t="str">
        <f t="shared" si="576"/>
        <v>20196</v>
      </c>
      <c r="AQ1959" s="28" t="str">
        <f t="shared" si="577"/>
        <v>20196JPY</v>
      </c>
      <c r="AR1959" s="206" t="str">
        <f t="shared" si="578"/>
        <v>YAMAHA_Mounter</v>
      </c>
      <c r="AS1959" s="22">
        <f t="shared" si="579"/>
        <v>1</v>
      </c>
      <c r="AT1959" s="24" t="str">
        <f t="shared" si="580"/>
        <v>0-3 months</v>
      </c>
      <c r="AU1959" s="22" t="s">
        <v>3746</v>
      </c>
    </row>
    <row r="1960" spans="1:47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54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2448</v>
      </c>
      <c r="K1960" s="155" t="s">
        <v>2449</v>
      </c>
      <c r="L1960" s="17" t="s">
        <v>92</v>
      </c>
      <c r="M1960" s="13" t="s">
        <v>60</v>
      </c>
      <c r="N1960" s="13">
        <v>1</v>
      </c>
      <c r="O1960" s="13"/>
      <c r="P1960" s="33" t="str">
        <f t="shared" si="572"/>
        <v>MAIN UNIT</v>
      </c>
      <c r="Q1960" s="13" t="s">
        <v>68</v>
      </c>
      <c r="R1960" s="13" t="s">
        <v>62</v>
      </c>
      <c r="S1960" s="13" t="s">
        <v>49</v>
      </c>
      <c r="T1960" s="13" t="s">
        <v>78</v>
      </c>
      <c r="U1960" s="13" t="s">
        <v>79</v>
      </c>
      <c r="V1960" s="13" t="s">
        <v>672</v>
      </c>
      <c r="W1960" s="13" t="s">
        <v>64</v>
      </c>
      <c r="X1960" s="135">
        <v>810000</v>
      </c>
      <c r="Y1960" s="157" t="str">
        <f>IF(W1960="RMB","1.13", "1")</f>
        <v>1.13</v>
      </c>
      <c r="Z1960" s="18">
        <f t="shared" si="581"/>
        <v>810000</v>
      </c>
      <c r="AA1960" s="13">
        <v>1.1299999999999999</v>
      </c>
      <c r="AB1960" s="21">
        <f t="shared" si="566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67"/>
        <v>33543315.897345133</v>
      </c>
      <c r="AJ1960" s="19">
        <f t="shared" si="568"/>
        <v>4706169.3252984071</v>
      </c>
      <c r="AK1960" s="20">
        <f t="shared" si="575"/>
        <v>0.14030125523967318</v>
      </c>
      <c r="AL1960" s="17"/>
      <c r="AM1960" s="17"/>
      <c r="AN1960" s="17"/>
      <c r="AO1960" s="17"/>
      <c r="AP1960" s="28" t="str">
        <f t="shared" si="576"/>
        <v>20233</v>
      </c>
      <c r="AQ1960" s="28" t="str">
        <f t="shared" si="577"/>
        <v>20233RMB</v>
      </c>
      <c r="AR1960" s="206" t="str">
        <f t="shared" si="578"/>
        <v>YAMAHA_Mounter</v>
      </c>
      <c r="AS1960" s="22">
        <f t="shared" si="579"/>
        <v>0</v>
      </c>
      <c r="AT1960" s="24" t="str">
        <f t="shared" si="580"/>
        <v>0-3 months</v>
      </c>
      <c r="AU1960" s="22" t="s">
        <v>3751</v>
      </c>
    </row>
    <row r="1961" spans="1:47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54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2448</v>
      </c>
      <c r="K1961" s="155" t="s">
        <v>2449</v>
      </c>
      <c r="L1961" s="17" t="s">
        <v>67</v>
      </c>
      <c r="M1961" s="13" t="s">
        <v>60</v>
      </c>
      <c r="N1961" s="13">
        <v>1</v>
      </c>
      <c r="O1961" s="13"/>
      <c r="P1961" s="33" t="str">
        <f t="shared" si="572"/>
        <v>MAIN UNIT</v>
      </c>
      <c r="Q1961" s="13" t="s">
        <v>68</v>
      </c>
      <c r="R1961" s="13" t="s">
        <v>62</v>
      </c>
      <c r="S1961" s="13" t="s">
        <v>49</v>
      </c>
      <c r="T1961" s="13" t="s">
        <v>78</v>
      </c>
      <c r="U1961" s="13" t="s">
        <v>79</v>
      </c>
      <c r="V1961" s="13" t="s">
        <v>672</v>
      </c>
      <c r="W1961" s="13" t="s">
        <v>64</v>
      </c>
      <c r="X1961" s="135">
        <v>490000</v>
      </c>
      <c r="Y1961" s="157" t="str">
        <f>IF(W1961="RMB","1.13", "1")</f>
        <v>1.13</v>
      </c>
      <c r="Z1961" s="18">
        <f t="shared" si="581"/>
        <v>490000</v>
      </c>
      <c r="AA1961" s="13">
        <v>1.1299999999999999</v>
      </c>
      <c r="AB1961" s="21">
        <f t="shared" si="566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67"/>
        <v>33543315.897345133</v>
      </c>
      <c r="AJ1961" s="19">
        <f t="shared" si="568"/>
        <v>4706169.3252984071</v>
      </c>
      <c r="AK1961" s="20">
        <f t="shared" si="575"/>
        <v>0.14030125523967318</v>
      </c>
      <c r="AL1961" s="17"/>
      <c r="AM1961" s="17"/>
      <c r="AN1961" s="17"/>
      <c r="AO1961" s="17"/>
      <c r="AP1961" s="28" t="str">
        <f t="shared" si="576"/>
        <v>20233</v>
      </c>
      <c r="AQ1961" s="28" t="str">
        <f t="shared" si="577"/>
        <v>20233RMB</v>
      </c>
      <c r="AR1961" s="206" t="str">
        <f t="shared" si="578"/>
        <v>YAMAHA_Mounter</v>
      </c>
      <c r="AS1961" s="22">
        <f t="shared" si="579"/>
        <v>0</v>
      </c>
      <c r="AT1961" s="24" t="str">
        <f t="shared" si="580"/>
        <v>0-3 months</v>
      </c>
      <c r="AU1961" s="22" t="s">
        <v>3751</v>
      </c>
    </row>
    <row r="1962" spans="1:47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55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3048</v>
      </c>
      <c r="K1962" s="155" t="s">
        <v>2449</v>
      </c>
      <c r="L1962" s="17" t="s">
        <v>3049</v>
      </c>
      <c r="M1962" s="13" t="s">
        <v>377</v>
      </c>
      <c r="N1962" s="13">
        <v>1</v>
      </c>
      <c r="O1962" s="13"/>
      <c r="P1962" s="33" t="str">
        <f t="shared" si="572"/>
        <v>MAIN UNIT</v>
      </c>
      <c r="Q1962" s="13" t="s">
        <v>68</v>
      </c>
      <c r="R1962" s="13" t="s">
        <v>2055</v>
      </c>
      <c r="S1962" s="13" t="s">
        <v>49</v>
      </c>
      <c r="T1962" s="13" t="s">
        <v>78</v>
      </c>
      <c r="U1962" s="13" t="s">
        <v>79</v>
      </c>
      <c r="V1962" s="13" t="s">
        <v>672</v>
      </c>
      <c r="W1962" s="13" t="s">
        <v>64</v>
      </c>
      <c r="X1962" s="135">
        <v>129000</v>
      </c>
      <c r="Y1962" s="157" t="str">
        <f t="shared" ref="Y1962:Y1981" si="583">IF(W1962="","",IF(W1962="RMB","1.13", "1"))</f>
        <v>1.13</v>
      </c>
      <c r="Z1962" s="18">
        <f t="shared" si="581"/>
        <v>129000</v>
      </c>
      <c r="AA1962" s="13">
        <v>1.1399999999999999</v>
      </c>
      <c r="AB1962" s="21">
        <f t="shared" si="566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67"/>
        <v>30573205.452778768</v>
      </c>
      <c r="AJ1962" s="19">
        <f t="shared" si="568"/>
        <v>3790930.1683151261</v>
      </c>
      <c r="AK1962" s="20">
        <f t="shared" si="575"/>
        <v>0.12399518179964254</v>
      </c>
      <c r="AL1962" s="17"/>
      <c r="AM1962" s="17"/>
      <c r="AN1962" s="17"/>
      <c r="AO1962" s="17"/>
      <c r="AP1962" s="28" t="str">
        <f t="shared" si="576"/>
        <v>20234</v>
      </c>
      <c r="AQ1962" s="28" t="str">
        <f t="shared" si="577"/>
        <v>20234RMB</v>
      </c>
      <c r="AR1962" s="206" t="str">
        <f t="shared" si="578"/>
        <v>LOCAL SUPPLIER</v>
      </c>
      <c r="AS1962" s="22">
        <f t="shared" si="579"/>
        <v>1</v>
      </c>
      <c r="AT1962" s="24" t="str">
        <f t="shared" si="580"/>
        <v>0-3 months</v>
      </c>
      <c r="AU1962" s="22" t="s">
        <v>3751</v>
      </c>
    </row>
    <row r="1963" spans="1:47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55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3048</v>
      </c>
      <c r="K1963" s="155" t="s">
        <v>2449</v>
      </c>
      <c r="L1963" s="17" t="s">
        <v>3050</v>
      </c>
      <c r="M1963" s="13" t="s">
        <v>377</v>
      </c>
      <c r="N1963" s="13">
        <v>1</v>
      </c>
      <c r="O1963" s="13"/>
      <c r="P1963" s="33" t="str">
        <f t="shared" si="572"/>
        <v>MAIN UNIT</v>
      </c>
      <c r="Q1963" s="13" t="s">
        <v>68</v>
      </c>
      <c r="R1963" s="13" t="s">
        <v>2055</v>
      </c>
      <c r="S1963" s="13" t="s">
        <v>49</v>
      </c>
      <c r="T1963" s="13" t="s">
        <v>78</v>
      </c>
      <c r="U1963" s="13" t="s">
        <v>79</v>
      </c>
      <c r="V1963" s="13" t="s">
        <v>672</v>
      </c>
      <c r="W1963" s="13" t="s">
        <v>64</v>
      </c>
      <c r="X1963" s="135">
        <v>171000</v>
      </c>
      <c r="Y1963" s="157" t="str">
        <f t="shared" si="583"/>
        <v>1.13</v>
      </c>
      <c r="Z1963" s="18">
        <f t="shared" si="581"/>
        <v>171000</v>
      </c>
      <c r="AA1963" s="13">
        <v>1.1399999999999999</v>
      </c>
      <c r="AB1963" s="21">
        <f t="shared" si="566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67"/>
        <v>30573205.452778768</v>
      </c>
      <c r="AJ1963" s="19">
        <f t="shared" si="568"/>
        <v>3790930.1683151261</v>
      </c>
      <c r="AK1963" s="20">
        <f t="shared" si="575"/>
        <v>0.12399518179964254</v>
      </c>
      <c r="AL1963" s="17"/>
      <c r="AM1963" s="17"/>
      <c r="AN1963" s="17"/>
      <c r="AO1963" s="17"/>
      <c r="AP1963" s="28" t="str">
        <f t="shared" si="576"/>
        <v>20234</v>
      </c>
      <c r="AQ1963" s="28" t="str">
        <f t="shared" si="577"/>
        <v>20234RMB</v>
      </c>
      <c r="AR1963" s="206" t="str">
        <f t="shared" si="578"/>
        <v>LOCAL SUPPLIER</v>
      </c>
      <c r="AS1963" s="22">
        <f t="shared" si="579"/>
        <v>1</v>
      </c>
      <c r="AT1963" s="24" t="str">
        <f t="shared" si="580"/>
        <v>0-3 months</v>
      </c>
      <c r="AU1963" s="22" t="s">
        <v>3751</v>
      </c>
    </row>
    <row r="1964" spans="1:47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55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3048</v>
      </c>
      <c r="K1964" s="155" t="s">
        <v>2449</v>
      </c>
      <c r="L1964" s="17" t="s">
        <v>3051</v>
      </c>
      <c r="M1964" s="13" t="s">
        <v>377</v>
      </c>
      <c r="N1964" s="13">
        <v>1</v>
      </c>
      <c r="O1964" s="13"/>
      <c r="P1964" s="33" t="str">
        <f t="shared" si="572"/>
        <v>MAIN UNIT</v>
      </c>
      <c r="Q1964" s="13" t="s">
        <v>68</v>
      </c>
      <c r="R1964" s="13" t="s">
        <v>2055</v>
      </c>
      <c r="S1964" s="13" t="s">
        <v>49</v>
      </c>
      <c r="T1964" s="13" t="s">
        <v>78</v>
      </c>
      <c r="U1964" s="13" t="s">
        <v>79</v>
      </c>
      <c r="V1964" s="13" t="s">
        <v>672</v>
      </c>
      <c r="W1964" s="13" t="s">
        <v>64</v>
      </c>
      <c r="X1964" s="135">
        <v>171000</v>
      </c>
      <c r="Y1964" s="157" t="str">
        <f t="shared" si="583"/>
        <v>1.13</v>
      </c>
      <c r="Z1964" s="18">
        <f t="shared" si="581"/>
        <v>171000</v>
      </c>
      <c r="AA1964" s="13">
        <v>1.1399999999999999</v>
      </c>
      <c r="AB1964" s="21">
        <f t="shared" si="566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67"/>
        <v>30573205.452778768</v>
      </c>
      <c r="AJ1964" s="19">
        <f t="shared" si="568"/>
        <v>3790930.1683151261</v>
      </c>
      <c r="AK1964" s="20">
        <f t="shared" si="575"/>
        <v>0.12399518179964254</v>
      </c>
      <c r="AL1964" s="17"/>
      <c r="AM1964" s="17"/>
      <c r="AN1964" s="17"/>
      <c r="AO1964" s="17"/>
      <c r="AP1964" s="28" t="str">
        <f t="shared" si="576"/>
        <v>20234</v>
      </c>
      <c r="AQ1964" s="28" t="str">
        <f t="shared" si="577"/>
        <v>20234RMB</v>
      </c>
      <c r="AR1964" s="206" t="str">
        <f t="shared" si="578"/>
        <v>LOCAL SUPPLIER</v>
      </c>
      <c r="AS1964" s="22">
        <f t="shared" si="579"/>
        <v>1</v>
      </c>
      <c r="AT1964" s="24" t="str">
        <f t="shared" si="580"/>
        <v>0-3 months</v>
      </c>
      <c r="AU1964" s="22" t="s">
        <v>3751</v>
      </c>
    </row>
    <row r="1965" spans="1:47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55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3048</v>
      </c>
      <c r="K1965" s="155" t="s">
        <v>2449</v>
      </c>
      <c r="L1965" s="17" t="s">
        <v>3052</v>
      </c>
      <c r="M1965" s="13" t="s">
        <v>377</v>
      </c>
      <c r="N1965" s="13">
        <v>1</v>
      </c>
      <c r="O1965" s="13"/>
      <c r="P1965" s="33" t="str">
        <f t="shared" si="572"/>
        <v>MAIN UNIT</v>
      </c>
      <c r="Q1965" s="13" t="s">
        <v>68</v>
      </c>
      <c r="R1965" s="13" t="s">
        <v>2055</v>
      </c>
      <c r="S1965" s="13" t="s">
        <v>49</v>
      </c>
      <c r="T1965" s="13" t="s">
        <v>78</v>
      </c>
      <c r="U1965" s="13" t="s">
        <v>79</v>
      </c>
      <c r="V1965" s="13" t="s">
        <v>672</v>
      </c>
      <c r="W1965" s="13" t="s">
        <v>64</v>
      </c>
      <c r="X1965" s="135">
        <v>195000</v>
      </c>
      <c r="Y1965" s="157" t="str">
        <f t="shared" si="583"/>
        <v>1.13</v>
      </c>
      <c r="Z1965" s="18">
        <f t="shared" si="581"/>
        <v>195000</v>
      </c>
      <c r="AA1965" s="13">
        <v>1.1399999999999999</v>
      </c>
      <c r="AB1965" s="21">
        <f t="shared" si="566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67"/>
        <v>30573205.452778768</v>
      </c>
      <c r="AJ1965" s="19">
        <f t="shared" si="568"/>
        <v>3790930.1683151261</v>
      </c>
      <c r="AK1965" s="20">
        <f t="shared" si="575"/>
        <v>0.12399518179964254</v>
      </c>
      <c r="AL1965" s="17"/>
      <c r="AM1965" s="17"/>
      <c r="AN1965" s="17"/>
      <c r="AO1965" s="17"/>
      <c r="AP1965" s="28" t="str">
        <f t="shared" si="576"/>
        <v>20234</v>
      </c>
      <c r="AQ1965" s="28" t="str">
        <f t="shared" si="577"/>
        <v>20234RMB</v>
      </c>
      <c r="AR1965" s="206" t="str">
        <f t="shared" si="578"/>
        <v>LOCAL SUPPLIER</v>
      </c>
      <c r="AS1965" s="22">
        <f t="shared" si="579"/>
        <v>1</v>
      </c>
      <c r="AT1965" s="24" t="str">
        <f t="shared" si="580"/>
        <v>0-3 months</v>
      </c>
      <c r="AU1965" s="22" t="s">
        <v>3751</v>
      </c>
    </row>
    <row r="1966" spans="1:47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55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3048</v>
      </c>
      <c r="K1966" s="155" t="s">
        <v>2449</v>
      </c>
      <c r="L1966" s="17" t="s">
        <v>3053</v>
      </c>
      <c r="M1966" s="13" t="s">
        <v>377</v>
      </c>
      <c r="N1966" s="13">
        <v>1</v>
      </c>
      <c r="O1966" s="13"/>
      <c r="P1966" s="33" t="str">
        <f t="shared" si="572"/>
        <v>MAIN UNIT</v>
      </c>
      <c r="Q1966" s="13" t="s">
        <v>68</v>
      </c>
      <c r="R1966" s="13" t="s">
        <v>2055</v>
      </c>
      <c r="S1966" s="13" t="s">
        <v>49</v>
      </c>
      <c r="T1966" s="13" t="s">
        <v>78</v>
      </c>
      <c r="U1966" s="13" t="s">
        <v>79</v>
      </c>
      <c r="V1966" s="13" t="s">
        <v>672</v>
      </c>
      <c r="W1966" s="13" t="s">
        <v>64</v>
      </c>
      <c r="X1966" s="135">
        <v>127000</v>
      </c>
      <c r="Y1966" s="157" t="str">
        <f t="shared" si="583"/>
        <v>1.13</v>
      </c>
      <c r="Z1966" s="18">
        <f t="shared" si="581"/>
        <v>127000</v>
      </c>
      <c r="AA1966" s="13">
        <v>1.1399999999999999</v>
      </c>
      <c r="AB1966" s="21">
        <f t="shared" si="566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67"/>
        <v>30573205.452778768</v>
      </c>
      <c r="AJ1966" s="19">
        <f t="shared" si="568"/>
        <v>3790930.1683151261</v>
      </c>
      <c r="AK1966" s="20">
        <f t="shared" si="575"/>
        <v>0.12399518179964254</v>
      </c>
      <c r="AL1966" s="17"/>
      <c r="AM1966" s="17"/>
      <c r="AN1966" s="17"/>
      <c r="AO1966" s="17"/>
      <c r="AP1966" s="28" t="str">
        <f t="shared" si="576"/>
        <v>20234</v>
      </c>
      <c r="AQ1966" s="28" t="str">
        <f t="shared" si="577"/>
        <v>20234RMB</v>
      </c>
      <c r="AR1966" s="206" t="str">
        <f t="shared" si="578"/>
        <v>LOCAL SUPPLIER</v>
      </c>
      <c r="AS1966" s="22">
        <f t="shared" si="579"/>
        <v>1</v>
      </c>
      <c r="AT1966" s="24" t="str">
        <f t="shared" si="580"/>
        <v>0-3 months</v>
      </c>
      <c r="AU1966" s="22" t="s">
        <v>3751</v>
      </c>
    </row>
    <row r="1967" spans="1:47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55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3054</v>
      </c>
      <c r="K1967" s="155" t="s">
        <v>2449</v>
      </c>
      <c r="L1967" s="17" t="s">
        <v>3055</v>
      </c>
      <c r="M1967" s="13" t="s">
        <v>377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68</v>
      </c>
      <c r="R1967" s="13" t="s">
        <v>2055</v>
      </c>
      <c r="S1967" s="13" t="s">
        <v>49</v>
      </c>
      <c r="T1967" s="13" t="s">
        <v>78</v>
      </c>
      <c r="U1967" s="13" t="s">
        <v>79</v>
      </c>
      <c r="V1967" s="13" t="s">
        <v>672</v>
      </c>
      <c r="W1967" s="13" t="s">
        <v>64</v>
      </c>
      <c r="X1967" s="135">
        <v>12600</v>
      </c>
      <c r="Y1967" s="157" t="str">
        <f t="shared" si="583"/>
        <v>1.13</v>
      </c>
      <c r="Z1967" s="18">
        <f t="shared" si="581"/>
        <v>12600</v>
      </c>
      <c r="AA1967" s="13">
        <v>1.1399999999999999</v>
      </c>
      <c r="AB1967" s="21">
        <f t="shared" si="566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67"/>
        <v>30573205.452778768</v>
      </c>
      <c r="AJ1967" s="19">
        <f t="shared" si="568"/>
        <v>3790930.1683151261</v>
      </c>
      <c r="AK1967" s="20">
        <f t="shared" si="575"/>
        <v>0.12399518179964254</v>
      </c>
      <c r="AL1967" s="17"/>
      <c r="AM1967" s="17"/>
      <c r="AN1967" s="17"/>
      <c r="AO1967" s="17"/>
      <c r="AP1967" s="28" t="str">
        <f t="shared" si="576"/>
        <v>20234</v>
      </c>
      <c r="AQ1967" s="28" t="str">
        <f t="shared" si="577"/>
        <v>20234RMB</v>
      </c>
      <c r="AR1967" s="206" t="str">
        <f t="shared" si="578"/>
        <v>LOCAL SUPPLIER</v>
      </c>
      <c r="AS1967" s="22">
        <f t="shared" si="579"/>
        <v>1</v>
      </c>
      <c r="AT1967" s="24" t="str">
        <f t="shared" si="580"/>
        <v>0-3 months</v>
      </c>
      <c r="AU1967" s="22" t="s">
        <v>3751</v>
      </c>
    </row>
    <row r="1968" spans="1:47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55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3054</v>
      </c>
      <c r="K1968" s="155" t="s">
        <v>2449</v>
      </c>
      <c r="L1968" s="17" t="s">
        <v>3056</v>
      </c>
      <c r="M1968" s="13" t="s">
        <v>377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68</v>
      </c>
      <c r="R1968" s="13" t="s">
        <v>2055</v>
      </c>
      <c r="S1968" s="13" t="s">
        <v>49</v>
      </c>
      <c r="T1968" s="13" t="s">
        <v>78</v>
      </c>
      <c r="U1968" s="13" t="s">
        <v>79</v>
      </c>
      <c r="V1968" s="13" t="s">
        <v>672</v>
      </c>
      <c r="W1968" s="13" t="s">
        <v>64</v>
      </c>
      <c r="X1968" s="135">
        <v>2700</v>
      </c>
      <c r="Y1968" s="157" t="str">
        <f t="shared" si="583"/>
        <v>1.13</v>
      </c>
      <c r="Z1968" s="18">
        <f t="shared" si="581"/>
        <v>2700</v>
      </c>
      <c r="AA1968" s="13">
        <v>1.1399999999999999</v>
      </c>
      <c r="AB1968" s="21">
        <f t="shared" si="566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67"/>
        <v>30573205.452778768</v>
      </c>
      <c r="AJ1968" s="19">
        <f t="shared" si="568"/>
        <v>3790930.1683151261</v>
      </c>
      <c r="AK1968" s="20">
        <f t="shared" si="575"/>
        <v>0.12399518179964254</v>
      </c>
      <c r="AL1968" s="17"/>
      <c r="AM1968" s="17"/>
      <c r="AN1968" s="17"/>
      <c r="AO1968" s="17"/>
      <c r="AP1968" s="28" t="str">
        <f t="shared" si="576"/>
        <v>20234</v>
      </c>
      <c r="AQ1968" s="28" t="str">
        <f t="shared" si="577"/>
        <v>20234RMB</v>
      </c>
      <c r="AR1968" s="206" t="str">
        <f t="shared" si="578"/>
        <v>LOCAL SUPPLIER</v>
      </c>
      <c r="AS1968" s="22">
        <f t="shared" si="579"/>
        <v>1</v>
      </c>
      <c r="AT1968" s="24" t="str">
        <f t="shared" si="580"/>
        <v>0-3 months</v>
      </c>
      <c r="AU1968" s="22" t="s">
        <v>3751</v>
      </c>
    </row>
    <row r="1969" spans="1:47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4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3054</v>
      </c>
      <c r="K1969" s="155" t="s">
        <v>2449</v>
      </c>
      <c r="L1969" s="17" t="s">
        <v>3057</v>
      </c>
      <c r="M1969" s="13" t="s">
        <v>377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68</v>
      </c>
      <c r="R1969" s="13" t="s">
        <v>2055</v>
      </c>
      <c r="S1969" s="13" t="s">
        <v>49</v>
      </c>
      <c r="T1969" s="13" t="s">
        <v>78</v>
      </c>
      <c r="U1969" s="13" t="s">
        <v>79</v>
      </c>
      <c r="V1969" s="13" t="s">
        <v>672</v>
      </c>
      <c r="W1969" s="13" t="s">
        <v>64</v>
      </c>
      <c r="X1969" s="135">
        <v>32000</v>
      </c>
      <c r="Y1969" s="157" t="str">
        <f t="shared" si="583"/>
        <v>1.13</v>
      </c>
      <c r="Z1969" s="18">
        <f t="shared" si="581"/>
        <v>32000</v>
      </c>
      <c r="AA1969" s="13">
        <v>1.1399999999999999</v>
      </c>
      <c r="AB1969" s="21">
        <f t="shared" si="566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67"/>
        <v>30573205.452778768</v>
      </c>
      <c r="AJ1969" s="19">
        <f t="shared" si="568"/>
        <v>3790930.1683151261</v>
      </c>
      <c r="AK1969" s="20">
        <f t="shared" si="575"/>
        <v>0.12399518179964254</v>
      </c>
      <c r="AL1969" s="17"/>
      <c r="AM1969" s="17"/>
      <c r="AN1969" s="17"/>
      <c r="AO1969" s="17"/>
      <c r="AP1969" s="28" t="str">
        <f t="shared" si="576"/>
        <v>20234</v>
      </c>
      <c r="AQ1969" s="28" t="str">
        <f t="shared" si="577"/>
        <v>20234RMB</v>
      </c>
      <c r="AR1969" s="206" t="str">
        <f t="shared" si="578"/>
        <v>LOCAL SUPPLIER</v>
      </c>
      <c r="AS1969" s="22">
        <f t="shared" si="579"/>
        <v>1</v>
      </c>
      <c r="AT1969" s="24" t="str">
        <f t="shared" si="580"/>
        <v>0-3 months</v>
      </c>
      <c r="AU1969" s="22" t="s">
        <v>3751</v>
      </c>
    </row>
    <row r="1970" spans="1:47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4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3054</v>
      </c>
      <c r="K1970" s="155" t="s">
        <v>2449</v>
      </c>
      <c r="L1970" s="17" t="s">
        <v>3056</v>
      </c>
      <c r="M1970" s="13" t="s">
        <v>377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68</v>
      </c>
      <c r="R1970" s="13" t="s">
        <v>2055</v>
      </c>
      <c r="S1970" s="13" t="s">
        <v>49</v>
      </c>
      <c r="T1970" s="13" t="s">
        <v>78</v>
      </c>
      <c r="U1970" s="13" t="s">
        <v>79</v>
      </c>
      <c r="V1970" s="13" t="s">
        <v>672</v>
      </c>
      <c r="W1970" s="13" t="s">
        <v>64</v>
      </c>
      <c r="X1970" s="135">
        <v>4000</v>
      </c>
      <c r="Y1970" s="157" t="str">
        <f t="shared" si="583"/>
        <v>1.13</v>
      </c>
      <c r="Z1970" s="18">
        <f t="shared" si="581"/>
        <v>4000</v>
      </c>
      <c r="AA1970" s="13">
        <v>1.1399999999999999</v>
      </c>
      <c r="AB1970" s="21">
        <f t="shared" si="566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67"/>
        <v>30573205.452778768</v>
      </c>
      <c r="AJ1970" s="19">
        <f t="shared" si="568"/>
        <v>3790930.1683151261</v>
      </c>
      <c r="AK1970" s="20">
        <f t="shared" si="575"/>
        <v>0.12399518179964254</v>
      </c>
      <c r="AL1970" s="17"/>
      <c r="AM1970" s="17"/>
      <c r="AN1970" s="17"/>
      <c r="AO1970" s="17"/>
      <c r="AP1970" s="28" t="str">
        <f t="shared" si="576"/>
        <v>20234</v>
      </c>
      <c r="AQ1970" s="28" t="str">
        <f t="shared" si="577"/>
        <v>20234RMB</v>
      </c>
      <c r="AR1970" s="206" t="str">
        <f t="shared" si="578"/>
        <v>LOCAL SUPPLIER</v>
      </c>
      <c r="AS1970" s="22">
        <f t="shared" si="579"/>
        <v>1</v>
      </c>
      <c r="AT1970" s="24" t="str">
        <f t="shared" si="580"/>
        <v>0-3 months</v>
      </c>
      <c r="AU1970" s="22" t="s">
        <v>3751</v>
      </c>
    </row>
    <row r="1971" spans="1:47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4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3054</v>
      </c>
      <c r="K1971" s="155" t="s">
        <v>2449</v>
      </c>
      <c r="L1971" s="17" t="s">
        <v>3056</v>
      </c>
      <c r="M1971" s="13" t="s">
        <v>377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68</v>
      </c>
      <c r="R1971" s="13" t="s">
        <v>2055</v>
      </c>
      <c r="S1971" s="13" t="s">
        <v>49</v>
      </c>
      <c r="T1971" s="13" t="s">
        <v>78</v>
      </c>
      <c r="U1971" s="13" t="s">
        <v>79</v>
      </c>
      <c r="V1971" s="13" t="s">
        <v>672</v>
      </c>
      <c r="W1971" s="13" t="s">
        <v>64</v>
      </c>
      <c r="X1971" s="135">
        <v>6200</v>
      </c>
      <c r="Y1971" s="157" t="str">
        <f t="shared" si="583"/>
        <v>1.13</v>
      </c>
      <c r="Z1971" s="18">
        <f t="shared" si="581"/>
        <v>6200</v>
      </c>
      <c r="AA1971" s="13">
        <v>1.1399999999999999</v>
      </c>
      <c r="AB1971" s="21">
        <f t="shared" si="566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67"/>
        <v>30573205.452778768</v>
      </c>
      <c r="AJ1971" s="19">
        <f t="shared" si="568"/>
        <v>3790930.1683151261</v>
      </c>
      <c r="AK1971" s="20">
        <f t="shared" si="575"/>
        <v>0.12399518179964254</v>
      </c>
      <c r="AL1971" s="17"/>
      <c r="AM1971" s="17"/>
      <c r="AN1971" s="17"/>
      <c r="AO1971" s="17"/>
      <c r="AP1971" s="28" t="str">
        <f t="shared" si="576"/>
        <v>20234</v>
      </c>
      <c r="AQ1971" s="28" t="str">
        <f t="shared" si="577"/>
        <v>20234RMB</v>
      </c>
      <c r="AR1971" s="206" t="str">
        <f t="shared" si="578"/>
        <v>LOCAL SUPPLIER</v>
      </c>
      <c r="AS1971" s="22">
        <f t="shared" si="579"/>
        <v>1</v>
      </c>
      <c r="AT1971" s="24" t="str">
        <f t="shared" si="580"/>
        <v>0-3 months</v>
      </c>
      <c r="AU1971" s="22" t="s">
        <v>3751</v>
      </c>
    </row>
    <row r="1972" spans="1:47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4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3054</v>
      </c>
      <c r="K1972" s="155" t="s">
        <v>2449</v>
      </c>
      <c r="L1972" s="17" t="s">
        <v>3058</v>
      </c>
      <c r="M1972" s="13" t="s">
        <v>377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68</v>
      </c>
      <c r="R1972" s="13" t="s">
        <v>2055</v>
      </c>
      <c r="S1972" s="13" t="s">
        <v>49</v>
      </c>
      <c r="T1972" s="13" t="s">
        <v>78</v>
      </c>
      <c r="U1972" s="13" t="s">
        <v>79</v>
      </c>
      <c r="V1972" s="13" t="s">
        <v>672</v>
      </c>
      <c r="W1972" s="13" t="s">
        <v>64</v>
      </c>
      <c r="X1972" s="135">
        <v>30000</v>
      </c>
      <c r="Y1972" s="157" t="str">
        <f t="shared" si="583"/>
        <v>1.13</v>
      </c>
      <c r="Z1972" s="18">
        <f t="shared" si="581"/>
        <v>30000</v>
      </c>
      <c r="AA1972" s="13">
        <v>1.1399999999999999</v>
      </c>
      <c r="AB1972" s="21">
        <f t="shared" si="566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67"/>
        <v>30573205.452778768</v>
      </c>
      <c r="AJ1972" s="19">
        <f t="shared" si="568"/>
        <v>3790930.1683151261</v>
      </c>
      <c r="AK1972" s="20">
        <f t="shared" si="575"/>
        <v>0.12399518179964254</v>
      </c>
      <c r="AL1972" s="17"/>
      <c r="AM1972" s="17"/>
      <c r="AN1972" s="17"/>
      <c r="AO1972" s="17"/>
      <c r="AP1972" s="28" t="str">
        <f t="shared" si="576"/>
        <v>20234</v>
      </c>
      <c r="AQ1972" s="28" t="str">
        <f t="shared" si="577"/>
        <v>20234RMB</v>
      </c>
      <c r="AR1972" s="206" t="str">
        <f t="shared" si="578"/>
        <v>LOCAL SUPPLIER</v>
      </c>
      <c r="AS1972" s="22">
        <f t="shared" si="579"/>
        <v>1</v>
      </c>
      <c r="AT1972" s="24" t="str">
        <f t="shared" si="580"/>
        <v>0-3 months</v>
      </c>
      <c r="AU1972" s="22" t="s">
        <v>3751</v>
      </c>
    </row>
    <row r="1973" spans="1:47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4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3054</v>
      </c>
      <c r="K1973" s="155" t="s">
        <v>2449</v>
      </c>
      <c r="L1973" s="17" t="s">
        <v>3059</v>
      </c>
      <c r="M1973" s="13" t="s">
        <v>377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68</v>
      </c>
      <c r="R1973" s="13" t="s">
        <v>2055</v>
      </c>
      <c r="S1973" s="13" t="s">
        <v>49</v>
      </c>
      <c r="T1973" s="13" t="s">
        <v>78</v>
      </c>
      <c r="U1973" s="13" t="s">
        <v>79</v>
      </c>
      <c r="V1973" s="13" t="s">
        <v>672</v>
      </c>
      <c r="W1973" s="13" t="s">
        <v>64</v>
      </c>
      <c r="X1973" s="135">
        <v>12500</v>
      </c>
      <c r="Y1973" s="157" t="str">
        <f t="shared" si="583"/>
        <v>1.13</v>
      </c>
      <c r="Z1973" s="18">
        <f t="shared" si="581"/>
        <v>12500</v>
      </c>
      <c r="AA1973" s="13">
        <v>1.1399999999999999</v>
      </c>
      <c r="AB1973" s="21">
        <f t="shared" si="566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67"/>
        <v>30573205.452778768</v>
      </c>
      <c r="AJ1973" s="19">
        <f t="shared" si="568"/>
        <v>3790930.1683151261</v>
      </c>
      <c r="AK1973" s="20">
        <f t="shared" si="575"/>
        <v>0.12399518179964254</v>
      </c>
      <c r="AL1973" s="17"/>
      <c r="AM1973" s="17"/>
      <c r="AN1973" s="17"/>
      <c r="AO1973" s="17"/>
      <c r="AP1973" s="28" t="str">
        <f t="shared" si="576"/>
        <v>20234</v>
      </c>
      <c r="AQ1973" s="28" t="str">
        <f t="shared" si="577"/>
        <v>20234RMB</v>
      </c>
      <c r="AR1973" s="206" t="str">
        <f t="shared" si="578"/>
        <v>LOCAL SUPPLIER</v>
      </c>
      <c r="AS1973" s="22">
        <f t="shared" si="579"/>
        <v>1</v>
      </c>
      <c r="AT1973" s="24" t="str">
        <f t="shared" si="580"/>
        <v>0-3 months</v>
      </c>
      <c r="AU1973" s="22" t="s">
        <v>3240</v>
      </c>
    </row>
    <row r="1974" spans="1:47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4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3054</v>
      </c>
      <c r="K1974" s="155" t="s">
        <v>2449</v>
      </c>
      <c r="L1974" s="17" t="s">
        <v>3059</v>
      </c>
      <c r="M1974" s="13" t="s">
        <v>377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68</v>
      </c>
      <c r="R1974" s="13" t="s">
        <v>2055</v>
      </c>
      <c r="S1974" s="13" t="s">
        <v>49</v>
      </c>
      <c r="T1974" s="13" t="s">
        <v>78</v>
      </c>
      <c r="U1974" s="13" t="s">
        <v>79</v>
      </c>
      <c r="V1974" s="13" t="s">
        <v>672</v>
      </c>
      <c r="W1974" s="13" t="s">
        <v>64</v>
      </c>
      <c r="X1974" s="135">
        <v>12500</v>
      </c>
      <c r="Y1974" s="157" t="str">
        <f t="shared" si="583"/>
        <v>1.13</v>
      </c>
      <c r="Z1974" s="18">
        <f t="shared" si="581"/>
        <v>12500</v>
      </c>
      <c r="AA1974" s="13">
        <v>1.1399999999999999</v>
      </c>
      <c r="AB1974" s="21">
        <f t="shared" ref="AB1974:AB2037" si="585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67"/>
        <v>30573205.452778768</v>
      </c>
      <c r="AJ1974" s="19">
        <f t="shared" si="568"/>
        <v>3790930.1683151261</v>
      </c>
      <c r="AK1974" s="20">
        <f t="shared" si="575"/>
        <v>0.12399518179964254</v>
      </c>
      <c r="AL1974" s="17"/>
      <c r="AM1974" s="17"/>
      <c r="AN1974" s="17"/>
      <c r="AO1974" s="17"/>
      <c r="AP1974" s="28" t="str">
        <f t="shared" si="576"/>
        <v>20234</v>
      </c>
      <c r="AQ1974" s="28" t="str">
        <f t="shared" si="577"/>
        <v>20234RMB</v>
      </c>
      <c r="AR1974" s="206" t="str">
        <f t="shared" si="578"/>
        <v>LOCAL SUPPLIER</v>
      </c>
      <c r="AS1974" s="22">
        <f t="shared" si="579"/>
        <v>1</v>
      </c>
      <c r="AT1974" s="24" t="str">
        <f t="shared" si="580"/>
        <v>0-3 months</v>
      </c>
      <c r="AU1974" s="22" t="s">
        <v>3240</v>
      </c>
    </row>
    <row r="1975" spans="1:47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4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3054</v>
      </c>
      <c r="K1975" s="155" t="s">
        <v>2449</v>
      </c>
      <c r="L1975" s="17" t="s">
        <v>3059</v>
      </c>
      <c r="M1975" s="13" t="s">
        <v>377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68</v>
      </c>
      <c r="R1975" s="13" t="s">
        <v>2055</v>
      </c>
      <c r="S1975" s="13" t="s">
        <v>49</v>
      </c>
      <c r="T1975" s="13" t="s">
        <v>78</v>
      </c>
      <c r="U1975" s="13" t="s">
        <v>79</v>
      </c>
      <c r="V1975" s="13" t="s">
        <v>672</v>
      </c>
      <c r="W1975" s="13" t="s">
        <v>64</v>
      </c>
      <c r="X1975" s="135">
        <v>12500</v>
      </c>
      <c r="Y1975" s="157" t="str">
        <f t="shared" si="583"/>
        <v>1.13</v>
      </c>
      <c r="Z1975" s="18">
        <f t="shared" si="581"/>
        <v>12500</v>
      </c>
      <c r="AA1975" s="13">
        <v>1.1399999999999999</v>
      </c>
      <c r="AB1975" s="21">
        <f t="shared" si="585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67"/>
        <v>30573205.452778768</v>
      </c>
      <c r="AJ1975" s="19">
        <f t="shared" si="568"/>
        <v>3790930.1683151261</v>
      </c>
      <c r="AK1975" s="20">
        <f t="shared" si="575"/>
        <v>0.12399518179964254</v>
      </c>
      <c r="AL1975" s="17"/>
      <c r="AM1975" s="17"/>
      <c r="AN1975" s="17"/>
      <c r="AO1975" s="17"/>
      <c r="AP1975" s="28" t="str">
        <f t="shared" si="576"/>
        <v>20234</v>
      </c>
      <c r="AQ1975" s="28" t="str">
        <f t="shared" si="577"/>
        <v>20234RMB</v>
      </c>
      <c r="AR1975" s="206" t="str">
        <f t="shared" si="578"/>
        <v>LOCAL SUPPLIER</v>
      </c>
      <c r="AS1975" s="22">
        <f t="shared" si="579"/>
        <v>1</v>
      </c>
      <c r="AT1975" s="24" t="str">
        <f t="shared" si="580"/>
        <v>0-3 months</v>
      </c>
      <c r="AU1975" s="22" t="s">
        <v>3240</v>
      </c>
    </row>
    <row r="1976" spans="1:47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4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3054</v>
      </c>
      <c r="K1976" s="155" t="s">
        <v>2449</v>
      </c>
      <c r="L1976" s="17" t="s">
        <v>3060</v>
      </c>
      <c r="M1976" s="13" t="s">
        <v>377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68</v>
      </c>
      <c r="R1976" s="13" t="s">
        <v>2055</v>
      </c>
      <c r="S1976" s="13" t="s">
        <v>49</v>
      </c>
      <c r="T1976" s="13" t="s">
        <v>78</v>
      </c>
      <c r="U1976" s="13" t="s">
        <v>79</v>
      </c>
      <c r="V1976" s="13" t="s">
        <v>672</v>
      </c>
      <c r="W1976" s="13" t="s">
        <v>64</v>
      </c>
      <c r="X1976" s="135">
        <v>11500</v>
      </c>
      <c r="Y1976" s="157" t="str">
        <f t="shared" si="583"/>
        <v>1.13</v>
      </c>
      <c r="Z1976" s="18">
        <f t="shared" si="581"/>
        <v>11500</v>
      </c>
      <c r="AA1976" s="13">
        <v>1.1399999999999999</v>
      </c>
      <c r="AB1976" s="21">
        <f t="shared" si="585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67"/>
        <v>30573205.452778768</v>
      </c>
      <c r="AJ1976" s="19">
        <f t="shared" si="568"/>
        <v>3790930.1683151261</v>
      </c>
      <c r="AK1976" s="20">
        <f t="shared" si="575"/>
        <v>0.12399518179964254</v>
      </c>
      <c r="AL1976" s="17"/>
      <c r="AM1976" s="17"/>
      <c r="AN1976" s="17"/>
      <c r="AO1976" s="17"/>
      <c r="AP1976" s="28" t="str">
        <f t="shared" si="576"/>
        <v>20234</v>
      </c>
      <c r="AQ1976" s="28" t="str">
        <f t="shared" si="577"/>
        <v>20234RMB</v>
      </c>
      <c r="AR1976" s="206" t="str">
        <f t="shared" si="578"/>
        <v>LOCAL SUPPLIER</v>
      </c>
      <c r="AS1976" s="22">
        <f t="shared" si="579"/>
        <v>1</v>
      </c>
      <c r="AT1976" s="24" t="str">
        <f t="shared" si="580"/>
        <v>0-3 months</v>
      </c>
      <c r="AU1976" s="22" t="s">
        <v>3751</v>
      </c>
    </row>
    <row r="1977" spans="1:47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4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3077</v>
      </c>
      <c r="K1977" s="155" t="s">
        <v>2449</v>
      </c>
      <c r="L1977" s="17" t="s">
        <v>92</v>
      </c>
      <c r="M1977" s="13" t="s">
        <v>60</v>
      </c>
      <c r="N1977" s="13">
        <v>1</v>
      </c>
      <c r="O1977" s="13"/>
      <c r="P1977" s="33" t="str">
        <f t="shared" si="572"/>
        <v>MAIN UNIT</v>
      </c>
      <c r="Q1977" s="13" t="s">
        <v>61</v>
      </c>
      <c r="R1977" s="13" t="s">
        <v>62</v>
      </c>
      <c r="S1977" s="13" t="s">
        <v>49</v>
      </c>
      <c r="T1977" s="13" t="s">
        <v>78</v>
      </c>
      <c r="U1977" s="13" t="s">
        <v>2110</v>
      </c>
      <c r="V1977" s="13" t="s">
        <v>80</v>
      </c>
      <c r="W1977" s="13" t="s">
        <v>64</v>
      </c>
      <c r="X1977" s="135">
        <v>800000</v>
      </c>
      <c r="Y1977" s="157" t="str">
        <f t="shared" si="583"/>
        <v>1.13</v>
      </c>
      <c r="Z1977" s="18">
        <f t="shared" si="581"/>
        <v>800000</v>
      </c>
      <c r="AA1977" s="13">
        <v>1.0900000000000001</v>
      </c>
      <c r="AB1977" s="21">
        <f t="shared" si="585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67"/>
        <v>23146578.081415929</v>
      </c>
      <c r="AJ1977" s="19">
        <f t="shared" si="568"/>
        <v>2745231.3889985834</v>
      </c>
      <c r="AK1977" s="20">
        <f t="shared" si="575"/>
        <v>0.11860204041143742</v>
      </c>
      <c r="AL1977" s="17"/>
      <c r="AM1977" s="17"/>
      <c r="AN1977" s="17"/>
      <c r="AO1977" s="17"/>
      <c r="AP1977" s="28" t="str">
        <f t="shared" si="576"/>
        <v>20241</v>
      </c>
      <c r="AQ1977" s="28" t="str">
        <f t="shared" si="577"/>
        <v>20241RMB</v>
      </c>
      <c r="AR1977" s="206" t="str">
        <f t="shared" si="578"/>
        <v>YAMAHA_Mounter</v>
      </c>
      <c r="AS1977" s="22">
        <f t="shared" si="579"/>
        <v>1</v>
      </c>
      <c r="AT1977" s="24" t="str">
        <f t="shared" si="580"/>
        <v>0-3 months</v>
      </c>
      <c r="AU1977" s="22" t="s">
        <v>3751</v>
      </c>
    </row>
    <row r="1978" spans="1:47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4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3077</v>
      </c>
      <c r="K1978" s="155" t="s">
        <v>2449</v>
      </c>
      <c r="L1978" s="17" t="s">
        <v>92</v>
      </c>
      <c r="M1978" s="13" t="s">
        <v>60</v>
      </c>
      <c r="N1978" s="13">
        <v>1</v>
      </c>
      <c r="O1978" s="13"/>
      <c r="P1978" s="33" t="str">
        <f t="shared" si="572"/>
        <v>MAIN UNIT</v>
      </c>
      <c r="Q1978" s="13" t="s">
        <v>61</v>
      </c>
      <c r="R1978" s="13" t="s">
        <v>62</v>
      </c>
      <c r="S1978" s="13" t="s">
        <v>49</v>
      </c>
      <c r="T1978" s="13" t="s">
        <v>78</v>
      </c>
      <c r="U1978" s="13" t="s">
        <v>2110</v>
      </c>
      <c r="V1978" s="13" t="s">
        <v>80</v>
      </c>
      <c r="W1978" s="13" t="s">
        <v>64</v>
      </c>
      <c r="X1978" s="135">
        <v>800000</v>
      </c>
      <c r="Y1978" s="157" t="str">
        <f t="shared" si="583"/>
        <v>1.13</v>
      </c>
      <c r="Z1978" s="18">
        <f t="shared" si="581"/>
        <v>800000</v>
      </c>
      <c r="AA1978" s="13">
        <v>1.0900000000000001</v>
      </c>
      <c r="AB1978" s="21">
        <f t="shared" si="585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67"/>
        <v>23146578.081415929</v>
      </c>
      <c r="AJ1978" s="19">
        <f t="shared" si="568"/>
        <v>2745231.3889985834</v>
      </c>
      <c r="AK1978" s="20">
        <f t="shared" si="575"/>
        <v>0.11860204041143742</v>
      </c>
      <c r="AL1978" s="17"/>
      <c r="AM1978" s="17"/>
      <c r="AN1978" s="17"/>
      <c r="AO1978" s="17"/>
      <c r="AP1978" s="28" t="str">
        <f t="shared" si="576"/>
        <v>20241</v>
      </c>
      <c r="AQ1978" s="28" t="str">
        <f t="shared" si="577"/>
        <v>20241RMB</v>
      </c>
      <c r="AR1978" s="206" t="str">
        <f t="shared" si="578"/>
        <v>YAMAHA_Mounter</v>
      </c>
      <c r="AS1978" s="22">
        <f t="shared" si="579"/>
        <v>1</v>
      </c>
      <c r="AT1978" s="24" t="str">
        <f t="shared" si="580"/>
        <v>0-3 months</v>
      </c>
      <c r="AU1978" s="22" t="s">
        <v>3751</v>
      </c>
    </row>
    <row r="1979" spans="1:47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4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3077</v>
      </c>
      <c r="K1979" s="155" t="s">
        <v>2449</v>
      </c>
      <c r="L1979" s="17" t="s">
        <v>67</v>
      </c>
      <c r="M1979" s="13" t="s">
        <v>60</v>
      </c>
      <c r="N1979" s="13">
        <v>1</v>
      </c>
      <c r="O1979" s="13"/>
      <c r="P1979" s="33" t="str">
        <f t="shared" si="572"/>
        <v>MAIN UNIT</v>
      </c>
      <c r="Q1979" s="13" t="s">
        <v>61</v>
      </c>
      <c r="R1979" s="13" t="s">
        <v>62</v>
      </c>
      <c r="S1979" s="13" t="s">
        <v>49</v>
      </c>
      <c r="T1979" s="13" t="s">
        <v>78</v>
      </c>
      <c r="U1979" s="13" t="s">
        <v>2110</v>
      </c>
      <c r="V1979" s="13" t="s">
        <v>80</v>
      </c>
      <c r="W1979" s="13" t="s">
        <v>64</v>
      </c>
      <c r="X1979" s="135">
        <v>554800</v>
      </c>
      <c r="Y1979" s="157" t="str">
        <f t="shared" si="583"/>
        <v>1.13</v>
      </c>
      <c r="Z1979" s="18">
        <f t="shared" si="581"/>
        <v>554800</v>
      </c>
      <c r="AA1979" s="13">
        <v>1.0900000000000001</v>
      </c>
      <c r="AB1979" s="21">
        <f t="shared" si="585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67"/>
        <v>23146578.081415929</v>
      </c>
      <c r="AJ1979" s="19">
        <f t="shared" si="568"/>
        <v>2745231.3889985834</v>
      </c>
      <c r="AK1979" s="20">
        <f t="shared" si="575"/>
        <v>0.11860204041143742</v>
      </c>
      <c r="AL1979" s="17"/>
      <c r="AM1979" s="17"/>
      <c r="AN1979" s="17"/>
      <c r="AO1979" s="17"/>
      <c r="AP1979" s="28" t="str">
        <f t="shared" si="576"/>
        <v>20241</v>
      </c>
      <c r="AQ1979" s="28" t="str">
        <f t="shared" si="577"/>
        <v>20241RMB</v>
      </c>
      <c r="AR1979" s="206" t="str">
        <f t="shared" si="578"/>
        <v>YAMAHA_Mounter</v>
      </c>
      <c r="AS1979" s="22">
        <f t="shared" si="579"/>
        <v>1</v>
      </c>
      <c r="AT1979" s="24" t="str">
        <f t="shared" si="580"/>
        <v>0-3 months</v>
      </c>
      <c r="AU1979" s="22" t="s">
        <v>3751</v>
      </c>
    </row>
    <row r="1980" spans="1:47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4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3077</v>
      </c>
      <c r="K1980" s="155" t="s">
        <v>2449</v>
      </c>
      <c r="L1980" s="17" t="s">
        <v>92</v>
      </c>
      <c r="M1980" s="13" t="s">
        <v>60</v>
      </c>
      <c r="N1980" s="13">
        <v>1</v>
      </c>
      <c r="O1980" s="13"/>
      <c r="P1980" s="33" t="str">
        <f t="shared" si="572"/>
        <v>MAIN UNIT</v>
      </c>
      <c r="Q1980" s="13" t="s">
        <v>61</v>
      </c>
      <c r="R1980" s="13" t="s">
        <v>62</v>
      </c>
      <c r="S1980" s="13" t="s">
        <v>49</v>
      </c>
      <c r="T1980" s="13" t="s">
        <v>78</v>
      </c>
      <c r="U1980" s="13" t="s">
        <v>2110</v>
      </c>
      <c r="V1980" s="13" t="s">
        <v>80</v>
      </c>
      <c r="W1980" s="13" t="s">
        <v>64</v>
      </c>
      <c r="X1980" s="135">
        <v>900000</v>
      </c>
      <c r="Y1980" s="157" t="str">
        <f t="shared" si="583"/>
        <v>1.13</v>
      </c>
      <c r="Z1980" s="18">
        <f t="shared" si="581"/>
        <v>900000</v>
      </c>
      <c r="AA1980" s="13">
        <v>1.0900000000000001</v>
      </c>
      <c r="AB1980" s="21">
        <f t="shared" si="585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67"/>
        <v>10524262.405309737</v>
      </c>
      <c r="AJ1980" s="19">
        <f t="shared" si="568"/>
        <v>1479050.9527127435</v>
      </c>
      <c r="AK1980" s="20">
        <f t="shared" si="575"/>
        <v>0.14053725532028996</v>
      </c>
      <c r="AL1980" s="17"/>
      <c r="AM1980" s="17"/>
      <c r="AN1980" s="17"/>
      <c r="AO1980" s="17"/>
      <c r="AP1980" s="28" t="str">
        <f t="shared" si="576"/>
        <v>20242</v>
      </c>
      <c r="AQ1980" s="28" t="str">
        <f t="shared" si="577"/>
        <v>20242RMB</v>
      </c>
      <c r="AR1980" s="206" t="str">
        <f t="shared" si="578"/>
        <v>YAMAHA_Mounter</v>
      </c>
      <c r="AS1980" s="22">
        <f t="shared" si="579"/>
        <v>2</v>
      </c>
      <c r="AT1980" s="24" t="str">
        <f t="shared" si="580"/>
        <v>0-3 months</v>
      </c>
      <c r="AU1980" s="22" t="s">
        <v>3751</v>
      </c>
    </row>
    <row r="1981" spans="1:47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4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3077</v>
      </c>
      <c r="K1981" s="155" t="s">
        <v>2449</v>
      </c>
      <c r="L1981" s="17" t="s">
        <v>92</v>
      </c>
      <c r="M1981" s="13" t="s">
        <v>60</v>
      </c>
      <c r="N1981" s="13">
        <v>1</v>
      </c>
      <c r="O1981" s="13"/>
      <c r="P1981" s="33" t="str">
        <f t="shared" si="572"/>
        <v>MAIN UNIT</v>
      </c>
      <c r="Q1981" s="13" t="s">
        <v>61</v>
      </c>
      <c r="R1981" s="13" t="s">
        <v>62</v>
      </c>
      <c r="S1981" s="13" t="s">
        <v>49</v>
      </c>
      <c r="T1981" s="13" t="s">
        <v>78</v>
      </c>
      <c r="U1981" s="13" t="s">
        <v>2110</v>
      </c>
      <c r="V1981" s="13" t="s">
        <v>80</v>
      </c>
      <c r="W1981" s="13" t="s">
        <v>64</v>
      </c>
      <c r="X1981" s="135">
        <v>900000</v>
      </c>
      <c r="Y1981" s="157" t="str">
        <f t="shared" si="583"/>
        <v>1.13</v>
      </c>
      <c r="Z1981" s="18">
        <f t="shared" si="581"/>
        <v>900000</v>
      </c>
      <c r="AA1981" s="13">
        <v>1.0900000000000001</v>
      </c>
      <c r="AB1981" s="21">
        <f t="shared" si="585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67"/>
        <v>10524262.405309737</v>
      </c>
      <c r="AJ1981" s="19">
        <f t="shared" si="568"/>
        <v>1479050.9527127435</v>
      </c>
      <c r="AK1981" s="20">
        <f t="shared" si="575"/>
        <v>0.14053725532028996</v>
      </c>
      <c r="AL1981" s="17"/>
      <c r="AM1981" s="17"/>
      <c r="AN1981" s="17"/>
      <c r="AO1981" s="17"/>
      <c r="AP1981" s="28" t="str">
        <f t="shared" si="576"/>
        <v>20242</v>
      </c>
      <c r="AQ1981" s="28" t="str">
        <f t="shared" si="577"/>
        <v>20242RMB</v>
      </c>
      <c r="AR1981" s="206" t="str">
        <f t="shared" si="578"/>
        <v>YAMAHA_Mounter</v>
      </c>
      <c r="AS1981" s="22">
        <f t="shared" si="579"/>
        <v>2</v>
      </c>
      <c r="AT1981" s="24" t="str">
        <f t="shared" si="580"/>
        <v>0-3 months</v>
      </c>
      <c r="AU1981" s="22" t="s">
        <v>3751</v>
      </c>
    </row>
    <row r="1982" spans="1:47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41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533</v>
      </c>
      <c r="K1982" s="155" t="s">
        <v>534</v>
      </c>
      <c r="L1982" s="17" t="s">
        <v>67</v>
      </c>
      <c r="M1982" s="13" t="s">
        <v>60</v>
      </c>
      <c r="N1982" s="13">
        <v>1</v>
      </c>
      <c r="O1982" s="13"/>
      <c r="P1982" s="33" t="str">
        <f t="shared" si="572"/>
        <v>MAIN UNIT</v>
      </c>
      <c r="Q1982" s="13" t="s">
        <v>68</v>
      </c>
      <c r="R1982" s="13" t="s">
        <v>62</v>
      </c>
      <c r="S1982" s="13" t="s">
        <v>49</v>
      </c>
      <c r="T1982" s="13" t="s">
        <v>249</v>
      </c>
      <c r="U1982" s="13" t="s">
        <v>79</v>
      </c>
      <c r="V1982" s="13" t="s">
        <v>535</v>
      </c>
      <c r="W1982" s="13" t="s">
        <v>109</v>
      </c>
      <c r="X1982" s="135">
        <v>9766000</v>
      </c>
      <c r="Y1982" s="156">
        <v>1.1599999999999999</v>
      </c>
      <c r="Z1982" s="18">
        <f t="shared" si="581"/>
        <v>9766000</v>
      </c>
      <c r="AA1982" s="13">
        <v>7.3499999999999996E-2</v>
      </c>
      <c r="AB1982" s="21">
        <f t="shared" si="585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67"/>
        <v>16455710.386637932</v>
      </c>
      <c r="AJ1982" s="19">
        <f t="shared" si="568"/>
        <v>2150644.6466930606</v>
      </c>
      <c r="AK1982" s="20">
        <f t="shared" si="575"/>
        <v>0.13069290818580451</v>
      </c>
      <c r="AL1982" s="17"/>
      <c r="AM1982" s="17"/>
      <c r="AN1982" s="17"/>
      <c r="AO1982" s="17"/>
      <c r="AP1982" s="28" t="str">
        <f t="shared" si="576"/>
        <v>20192</v>
      </c>
      <c r="AQ1982" s="28" t="str">
        <f t="shared" si="577"/>
        <v>20192JPY</v>
      </c>
      <c r="AR1982" s="206" t="str">
        <f t="shared" si="578"/>
        <v>YAMAHA_Mounter</v>
      </c>
      <c r="AS1982" s="22">
        <f t="shared" si="579"/>
        <v>2</v>
      </c>
      <c r="AT1982" s="24" t="str">
        <f t="shared" si="580"/>
        <v>0-3 months</v>
      </c>
      <c r="AU1982" s="22" t="s">
        <v>3745</v>
      </c>
    </row>
    <row r="1983" spans="1:47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47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902</v>
      </c>
      <c r="K1983" s="155" t="s">
        <v>903</v>
      </c>
      <c r="L1983" s="17" t="s">
        <v>92</v>
      </c>
      <c r="M1983" s="13" t="s">
        <v>60</v>
      </c>
      <c r="N1983" s="13">
        <v>1</v>
      </c>
      <c r="O1983" s="13"/>
      <c r="P1983" s="33" t="str">
        <f t="shared" si="572"/>
        <v>MAIN UNIT</v>
      </c>
      <c r="Q1983" s="13" t="s">
        <v>68</v>
      </c>
      <c r="R1983" s="13" t="s">
        <v>62</v>
      </c>
      <c r="S1983" s="13" t="s">
        <v>49</v>
      </c>
      <c r="T1983" s="13" t="s">
        <v>78</v>
      </c>
      <c r="U1983" s="13" t="s">
        <v>79</v>
      </c>
      <c r="V1983" s="13" t="s">
        <v>112</v>
      </c>
      <c r="W1983" s="13" t="s">
        <v>64</v>
      </c>
      <c r="X1983" s="135">
        <v>1000000</v>
      </c>
      <c r="Y1983" s="156">
        <v>1.1299999999999999</v>
      </c>
      <c r="Z1983" s="18">
        <f t="shared" si="581"/>
        <v>1000000</v>
      </c>
      <c r="AA1983" s="13">
        <v>1.1100000000000001</v>
      </c>
      <c r="AB1983" s="21">
        <f t="shared" si="585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67"/>
        <v>26147030.909862842</v>
      </c>
      <c r="AJ1983" s="19">
        <f t="shared" si="568"/>
        <v>2743862.8630715334</v>
      </c>
      <c r="AK1983" s="20">
        <f t="shared" si="575"/>
        <v>0.10493974908778378</v>
      </c>
      <c r="AL1983" s="17"/>
      <c r="AM1983" s="17"/>
      <c r="AN1983" s="17"/>
      <c r="AO1983" s="17"/>
      <c r="AP1983" s="28" t="str">
        <f t="shared" si="576"/>
        <v>201911</v>
      </c>
      <c r="AQ1983" s="28" t="str">
        <f t="shared" si="577"/>
        <v>201911RMB</v>
      </c>
      <c r="AR1983" s="206" t="str">
        <f t="shared" si="578"/>
        <v>YAMAHA_Mounter</v>
      </c>
      <c r="AS1983" s="22">
        <f t="shared" si="579"/>
        <v>1</v>
      </c>
      <c r="AT1983" s="24" t="str">
        <f t="shared" si="580"/>
        <v>0-3 months</v>
      </c>
      <c r="AU1983" s="22" t="s">
        <v>3744</v>
      </c>
    </row>
    <row r="1984" spans="1:47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47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902</v>
      </c>
      <c r="K1984" s="155" t="s">
        <v>903</v>
      </c>
      <c r="L1984" s="17" t="s">
        <v>67</v>
      </c>
      <c r="M1984" s="13" t="s">
        <v>60</v>
      </c>
      <c r="N1984" s="13">
        <v>1</v>
      </c>
      <c r="O1984" s="13"/>
      <c r="P1984" s="33" t="str">
        <f t="shared" si="572"/>
        <v>MAIN UNIT</v>
      </c>
      <c r="Q1984" s="13" t="s">
        <v>68</v>
      </c>
      <c r="R1984" s="13" t="s">
        <v>62</v>
      </c>
      <c r="S1984" s="13" t="s">
        <v>49</v>
      </c>
      <c r="T1984" s="13" t="s">
        <v>78</v>
      </c>
      <c r="U1984" s="13" t="s">
        <v>79</v>
      </c>
      <c r="V1984" s="13" t="s">
        <v>112</v>
      </c>
      <c r="W1984" s="13" t="s">
        <v>64</v>
      </c>
      <c r="X1984" s="135">
        <v>580000</v>
      </c>
      <c r="Y1984" s="156">
        <v>1.1299999999999999</v>
      </c>
      <c r="Z1984" s="18">
        <f t="shared" si="581"/>
        <v>580000</v>
      </c>
      <c r="AA1984" s="13">
        <v>1.1100000000000001</v>
      </c>
      <c r="AB1984" s="21">
        <f t="shared" si="585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67"/>
        <v>26147030.909862842</v>
      </c>
      <c r="AJ1984" s="19">
        <f t="shared" si="568"/>
        <v>2743862.8630715334</v>
      </c>
      <c r="AK1984" s="20">
        <f t="shared" si="575"/>
        <v>0.10493974908778378</v>
      </c>
      <c r="AL1984" s="17"/>
      <c r="AM1984" s="17"/>
      <c r="AN1984" s="17"/>
      <c r="AO1984" s="17"/>
      <c r="AP1984" s="28" t="str">
        <f t="shared" si="576"/>
        <v>201911</v>
      </c>
      <c r="AQ1984" s="28" t="str">
        <f t="shared" si="577"/>
        <v>201911RMB</v>
      </c>
      <c r="AR1984" s="206" t="str">
        <f t="shared" si="578"/>
        <v>YAMAHA_Mounter</v>
      </c>
      <c r="AS1984" s="22">
        <f t="shared" si="579"/>
        <v>1</v>
      </c>
      <c r="AT1984" s="24" t="str">
        <f t="shared" si="580"/>
        <v>0-3 months</v>
      </c>
      <c r="AU1984" s="22" t="s">
        <v>3744</v>
      </c>
    </row>
    <row r="1985" spans="1:47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53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1602</v>
      </c>
      <c r="K1985" s="155" t="s">
        <v>903</v>
      </c>
      <c r="L1985" s="17" t="s">
        <v>67</v>
      </c>
      <c r="M1985" s="13" t="s">
        <v>60</v>
      </c>
      <c r="N1985" s="13">
        <v>1</v>
      </c>
      <c r="O1985" s="13"/>
      <c r="P1985" s="33" t="str">
        <f t="shared" si="572"/>
        <v>MAIN UNIT</v>
      </c>
      <c r="Q1985" s="13" t="s">
        <v>61</v>
      </c>
      <c r="R1985" s="13" t="s">
        <v>62</v>
      </c>
      <c r="S1985" s="13" t="s">
        <v>49</v>
      </c>
      <c r="T1985" s="13" t="s">
        <v>78</v>
      </c>
      <c r="U1985" s="13" t="s">
        <v>79</v>
      </c>
      <c r="V1985" s="13" t="s">
        <v>112</v>
      </c>
      <c r="W1985" s="13" t="s">
        <v>64</v>
      </c>
      <c r="X1985" s="135">
        <v>640000</v>
      </c>
      <c r="Y1985" s="157" t="str">
        <f>IF(W1985="RMB","1.13", "1")</f>
        <v>1.13</v>
      </c>
      <c r="Z1985" s="18">
        <f t="shared" si="581"/>
        <v>640000</v>
      </c>
      <c r="AA1985" s="13">
        <v>1.18</v>
      </c>
      <c r="AB1985" s="21">
        <f t="shared" si="585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67"/>
        <v>43684091.636631854</v>
      </c>
      <c r="AJ1985" s="19">
        <f t="shared" si="568"/>
        <v>6483951.8242071122</v>
      </c>
      <c r="AK1985" s="20">
        <f t="shared" si="575"/>
        <v>0.14842821680123736</v>
      </c>
      <c r="AL1985" s="17"/>
      <c r="AM1985" s="17"/>
      <c r="AN1985" s="17"/>
      <c r="AO1985" s="17"/>
      <c r="AP1985" s="28" t="str">
        <f t="shared" si="576"/>
        <v>20214</v>
      </c>
      <c r="AQ1985" s="28" t="str">
        <f t="shared" si="577"/>
        <v>20214RMB</v>
      </c>
      <c r="AR1985" s="206" t="str">
        <f t="shared" si="578"/>
        <v>YAMAHA_Mounter</v>
      </c>
      <c r="AS1985" s="22">
        <f t="shared" si="579"/>
        <v>4</v>
      </c>
      <c r="AT1985" s="24" t="str">
        <f t="shared" si="580"/>
        <v>4-6 months</v>
      </c>
      <c r="AU1985" s="22" t="s">
        <v>3744</v>
      </c>
    </row>
    <row r="1986" spans="1:47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53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1602</v>
      </c>
      <c r="K1986" s="155" t="s">
        <v>903</v>
      </c>
      <c r="L1986" s="17" t="s">
        <v>67</v>
      </c>
      <c r="M1986" s="13" t="s">
        <v>60</v>
      </c>
      <c r="N1986" s="13">
        <v>1</v>
      </c>
      <c r="O1986" s="13"/>
      <c r="P1986" s="33" t="str">
        <f t="shared" si="572"/>
        <v>MAIN UNIT</v>
      </c>
      <c r="Q1986" s="13" t="s">
        <v>61</v>
      </c>
      <c r="R1986" s="13" t="s">
        <v>62</v>
      </c>
      <c r="S1986" s="13" t="s">
        <v>49</v>
      </c>
      <c r="T1986" s="13" t="s">
        <v>78</v>
      </c>
      <c r="U1986" s="13" t="s">
        <v>79</v>
      </c>
      <c r="V1986" s="13" t="s">
        <v>112</v>
      </c>
      <c r="W1986" s="13" t="s">
        <v>64</v>
      </c>
      <c r="X1986" s="135">
        <v>640000</v>
      </c>
      <c r="Y1986" s="157" t="str">
        <f>IF(W1986="RMB","1.13", "1")</f>
        <v>1.13</v>
      </c>
      <c r="Z1986" s="18">
        <f t="shared" si="581"/>
        <v>640000</v>
      </c>
      <c r="AA1986" s="13">
        <v>1.18</v>
      </c>
      <c r="AB1986" s="21">
        <f t="shared" si="585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ref="AI1986:AI2049" si="586">IF(P1986="C66 SERVICE","",SUMIFS(AB:AB,F:F,F1986,G:G,G1986,E:E,E1986))</f>
        <v>43684091.636631854</v>
      </c>
      <c r="AJ1986" s="19">
        <f t="shared" ref="AJ1986:AJ2049" si="587">IF(P1986="C66 SERVICE","",SUMIFS(AC:AC,F:F,F1986,G:G,G1986,E:E,E1986))</f>
        <v>6483951.8242071122</v>
      </c>
      <c r="AK1986" s="20">
        <f t="shared" si="575"/>
        <v>0.14842821680123736</v>
      </c>
      <c r="AL1986" s="17"/>
      <c r="AM1986" s="17"/>
      <c r="AN1986" s="17"/>
      <c r="AO1986" s="17"/>
      <c r="AP1986" s="28" t="str">
        <f t="shared" si="576"/>
        <v>20214</v>
      </c>
      <c r="AQ1986" s="28" t="str">
        <f t="shared" si="577"/>
        <v>20214RMB</v>
      </c>
      <c r="AR1986" s="206" t="str">
        <f t="shared" si="578"/>
        <v>YAMAHA_Mounter</v>
      </c>
      <c r="AS1986" s="22">
        <f t="shared" si="579"/>
        <v>4</v>
      </c>
      <c r="AT1986" s="24" t="str">
        <f t="shared" si="580"/>
        <v>4-6 months</v>
      </c>
      <c r="AU1986" s="22" t="s">
        <v>3744</v>
      </c>
    </row>
    <row r="1987" spans="1:47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3097</v>
      </c>
      <c r="K1987" s="29" t="s">
        <v>903</v>
      </c>
      <c r="L1987" s="17" t="s">
        <v>67</v>
      </c>
      <c r="M1987" s="22" t="s">
        <v>60</v>
      </c>
      <c r="N1987" s="22">
        <v>1</v>
      </c>
      <c r="O1987" s="22"/>
      <c r="P1987" s="33" t="str">
        <f t="shared" si="572"/>
        <v>MAIN UNIT</v>
      </c>
      <c r="Q1987" s="13" t="s">
        <v>61</v>
      </c>
      <c r="R1987" s="22" t="s">
        <v>62</v>
      </c>
      <c r="S1987" s="22" t="s">
        <v>49</v>
      </c>
      <c r="T1987" s="22" t="s">
        <v>78</v>
      </c>
      <c r="U1987" s="22" t="s">
        <v>79</v>
      </c>
      <c r="V1987" s="22" t="s">
        <v>112</v>
      </c>
      <c r="W1987" s="22" t="s">
        <v>109</v>
      </c>
      <c r="X1987" s="30">
        <v>6900000</v>
      </c>
      <c r="Y1987" s="31" t="str">
        <f>IF(W1987="","",IF(W1987="RMB","1.13", "1"))</f>
        <v>1</v>
      </c>
      <c r="Z1987" s="18">
        <f t="shared" si="581"/>
        <v>6900000</v>
      </c>
      <c r="AA1987" s="22">
        <v>5.6300000000000003E-2</v>
      </c>
      <c r="AB1987" s="21">
        <f t="shared" si="585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86"/>
        <v>23146578.081415929</v>
      </c>
      <c r="AJ1987" s="27">
        <f t="shared" si="587"/>
        <v>2745231.3889985834</v>
      </c>
      <c r="AK1987" s="28">
        <f t="shared" si="575"/>
        <v>0.11860204041143742</v>
      </c>
      <c r="AL1987" s="24"/>
      <c r="AM1987" s="24"/>
      <c r="AN1987" s="24"/>
      <c r="AO1987" s="24"/>
      <c r="AP1987" s="28" t="str">
        <f t="shared" si="576"/>
        <v>20241</v>
      </c>
      <c r="AQ1987" s="28" t="str">
        <f t="shared" si="577"/>
        <v>20241JPY</v>
      </c>
      <c r="AR1987" s="206" t="str">
        <f t="shared" si="578"/>
        <v>YAMAHA_Mounter</v>
      </c>
      <c r="AS1987" s="22">
        <f t="shared" si="579"/>
        <v>0</v>
      </c>
      <c r="AT1987" s="24" t="str">
        <f t="shared" si="580"/>
        <v>0-3 months</v>
      </c>
      <c r="AU1987" s="22" t="s">
        <v>3745</v>
      </c>
    </row>
    <row r="1988" spans="1:47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3097</v>
      </c>
      <c r="K1988" s="29" t="s">
        <v>903</v>
      </c>
      <c r="L1988" s="17" t="s">
        <v>67</v>
      </c>
      <c r="M1988" s="22" t="s">
        <v>60</v>
      </c>
      <c r="N1988" s="22">
        <v>1</v>
      </c>
      <c r="O1988" s="22"/>
      <c r="P1988" s="33" t="str">
        <f t="shared" si="572"/>
        <v>MAIN UNIT</v>
      </c>
      <c r="Q1988" s="13" t="s">
        <v>61</v>
      </c>
      <c r="R1988" s="22" t="s">
        <v>62</v>
      </c>
      <c r="S1988" s="22" t="s">
        <v>49</v>
      </c>
      <c r="T1988" s="22" t="s">
        <v>78</v>
      </c>
      <c r="U1988" s="22" t="s">
        <v>79</v>
      </c>
      <c r="V1988" s="22" t="s">
        <v>112</v>
      </c>
      <c r="W1988" s="22" t="s">
        <v>109</v>
      </c>
      <c r="X1988" s="30">
        <v>6900000</v>
      </c>
      <c r="Y1988" s="31" t="str">
        <f>IF(W1988="","",IF(W1988="RMB","1.13", "1"))</f>
        <v>1</v>
      </c>
      <c r="Z1988" s="18">
        <f t="shared" si="581"/>
        <v>6900000</v>
      </c>
      <c r="AA1988" s="22">
        <v>5.6300000000000003E-2</v>
      </c>
      <c r="AB1988" s="21">
        <f t="shared" si="585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86"/>
        <v>23146578.081415929</v>
      </c>
      <c r="AJ1988" s="27">
        <f t="shared" si="587"/>
        <v>2745231.3889985834</v>
      </c>
      <c r="AK1988" s="28">
        <f t="shared" si="575"/>
        <v>0.11860204041143742</v>
      </c>
      <c r="AL1988" s="24"/>
      <c r="AM1988" s="24"/>
      <c r="AN1988" s="24"/>
      <c r="AO1988" s="24"/>
      <c r="AP1988" s="28" t="str">
        <f t="shared" si="576"/>
        <v>20241</v>
      </c>
      <c r="AQ1988" s="28" t="str">
        <f t="shared" si="577"/>
        <v>20241JPY</v>
      </c>
      <c r="AR1988" s="206" t="str">
        <f t="shared" si="578"/>
        <v>YAMAHA_Mounter</v>
      </c>
      <c r="AS1988" s="22">
        <f t="shared" si="579"/>
        <v>0</v>
      </c>
      <c r="AT1988" s="24" t="str">
        <f t="shared" si="580"/>
        <v>0-3 months</v>
      </c>
      <c r="AU1988" s="22" t="s">
        <v>3745</v>
      </c>
    </row>
    <row r="1989" spans="1:47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48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1064</v>
      </c>
      <c r="K1989" s="155" t="s">
        <v>1065</v>
      </c>
      <c r="L1989" s="17" t="s">
        <v>92</v>
      </c>
      <c r="M1989" s="13" t="s">
        <v>60</v>
      </c>
      <c r="N1989" s="13">
        <v>1</v>
      </c>
      <c r="O1989" s="13"/>
      <c r="P1989" s="33" t="str">
        <f t="shared" si="572"/>
        <v>MAIN UNIT</v>
      </c>
      <c r="Q1989" s="13" t="s">
        <v>68</v>
      </c>
      <c r="R1989" s="13" t="s">
        <v>62</v>
      </c>
      <c r="S1989" s="13" t="s">
        <v>49</v>
      </c>
      <c r="T1989" s="13" t="s">
        <v>78</v>
      </c>
      <c r="U1989" s="13" t="s">
        <v>79</v>
      </c>
      <c r="V1989" s="13" t="s">
        <v>126</v>
      </c>
      <c r="W1989" s="13" t="s">
        <v>64</v>
      </c>
      <c r="X1989" s="135">
        <v>930000</v>
      </c>
      <c r="Y1989" s="156">
        <v>1.1299999999999999</v>
      </c>
      <c r="Z1989" s="18">
        <f t="shared" si="581"/>
        <v>930000</v>
      </c>
      <c r="AA1989" s="13">
        <v>1.095</v>
      </c>
      <c r="AB1989" s="21">
        <f t="shared" si="585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86"/>
        <v>33477255.428389374</v>
      </c>
      <c r="AJ1989" s="19">
        <f t="shared" si="587"/>
        <v>4578663.362915583</v>
      </c>
      <c r="AK1989" s="20">
        <f t="shared" si="575"/>
        <v>0.13676937682988152</v>
      </c>
      <c r="AL1989" s="17"/>
      <c r="AM1989" s="17"/>
      <c r="AN1989" s="17"/>
      <c r="AO1989" s="17"/>
      <c r="AP1989" s="28" t="str">
        <f t="shared" si="576"/>
        <v>20204</v>
      </c>
      <c r="AQ1989" s="28" t="str">
        <f t="shared" si="577"/>
        <v>20204RMB</v>
      </c>
      <c r="AR1989" s="206" t="str">
        <f t="shared" si="578"/>
        <v>YAMAHA_Mounter</v>
      </c>
      <c r="AS1989" s="22">
        <f t="shared" si="579"/>
        <v>0</v>
      </c>
      <c r="AT1989" s="24" t="str">
        <f t="shared" si="580"/>
        <v>0-3 months</v>
      </c>
      <c r="AU1989" s="22" t="s">
        <v>3744</v>
      </c>
    </row>
    <row r="1990" spans="1:47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48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1064</v>
      </c>
      <c r="K1990" s="155" t="s">
        <v>1065</v>
      </c>
      <c r="L1990" s="17" t="s">
        <v>67</v>
      </c>
      <c r="M1990" s="13" t="s">
        <v>60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68</v>
      </c>
      <c r="R1990" s="13" t="s">
        <v>62</v>
      </c>
      <c r="S1990" s="13" t="s">
        <v>49</v>
      </c>
      <c r="T1990" s="13" t="s">
        <v>78</v>
      </c>
      <c r="U1990" s="13" t="s">
        <v>79</v>
      </c>
      <c r="V1990" s="13" t="s">
        <v>126</v>
      </c>
      <c r="W1990" s="13" t="s">
        <v>64</v>
      </c>
      <c r="X1990" s="135">
        <v>580000</v>
      </c>
      <c r="Y1990" s="156">
        <v>1.1299999999999999</v>
      </c>
      <c r="Z1990" s="18">
        <f t="shared" si="581"/>
        <v>580000</v>
      </c>
      <c r="AA1990" s="13">
        <v>1.095</v>
      </c>
      <c r="AB1990" s="21">
        <f t="shared" si="585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si="586"/>
        <v>33477255.428389374</v>
      </c>
      <c r="AJ1990" s="19">
        <f t="shared" si="587"/>
        <v>4578663.362915583</v>
      </c>
      <c r="AK1990" s="20">
        <f t="shared" ref="AK1990:AK2053" si="594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5">IF(F1990="","",F1990&amp;G1990)</f>
        <v>20204</v>
      </c>
      <c r="AQ1990" s="28" t="str">
        <f t="shared" ref="AQ1990:AQ2053" si="596">IF(W1990="","",F1990&amp;G1990&amp;W1990)</f>
        <v>20204RMB</v>
      </c>
      <c r="AR1990" s="206" t="str">
        <f t="shared" ref="AR1990:AR2053" si="597">IFERROR(IF(AND(M1990="YAMAHA", R1990="C28"), "YAMAHA_Non_Mounter", IF(AND(M1990="YAMAHA", R1990="C49"), "YAMAHA_Mounter", M1990)),"")</f>
        <v>YAMAHA_Mounter</v>
      </c>
      <c r="AS1990" s="22">
        <f t="shared" ref="AS1990:AS2053" si="598">IFERROR(IF(OR(G1990="TBA", G1990=""), "", DATEDIF(DATE(B1990, C1990, 1), DATE(F1990, G1990, 1), "M")),"")</f>
        <v>0</v>
      </c>
      <c r="AT1990" s="24" t="str">
        <f t="shared" ref="AT1990:AT2053" si="599">IF(ISNUMBER(AS1990), IF(AS1990&gt;=0, IF(AS1990&lt;=3, "0-3 months", IF(AS1990&lt;=6, "4-6 months", "&gt; 6 months"))), "")</f>
        <v>0-3 months</v>
      </c>
      <c r="AU1990" s="22" t="s">
        <v>3744</v>
      </c>
    </row>
    <row r="1991" spans="1:47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53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1714</v>
      </c>
      <c r="K1991" s="155" t="s">
        <v>1065</v>
      </c>
      <c r="L1991" s="17" t="s">
        <v>92</v>
      </c>
      <c r="M1991" s="13" t="s">
        <v>60</v>
      </c>
      <c r="N1991" s="13">
        <v>1</v>
      </c>
      <c r="O1991" s="13"/>
      <c r="P1991" s="33" t="str">
        <f t="shared" si="591"/>
        <v>MAIN UNIT</v>
      </c>
      <c r="Q1991" s="13" t="s">
        <v>61</v>
      </c>
      <c r="R1991" s="13" t="s">
        <v>62</v>
      </c>
      <c r="S1991" s="13" t="s">
        <v>49</v>
      </c>
      <c r="T1991" s="13" t="s">
        <v>78</v>
      </c>
      <c r="U1991" s="13" t="s">
        <v>79</v>
      </c>
      <c r="V1991" s="13" t="s">
        <v>126</v>
      </c>
      <c r="W1991" s="13" t="s">
        <v>109</v>
      </c>
      <c r="X1991" s="135">
        <v>12000000</v>
      </c>
      <c r="Y1991" s="157" t="str">
        <f t="shared" ref="Y1991:Y2003" si="600">IF(W1991="RMB","1.13", "1")</f>
        <v>1</v>
      </c>
      <c r="Z1991" s="18">
        <f t="shared" si="581"/>
        <v>12000000</v>
      </c>
      <c r="AA1991" s="13">
        <v>7.2800000000000004E-2</v>
      </c>
      <c r="AB1991" s="21">
        <f t="shared" si="585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86"/>
        <v>63006605.696460173</v>
      </c>
      <c r="AJ1991" s="19">
        <f t="shared" si="587"/>
        <v>8897485.660753984</v>
      </c>
      <c r="AK1991" s="20">
        <f t="shared" si="594"/>
        <v>0.141215124388995</v>
      </c>
      <c r="AL1991" s="17"/>
      <c r="AM1991" s="17"/>
      <c r="AN1991" s="17"/>
      <c r="AO1991" s="17"/>
      <c r="AP1991" s="28" t="str">
        <f t="shared" si="595"/>
        <v>20215</v>
      </c>
      <c r="AQ1991" s="28" t="str">
        <f t="shared" si="596"/>
        <v>20215JPY</v>
      </c>
      <c r="AR1991" s="206" t="str">
        <f t="shared" si="597"/>
        <v>YAMAHA_Mounter</v>
      </c>
      <c r="AS1991" s="22">
        <f t="shared" si="598"/>
        <v>4</v>
      </c>
      <c r="AT1991" s="24" t="str">
        <f t="shared" si="599"/>
        <v>4-6 months</v>
      </c>
      <c r="AU1991" s="22" t="s">
        <v>3745</v>
      </c>
    </row>
    <row r="1992" spans="1:47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53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1714</v>
      </c>
      <c r="K1992" s="155" t="s">
        <v>1065</v>
      </c>
      <c r="L1992" s="17" t="s">
        <v>92</v>
      </c>
      <c r="M1992" s="13" t="s">
        <v>60</v>
      </c>
      <c r="N1992" s="13">
        <v>1</v>
      </c>
      <c r="O1992" s="13"/>
      <c r="P1992" s="33" t="str">
        <f t="shared" si="591"/>
        <v>MAIN UNIT</v>
      </c>
      <c r="Q1992" s="13" t="s">
        <v>61</v>
      </c>
      <c r="R1992" s="13" t="s">
        <v>62</v>
      </c>
      <c r="S1992" s="13" t="s">
        <v>49</v>
      </c>
      <c r="T1992" s="13" t="s">
        <v>78</v>
      </c>
      <c r="U1992" s="13" t="s">
        <v>79</v>
      </c>
      <c r="V1992" s="13" t="s">
        <v>126</v>
      </c>
      <c r="W1992" s="13" t="s">
        <v>109</v>
      </c>
      <c r="X1992" s="135">
        <v>12000000</v>
      </c>
      <c r="Y1992" s="157" t="str">
        <f t="shared" si="600"/>
        <v>1</v>
      </c>
      <c r="Z1992" s="18">
        <f t="shared" si="581"/>
        <v>12000000</v>
      </c>
      <c r="AA1992" s="13">
        <v>7.2800000000000004E-2</v>
      </c>
      <c r="AB1992" s="21">
        <f t="shared" si="585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86"/>
        <v>63006605.696460173</v>
      </c>
      <c r="AJ1992" s="19">
        <f t="shared" si="587"/>
        <v>8897485.660753984</v>
      </c>
      <c r="AK1992" s="20">
        <f t="shared" si="594"/>
        <v>0.141215124388995</v>
      </c>
      <c r="AL1992" s="17"/>
      <c r="AM1992" s="17"/>
      <c r="AN1992" s="17"/>
      <c r="AO1992" s="17"/>
      <c r="AP1992" s="28" t="str">
        <f t="shared" si="595"/>
        <v>20215</v>
      </c>
      <c r="AQ1992" s="28" t="str">
        <f t="shared" si="596"/>
        <v>20215JPY</v>
      </c>
      <c r="AR1992" s="206" t="str">
        <f t="shared" si="597"/>
        <v>YAMAHA_Mounter</v>
      </c>
      <c r="AS1992" s="22">
        <f t="shared" si="598"/>
        <v>4</v>
      </c>
      <c r="AT1992" s="24" t="str">
        <f t="shared" si="599"/>
        <v>4-6 months</v>
      </c>
      <c r="AU1992" s="22" t="s">
        <v>3745</v>
      </c>
    </row>
    <row r="1993" spans="1:47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53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1714</v>
      </c>
      <c r="K1993" s="155" t="s">
        <v>1065</v>
      </c>
      <c r="L1993" s="17" t="s">
        <v>67</v>
      </c>
      <c r="M1993" s="13" t="s">
        <v>60</v>
      </c>
      <c r="N1993" s="13">
        <v>1</v>
      </c>
      <c r="O1993" s="13"/>
      <c r="P1993" s="33" t="str">
        <f t="shared" si="591"/>
        <v>MAIN UNIT</v>
      </c>
      <c r="Q1993" s="13" t="s">
        <v>61</v>
      </c>
      <c r="R1993" s="13" t="s">
        <v>62</v>
      </c>
      <c r="S1993" s="13" t="s">
        <v>49</v>
      </c>
      <c r="T1993" s="13" t="s">
        <v>78</v>
      </c>
      <c r="U1993" s="13" t="s">
        <v>79</v>
      </c>
      <c r="V1993" s="13" t="s">
        <v>126</v>
      </c>
      <c r="W1993" s="13" t="s">
        <v>109</v>
      </c>
      <c r="X1993" s="135">
        <v>8000000</v>
      </c>
      <c r="Y1993" s="157" t="str">
        <f t="shared" si="600"/>
        <v>1</v>
      </c>
      <c r="Z1993" s="18">
        <f t="shared" si="581"/>
        <v>8000000</v>
      </c>
      <c r="AA1993" s="13">
        <v>7.2800000000000004E-2</v>
      </c>
      <c r="AB1993" s="21">
        <f t="shared" si="585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86"/>
        <v>63006605.696460173</v>
      </c>
      <c r="AJ1993" s="19">
        <f t="shared" si="587"/>
        <v>8897485.660753984</v>
      </c>
      <c r="AK1993" s="20">
        <f t="shared" si="594"/>
        <v>0.141215124388995</v>
      </c>
      <c r="AL1993" s="17"/>
      <c r="AM1993" s="17"/>
      <c r="AN1993" s="17"/>
      <c r="AO1993" s="17"/>
      <c r="AP1993" s="28" t="str">
        <f t="shared" si="595"/>
        <v>20215</v>
      </c>
      <c r="AQ1993" s="28" t="str">
        <f t="shared" si="596"/>
        <v>20215JPY</v>
      </c>
      <c r="AR1993" s="206" t="str">
        <f t="shared" si="597"/>
        <v>YAMAHA_Mounter</v>
      </c>
      <c r="AS1993" s="22">
        <f t="shared" si="598"/>
        <v>4</v>
      </c>
      <c r="AT1993" s="24" t="str">
        <f t="shared" si="599"/>
        <v>4-6 months</v>
      </c>
      <c r="AU1993" s="22" t="s">
        <v>3745</v>
      </c>
    </row>
    <row r="1994" spans="1:47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53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1714</v>
      </c>
      <c r="K1994" s="155" t="s">
        <v>1065</v>
      </c>
      <c r="L1994" s="17" t="s">
        <v>67</v>
      </c>
      <c r="M1994" s="13" t="s">
        <v>60</v>
      </c>
      <c r="N1994" s="13">
        <v>1</v>
      </c>
      <c r="O1994" s="13"/>
      <c r="P1994" s="33" t="str">
        <f t="shared" si="591"/>
        <v>MAIN UNIT</v>
      </c>
      <c r="Q1994" s="13" t="s">
        <v>61</v>
      </c>
      <c r="R1994" s="13" t="s">
        <v>62</v>
      </c>
      <c r="S1994" s="13" t="s">
        <v>49</v>
      </c>
      <c r="T1994" s="13" t="s">
        <v>78</v>
      </c>
      <c r="U1994" s="13" t="s">
        <v>79</v>
      </c>
      <c r="V1994" s="13" t="s">
        <v>126</v>
      </c>
      <c r="W1994" s="13" t="s">
        <v>109</v>
      </c>
      <c r="X1994" s="135">
        <v>8000000</v>
      </c>
      <c r="Y1994" s="157" t="str">
        <f t="shared" si="600"/>
        <v>1</v>
      </c>
      <c r="Z1994" s="18">
        <f t="shared" ref="Z1994:Z2057" si="601">IF(X1994="","",X1994*MAX(O1994,N1994))</f>
        <v>8000000</v>
      </c>
      <c r="AA1994" s="13">
        <v>7.2800000000000004E-2</v>
      </c>
      <c r="AB1994" s="21">
        <f t="shared" si="585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86"/>
        <v>63006605.696460173</v>
      </c>
      <c r="AJ1994" s="19">
        <f t="shared" si="587"/>
        <v>8897485.660753984</v>
      </c>
      <c r="AK1994" s="20">
        <f t="shared" si="594"/>
        <v>0.141215124388995</v>
      </c>
      <c r="AL1994" s="17"/>
      <c r="AM1994" s="17"/>
      <c r="AN1994" s="17"/>
      <c r="AO1994" s="17"/>
      <c r="AP1994" s="28" t="str">
        <f t="shared" si="595"/>
        <v>20215</v>
      </c>
      <c r="AQ1994" s="28" t="str">
        <f t="shared" si="596"/>
        <v>20215JPY</v>
      </c>
      <c r="AR1994" s="206" t="str">
        <f t="shared" si="597"/>
        <v>YAMAHA_Mounter</v>
      </c>
      <c r="AS1994" s="22">
        <f t="shared" si="598"/>
        <v>4</v>
      </c>
      <c r="AT1994" s="24" t="str">
        <f t="shared" si="599"/>
        <v>4-6 months</v>
      </c>
      <c r="AU1994" s="22" t="s">
        <v>3745</v>
      </c>
    </row>
    <row r="1995" spans="1:47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53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1714</v>
      </c>
      <c r="K1995" s="155" t="s">
        <v>1065</v>
      </c>
      <c r="L1995" s="17" t="s">
        <v>67</v>
      </c>
      <c r="M1995" s="13" t="s">
        <v>60</v>
      </c>
      <c r="N1995" s="13">
        <v>1</v>
      </c>
      <c r="O1995" s="13"/>
      <c r="P1995" s="33" t="str">
        <f t="shared" si="591"/>
        <v>MAIN UNIT</v>
      </c>
      <c r="Q1995" s="13" t="s">
        <v>61</v>
      </c>
      <c r="R1995" s="13" t="s">
        <v>62</v>
      </c>
      <c r="S1995" s="13" t="s">
        <v>49</v>
      </c>
      <c r="T1995" s="13" t="s">
        <v>78</v>
      </c>
      <c r="U1995" s="13" t="s">
        <v>79</v>
      </c>
      <c r="V1995" s="13" t="s">
        <v>126</v>
      </c>
      <c r="W1995" s="13" t="s">
        <v>109</v>
      </c>
      <c r="X1995" s="135">
        <v>8000000</v>
      </c>
      <c r="Y1995" s="157" t="str">
        <f t="shared" si="600"/>
        <v>1</v>
      </c>
      <c r="Z1995" s="18">
        <f t="shared" si="601"/>
        <v>8000000</v>
      </c>
      <c r="AA1995" s="13">
        <v>7.2800000000000004E-2</v>
      </c>
      <c r="AB1995" s="21">
        <f t="shared" si="585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86"/>
        <v>63006605.696460173</v>
      </c>
      <c r="AJ1995" s="19">
        <f t="shared" si="587"/>
        <v>8897485.660753984</v>
      </c>
      <c r="AK1995" s="20">
        <f t="shared" si="594"/>
        <v>0.141215124388995</v>
      </c>
      <c r="AL1995" s="17"/>
      <c r="AM1995" s="17"/>
      <c r="AN1995" s="17"/>
      <c r="AO1995" s="17"/>
      <c r="AP1995" s="28" t="str">
        <f t="shared" si="595"/>
        <v>20215</v>
      </c>
      <c r="AQ1995" s="28" t="str">
        <f t="shared" si="596"/>
        <v>20215JPY</v>
      </c>
      <c r="AR1995" s="206" t="str">
        <f t="shared" si="597"/>
        <v>YAMAHA_Mounter</v>
      </c>
      <c r="AS1995" s="22">
        <f t="shared" si="598"/>
        <v>4</v>
      </c>
      <c r="AT1995" s="24" t="str">
        <f t="shared" si="599"/>
        <v>4-6 months</v>
      </c>
      <c r="AU1995" s="22" t="s">
        <v>3745</v>
      </c>
    </row>
    <row r="1996" spans="1:47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53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1887</v>
      </c>
      <c r="K1996" s="155" t="s">
        <v>1888</v>
      </c>
      <c r="L1996" s="17" t="s">
        <v>92</v>
      </c>
      <c r="M1996" s="13" t="s">
        <v>60</v>
      </c>
      <c r="N1996" s="13">
        <v>1</v>
      </c>
      <c r="O1996" s="13"/>
      <c r="P1996" s="33" t="str">
        <f t="shared" si="591"/>
        <v>MAIN UNIT</v>
      </c>
      <c r="Q1996" s="13" t="s">
        <v>68</v>
      </c>
      <c r="R1996" s="13" t="s">
        <v>62</v>
      </c>
      <c r="S1996" s="13" t="s">
        <v>49</v>
      </c>
      <c r="T1996" s="13" t="s">
        <v>78</v>
      </c>
      <c r="U1996" s="13" t="s">
        <v>79</v>
      </c>
      <c r="V1996" s="13" t="s">
        <v>715</v>
      </c>
      <c r="W1996" s="13" t="s">
        <v>109</v>
      </c>
      <c r="X1996" s="135">
        <v>13000000</v>
      </c>
      <c r="Y1996" s="157" t="str">
        <f t="shared" si="600"/>
        <v>1</v>
      </c>
      <c r="Z1996" s="18">
        <f t="shared" si="601"/>
        <v>13000000</v>
      </c>
      <c r="AA1996" s="13">
        <v>7.0000000000000007E-2</v>
      </c>
      <c r="AB1996" s="21">
        <f t="shared" si="585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86"/>
        <v>29500529.005044252</v>
      </c>
      <c r="AJ1996" s="19">
        <f t="shared" si="587"/>
        <v>3253064.846231177</v>
      </c>
      <c r="AK1996" s="20">
        <f t="shared" si="594"/>
        <v>0.11027140718984871</v>
      </c>
      <c r="AL1996" s="17"/>
      <c r="AM1996" s="17"/>
      <c r="AN1996" s="17"/>
      <c r="AO1996" s="17"/>
      <c r="AP1996" s="28" t="str">
        <f t="shared" si="595"/>
        <v>202111</v>
      </c>
      <c r="AQ1996" s="28" t="str">
        <f t="shared" si="596"/>
        <v>202111JPY</v>
      </c>
      <c r="AR1996" s="206" t="str">
        <f t="shared" si="597"/>
        <v>YAMAHA_Mounter</v>
      </c>
      <c r="AS1996" s="22">
        <f t="shared" si="598"/>
        <v>6</v>
      </c>
      <c r="AT1996" s="24" t="str">
        <f t="shared" si="599"/>
        <v>4-6 months</v>
      </c>
      <c r="AU1996" s="22" t="s">
        <v>3745</v>
      </c>
    </row>
    <row r="1997" spans="1:47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53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1887</v>
      </c>
      <c r="K1997" s="155" t="s">
        <v>1888</v>
      </c>
      <c r="L1997" s="17" t="s">
        <v>92</v>
      </c>
      <c r="M1997" s="13" t="s">
        <v>60</v>
      </c>
      <c r="N1997" s="13">
        <v>1</v>
      </c>
      <c r="O1997" s="13"/>
      <c r="P1997" s="33" t="str">
        <f t="shared" si="591"/>
        <v>MAIN UNIT</v>
      </c>
      <c r="Q1997" s="13" t="s">
        <v>68</v>
      </c>
      <c r="R1997" s="13" t="s">
        <v>62</v>
      </c>
      <c r="S1997" s="13" t="s">
        <v>49</v>
      </c>
      <c r="T1997" s="13" t="s">
        <v>78</v>
      </c>
      <c r="U1997" s="13" t="s">
        <v>79</v>
      </c>
      <c r="V1997" s="13" t="s">
        <v>715</v>
      </c>
      <c r="W1997" s="13" t="s">
        <v>109</v>
      </c>
      <c r="X1997" s="135">
        <v>13000000</v>
      </c>
      <c r="Y1997" s="157" t="str">
        <f t="shared" si="600"/>
        <v>1</v>
      </c>
      <c r="Z1997" s="18">
        <f t="shared" si="601"/>
        <v>13000000</v>
      </c>
      <c r="AA1997" s="13">
        <v>7.0000000000000007E-2</v>
      </c>
      <c r="AB1997" s="21">
        <f t="shared" si="585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86"/>
        <v>29500529.005044252</v>
      </c>
      <c r="AJ1997" s="19">
        <f t="shared" si="587"/>
        <v>3253064.846231177</v>
      </c>
      <c r="AK1997" s="20">
        <f t="shared" si="594"/>
        <v>0.11027140718984871</v>
      </c>
      <c r="AL1997" s="17"/>
      <c r="AM1997" s="17"/>
      <c r="AN1997" s="17"/>
      <c r="AO1997" s="17"/>
      <c r="AP1997" s="28" t="str">
        <f t="shared" si="595"/>
        <v>202111</v>
      </c>
      <c r="AQ1997" s="28" t="str">
        <f t="shared" si="596"/>
        <v>202111JPY</v>
      </c>
      <c r="AR1997" s="206" t="str">
        <f t="shared" si="597"/>
        <v>YAMAHA_Mounter</v>
      </c>
      <c r="AS1997" s="22">
        <f t="shared" si="598"/>
        <v>6</v>
      </c>
      <c r="AT1997" s="24" t="str">
        <f t="shared" si="599"/>
        <v>4-6 months</v>
      </c>
      <c r="AU1997" s="22" t="s">
        <v>3745</v>
      </c>
    </row>
    <row r="1998" spans="1:47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53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1887</v>
      </c>
      <c r="K1998" s="155" t="s">
        <v>1888</v>
      </c>
      <c r="L1998" s="17" t="s">
        <v>67</v>
      </c>
      <c r="M1998" s="13" t="s">
        <v>60</v>
      </c>
      <c r="N1998" s="13">
        <v>1</v>
      </c>
      <c r="O1998" s="13"/>
      <c r="P1998" s="33" t="str">
        <f t="shared" si="591"/>
        <v>MAIN UNIT</v>
      </c>
      <c r="Q1998" s="13" t="s">
        <v>68</v>
      </c>
      <c r="R1998" s="13" t="s">
        <v>62</v>
      </c>
      <c r="S1998" s="13" t="s">
        <v>49</v>
      </c>
      <c r="T1998" s="13" t="s">
        <v>78</v>
      </c>
      <c r="U1998" s="13" t="s">
        <v>79</v>
      </c>
      <c r="V1998" s="13" t="s">
        <v>715</v>
      </c>
      <c r="W1998" s="13" t="s">
        <v>109</v>
      </c>
      <c r="X1998" s="135">
        <v>8360000</v>
      </c>
      <c r="Y1998" s="157" t="str">
        <f t="shared" si="600"/>
        <v>1</v>
      </c>
      <c r="Z1998" s="18">
        <f t="shared" si="601"/>
        <v>8360000</v>
      </c>
      <c r="AA1998" s="13">
        <v>6.9199999999999998E-2</v>
      </c>
      <c r="AB1998" s="21">
        <f t="shared" si="585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86"/>
        <v>28726768.133805312</v>
      </c>
      <c r="AJ1998" s="19">
        <f t="shared" si="587"/>
        <v>3853638.1988864429</v>
      </c>
      <c r="AK1998" s="20">
        <f t="shared" si="594"/>
        <v>0.1341479898099476</v>
      </c>
      <c r="AL1998" s="17"/>
      <c r="AM1998" s="17"/>
      <c r="AN1998" s="17"/>
      <c r="AO1998" s="17"/>
      <c r="AP1998" s="28" t="str">
        <f t="shared" si="595"/>
        <v>20223</v>
      </c>
      <c r="AQ1998" s="28" t="str">
        <f t="shared" si="596"/>
        <v>20223JPY</v>
      </c>
      <c r="AR1998" s="206" t="str">
        <f t="shared" si="597"/>
        <v>YAMAHA_Mounter</v>
      </c>
      <c r="AS1998" s="22">
        <f t="shared" si="598"/>
        <v>10</v>
      </c>
      <c r="AT1998" s="24" t="str">
        <f t="shared" si="599"/>
        <v>&gt; 6 months</v>
      </c>
      <c r="AU1998" s="22" t="s">
        <v>3745</v>
      </c>
    </row>
    <row r="1999" spans="1:47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53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1887</v>
      </c>
      <c r="K1999" s="155" t="s">
        <v>1888</v>
      </c>
      <c r="L1999" s="17" t="s">
        <v>67</v>
      </c>
      <c r="M1999" s="13" t="s">
        <v>60</v>
      </c>
      <c r="N1999" s="13">
        <v>1</v>
      </c>
      <c r="O1999" s="13"/>
      <c r="P1999" s="33" t="str">
        <f t="shared" si="591"/>
        <v>MAIN UNIT</v>
      </c>
      <c r="Q1999" s="13" t="s">
        <v>68</v>
      </c>
      <c r="R1999" s="13" t="s">
        <v>62</v>
      </c>
      <c r="S1999" s="13" t="s">
        <v>49</v>
      </c>
      <c r="T1999" s="13" t="s">
        <v>78</v>
      </c>
      <c r="U1999" s="13" t="s">
        <v>79</v>
      </c>
      <c r="V1999" s="13" t="s">
        <v>715</v>
      </c>
      <c r="W1999" s="13" t="s">
        <v>109</v>
      </c>
      <c r="X1999" s="135">
        <v>8360000</v>
      </c>
      <c r="Y1999" s="157" t="str">
        <f t="shared" si="600"/>
        <v>1</v>
      </c>
      <c r="Z1999" s="18">
        <f t="shared" si="601"/>
        <v>8360000</v>
      </c>
      <c r="AA1999" s="13">
        <v>6.9199999999999998E-2</v>
      </c>
      <c r="AB1999" s="21">
        <f t="shared" si="585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86"/>
        <v>28726768.133805312</v>
      </c>
      <c r="AJ1999" s="19">
        <f t="shared" si="587"/>
        <v>3853638.1988864429</v>
      </c>
      <c r="AK1999" s="20">
        <f t="shared" si="594"/>
        <v>0.1341479898099476</v>
      </c>
      <c r="AL1999" s="17"/>
      <c r="AM1999" s="17"/>
      <c r="AN1999" s="17"/>
      <c r="AO1999" s="17"/>
      <c r="AP1999" s="28" t="str">
        <f t="shared" si="595"/>
        <v>20223</v>
      </c>
      <c r="AQ1999" s="28" t="str">
        <f t="shared" si="596"/>
        <v>20223JPY</v>
      </c>
      <c r="AR1999" s="206" t="str">
        <f t="shared" si="597"/>
        <v>YAMAHA_Mounter</v>
      </c>
      <c r="AS1999" s="22">
        <f t="shared" si="598"/>
        <v>10</v>
      </c>
      <c r="AT1999" s="24" t="str">
        <f t="shared" si="599"/>
        <v>&gt; 6 months</v>
      </c>
      <c r="AU1999" s="22" t="s">
        <v>3745</v>
      </c>
    </row>
    <row r="2000" spans="1:47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54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2246</v>
      </c>
      <c r="K2000" s="155" t="s">
        <v>1888</v>
      </c>
      <c r="L2000" s="17" t="s">
        <v>92</v>
      </c>
      <c r="M2000" s="13" t="s">
        <v>60</v>
      </c>
      <c r="N2000" s="13">
        <v>1</v>
      </c>
      <c r="O2000" s="13"/>
      <c r="P2000" s="33" t="str">
        <f t="shared" si="591"/>
        <v>MAIN UNIT</v>
      </c>
      <c r="Q2000" s="13" t="s">
        <v>61</v>
      </c>
      <c r="R2000" s="13" t="s">
        <v>62</v>
      </c>
      <c r="S2000" s="13" t="s">
        <v>49</v>
      </c>
      <c r="T2000" s="13" t="s">
        <v>78</v>
      </c>
      <c r="U2000" s="13" t="s">
        <v>79</v>
      </c>
      <c r="V2000" s="13" t="s">
        <v>715</v>
      </c>
      <c r="W2000" s="13" t="s">
        <v>109</v>
      </c>
      <c r="X2000" s="135">
        <v>15000000</v>
      </c>
      <c r="Y2000" s="157" t="str">
        <f t="shared" si="600"/>
        <v>1</v>
      </c>
      <c r="Z2000" s="18">
        <f t="shared" si="601"/>
        <v>15000000</v>
      </c>
      <c r="AA2000" s="13">
        <v>5.96E-2</v>
      </c>
      <c r="AB2000" s="21">
        <f t="shared" si="585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86"/>
        <v>35073581.838938057</v>
      </c>
      <c r="AJ2000" s="19">
        <f t="shared" si="587"/>
        <v>5034113.9728989396</v>
      </c>
      <c r="AK2000" s="20">
        <f t="shared" si="594"/>
        <v>0.14353007902118958</v>
      </c>
      <c r="AL2000" s="17"/>
      <c r="AM2000" s="17"/>
      <c r="AN2000" s="17"/>
      <c r="AO2000" s="17"/>
      <c r="AP2000" s="28" t="str">
        <f t="shared" si="595"/>
        <v>20228</v>
      </c>
      <c r="AQ2000" s="28" t="str">
        <f t="shared" si="596"/>
        <v>20228JPY</v>
      </c>
      <c r="AR2000" s="206" t="str">
        <f t="shared" si="597"/>
        <v>YAMAHA_Mounter</v>
      </c>
      <c r="AS2000" s="22">
        <f t="shared" si="598"/>
        <v>3</v>
      </c>
      <c r="AT2000" s="24" t="str">
        <f t="shared" si="599"/>
        <v>0-3 months</v>
      </c>
      <c r="AU2000" s="22" t="s">
        <v>3745</v>
      </c>
    </row>
    <row r="2001" spans="1:47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54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2246</v>
      </c>
      <c r="K2001" s="155" t="s">
        <v>1888</v>
      </c>
      <c r="L2001" s="17" t="s">
        <v>92</v>
      </c>
      <c r="M2001" s="13" t="s">
        <v>60</v>
      </c>
      <c r="N2001" s="13">
        <v>1</v>
      </c>
      <c r="O2001" s="13"/>
      <c r="P2001" s="33" t="str">
        <f t="shared" si="591"/>
        <v>MAIN UNIT</v>
      </c>
      <c r="Q2001" s="13" t="s">
        <v>61</v>
      </c>
      <c r="R2001" s="13" t="s">
        <v>62</v>
      </c>
      <c r="S2001" s="13" t="s">
        <v>49</v>
      </c>
      <c r="T2001" s="13" t="s">
        <v>78</v>
      </c>
      <c r="U2001" s="13" t="s">
        <v>79</v>
      </c>
      <c r="V2001" s="13" t="s">
        <v>715</v>
      </c>
      <c r="W2001" s="13" t="s">
        <v>109</v>
      </c>
      <c r="X2001" s="135">
        <v>15000000</v>
      </c>
      <c r="Y2001" s="157" t="str">
        <f t="shared" si="600"/>
        <v>1</v>
      </c>
      <c r="Z2001" s="18">
        <f t="shared" si="601"/>
        <v>15000000</v>
      </c>
      <c r="AA2001" s="13">
        <v>5.96E-2</v>
      </c>
      <c r="AB2001" s="21">
        <f t="shared" si="585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86"/>
        <v>35073581.838938057</v>
      </c>
      <c r="AJ2001" s="19">
        <f t="shared" si="587"/>
        <v>5034113.9728989396</v>
      </c>
      <c r="AK2001" s="20">
        <f t="shared" si="594"/>
        <v>0.14353007902118958</v>
      </c>
      <c r="AL2001" s="17"/>
      <c r="AM2001" s="17"/>
      <c r="AN2001" s="17"/>
      <c r="AO2001" s="17"/>
      <c r="AP2001" s="28" t="str">
        <f t="shared" si="595"/>
        <v>20228</v>
      </c>
      <c r="AQ2001" s="28" t="str">
        <f t="shared" si="596"/>
        <v>20228JPY</v>
      </c>
      <c r="AR2001" s="206" t="str">
        <f t="shared" si="597"/>
        <v>YAMAHA_Mounter</v>
      </c>
      <c r="AS2001" s="22">
        <f t="shared" si="598"/>
        <v>3</v>
      </c>
      <c r="AT2001" s="24" t="str">
        <f t="shared" si="599"/>
        <v>0-3 months</v>
      </c>
      <c r="AU2001" s="22" t="s">
        <v>3745</v>
      </c>
    </row>
    <row r="2002" spans="1:47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54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2432</v>
      </c>
      <c r="K2002" s="155" t="s">
        <v>1888</v>
      </c>
      <c r="L2002" s="17" t="s">
        <v>67</v>
      </c>
      <c r="M2002" s="13" t="s">
        <v>60</v>
      </c>
      <c r="N2002" s="13">
        <v>1</v>
      </c>
      <c r="O2002" s="13"/>
      <c r="P2002" s="33" t="str">
        <f t="shared" si="591"/>
        <v>MAIN UNIT</v>
      </c>
      <c r="Q2002" s="13" t="s">
        <v>61</v>
      </c>
      <c r="R2002" s="13" t="s">
        <v>62</v>
      </c>
      <c r="S2002" s="13" t="s">
        <v>49</v>
      </c>
      <c r="T2002" s="13" t="s">
        <v>78</v>
      </c>
      <c r="U2002" s="13" t="s">
        <v>79</v>
      </c>
      <c r="V2002" s="13" t="s">
        <v>121</v>
      </c>
      <c r="W2002" s="13" t="s">
        <v>64</v>
      </c>
      <c r="X2002" s="135">
        <v>430000</v>
      </c>
      <c r="Y2002" s="157" t="str">
        <f t="shared" si="600"/>
        <v>1.13</v>
      </c>
      <c r="Z2002" s="18">
        <f t="shared" si="601"/>
        <v>430000</v>
      </c>
      <c r="AA2002" s="13">
        <v>1.1299999999999999</v>
      </c>
      <c r="AB2002" s="21">
        <f t="shared" si="585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86"/>
        <v>33543315.897345133</v>
      </c>
      <c r="AJ2002" s="19">
        <f t="shared" si="587"/>
        <v>4706169.3252984071</v>
      </c>
      <c r="AK2002" s="20">
        <f t="shared" si="594"/>
        <v>0.14030125523967318</v>
      </c>
      <c r="AL2002" s="17"/>
      <c r="AM2002" s="17"/>
      <c r="AN2002" s="17"/>
      <c r="AO2002" s="17"/>
      <c r="AP2002" s="28" t="str">
        <f t="shared" si="595"/>
        <v>20233</v>
      </c>
      <c r="AQ2002" s="28" t="str">
        <f t="shared" si="596"/>
        <v>20233RMB</v>
      </c>
      <c r="AR2002" s="206" t="str">
        <f t="shared" si="597"/>
        <v>YAMAHA_Mounter</v>
      </c>
      <c r="AS2002" s="22">
        <f t="shared" si="598"/>
        <v>0</v>
      </c>
      <c r="AT2002" s="24" t="str">
        <f t="shared" si="599"/>
        <v>0-3 months</v>
      </c>
      <c r="AU2002" s="22" t="s">
        <v>3751</v>
      </c>
    </row>
    <row r="2003" spans="1:47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54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2432</v>
      </c>
      <c r="K2003" s="155" t="s">
        <v>1888</v>
      </c>
      <c r="L2003" s="17" t="s">
        <v>67</v>
      </c>
      <c r="M2003" s="13" t="s">
        <v>60</v>
      </c>
      <c r="N2003" s="13">
        <v>1</v>
      </c>
      <c r="O2003" s="13"/>
      <c r="P2003" s="33" t="str">
        <f t="shared" si="591"/>
        <v>MAIN UNIT</v>
      </c>
      <c r="Q2003" s="13" t="s">
        <v>61</v>
      </c>
      <c r="R2003" s="13" t="s">
        <v>62</v>
      </c>
      <c r="S2003" s="13" t="s">
        <v>49</v>
      </c>
      <c r="T2003" s="13" t="s">
        <v>78</v>
      </c>
      <c r="U2003" s="13" t="s">
        <v>79</v>
      </c>
      <c r="V2003" s="13" t="s">
        <v>121</v>
      </c>
      <c r="W2003" s="13" t="s">
        <v>64</v>
      </c>
      <c r="X2003" s="135">
        <v>430000</v>
      </c>
      <c r="Y2003" s="157" t="str">
        <f t="shared" si="600"/>
        <v>1.13</v>
      </c>
      <c r="Z2003" s="18">
        <f t="shared" si="601"/>
        <v>430000</v>
      </c>
      <c r="AA2003" s="13">
        <v>1.1299999999999999</v>
      </c>
      <c r="AB2003" s="21">
        <f t="shared" si="585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86"/>
        <v>33543315.897345133</v>
      </c>
      <c r="AJ2003" s="19">
        <f t="shared" si="587"/>
        <v>4706169.3252984071</v>
      </c>
      <c r="AK2003" s="20">
        <f t="shared" si="594"/>
        <v>0.14030125523967318</v>
      </c>
      <c r="AL2003" s="17"/>
      <c r="AM2003" s="17"/>
      <c r="AN2003" s="17"/>
      <c r="AO2003" s="17"/>
      <c r="AP2003" s="28" t="str">
        <f t="shared" si="595"/>
        <v>20233</v>
      </c>
      <c r="AQ2003" s="28" t="str">
        <f t="shared" si="596"/>
        <v>20233RMB</v>
      </c>
      <c r="AR2003" s="206" t="str">
        <f t="shared" si="597"/>
        <v>YAMAHA_Mounter</v>
      </c>
      <c r="AS2003" s="22">
        <f t="shared" si="598"/>
        <v>0</v>
      </c>
      <c r="AT2003" s="24" t="str">
        <f t="shared" si="599"/>
        <v>0-3 months</v>
      </c>
      <c r="AU2003" s="22" t="s">
        <v>3751</v>
      </c>
    </row>
    <row r="2004" spans="1:47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3090</v>
      </c>
      <c r="K2004" s="29" t="s">
        <v>3091</v>
      </c>
      <c r="L2004" s="17" t="s">
        <v>92</v>
      </c>
      <c r="M2004" s="22" t="s">
        <v>60</v>
      </c>
      <c r="N2004" s="22">
        <v>1</v>
      </c>
      <c r="O2004" s="22"/>
      <c r="P2004" s="33" t="str">
        <f t="shared" si="591"/>
        <v>MAIN UNIT</v>
      </c>
      <c r="Q2004" s="13" t="s">
        <v>68</v>
      </c>
      <c r="R2004" s="22" t="s">
        <v>62</v>
      </c>
      <c r="S2004" s="22" t="s">
        <v>49</v>
      </c>
      <c r="T2004" s="22" t="s">
        <v>78</v>
      </c>
      <c r="U2004" s="22" t="s">
        <v>79</v>
      </c>
      <c r="V2004" s="22" t="s">
        <v>121</v>
      </c>
      <c r="W2004" s="22" t="s">
        <v>109</v>
      </c>
      <c r="X2004" s="30">
        <v>13000000</v>
      </c>
      <c r="Y2004" s="31" t="str">
        <f>IF(W2004="","",IF(W2004="RMB","1.13", "1"))</f>
        <v>1</v>
      </c>
      <c r="Z2004" s="18">
        <f t="shared" si="601"/>
        <v>13000000</v>
      </c>
      <c r="AA2004" s="22">
        <v>5.6300000000000003E-2</v>
      </c>
      <c r="AB2004" s="21">
        <f t="shared" si="585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86"/>
        <v>23146578.081415929</v>
      </c>
      <c r="AJ2004" s="27">
        <f t="shared" si="587"/>
        <v>2745231.3889985834</v>
      </c>
      <c r="AK2004" s="28">
        <f t="shared" si="594"/>
        <v>0.11860204041143742</v>
      </c>
      <c r="AL2004" s="24"/>
      <c r="AM2004" s="24"/>
      <c r="AN2004" s="24"/>
      <c r="AO2004" s="24"/>
      <c r="AP2004" s="28" t="str">
        <f t="shared" si="595"/>
        <v>20241</v>
      </c>
      <c r="AQ2004" s="28" t="str">
        <f t="shared" si="596"/>
        <v>20241JPY</v>
      </c>
      <c r="AR2004" s="206" t="str">
        <f t="shared" si="597"/>
        <v>YAMAHA_Mounter</v>
      </c>
      <c r="AS2004" s="22">
        <f t="shared" si="598"/>
        <v>1</v>
      </c>
      <c r="AT2004" s="24" t="str">
        <f t="shared" si="599"/>
        <v>0-3 months</v>
      </c>
      <c r="AU2004" s="22" t="s">
        <v>3745</v>
      </c>
    </row>
    <row r="2005" spans="1:47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3090</v>
      </c>
      <c r="K2005" s="29" t="s">
        <v>3091</v>
      </c>
      <c r="L2005" s="17" t="s">
        <v>67</v>
      </c>
      <c r="M2005" s="22" t="s">
        <v>60</v>
      </c>
      <c r="N2005" s="22">
        <v>1</v>
      </c>
      <c r="O2005" s="22"/>
      <c r="P2005" s="33" t="str">
        <f t="shared" si="591"/>
        <v>MAIN UNIT</v>
      </c>
      <c r="Q2005" s="13" t="s">
        <v>68</v>
      </c>
      <c r="R2005" s="22" t="s">
        <v>62</v>
      </c>
      <c r="S2005" s="22" t="s">
        <v>49</v>
      </c>
      <c r="T2005" s="22" t="s">
        <v>78</v>
      </c>
      <c r="U2005" s="22" t="s">
        <v>79</v>
      </c>
      <c r="V2005" s="22" t="s">
        <v>121</v>
      </c>
      <c r="W2005" s="22" t="s">
        <v>109</v>
      </c>
      <c r="X2005" s="30">
        <v>7500000</v>
      </c>
      <c r="Y2005" s="31" t="str">
        <f>IF(W2005="","",IF(W2005="RMB","1.13", "1"))</f>
        <v>1</v>
      </c>
      <c r="Z2005" s="18">
        <f t="shared" si="601"/>
        <v>7500000</v>
      </c>
      <c r="AA2005" s="22">
        <v>5.6300000000000003E-2</v>
      </c>
      <c r="AB2005" s="21">
        <f t="shared" si="585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86"/>
        <v>23146578.081415929</v>
      </c>
      <c r="AJ2005" s="27">
        <f t="shared" si="587"/>
        <v>2745231.3889985834</v>
      </c>
      <c r="AK2005" s="28">
        <f t="shared" si="594"/>
        <v>0.11860204041143742</v>
      </c>
      <c r="AL2005" s="24"/>
      <c r="AM2005" s="24"/>
      <c r="AN2005" s="24"/>
      <c r="AO2005" s="24"/>
      <c r="AP2005" s="28" t="str">
        <f t="shared" si="595"/>
        <v>20241</v>
      </c>
      <c r="AQ2005" s="28" t="str">
        <f t="shared" si="596"/>
        <v>20241JPY</v>
      </c>
      <c r="AR2005" s="206" t="str">
        <f t="shared" si="597"/>
        <v>YAMAHA_Mounter</v>
      </c>
      <c r="AS2005" s="22">
        <f t="shared" si="598"/>
        <v>1</v>
      </c>
      <c r="AT2005" s="24" t="str">
        <f t="shared" si="599"/>
        <v>0-3 months</v>
      </c>
      <c r="AU2005" s="22" t="s">
        <v>3745</v>
      </c>
    </row>
    <row r="2006" spans="1:47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41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201</v>
      </c>
      <c r="K2006" s="155" t="s">
        <v>202</v>
      </c>
      <c r="L2006" s="17" t="s">
        <v>67</v>
      </c>
      <c r="M2006" s="13" t="s">
        <v>60</v>
      </c>
      <c r="N2006" s="13">
        <v>2</v>
      </c>
      <c r="O2006" s="13"/>
      <c r="P2006" s="33" t="str">
        <f t="shared" si="591"/>
        <v>MAIN UNIT</v>
      </c>
      <c r="Q2006" s="13" t="s">
        <v>61</v>
      </c>
      <c r="R2006" s="13" t="s">
        <v>62</v>
      </c>
      <c r="S2006" s="13" t="s">
        <v>49</v>
      </c>
      <c r="T2006" s="13" t="s">
        <v>78</v>
      </c>
      <c r="U2006" s="13" t="s">
        <v>79</v>
      </c>
      <c r="V2006" s="13" t="s">
        <v>131</v>
      </c>
      <c r="W2006" s="13" t="s">
        <v>109</v>
      </c>
      <c r="X2006" s="135">
        <v>11940000</v>
      </c>
      <c r="Y2006" s="156">
        <v>1</v>
      </c>
      <c r="Z2006" s="18">
        <f t="shared" si="601"/>
        <v>23880000</v>
      </c>
      <c r="AA2006" s="13">
        <v>7.2099999999999997E-2</v>
      </c>
      <c r="AB2006" s="21">
        <f t="shared" si="585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86"/>
        <v>26754147.763010349</v>
      </c>
      <c r="AJ2006" s="19">
        <f t="shared" si="587"/>
        <v>3429137.9965357962</v>
      </c>
      <c r="AK2006" s="20">
        <f t="shared" si="594"/>
        <v>0.12817220069617921</v>
      </c>
      <c r="AL2006" s="17"/>
      <c r="AM2006" s="17"/>
      <c r="AN2006" s="17"/>
      <c r="AO2006" s="17"/>
      <c r="AP2006" s="28" t="str">
        <f t="shared" si="595"/>
        <v>20188</v>
      </c>
      <c r="AQ2006" s="28" t="str">
        <f t="shared" si="596"/>
        <v>20188JPY</v>
      </c>
      <c r="AR2006" s="206" t="str">
        <f t="shared" si="597"/>
        <v>YAMAHA_Mounter</v>
      </c>
      <c r="AS2006" s="22">
        <f t="shared" si="598"/>
        <v>4</v>
      </c>
      <c r="AT2006" s="24" t="str">
        <f t="shared" si="599"/>
        <v>4-6 months</v>
      </c>
      <c r="AU2006" s="22" t="s">
        <v>3746</v>
      </c>
    </row>
    <row r="2007" spans="1:47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41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203</v>
      </c>
      <c r="K2007" s="155" t="s">
        <v>202</v>
      </c>
      <c r="L2007" s="17" t="s">
        <v>92</v>
      </c>
      <c r="M2007" s="13" t="s">
        <v>60</v>
      </c>
      <c r="N2007" s="13">
        <v>2</v>
      </c>
      <c r="O2007" s="13"/>
      <c r="P2007" s="33" t="str">
        <f t="shared" si="591"/>
        <v>MAIN UNIT</v>
      </c>
      <c r="Q2007" s="13" t="s">
        <v>61</v>
      </c>
      <c r="R2007" s="13" t="s">
        <v>62</v>
      </c>
      <c r="S2007" s="13" t="s">
        <v>49</v>
      </c>
      <c r="T2007" s="13" t="s">
        <v>78</v>
      </c>
      <c r="U2007" s="13" t="s">
        <v>79</v>
      </c>
      <c r="V2007" s="13" t="s">
        <v>131</v>
      </c>
      <c r="W2007" s="13" t="s">
        <v>109</v>
      </c>
      <c r="X2007" s="135">
        <v>15000000</v>
      </c>
      <c r="Y2007" s="156">
        <v>1</v>
      </c>
      <c r="Z2007" s="18">
        <f t="shared" si="601"/>
        <v>30000000</v>
      </c>
      <c r="AA2007" s="13">
        <v>7.0400000000000004E-2</v>
      </c>
      <c r="AB2007" s="21">
        <f t="shared" si="585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86"/>
        <v>29840797.698275864</v>
      </c>
      <c r="AJ2007" s="19">
        <f t="shared" si="587"/>
        <v>3940167.6555448272</v>
      </c>
      <c r="AK2007" s="20">
        <f t="shared" si="594"/>
        <v>0.13203962224416277</v>
      </c>
      <c r="AL2007" s="17"/>
      <c r="AM2007" s="17"/>
      <c r="AN2007" s="17"/>
      <c r="AO2007" s="17"/>
      <c r="AP2007" s="28" t="str">
        <f t="shared" si="595"/>
        <v>201812</v>
      </c>
      <c r="AQ2007" s="28" t="str">
        <f t="shared" si="596"/>
        <v>201812JPY</v>
      </c>
      <c r="AR2007" s="206" t="str">
        <f t="shared" si="597"/>
        <v>YAMAHA_Mounter</v>
      </c>
      <c r="AS2007" s="22">
        <f t="shared" si="598"/>
        <v>8</v>
      </c>
      <c r="AT2007" s="24" t="str">
        <f t="shared" si="599"/>
        <v>&gt; 6 months</v>
      </c>
      <c r="AU2007" s="22" t="s">
        <v>3746</v>
      </c>
    </row>
    <row r="2008" spans="1:47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41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266</v>
      </c>
      <c r="K2008" s="155" t="s">
        <v>267</v>
      </c>
      <c r="L2008" s="17" t="s">
        <v>92</v>
      </c>
      <c r="M2008" s="13" t="s">
        <v>60</v>
      </c>
      <c r="N2008" s="13">
        <v>1</v>
      </c>
      <c r="O2008" s="13"/>
      <c r="P2008" s="33" t="str">
        <f t="shared" si="591"/>
        <v>MAIN UNIT</v>
      </c>
      <c r="Q2008" s="13" t="s">
        <v>61</v>
      </c>
      <c r="R2008" s="13" t="s">
        <v>62</v>
      </c>
      <c r="S2008" s="13" t="s">
        <v>49</v>
      </c>
      <c r="T2008" s="13" t="s">
        <v>78</v>
      </c>
      <c r="U2008" s="13" t="s">
        <v>79</v>
      </c>
      <c r="V2008" s="13" t="s">
        <v>131</v>
      </c>
      <c r="W2008" s="13" t="s">
        <v>109</v>
      </c>
      <c r="X2008" s="135">
        <v>12235000</v>
      </c>
      <c r="Y2008" s="156">
        <v>1</v>
      </c>
      <c r="Z2008" s="18">
        <f t="shared" si="601"/>
        <v>12235000</v>
      </c>
      <c r="AA2008" s="13">
        <v>7.0400000000000004E-2</v>
      </c>
      <c r="AB2008" s="21">
        <f t="shared" si="585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86"/>
        <v>29840797.698275864</v>
      </c>
      <c r="AJ2008" s="19">
        <f t="shared" si="587"/>
        <v>3940167.6555448272</v>
      </c>
      <c r="AK2008" s="20">
        <f t="shared" si="594"/>
        <v>0.13203962224416277</v>
      </c>
      <c r="AL2008" s="17"/>
      <c r="AM2008" s="17"/>
      <c r="AN2008" s="17"/>
      <c r="AO2008" s="17"/>
      <c r="AP2008" s="28" t="str">
        <f t="shared" si="595"/>
        <v>201812</v>
      </c>
      <c r="AQ2008" s="28" t="str">
        <f t="shared" si="596"/>
        <v>201812JPY</v>
      </c>
      <c r="AR2008" s="206" t="str">
        <f t="shared" si="597"/>
        <v>YAMAHA_Mounter</v>
      </c>
      <c r="AS2008" s="22">
        <f t="shared" si="598"/>
        <v>4</v>
      </c>
      <c r="AT2008" s="24" t="str">
        <f t="shared" si="599"/>
        <v>4-6 months</v>
      </c>
      <c r="AU2008" s="22" t="s">
        <v>3746</v>
      </c>
    </row>
    <row r="2009" spans="1:47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41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266</v>
      </c>
      <c r="K2009" s="155" t="s">
        <v>267</v>
      </c>
      <c r="L2009" s="17" t="s">
        <v>67</v>
      </c>
      <c r="M2009" s="13" t="s">
        <v>60</v>
      </c>
      <c r="N2009" s="13">
        <v>1</v>
      </c>
      <c r="O2009" s="13"/>
      <c r="P2009" s="33" t="str">
        <f t="shared" si="591"/>
        <v>MAIN UNIT</v>
      </c>
      <c r="Q2009" s="13" t="s">
        <v>61</v>
      </c>
      <c r="R2009" s="13" t="s">
        <v>62</v>
      </c>
      <c r="S2009" s="13" t="s">
        <v>49</v>
      </c>
      <c r="T2009" s="13" t="s">
        <v>78</v>
      </c>
      <c r="U2009" s="13" t="s">
        <v>79</v>
      </c>
      <c r="V2009" s="13" t="s">
        <v>131</v>
      </c>
      <c r="W2009" s="13" t="s">
        <v>109</v>
      </c>
      <c r="X2009" s="135">
        <v>14000000</v>
      </c>
      <c r="Y2009" s="156">
        <v>1</v>
      </c>
      <c r="Z2009" s="18">
        <f t="shared" si="601"/>
        <v>14000000</v>
      </c>
      <c r="AA2009" s="13">
        <v>7.0400000000000004E-2</v>
      </c>
      <c r="AB2009" s="21">
        <f t="shared" si="585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86"/>
        <v>29840797.698275864</v>
      </c>
      <c r="AJ2009" s="19">
        <f t="shared" si="587"/>
        <v>3940167.6555448272</v>
      </c>
      <c r="AK2009" s="20">
        <f t="shared" si="594"/>
        <v>0.13203962224416277</v>
      </c>
      <c r="AL2009" s="17"/>
      <c r="AM2009" s="17"/>
      <c r="AN2009" s="17"/>
      <c r="AO2009" s="17"/>
      <c r="AP2009" s="28" t="str">
        <f t="shared" si="595"/>
        <v>201812</v>
      </c>
      <c r="AQ2009" s="28" t="str">
        <f t="shared" si="596"/>
        <v>201812JPY</v>
      </c>
      <c r="AR2009" s="206" t="str">
        <f t="shared" si="597"/>
        <v>YAMAHA_Mounter</v>
      </c>
      <c r="AS2009" s="22">
        <f t="shared" si="598"/>
        <v>4</v>
      </c>
      <c r="AT2009" s="24" t="str">
        <f t="shared" si="599"/>
        <v>4-6 months</v>
      </c>
      <c r="AU2009" s="22" t="s">
        <v>3746</v>
      </c>
    </row>
    <row r="2010" spans="1:47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41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521</v>
      </c>
      <c r="K2010" s="155" t="s">
        <v>267</v>
      </c>
      <c r="L2010" s="17" t="s">
        <v>92</v>
      </c>
      <c r="M2010" s="13" t="s">
        <v>60</v>
      </c>
      <c r="N2010" s="13">
        <v>1</v>
      </c>
      <c r="O2010" s="13"/>
      <c r="P2010" s="33" t="str">
        <f t="shared" si="591"/>
        <v>MAIN UNIT</v>
      </c>
      <c r="Q2010" s="13" t="s">
        <v>61</v>
      </c>
      <c r="R2010" s="13" t="s">
        <v>62</v>
      </c>
      <c r="S2010" s="13" t="s">
        <v>49</v>
      </c>
      <c r="T2010" s="13" t="s">
        <v>78</v>
      </c>
      <c r="U2010" s="13" t="s">
        <v>79</v>
      </c>
      <c r="V2010" s="13" t="s">
        <v>131</v>
      </c>
      <c r="W2010" s="13" t="s">
        <v>109</v>
      </c>
      <c r="X2010" s="135">
        <v>17407500</v>
      </c>
      <c r="Y2010" s="156">
        <v>1</v>
      </c>
      <c r="Z2010" s="18">
        <f t="shared" si="601"/>
        <v>17407500</v>
      </c>
      <c r="AA2010" s="13">
        <v>7.0400000000000004E-2</v>
      </c>
      <c r="AB2010" s="21">
        <f t="shared" si="585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86"/>
        <v>29840797.698275864</v>
      </c>
      <c r="AJ2010" s="19">
        <f t="shared" si="587"/>
        <v>3940167.6555448272</v>
      </c>
      <c r="AK2010" s="20">
        <f t="shared" si="594"/>
        <v>0.13203962224416277</v>
      </c>
      <c r="AL2010" s="17"/>
      <c r="AM2010" s="17"/>
      <c r="AN2010" s="17"/>
      <c r="AO2010" s="17"/>
      <c r="AP2010" s="28" t="str">
        <f t="shared" si="595"/>
        <v>201812</v>
      </c>
      <c r="AQ2010" s="28" t="str">
        <f t="shared" si="596"/>
        <v>201812JPY</v>
      </c>
      <c r="AR2010" s="206" t="str">
        <f t="shared" si="597"/>
        <v>YAMAHA_Mounter</v>
      </c>
      <c r="AS2010" s="22">
        <f t="shared" si="598"/>
        <v>3</v>
      </c>
      <c r="AT2010" s="24" t="str">
        <f t="shared" si="599"/>
        <v>0-3 months</v>
      </c>
      <c r="AU2010" s="22" t="s">
        <v>3746</v>
      </c>
    </row>
    <row r="2011" spans="1:47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41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521</v>
      </c>
      <c r="K2011" s="155" t="s">
        <v>267</v>
      </c>
      <c r="L2011" s="17" t="s">
        <v>92</v>
      </c>
      <c r="M2011" s="13" t="s">
        <v>60</v>
      </c>
      <c r="N2011" s="13">
        <v>1</v>
      </c>
      <c r="O2011" s="13"/>
      <c r="P2011" s="33" t="str">
        <f t="shared" si="591"/>
        <v>MAIN UNIT</v>
      </c>
      <c r="Q2011" s="13" t="s">
        <v>61</v>
      </c>
      <c r="R2011" s="13" t="s">
        <v>62</v>
      </c>
      <c r="S2011" s="13" t="s">
        <v>49</v>
      </c>
      <c r="T2011" s="13" t="s">
        <v>78</v>
      </c>
      <c r="U2011" s="13" t="s">
        <v>79</v>
      </c>
      <c r="V2011" s="13" t="s">
        <v>131</v>
      </c>
      <c r="W2011" s="13" t="s">
        <v>109</v>
      </c>
      <c r="X2011" s="135">
        <v>17407500</v>
      </c>
      <c r="Y2011" s="156">
        <v>1</v>
      </c>
      <c r="Z2011" s="18">
        <f t="shared" si="601"/>
        <v>17407500</v>
      </c>
      <c r="AA2011" s="13">
        <v>7.0400000000000004E-2</v>
      </c>
      <c r="AB2011" s="21">
        <f t="shared" si="585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86"/>
        <v>29840797.698275864</v>
      </c>
      <c r="AJ2011" s="19">
        <f t="shared" si="587"/>
        <v>3940167.6555448272</v>
      </c>
      <c r="AK2011" s="20">
        <f t="shared" si="594"/>
        <v>0.13203962224416277</v>
      </c>
      <c r="AL2011" s="17"/>
      <c r="AM2011" s="17"/>
      <c r="AN2011" s="17"/>
      <c r="AO2011" s="17"/>
      <c r="AP2011" s="28" t="str">
        <f t="shared" si="595"/>
        <v>201812</v>
      </c>
      <c r="AQ2011" s="28" t="str">
        <f t="shared" si="596"/>
        <v>201812JPY</v>
      </c>
      <c r="AR2011" s="206" t="str">
        <f t="shared" si="597"/>
        <v>YAMAHA_Mounter</v>
      </c>
      <c r="AS2011" s="22">
        <f t="shared" si="598"/>
        <v>3</v>
      </c>
      <c r="AT2011" s="24" t="str">
        <f t="shared" si="599"/>
        <v>0-3 months</v>
      </c>
      <c r="AU2011" s="22" t="s">
        <v>3746</v>
      </c>
    </row>
    <row r="2012" spans="1:47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41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568</v>
      </c>
      <c r="K2012" s="155" t="s">
        <v>569</v>
      </c>
      <c r="L2012" s="17" t="s">
        <v>92</v>
      </c>
      <c r="M2012" s="13" t="s">
        <v>60</v>
      </c>
      <c r="N2012" s="13">
        <v>1</v>
      </c>
      <c r="O2012" s="13"/>
      <c r="P2012" s="33" t="str">
        <f t="shared" si="591"/>
        <v>MAIN UNIT</v>
      </c>
      <c r="Q2012" s="13" t="s">
        <v>61</v>
      </c>
      <c r="R2012" s="13" t="s">
        <v>62</v>
      </c>
      <c r="S2012" s="13" t="s">
        <v>49</v>
      </c>
      <c r="T2012" s="13" t="s">
        <v>78</v>
      </c>
      <c r="U2012" s="13" t="s">
        <v>79</v>
      </c>
      <c r="V2012" s="13" t="s">
        <v>80</v>
      </c>
      <c r="W2012" s="13" t="s">
        <v>109</v>
      </c>
      <c r="X2012" s="135">
        <v>15500000</v>
      </c>
      <c r="Y2012" s="156">
        <v>1</v>
      </c>
      <c r="Z2012" s="18">
        <f t="shared" si="601"/>
        <v>15500000</v>
      </c>
      <c r="AA2012" s="13">
        <v>7.22E-2</v>
      </c>
      <c r="AB2012" s="21">
        <f t="shared" si="585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86"/>
        <v>47416008.333399981</v>
      </c>
      <c r="AJ2012" s="19">
        <f t="shared" si="587"/>
        <v>6981738.4465290187</v>
      </c>
      <c r="AK2012" s="20">
        <f t="shared" si="594"/>
        <v>0.14724433143839863</v>
      </c>
      <c r="AL2012" s="17"/>
      <c r="AM2012" s="17"/>
      <c r="AN2012" s="17"/>
      <c r="AO2012" s="17"/>
      <c r="AP2012" s="28" t="str">
        <f t="shared" si="595"/>
        <v>20193</v>
      </c>
      <c r="AQ2012" s="28" t="str">
        <f t="shared" si="596"/>
        <v>20193JPY</v>
      </c>
      <c r="AR2012" s="206" t="str">
        <f t="shared" si="597"/>
        <v>YAMAHA_Mounter</v>
      </c>
      <c r="AS2012" s="22">
        <f t="shared" si="598"/>
        <v>4</v>
      </c>
      <c r="AT2012" s="24" t="str">
        <f t="shared" si="599"/>
        <v>4-6 months</v>
      </c>
      <c r="AU2012" s="22" t="s">
        <v>3746</v>
      </c>
    </row>
    <row r="2013" spans="1:47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41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568</v>
      </c>
      <c r="K2013" s="155" t="s">
        <v>569</v>
      </c>
      <c r="L2013" s="17" t="s">
        <v>92</v>
      </c>
      <c r="M2013" s="13" t="s">
        <v>60</v>
      </c>
      <c r="N2013" s="13">
        <v>1</v>
      </c>
      <c r="O2013" s="13"/>
      <c r="P2013" s="33" t="str">
        <f t="shared" si="591"/>
        <v>MAIN UNIT</v>
      </c>
      <c r="Q2013" s="13" t="s">
        <v>61</v>
      </c>
      <c r="R2013" s="13" t="s">
        <v>62</v>
      </c>
      <c r="S2013" s="13" t="s">
        <v>49</v>
      </c>
      <c r="T2013" s="13" t="s">
        <v>78</v>
      </c>
      <c r="U2013" s="13" t="s">
        <v>79</v>
      </c>
      <c r="V2013" s="13" t="s">
        <v>126</v>
      </c>
      <c r="W2013" s="13" t="s">
        <v>109</v>
      </c>
      <c r="X2013" s="135">
        <v>15500000</v>
      </c>
      <c r="Y2013" s="156">
        <v>1</v>
      </c>
      <c r="Z2013" s="18">
        <f t="shared" si="601"/>
        <v>15500000</v>
      </c>
      <c r="AA2013" s="13">
        <v>7.22E-2</v>
      </c>
      <c r="AB2013" s="21">
        <f t="shared" si="585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86"/>
        <v>47416008.333399981</v>
      </c>
      <c r="AJ2013" s="19">
        <f t="shared" si="587"/>
        <v>6981738.4465290187</v>
      </c>
      <c r="AK2013" s="20">
        <f t="shared" si="594"/>
        <v>0.14724433143839863</v>
      </c>
      <c r="AL2013" s="17"/>
      <c r="AM2013" s="17"/>
      <c r="AN2013" s="17"/>
      <c r="AO2013" s="17"/>
      <c r="AP2013" s="28" t="str">
        <f t="shared" si="595"/>
        <v>20193</v>
      </c>
      <c r="AQ2013" s="28" t="str">
        <f t="shared" si="596"/>
        <v>20193JPY</v>
      </c>
      <c r="AR2013" s="206" t="str">
        <f t="shared" si="597"/>
        <v>YAMAHA_Mounter</v>
      </c>
      <c r="AS2013" s="22">
        <f t="shared" si="598"/>
        <v>4</v>
      </c>
      <c r="AT2013" s="24" t="str">
        <f t="shared" si="599"/>
        <v>4-6 months</v>
      </c>
      <c r="AU2013" s="22" t="s">
        <v>3746</v>
      </c>
    </row>
    <row r="2014" spans="1:47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41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568</v>
      </c>
      <c r="K2014" s="155" t="s">
        <v>569</v>
      </c>
      <c r="L2014" s="17" t="s">
        <v>92</v>
      </c>
      <c r="M2014" s="13" t="s">
        <v>60</v>
      </c>
      <c r="N2014" s="13">
        <v>1</v>
      </c>
      <c r="O2014" s="13"/>
      <c r="P2014" s="33" t="str">
        <f t="shared" si="591"/>
        <v>MAIN UNIT</v>
      </c>
      <c r="Q2014" s="13" t="s">
        <v>61</v>
      </c>
      <c r="R2014" s="13" t="s">
        <v>62</v>
      </c>
      <c r="S2014" s="13" t="s">
        <v>49</v>
      </c>
      <c r="T2014" s="13" t="s">
        <v>78</v>
      </c>
      <c r="U2014" s="13" t="s">
        <v>79</v>
      </c>
      <c r="V2014" s="13" t="s">
        <v>134</v>
      </c>
      <c r="W2014" s="13" t="s">
        <v>109</v>
      </c>
      <c r="X2014" s="135">
        <v>15500000</v>
      </c>
      <c r="Y2014" s="156">
        <v>1</v>
      </c>
      <c r="Z2014" s="18">
        <f t="shared" si="601"/>
        <v>15500000</v>
      </c>
      <c r="AA2014" s="13">
        <v>7.22E-2</v>
      </c>
      <c r="AB2014" s="21">
        <f t="shared" si="585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86"/>
        <v>47416008.333399981</v>
      </c>
      <c r="AJ2014" s="19">
        <f t="shared" si="587"/>
        <v>6981738.4465290187</v>
      </c>
      <c r="AK2014" s="20">
        <f t="shared" si="594"/>
        <v>0.14724433143839863</v>
      </c>
      <c r="AL2014" s="17"/>
      <c r="AM2014" s="17"/>
      <c r="AN2014" s="17"/>
      <c r="AO2014" s="17"/>
      <c r="AP2014" s="28" t="str">
        <f t="shared" si="595"/>
        <v>20193</v>
      </c>
      <c r="AQ2014" s="28" t="str">
        <f t="shared" si="596"/>
        <v>20193JPY</v>
      </c>
      <c r="AR2014" s="206" t="str">
        <f t="shared" si="597"/>
        <v>YAMAHA_Mounter</v>
      </c>
      <c r="AS2014" s="22">
        <f t="shared" si="598"/>
        <v>4</v>
      </c>
      <c r="AT2014" s="24" t="str">
        <f t="shared" si="599"/>
        <v>4-6 months</v>
      </c>
      <c r="AU2014" s="22" t="s">
        <v>3746</v>
      </c>
    </row>
    <row r="2015" spans="1:47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41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568</v>
      </c>
      <c r="K2015" s="155" t="s">
        <v>569</v>
      </c>
      <c r="L2015" s="17" t="s">
        <v>92</v>
      </c>
      <c r="M2015" s="13" t="s">
        <v>60</v>
      </c>
      <c r="N2015" s="13">
        <v>1</v>
      </c>
      <c r="O2015" s="13"/>
      <c r="P2015" s="33" t="str">
        <f t="shared" si="591"/>
        <v>MAIN UNIT</v>
      </c>
      <c r="Q2015" s="13" t="s">
        <v>61</v>
      </c>
      <c r="R2015" s="13" t="s">
        <v>62</v>
      </c>
      <c r="S2015" s="13" t="s">
        <v>49</v>
      </c>
      <c r="T2015" s="13" t="s">
        <v>78</v>
      </c>
      <c r="U2015" s="13" t="s">
        <v>79</v>
      </c>
      <c r="V2015" s="13" t="s">
        <v>134</v>
      </c>
      <c r="W2015" s="13" t="s">
        <v>109</v>
      </c>
      <c r="X2015" s="135">
        <v>15500000</v>
      </c>
      <c r="Y2015" s="156">
        <v>1</v>
      </c>
      <c r="Z2015" s="18">
        <f t="shared" si="601"/>
        <v>15500000</v>
      </c>
      <c r="AA2015" s="13">
        <v>7.22E-2</v>
      </c>
      <c r="AB2015" s="21">
        <f t="shared" si="585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86"/>
        <v>47416008.333399981</v>
      </c>
      <c r="AJ2015" s="19">
        <f t="shared" si="587"/>
        <v>6981738.4465290187</v>
      </c>
      <c r="AK2015" s="20">
        <f t="shared" si="594"/>
        <v>0.14724433143839863</v>
      </c>
      <c r="AL2015" s="17"/>
      <c r="AM2015" s="17"/>
      <c r="AN2015" s="17"/>
      <c r="AO2015" s="17"/>
      <c r="AP2015" s="28" t="str">
        <f t="shared" si="595"/>
        <v>20193</v>
      </c>
      <c r="AQ2015" s="28" t="str">
        <f t="shared" si="596"/>
        <v>20193JPY</v>
      </c>
      <c r="AR2015" s="206" t="str">
        <f t="shared" si="597"/>
        <v>YAMAHA_Mounter</v>
      </c>
      <c r="AS2015" s="22">
        <f t="shared" si="598"/>
        <v>4</v>
      </c>
      <c r="AT2015" s="24" t="str">
        <f t="shared" si="599"/>
        <v>4-6 months</v>
      </c>
      <c r="AU2015" s="22" t="s">
        <v>3746</v>
      </c>
    </row>
    <row r="2016" spans="1:47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41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568</v>
      </c>
      <c r="K2016" s="155" t="s">
        <v>569</v>
      </c>
      <c r="L2016" s="17" t="s">
        <v>67</v>
      </c>
      <c r="M2016" s="13" t="s">
        <v>60</v>
      </c>
      <c r="N2016" s="13">
        <v>1</v>
      </c>
      <c r="O2016" s="13"/>
      <c r="P2016" s="33" t="str">
        <f t="shared" si="591"/>
        <v>MAIN UNIT</v>
      </c>
      <c r="Q2016" s="13" t="s">
        <v>61</v>
      </c>
      <c r="R2016" s="13" t="s">
        <v>62</v>
      </c>
      <c r="S2016" s="13" t="s">
        <v>49</v>
      </c>
      <c r="T2016" s="13" t="s">
        <v>78</v>
      </c>
      <c r="U2016" s="13" t="s">
        <v>79</v>
      </c>
      <c r="V2016" s="13" t="s">
        <v>112</v>
      </c>
      <c r="W2016" s="13" t="s">
        <v>109</v>
      </c>
      <c r="X2016" s="135">
        <v>12882566</v>
      </c>
      <c r="Y2016" s="156">
        <v>1</v>
      </c>
      <c r="Z2016" s="18">
        <f t="shared" si="601"/>
        <v>12882566</v>
      </c>
      <c r="AA2016" s="13">
        <v>7.22E-2</v>
      </c>
      <c r="AB2016" s="21">
        <f t="shared" si="585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86"/>
        <v>47416008.333399981</v>
      </c>
      <c r="AJ2016" s="19">
        <f t="shared" si="587"/>
        <v>6981738.4465290187</v>
      </c>
      <c r="AK2016" s="20">
        <f t="shared" si="594"/>
        <v>0.14724433143839863</v>
      </c>
      <c r="AL2016" s="17"/>
      <c r="AM2016" s="17"/>
      <c r="AN2016" s="17"/>
      <c r="AO2016" s="17"/>
      <c r="AP2016" s="28" t="str">
        <f t="shared" si="595"/>
        <v>20193</v>
      </c>
      <c r="AQ2016" s="28" t="str">
        <f t="shared" si="596"/>
        <v>20193JPY</v>
      </c>
      <c r="AR2016" s="206" t="str">
        <f t="shared" si="597"/>
        <v>YAMAHA_Mounter</v>
      </c>
      <c r="AS2016" s="22">
        <f t="shared" si="598"/>
        <v>4</v>
      </c>
      <c r="AT2016" s="24" t="str">
        <f t="shared" si="599"/>
        <v>4-6 months</v>
      </c>
      <c r="AU2016" s="22" t="s">
        <v>3746</v>
      </c>
    </row>
    <row r="2017" spans="1:47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41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568</v>
      </c>
      <c r="K2017" s="155" t="s">
        <v>569</v>
      </c>
      <c r="L2017" s="17" t="s">
        <v>67</v>
      </c>
      <c r="M2017" s="13" t="s">
        <v>60</v>
      </c>
      <c r="N2017" s="13">
        <v>1</v>
      </c>
      <c r="O2017" s="13"/>
      <c r="P2017" s="33" t="str">
        <f t="shared" si="591"/>
        <v>MAIN UNIT</v>
      </c>
      <c r="Q2017" s="13" t="s">
        <v>61</v>
      </c>
      <c r="R2017" s="13" t="s">
        <v>62</v>
      </c>
      <c r="S2017" s="13" t="s">
        <v>49</v>
      </c>
      <c r="T2017" s="13" t="s">
        <v>78</v>
      </c>
      <c r="U2017" s="13" t="s">
        <v>79</v>
      </c>
      <c r="V2017" s="13" t="s">
        <v>570</v>
      </c>
      <c r="W2017" s="13" t="s">
        <v>109</v>
      </c>
      <c r="X2017" s="135">
        <v>12882566</v>
      </c>
      <c r="Y2017" s="156">
        <v>1</v>
      </c>
      <c r="Z2017" s="18">
        <f t="shared" si="601"/>
        <v>12882566</v>
      </c>
      <c r="AA2017" s="13">
        <v>7.22E-2</v>
      </c>
      <c r="AB2017" s="21">
        <f t="shared" si="585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86"/>
        <v>47416008.333399981</v>
      </c>
      <c r="AJ2017" s="19">
        <f t="shared" si="587"/>
        <v>6981738.4465290187</v>
      </c>
      <c r="AK2017" s="20">
        <f t="shared" si="594"/>
        <v>0.14724433143839863</v>
      </c>
      <c r="AL2017" s="17"/>
      <c r="AM2017" s="17"/>
      <c r="AN2017" s="17"/>
      <c r="AO2017" s="17"/>
      <c r="AP2017" s="28" t="str">
        <f t="shared" si="595"/>
        <v>20193</v>
      </c>
      <c r="AQ2017" s="28" t="str">
        <f t="shared" si="596"/>
        <v>20193JPY</v>
      </c>
      <c r="AR2017" s="206" t="str">
        <f t="shared" si="597"/>
        <v>YAMAHA_Mounter</v>
      </c>
      <c r="AS2017" s="22">
        <f t="shared" si="598"/>
        <v>4</v>
      </c>
      <c r="AT2017" s="24" t="str">
        <f t="shared" si="599"/>
        <v>4-6 months</v>
      </c>
      <c r="AU2017" s="22" t="s">
        <v>3746</v>
      </c>
    </row>
    <row r="2018" spans="1:47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41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568</v>
      </c>
      <c r="K2018" s="155" t="s">
        <v>569</v>
      </c>
      <c r="L2018" s="17" t="s">
        <v>67</v>
      </c>
      <c r="M2018" s="13" t="s">
        <v>60</v>
      </c>
      <c r="N2018" s="13">
        <v>1</v>
      </c>
      <c r="O2018" s="13"/>
      <c r="P2018" s="33" t="str">
        <f t="shared" si="591"/>
        <v>MAIN UNIT</v>
      </c>
      <c r="Q2018" s="13" t="s">
        <v>61</v>
      </c>
      <c r="R2018" s="13" t="s">
        <v>62</v>
      </c>
      <c r="S2018" s="13" t="s">
        <v>49</v>
      </c>
      <c r="T2018" s="13" t="s">
        <v>78</v>
      </c>
      <c r="U2018" s="13" t="s">
        <v>79</v>
      </c>
      <c r="V2018" s="13" t="s">
        <v>570</v>
      </c>
      <c r="W2018" s="13" t="s">
        <v>109</v>
      </c>
      <c r="X2018" s="135">
        <v>12882566</v>
      </c>
      <c r="Y2018" s="156">
        <v>1</v>
      </c>
      <c r="Z2018" s="18">
        <f t="shared" si="601"/>
        <v>12882566</v>
      </c>
      <c r="AA2018" s="13">
        <v>7.22E-2</v>
      </c>
      <c r="AB2018" s="21">
        <f t="shared" si="585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86"/>
        <v>47416008.333399981</v>
      </c>
      <c r="AJ2018" s="19">
        <f t="shared" si="587"/>
        <v>6981738.4465290187</v>
      </c>
      <c r="AK2018" s="20">
        <f t="shared" si="594"/>
        <v>0.14724433143839863</v>
      </c>
      <c r="AL2018" s="17"/>
      <c r="AM2018" s="17"/>
      <c r="AN2018" s="17"/>
      <c r="AO2018" s="17"/>
      <c r="AP2018" s="28" t="str">
        <f t="shared" si="595"/>
        <v>20193</v>
      </c>
      <c r="AQ2018" s="28" t="str">
        <f t="shared" si="596"/>
        <v>20193JPY</v>
      </c>
      <c r="AR2018" s="206" t="str">
        <f t="shared" si="597"/>
        <v>YAMAHA_Mounter</v>
      </c>
      <c r="AS2018" s="22">
        <f t="shared" si="598"/>
        <v>4</v>
      </c>
      <c r="AT2018" s="24" t="str">
        <f t="shared" si="599"/>
        <v>4-6 months</v>
      </c>
      <c r="AU2018" s="22" t="s">
        <v>3746</v>
      </c>
    </row>
    <row r="2019" spans="1:47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41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568</v>
      </c>
      <c r="K2019" s="155" t="s">
        <v>569</v>
      </c>
      <c r="L2019" s="17" t="s">
        <v>67</v>
      </c>
      <c r="M2019" s="13" t="s">
        <v>60</v>
      </c>
      <c r="N2019" s="13">
        <v>1</v>
      </c>
      <c r="O2019" s="13"/>
      <c r="P2019" s="33" t="str">
        <f t="shared" si="591"/>
        <v>MAIN UNIT</v>
      </c>
      <c r="Q2019" s="13" t="s">
        <v>61</v>
      </c>
      <c r="R2019" s="13" t="s">
        <v>62</v>
      </c>
      <c r="S2019" s="13" t="s">
        <v>49</v>
      </c>
      <c r="T2019" s="13" t="s">
        <v>78</v>
      </c>
      <c r="U2019" s="13" t="s">
        <v>79</v>
      </c>
      <c r="V2019" s="13" t="s">
        <v>570</v>
      </c>
      <c r="W2019" s="13" t="s">
        <v>109</v>
      </c>
      <c r="X2019" s="135">
        <v>12882566</v>
      </c>
      <c r="Y2019" s="156">
        <v>1</v>
      </c>
      <c r="Z2019" s="18">
        <f t="shared" si="601"/>
        <v>12882566</v>
      </c>
      <c r="AA2019" s="13">
        <v>7.22E-2</v>
      </c>
      <c r="AB2019" s="21">
        <f t="shared" si="585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86"/>
        <v>47416008.333399981</v>
      </c>
      <c r="AJ2019" s="19">
        <f t="shared" si="587"/>
        <v>6981738.4465290187</v>
      </c>
      <c r="AK2019" s="20">
        <f t="shared" si="594"/>
        <v>0.14724433143839863</v>
      </c>
      <c r="AL2019" s="17"/>
      <c r="AM2019" s="17"/>
      <c r="AN2019" s="17"/>
      <c r="AO2019" s="17"/>
      <c r="AP2019" s="28" t="str">
        <f t="shared" si="595"/>
        <v>20193</v>
      </c>
      <c r="AQ2019" s="28" t="str">
        <f t="shared" si="596"/>
        <v>20193JPY</v>
      </c>
      <c r="AR2019" s="206" t="str">
        <f t="shared" si="597"/>
        <v>YAMAHA_Mounter</v>
      </c>
      <c r="AS2019" s="22">
        <f t="shared" si="598"/>
        <v>4</v>
      </c>
      <c r="AT2019" s="24" t="str">
        <f t="shared" si="599"/>
        <v>4-6 months</v>
      </c>
      <c r="AU2019" s="22" t="s">
        <v>3746</v>
      </c>
    </row>
    <row r="2020" spans="1:47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41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568</v>
      </c>
      <c r="K2020" s="155" t="s">
        <v>569</v>
      </c>
      <c r="L2020" s="17" t="s">
        <v>67</v>
      </c>
      <c r="M2020" s="13" t="s">
        <v>60</v>
      </c>
      <c r="N2020" s="13">
        <v>1</v>
      </c>
      <c r="O2020" s="13"/>
      <c r="P2020" s="33" t="str">
        <f t="shared" si="591"/>
        <v>MAIN UNIT</v>
      </c>
      <c r="Q2020" s="13" t="s">
        <v>61</v>
      </c>
      <c r="R2020" s="13" t="s">
        <v>62</v>
      </c>
      <c r="S2020" s="13" t="s">
        <v>49</v>
      </c>
      <c r="T2020" s="13" t="s">
        <v>78</v>
      </c>
      <c r="U2020" s="13" t="s">
        <v>79</v>
      </c>
      <c r="V2020" s="13" t="s">
        <v>570</v>
      </c>
      <c r="W2020" s="13" t="s">
        <v>109</v>
      </c>
      <c r="X2020" s="135">
        <v>12882566</v>
      </c>
      <c r="Y2020" s="156">
        <v>1</v>
      </c>
      <c r="Z2020" s="18">
        <f t="shared" si="601"/>
        <v>12882566</v>
      </c>
      <c r="AA2020" s="13">
        <v>7.22E-2</v>
      </c>
      <c r="AB2020" s="21">
        <f t="shared" si="585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86"/>
        <v>47416008.333399981</v>
      </c>
      <c r="AJ2020" s="19">
        <f t="shared" si="587"/>
        <v>6981738.4465290187</v>
      </c>
      <c r="AK2020" s="20">
        <f t="shared" si="594"/>
        <v>0.14724433143839863</v>
      </c>
      <c r="AL2020" s="17"/>
      <c r="AM2020" s="17"/>
      <c r="AN2020" s="17"/>
      <c r="AO2020" s="17"/>
      <c r="AP2020" s="28" t="str">
        <f t="shared" si="595"/>
        <v>20193</v>
      </c>
      <c r="AQ2020" s="28" t="str">
        <f t="shared" si="596"/>
        <v>20193JPY</v>
      </c>
      <c r="AR2020" s="206" t="str">
        <f t="shared" si="597"/>
        <v>YAMAHA_Mounter</v>
      </c>
      <c r="AS2020" s="22">
        <f t="shared" si="598"/>
        <v>4</v>
      </c>
      <c r="AT2020" s="24" t="str">
        <f t="shared" si="599"/>
        <v>4-6 months</v>
      </c>
      <c r="AU2020" s="22" t="s">
        <v>3746</v>
      </c>
    </row>
    <row r="2021" spans="1:47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41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568</v>
      </c>
      <c r="K2021" s="155" t="s">
        <v>569</v>
      </c>
      <c r="L2021" s="17" t="s">
        <v>67</v>
      </c>
      <c r="M2021" s="13" t="s">
        <v>60</v>
      </c>
      <c r="N2021" s="13">
        <v>1</v>
      </c>
      <c r="O2021" s="13"/>
      <c r="P2021" s="33" t="str">
        <f t="shared" si="591"/>
        <v>MAIN UNIT</v>
      </c>
      <c r="Q2021" s="13" t="s">
        <v>61</v>
      </c>
      <c r="R2021" s="13" t="s">
        <v>62</v>
      </c>
      <c r="S2021" s="13" t="s">
        <v>49</v>
      </c>
      <c r="T2021" s="13" t="s">
        <v>78</v>
      </c>
      <c r="U2021" s="13" t="s">
        <v>79</v>
      </c>
      <c r="V2021" s="13" t="s">
        <v>570</v>
      </c>
      <c r="W2021" s="13" t="s">
        <v>109</v>
      </c>
      <c r="X2021" s="135">
        <v>12882566</v>
      </c>
      <c r="Y2021" s="156">
        <v>1</v>
      </c>
      <c r="Z2021" s="18">
        <f t="shared" si="601"/>
        <v>12882566</v>
      </c>
      <c r="AA2021" s="13">
        <v>7.22E-2</v>
      </c>
      <c r="AB2021" s="21">
        <f t="shared" si="585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86"/>
        <v>47416008.333399981</v>
      </c>
      <c r="AJ2021" s="19">
        <f t="shared" si="587"/>
        <v>6981738.4465290187</v>
      </c>
      <c r="AK2021" s="20">
        <f t="shared" si="594"/>
        <v>0.14724433143839863</v>
      </c>
      <c r="AL2021" s="17"/>
      <c r="AM2021" s="17"/>
      <c r="AN2021" s="17"/>
      <c r="AO2021" s="17"/>
      <c r="AP2021" s="28" t="str">
        <f t="shared" si="595"/>
        <v>20193</v>
      </c>
      <c r="AQ2021" s="28" t="str">
        <f t="shared" si="596"/>
        <v>20193JPY</v>
      </c>
      <c r="AR2021" s="206" t="str">
        <f t="shared" si="597"/>
        <v>YAMAHA_Mounter</v>
      </c>
      <c r="AS2021" s="22">
        <f t="shared" si="598"/>
        <v>4</v>
      </c>
      <c r="AT2021" s="24" t="str">
        <f t="shared" si="599"/>
        <v>4-6 months</v>
      </c>
      <c r="AU2021" s="22" t="s">
        <v>3746</v>
      </c>
    </row>
    <row r="2022" spans="1:47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41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568</v>
      </c>
      <c r="K2022" s="155" t="s">
        <v>569</v>
      </c>
      <c r="L2022" s="17" t="s">
        <v>67</v>
      </c>
      <c r="M2022" s="13" t="s">
        <v>60</v>
      </c>
      <c r="N2022" s="13">
        <v>1</v>
      </c>
      <c r="O2022" s="13"/>
      <c r="P2022" s="33" t="str">
        <f t="shared" si="591"/>
        <v>MAIN UNIT</v>
      </c>
      <c r="Q2022" s="13" t="s">
        <v>61</v>
      </c>
      <c r="R2022" s="13" t="s">
        <v>62</v>
      </c>
      <c r="S2022" s="13" t="s">
        <v>49</v>
      </c>
      <c r="T2022" s="13" t="s">
        <v>78</v>
      </c>
      <c r="U2022" s="13" t="s">
        <v>79</v>
      </c>
      <c r="V2022" s="13" t="s">
        <v>570</v>
      </c>
      <c r="W2022" s="13" t="s">
        <v>109</v>
      </c>
      <c r="X2022" s="135">
        <v>12882566</v>
      </c>
      <c r="Y2022" s="156">
        <v>1</v>
      </c>
      <c r="Z2022" s="18">
        <f t="shared" si="601"/>
        <v>12882566</v>
      </c>
      <c r="AA2022" s="13">
        <v>7.22E-2</v>
      </c>
      <c r="AB2022" s="21">
        <f t="shared" si="585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86"/>
        <v>47416008.333399981</v>
      </c>
      <c r="AJ2022" s="19">
        <f t="shared" si="587"/>
        <v>6981738.4465290187</v>
      </c>
      <c r="AK2022" s="20">
        <f t="shared" si="594"/>
        <v>0.14724433143839863</v>
      </c>
      <c r="AL2022" s="17"/>
      <c r="AM2022" s="17"/>
      <c r="AN2022" s="17"/>
      <c r="AO2022" s="17"/>
      <c r="AP2022" s="28" t="str">
        <f t="shared" si="595"/>
        <v>20193</v>
      </c>
      <c r="AQ2022" s="28" t="str">
        <f t="shared" si="596"/>
        <v>20193JPY</v>
      </c>
      <c r="AR2022" s="206" t="str">
        <f t="shared" si="597"/>
        <v>YAMAHA_Mounter</v>
      </c>
      <c r="AS2022" s="22">
        <f t="shared" si="598"/>
        <v>4</v>
      </c>
      <c r="AT2022" s="24" t="str">
        <f t="shared" si="599"/>
        <v>4-6 months</v>
      </c>
      <c r="AU2022" s="22" t="s">
        <v>3746</v>
      </c>
    </row>
    <row r="2023" spans="1:47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48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1102</v>
      </c>
      <c r="K2023" s="155" t="s">
        <v>1103</v>
      </c>
      <c r="L2023" s="17" t="s">
        <v>92</v>
      </c>
      <c r="M2023" s="13" t="s">
        <v>60</v>
      </c>
      <c r="N2023" s="13">
        <v>1</v>
      </c>
      <c r="O2023" s="13"/>
      <c r="P2023" s="33" t="str">
        <f t="shared" si="591"/>
        <v>MAIN UNIT</v>
      </c>
      <c r="Q2023" s="13" t="s">
        <v>61</v>
      </c>
      <c r="R2023" s="13" t="s">
        <v>62</v>
      </c>
      <c r="S2023" s="13" t="s">
        <v>49</v>
      </c>
      <c r="T2023" s="13" t="s">
        <v>78</v>
      </c>
      <c r="U2023" s="13" t="s">
        <v>79</v>
      </c>
      <c r="V2023" s="13" t="s">
        <v>1104</v>
      </c>
      <c r="W2023" s="13" t="s">
        <v>1105</v>
      </c>
      <c r="X2023" s="135">
        <v>12169500</v>
      </c>
      <c r="Y2023" s="156">
        <v>1</v>
      </c>
      <c r="Z2023" s="18">
        <f t="shared" si="601"/>
        <v>12169500</v>
      </c>
      <c r="AA2023" s="13">
        <v>7.5700000000000003E-2</v>
      </c>
      <c r="AB2023" s="21">
        <f t="shared" si="585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86"/>
        <v>37969334.083628319</v>
      </c>
      <c r="AJ2023" s="19">
        <f t="shared" si="587"/>
        <v>5097226.4551657084</v>
      </c>
      <c r="AK2023" s="20">
        <f t="shared" si="594"/>
        <v>0.13424587441904964</v>
      </c>
      <c r="AL2023" s="17"/>
      <c r="AM2023" s="17"/>
      <c r="AN2023" s="17"/>
      <c r="AO2023" s="17"/>
      <c r="AP2023" s="28" t="str">
        <f t="shared" si="595"/>
        <v>20208</v>
      </c>
      <c r="AQ2023" s="28" t="str">
        <f t="shared" si="596"/>
        <v>20208JPY</v>
      </c>
      <c r="AR2023" s="206" t="str">
        <f t="shared" si="597"/>
        <v>YAMAHA_Mounter</v>
      </c>
      <c r="AS2023" s="22">
        <f t="shared" si="598"/>
        <v>2</v>
      </c>
      <c r="AT2023" s="24" t="str">
        <f t="shared" si="599"/>
        <v>0-3 months</v>
      </c>
      <c r="AU2023" s="22" t="s">
        <v>3746</v>
      </c>
    </row>
    <row r="2024" spans="1:47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48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1178</v>
      </c>
      <c r="K2024" s="155" t="s">
        <v>1103</v>
      </c>
      <c r="L2024" s="17" t="s">
        <v>92</v>
      </c>
      <c r="M2024" s="13" t="s">
        <v>60</v>
      </c>
      <c r="N2024" s="13">
        <v>1</v>
      </c>
      <c r="O2024" s="13"/>
      <c r="P2024" s="33" t="str">
        <f t="shared" si="591"/>
        <v>MAIN UNIT</v>
      </c>
      <c r="Q2024" s="13" t="s">
        <v>61</v>
      </c>
      <c r="R2024" s="13" t="s">
        <v>62</v>
      </c>
      <c r="S2024" s="13" t="s">
        <v>49</v>
      </c>
      <c r="T2024" s="13" t="s">
        <v>78</v>
      </c>
      <c r="U2024" s="13" t="s">
        <v>79</v>
      </c>
      <c r="V2024" s="13" t="s">
        <v>1104</v>
      </c>
      <c r="W2024" s="13" t="s">
        <v>1105</v>
      </c>
      <c r="X2024" s="135">
        <v>12169500</v>
      </c>
      <c r="Y2024" s="156">
        <v>1</v>
      </c>
      <c r="Z2024" s="18">
        <f t="shared" si="601"/>
        <v>12169500</v>
      </c>
      <c r="AA2024" s="13">
        <v>7.3400000000000007E-2</v>
      </c>
      <c r="AB2024" s="21">
        <f t="shared" si="585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86"/>
        <v>35384300.169380538</v>
      </c>
      <c r="AJ2024" s="19">
        <f t="shared" si="587"/>
        <v>5044538.8896988509</v>
      </c>
      <c r="AK2024" s="20">
        <f t="shared" si="594"/>
        <v>0.14256432557804533</v>
      </c>
      <c r="AL2024" s="17"/>
      <c r="AM2024" s="17"/>
      <c r="AN2024" s="17"/>
      <c r="AO2024" s="17"/>
      <c r="AP2024" s="28" t="str">
        <f t="shared" si="595"/>
        <v>20207</v>
      </c>
      <c r="AQ2024" s="28" t="str">
        <f t="shared" si="596"/>
        <v>20207JPY</v>
      </c>
      <c r="AR2024" s="206" t="str">
        <f t="shared" si="597"/>
        <v>YAMAHA_Mounter</v>
      </c>
      <c r="AS2024" s="22">
        <f t="shared" si="598"/>
        <v>1</v>
      </c>
      <c r="AT2024" s="24" t="str">
        <f t="shared" si="599"/>
        <v>0-3 months</v>
      </c>
      <c r="AU2024" s="22" t="s">
        <v>3746</v>
      </c>
    </row>
    <row r="2025" spans="1:47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48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1178</v>
      </c>
      <c r="K2025" s="155" t="s">
        <v>1103</v>
      </c>
      <c r="L2025" s="17" t="s">
        <v>67</v>
      </c>
      <c r="M2025" s="13" t="s">
        <v>60</v>
      </c>
      <c r="N2025" s="13">
        <v>1</v>
      </c>
      <c r="O2025" s="13"/>
      <c r="P2025" s="33" t="str">
        <f t="shared" si="591"/>
        <v>MAIN UNIT</v>
      </c>
      <c r="Q2025" s="13" t="s">
        <v>61</v>
      </c>
      <c r="R2025" s="13" t="s">
        <v>62</v>
      </c>
      <c r="S2025" s="13" t="s">
        <v>49</v>
      </c>
      <c r="T2025" s="13" t="s">
        <v>78</v>
      </c>
      <c r="U2025" s="13" t="s">
        <v>79</v>
      </c>
      <c r="V2025" s="13" t="s">
        <v>1104</v>
      </c>
      <c r="W2025" s="13" t="s">
        <v>1105</v>
      </c>
      <c r="X2025" s="135">
        <v>8169500</v>
      </c>
      <c r="Y2025" s="156">
        <v>1</v>
      </c>
      <c r="Z2025" s="18">
        <f t="shared" si="601"/>
        <v>8169500</v>
      </c>
      <c r="AA2025" s="13">
        <v>7.3400000000000007E-2</v>
      </c>
      <c r="AB2025" s="21">
        <f t="shared" si="585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86"/>
        <v>35384300.169380538</v>
      </c>
      <c r="AJ2025" s="19">
        <f t="shared" si="587"/>
        <v>5044538.8896988509</v>
      </c>
      <c r="AK2025" s="20">
        <f t="shared" si="594"/>
        <v>0.14256432557804533</v>
      </c>
      <c r="AL2025" s="17"/>
      <c r="AM2025" s="17"/>
      <c r="AN2025" s="17"/>
      <c r="AO2025" s="17"/>
      <c r="AP2025" s="28" t="str">
        <f t="shared" si="595"/>
        <v>20207</v>
      </c>
      <c r="AQ2025" s="28" t="str">
        <f t="shared" si="596"/>
        <v>20207JPY</v>
      </c>
      <c r="AR2025" s="206" t="str">
        <f t="shared" si="597"/>
        <v>YAMAHA_Mounter</v>
      </c>
      <c r="AS2025" s="22">
        <f t="shared" si="598"/>
        <v>1</v>
      </c>
      <c r="AT2025" s="24" t="str">
        <f t="shared" si="599"/>
        <v>0-3 months</v>
      </c>
      <c r="AU2025" s="22" t="s">
        <v>3746</v>
      </c>
    </row>
    <row r="2026" spans="1:47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48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1178</v>
      </c>
      <c r="K2026" s="155" t="s">
        <v>1103</v>
      </c>
      <c r="L2026" s="17" t="s">
        <v>67</v>
      </c>
      <c r="M2026" s="13" t="s">
        <v>60</v>
      </c>
      <c r="N2026" s="13">
        <v>1</v>
      </c>
      <c r="O2026" s="13"/>
      <c r="P2026" s="33" t="str">
        <f t="shared" si="591"/>
        <v>MAIN UNIT</v>
      </c>
      <c r="Q2026" s="13" t="s">
        <v>61</v>
      </c>
      <c r="R2026" s="13" t="s">
        <v>62</v>
      </c>
      <c r="S2026" s="13" t="s">
        <v>49</v>
      </c>
      <c r="T2026" s="13" t="s">
        <v>78</v>
      </c>
      <c r="U2026" s="13" t="s">
        <v>79</v>
      </c>
      <c r="V2026" s="13" t="s">
        <v>1104</v>
      </c>
      <c r="W2026" s="13" t="s">
        <v>1105</v>
      </c>
      <c r="X2026" s="135">
        <v>8169500</v>
      </c>
      <c r="Y2026" s="156">
        <v>1</v>
      </c>
      <c r="Z2026" s="18">
        <f t="shared" si="601"/>
        <v>8169500</v>
      </c>
      <c r="AA2026" s="13">
        <v>7.3400000000000007E-2</v>
      </c>
      <c r="AB2026" s="21">
        <f t="shared" si="585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86"/>
        <v>35384300.169380538</v>
      </c>
      <c r="AJ2026" s="19">
        <f t="shared" si="587"/>
        <v>5044538.8896988509</v>
      </c>
      <c r="AK2026" s="20">
        <f t="shared" si="594"/>
        <v>0.14256432557804533</v>
      </c>
      <c r="AL2026" s="17"/>
      <c r="AM2026" s="17"/>
      <c r="AN2026" s="17"/>
      <c r="AO2026" s="17"/>
      <c r="AP2026" s="28" t="str">
        <f t="shared" si="595"/>
        <v>20207</v>
      </c>
      <c r="AQ2026" s="28" t="str">
        <f t="shared" si="596"/>
        <v>20207JPY</v>
      </c>
      <c r="AR2026" s="206" t="str">
        <f t="shared" si="597"/>
        <v>YAMAHA_Mounter</v>
      </c>
      <c r="AS2026" s="22">
        <f t="shared" si="598"/>
        <v>1</v>
      </c>
      <c r="AT2026" s="24" t="str">
        <f t="shared" si="599"/>
        <v>0-3 months</v>
      </c>
      <c r="AU2026" s="22" t="s">
        <v>3746</v>
      </c>
    </row>
    <row r="2027" spans="1:47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48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1183</v>
      </c>
      <c r="K2027" s="155" t="s">
        <v>1103</v>
      </c>
      <c r="L2027" s="17" t="s">
        <v>92</v>
      </c>
      <c r="M2027" s="13" t="s">
        <v>60</v>
      </c>
      <c r="N2027" s="13">
        <v>1</v>
      </c>
      <c r="O2027" s="13"/>
      <c r="P2027" s="33" t="str">
        <f t="shared" si="591"/>
        <v>MAIN UNIT</v>
      </c>
      <c r="Q2027" s="13" t="s">
        <v>61</v>
      </c>
      <c r="R2027" s="13" t="s">
        <v>62</v>
      </c>
      <c r="S2027" s="13" t="s">
        <v>49</v>
      </c>
      <c r="T2027" s="13" t="s">
        <v>78</v>
      </c>
      <c r="U2027" s="13" t="s">
        <v>79</v>
      </c>
      <c r="V2027" s="13" t="s">
        <v>1104</v>
      </c>
      <c r="W2027" s="13" t="s">
        <v>1105</v>
      </c>
      <c r="X2027" s="135">
        <v>13200000</v>
      </c>
      <c r="Y2027" s="156">
        <v>1</v>
      </c>
      <c r="Z2027" s="18">
        <f t="shared" si="601"/>
        <v>13200000</v>
      </c>
      <c r="AA2027" s="13">
        <v>7.3400000000000007E-2</v>
      </c>
      <c r="AB2027" s="21">
        <f t="shared" si="585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86"/>
        <v>35384300.169380538</v>
      </c>
      <c r="AJ2027" s="19">
        <f t="shared" si="587"/>
        <v>5044538.8896988509</v>
      </c>
      <c r="AK2027" s="20">
        <f t="shared" si="594"/>
        <v>0.14256432557804533</v>
      </c>
      <c r="AL2027" s="17"/>
      <c r="AM2027" s="17"/>
      <c r="AN2027" s="17"/>
      <c r="AO2027" s="17"/>
      <c r="AP2027" s="28" t="str">
        <f t="shared" si="595"/>
        <v>20207</v>
      </c>
      <c r="AQ2027" s="28" t="str">
        <f t="shared" si="596"/>
        <v>20207JPY</v>
      </c>
      <c r="AR2027" s="206" t="str">
        <f t="shared" si="597"/>
        <v>YAMAHA_Mounter</v>
      </c>
      <c r="AS2027" s="22">
        <f t="shared" si="598"/>
        <v>1</v>
      </c>
      <c r="AT2027" s="24" t="str">
        <f t="shared" si="599"/>
        <v>0-3 months</v>
      </c>
      <c r="AU2027" s="22" t="s">
        <v>3746</v>
      </c>
    </row>
    <row r="2028" spans="1:47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48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1183</v>
      </c>
      <c r="K2028" s="155" t="s">
        <v>1103</v>
      </c>
      <c r="L2028" s="17" t="s">
        <v>67</v>
      </c>
      <c r="M2028" s="13" t="s">
        <v>60</v>
      </c>
      <c r="N2028" s="13">
        <v>1</v>
      </c>
      <c r="O2028" s="13"/>
      <c r="P2028" s="33" t="str">
        <f t="shared" si="591"/>
        <v>MAIN UNIT</v>
      </c>
      <c r="Q2028" s="13" t="s">
        <v>61</v>
      </c>
      <c r="R2028" s="13" t="s">
        <v>62</v>
      </c>
      <c r="S2028" s="13" t="s">
        <v>49</v>
      </c>
      <c r="T2028" s="13" t="s">
        <v>78</v>
      </c>
      <c r="U2028" s="13" t="s">
        <v>79</v>
      </c>
      <c r="V2028" s="13" t="s">
        <v>1104</v>
      </c>
      <c r="W2028" s="13" t="s">
        <v>1105</v>
      </c>
      <c r="X2028" s="135">
        <v>9200000</v>
      </c>
      <c r="Y2028" s="156">
        <v>1</v>
      </c>
      <c r="Z2028" s="18">
        <f t="shared" si="601"/>
        <v>9200000</v>
      </c>
      <c r="AA2028" s="13">
        <v>7.3400000000000007E-2</v>
      </c>
      <c r="AB2028" s="21">
        <f t="shared" si="585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86"/>
        <v>35384300.169380538</v>
      </c>
      <c r="AJ2028" s="19">
        <f t="shared" si="587"/>
        <v>5044538.8896988509</v>
      </c>
      <c r="AK2028" s="20">
        <f t="shared" si="594"/>
        <v>0.14256432557804533</v>
      </c>
      <c r="AL2028" s="17"/>
      <c r="AM2028" s="17"/>
      <c r="AN2028" s="17"/>
      <c r="AO2028" s="17"/>
      <c r="AP2028" s="28" t="str">
        <f t="shared" si="595"/>
        <v>20207</v>
      </c>
      <c r="AQ2028" s="28" t="str">
        <f t="shared" si="596"/>
        <v>20207JPY</v>
      </c>
      <c r="AR2028" s="206" t="str">
        <f t="shared" si="597"/>
        <v>YAMAHA_Mounter</v>
      </c>
      <c r="AS2028" s="22">
        <f t="shared" si="598"/>
        <v>1</v>
      </c>
      <c r="AT2028" s="24" t="str">
        <f t="shared" si="599"/>
        <v>0-3 months</v>
      </c>
      <c r="AU2028" s="22" t="s">
        <v>3746</v>
      </c>
    </row>
    <row r="2029" spans="1:47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48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1183</v>
      </c>
      <c r="K2029" s="155" t="s">
        <v>1103</v>
      </c>
      <c r="L2029" s="17" t="s">
        <v>67</v>
      </c>
      <c r="M2029" s="13" t="s">
        <v>60</v>
      </c>
      <c r="N2029" s="13">
        <v>1</v>
      </c>
      <c r="O2029" s="13"/>
      <c r="P2029" s="33" t="str">
        <f t="shared" si="591"/>
        <v>MAIN UNIT</v>
      </c>
      <c r="Q2029" s="13" t="s">
        <v>61</v>
      </c>
      <c r="R2029" s="13" t="s">
        <v>62</v>
      </c>
      <c r="S2029" s="13" t="s">
        <v>49</v>
      </c>
      <c r="T2029" s="13" t="s">
        <v>78</v>
      </c>
      <c r="U2029" s="13" t="s">
        <v>79</v>
      </c>
      <c r="V2029" s="13" t="s">
        <v>1104</v>
      </c>
      <c r="W2029" s="13" t="s">
        <v>1105</v>
      </c>
      <c r="X2029" s="135">
        <v>9200000</v>
      </c>
      <c r="Y2029" s="156">
        <v>1</v>
      </c>
      <c r="Z2029" s="18">
        <f t="shared" si="601"/>
        <v>9200000</v>
      </c>
      <c r="AA2029" s="13">
        <v>7.3400000000000007E-2</v>
      </c>
      <c r="AB2029" s="21">
        <f t="shared" si="585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86"/>
        <v>35384300.169380538</v>
      </c>
      <c r="AJ2029" s="19">
        <f t="shared" si="587"/>
        <v>5044538.8896988509</v>
      </c>
      <c r="AK2029" s="20">
        <f t="shared" si="594"/>
        <v>0.14256432557804533</v>
      </c>
      <c r="AL2029" s="17"/>
      <c r="AM2029" s="17"/>
      <c r="AN2029" s="17"/>
      <c r="AO2029" s="17"/>
      <c r="AP2029" s="28" t="str">
        <f t="shared" si="595"/>
        <v>20207</v>
      </c>
      <c r="AQ2029" s="28" t="str">
        <f t="shared" si="596"/>
        <v>20207JPY</v>
      </c>
      <c r="AR2029" s="206" t="str">
        <f t="shared" si="597"/>
        <v>YAMAHA_Mounter</v>
      </c>
      <c r="AS2029" s="22">
        <f t="shared" si="598"/>
        <v>1</v>
      </c>
      <c r="AT2029" s="24" t="str">
        <f t="shared" si="599"/>
        <v>0-3 months</v>
      </c>
      <c r="AU2029" s="22" t="s">
        <v>3746</v>
      </c>
    </row>
    <row r="2030" spans="1:47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48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1183</v>
      </c>
      <c r="K2030" s="155" t="s">
        <v>1103</v>
      </c>
      <c r="L2030" s="17" t="s">
        <v>67</v>
      </c>
      <c r="M2030" s="13" t="s">
        <v>60</v>
      </c>
      <c r="N2030" s="13">
        <v>1</v>
      </c>
      <c r="O2030" s="13"/>
      <c r="P2030" s="33" t="str">
        <f t="shared" si="591"/>
        <v>MAIN UNIT</v>
      </c>
      <c r="Q2030" s="13" t="s">
        <v>61</v>
      </c>
      <c r="R2030" s="13" t="s">
        <v>62</v>
      </c>
      <c r="S2030" s="13" t="s">
        <v>49</v>
      </c>
      <c r="T2030" s="13" t="s">
        <v>78</v>
      </c>
      <c r="U2030" s="13" t="s">
        <v>79</v>
      </c>
      <c r="V2030" s="13" t="s">
        <v>1104</v>
      </c>
      <c r="W2030" s="13" t="s">
        <v>1105</v>
      </c>
      <c r="X2030" s="135">
        <v>9200000</v>
      </c>
      <c r="Y2030" s="156">
        <v>1</v>
      </c>
      <c r="Z2030" s="18">
        <f t="shared" si="601"/>
        <v>9200000</v>
      </c>
      <c r="AA2030" s="13">
        <v>7.3400000000000007E-2</v>
      </c>
      <c r="AB2030" s="21">
        <f t="shared" si="585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86"/>
        <v>35384300.169380538</v>
      </c>
      <c r="AJ2030" s="19">
        <f t="shared" si="587"/>
        <v>5044538.8896988509</v>
      </c>
      <c r="AK2030" s="20">
        <f t="shared" si="594"/>
        <v>0.14256432557804533</v>
      </c>
      <c r="AL2030" s="17"/>
      <c r="AM2030" s="17"/>
      <c r="AN2030" s="17"/>
      <c r="AO2030" s="17"/>
      <c r="AP2030" s="28" t="str">
        <f t="shared" si="595"/>
        <v>20207</v>
      </c>
      <c r="AQ2030" s="28" t="str">
        <f t="shared" si="596"/>
        <v>20207JPY</v>
      </c>
      <c r="AR2030" s="206" t="str">
        <f t="shared" si="597"/>
        <v>YAMAHA_Mounter</v>
      </c>
      <c r="AS2030" s="22">
        <f t="shared" si="598"/>
        <v>1</v>
      </c>
      <c r="AT2030" s="24" t="str">
        <f t="shared" si="599"/>
        <v>0-3 months</v>
      </c>
      <c r="AU2030" s="22" t="s">
        <v>3746</v>
      </c>
    </row>
    <row r="2031" spans="1:47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48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1589</v>
      </c>
      <c r="K2031" s="155" t="s">
        <v>1590</v>
      </c>
      <c r="L2031" s="17" t="s">
        <v>67</v>
      </c>
      <c r="M2031" s="13" t="s">
        <v>60</v>
      </c>
      <c r="N2031" s="13">
        <v>1</v>
      </c>
      <c r="O2031" s="13"/>
      <c r="P2031" s="33" t="str">
        <f t="shared" si="591"/>
        <v>MAIN UNIT</v>
      </c>
      <c r="Q2031" s="13" t="s">
        <v>61</v>
      </c>
      <c r="R2031" s="13" t="s">
        <v>62</v>
      </c>
      <c r="S2031" s="13" t="s">
        <v>49</v>
      </c>
      <c r="T2031" s="13" t="s">
        <v>78</v>
      </c>
      <c r="U2031" s="13" t="s">
        <v>79</v>
      </c>
      <c r="V2031" s="13" t="s">
        <v>131</v>
      </c>
      <c r="W2031" s="13" t="s">
        <v>109</v>
      </c>
      <c r="X2031" s="135">
        <v>7700000</v>
      </c>
      <c r="Y2031" s="157" t="str">
        <f t="shared" ref="Y2031:Y2062" si="602">IF(W2031="RMB","1.13", "1")</f>
        <v>1</v>
      </c>
      <c r="Z2031" s="18">
        <f t="shared" si="601"/>
        <v>7700000</v>
      </c>
      <c r="AA2031" s="13">
        <v>7.6799999999999993E-2</v>
      </c>
      <c r="AB2031" s="21">
        <f t="shared" si="585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86"/>
        <v>45803245.025628321</v>
      </c>
      <c r="AJ2031" s="19">
        <f t="shared" si="587"/>
        <v>5664636.2584379362</v>
      </c>
      <c r="AK2031" s="20">
        <f t="shared" si="594"/>
        <v>0.12367325186825515</v>
      </c>
      <c r="AL2031" s="17"/>
      <c r="AM2031" s="17"/>
      <c r="AN2031" s="17"/>
      <c r="AO2031" s="17"/>
      <c r="AP2031" s="28" t="str">
        <f t="shared" si="595"/>
        <v>20211</v>
      </c>
      <c r="AQ2031" s="28" t="str">
        <f t="shared" si="596"/>
        <v>20211JPY</v>
      </c>
      <c r="AR2031" s="206" t="str">
        <f t="shared" si="597"/>
        <v>YAMAHA_Mounter</v>
      </c>
      <c r="AS2031" s="22">
        <f t="shared" si="598"/>
        <v>1</v>
      </c>
      <c r="AT2031" s="24" t="str">
        <f t="shared" si="599"/>
        <v>0-3 months</v>
      </c>
      <c r="AU2031" s="22" t="s">
        <v>3746</v>
      </c>
    </row>
    <row r="2032" spans="1:47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48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1589</v>
      </c>
      <c r="K2032" s="155" t="s">
        <v>1590</v>
      </c>
      <c r="L2032" s="17" t="s">
        <v>67</v>
      </c>
      <c r="M2032" s="13" t="s">
        <v>60</v>
      </c>
      <c r="N2032" s="13">
        <v>1</v>
      </c>
      <c r="O2032" s="13"/>
      <c r="P2032" s="33" t="str">
        <f t="shared" si="591"/>
        <v>MAIN UNIT</v>
      </c>
      <c r="Q2032" s="13" t="s">
        <v>61</v>
      </c>
      <c r="R2032" s="13" t="s">
        <v>62</v>
      </c>
      <c r="S2032" s="13" t="s">
        <v>49</v>
      </c>
      <c r="T2032" s="13" t="s">
        <v>78</v>
      </c>
      <c r="U2032" s="13" t="s">
        <v>79</v>
      </c>
      <c r="V2032" s="13" t="s">
        <v>131</v>
      </c>
      <c r="W2032" s="13" t="s">
        <v>109</v>
      </c>
      <c r="X2032" s="135">
        <v>7700000</v>
      </c>
      <c r="Y2032" s="157" t="str">
        <f t="shared" si="602"/>
        <v>1</v>
      </c>
      <c r="Z2032" s="18">
        <f t="shared" si="601"/>
        <v>7700000</v>
      </c>
      <c r="AA2032" s="13">
        <v>7.6799999999999993E-2</v>
      </c>
      <c r="AB2032" s="21">
        <f t="shared" si="585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86"/>
        <v>45803245.025628321</v>
      </c>
      <c r="AJ2032" s="19">
        <f t="shared" si="587"/>
        <v>5664636.2584379362</v>
      </c>
      <c r="AK2032" s="20">
        <f t="shared" si="594"/>
        <v>0.12367325186825515</v>
      </c>
      <c r="AL2032" s="17"/>
      <c r="AM2032" s="17"/>
      <c r="AN2032" s="17"/>
      <c r="AO2032" s="17"/>
      <c r="AP2032" s="28" t="str">
        <f t="shared" si="595"/>
        <v>20211</v>
      </c>
      <c r="AQ2032" s="28" t="str">
        <f t="shared" si="596"/>
        <v>20211JPY</v>
      </c>
      <c r="AR2032" s="206" t="str">
        <f t="shared" si="597"/>
        <v>YAMAHA_Mounter</v>
      </c>
      <c r="AS2032" s="22">
        <f t="shared" si="598"/>
        <v>1</v>
      </c>
      <c r="AT2032" s="24" t="str">
        <f t="shared" si="599"/>
        <v>0-3 months</v>
      </c>
      <c r="AU2032" s="22" t="s">
        <v>3746</v>
      </c>
    </row>
    <row r="2033" spans="1:47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48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1591</v>
      </c>
      <c r="K2033" s="155" t="s">
        <v>1590</v>
      </c>
      <c r="L2033" s="17" t="s">
        <v>92</v>
      </c>
      <c r="M2033" s="13" t="s">
        <v>60</v>
      </c>
      <c r="N2033" s="13">
        <v>1</v>
      </c>
      <c r="O2033" s="13"/>
      <c r="P2033" s="33" t="str">
        <f t="shared" si="591"/>
        <v>MAIN UNIT</v>
      </c>
      <c r="Q2033" s="13" t="s">
        <v>61</v>
      </c>
      <c r="R2033" s="13" t="s">
        <v>62</v>
      </c>
      <c r="S2033" s="13" t="s">
        <v>49</v>
      </c>
      <c r="T2033" s="13" t="s">
        <v>78</v>
      </c>
      <c r="U2033" s="13" t="s">
        <v>79</v>
      </c>
      <c r="V2033" s="13" t="s">
        <v>131</v>
      </c>
      <c r="W2033" s="13" t="s">
        <v>109</v>
      </c>
      <c r="X2033" s="135">
        <v>11900000</v>
      </c>
      <c r="Y2033" s="157" t="str">
        <f t="shared" si="602"/>
        <v>1</v>
      </c>
      <c r="Z2033" s="18">
        <f t="shared" si="601"/>
        <v>11900000</v>
      </c>
      <c r="AA2033" s="13">
        <v>7.4499999999999997E-2</v>
      </c>
      <c r="AB2033" s="21">
        <f t="shared" si="585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86"/>
        <v>57778307.282035396</v>
      </c>
      <c r="AJ2033" s="19">
        <f t="shared" si="587"/>
        <v>7259860.7225420559</v>
      </c>
      <c r="AK2033" s="20">
        <f t="shared" si="594"/>
        <v>0.12565028406083667</v>
      </c>
      <c r="AL2033" s="17"/>
      <c r="AM2033" s="17"/>
      <c r="AN2033" s="17"/>
      <c r="AO2033" s="17"/>
      <c r="AP2033" s="28" t="str">
        <f t="shared" si="595"/>
        <v>20213</v>
      </c>
      <c r="AQ2033" s="28" t="str">
        <f t="shared" si="596"/>
        <v>20213JPY</v>
      </c>
      <c r="AR2033" s="206" t="str">
        <f t="shared" si="597"/>
        <v>YAMAHA_Mounter</v>
      </c>
      <c r="AS2033" s="22">
        <f t="shared" si="598"/>
        <v>3</v>
      </c>
      <c r="AT2033" s="24" t="str">
        <f t="shared" si="599"/>
        <v>0-3 months</v>
      </c>
      <c r="AU2033" s="22" t="s">
        <v>3746</v>
      </c>
    </row>
    <row r="2034" spans="1:47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48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1591</v>
      </c>
      <c r="K2034" s="155" t="s">
        <v>1590</v>
      </c>
      <c r="L2034" s="17" t="s">
        <v>92</v>
      </c>
      <c r="M2034" s="13" t="s">
        <v>60</v>
      </c>
      <c r="N2034" s="13">
        <v>1</v>
      </c>
      <c r="O2034" s="13"/>
      <c r="P2034" s="33" t="str">
        <f t="shared" si="591"/>
        <v>MAIN UNIT</v>
      </c>
      <c r="Q2034" s="13" t="s">
        <v>61</v>
      </c>
      <c r="R2034" s="13" t="s">
        <v>62</v>
      </c>
      <c r="S2034" s="13" t="s">
        <v>49</v>
      </c>
      <c r="T2034" s="13" t="s">
        <v>78</v>
      </c>
      <c r="U2034" s="13" t="s">
        <v>79</v>
      </c>
      <c r="V2034" s="13" t="s">
        <v>131</v>
      </c>
      <c r="W2034" s="13" t="s">
        <v>109</v>
      </c>
      <c r="X2034" s="135">
        <v>11900000</v>
      </c>
      <c r="Y2034" s="157" t="str">
        <f t="shared" si="602"/>
        <v>1</v>
      </c>
      <c r="Z2034" s="18">
        <f t="shared" si="601"/>
        <v>11900000</v>
      </c>
      <c r="AA2034" s="13">
        <v>7.4499999999999997E-2</v>
      </c>
      <c r="AB2034" s="21">
        <f t="shared" si="585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86"/>
        <v>57778307.282035396</v>
      </c>
      <c r="AJ2034" s="19">
        <f t="shared" si="587"/>
        <v>7259860.7225420559</v>
      </c>
      <c r="AK2034" s="20">
        <f t="shared" si="594"/>
        <v>0.12565028406083667</v>
      </c>
      <c r="AL2034" s="17"/>
      <c r="AM2034" s="17"/>
      <c r="AN2034" s="17"/>
      <c r="AO2034" s="17"/>
      <c r="AP2034" s="28" t="str">
        <f t="shared" si="595"/>
        <v>20213</v>
      </c>
      <c r="AQ2034" s="28" t="str">
        <f t="shared" si="596"/>
        <v>20213JPY</v>
      </c>
      <c r="AR2034" s="206" t="str">
        <f t="shared" si="597"/>
        <v>YAMAHA_Mounter</v>
      </c>
      <c r="AS2034" s="22">
        <f t="shared" si="598"/>
        <v>3</v>
      </c>
      <c r="AT2034" s="24" t="str">
        <f t="shared" si="599"/>
        <v>0-3 months</v>
      </c>
      <c r="AU2034" s="22" t="s">
        <v>3746</v>
      </c>
    </row>
    <row r="2035" spans="1:47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48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1591</v>
      </c>
      <c r="K2035" s="155" t="s">
        <v>1590</v>
      </c>
      <c r="L2035" s="17" t="s">
        <v>92</v>
      </c>
      <c r="M2035" s="13" t="s">
        <v>60</v>
      </c>
      <c r="N2035" s="13">
        <v>1</v>
      </c>
      <c r="O2035" s="13"/>
      <c r="P2035" s="33" t="str">
        <f t="shared" si="591"/>
        <v>MAIN UNIT</v>
      </c>
      <c r="Q2035" s="13" t="s">
        <v>61</v>
      </c>
      <c r="R2035" s="13" t="s">
        <v>62</v>
      </c>
      <c r="S2035" s="13" t="s">
        <v>49</v>
      </c>
      <c r="T2035" s="13" t="s">
        <v>78</v>
      </c>
      <c r="U2035" s="13" t="s">
        <v>79</v>
      </c>
      <c r="V2035" s="13" t="s">
        <v>131</v>
      </c>
      <c r="W2035" s="13" t="s">
        <v>109</v>
      </c>
      <c r="X2035" s="135">
        <v>11900000</v>
      </c>
      <c r="Y2035" s="157" t="str">
        <f t="shared" si="602"/>
        <v>1</v>
      </c>
      <c r="Z2035" s="18">
        <f t="shared" si="601"/>
        <v>11900000</v>
      </c>
      <c r="AA2035" s="13">
        <v>7.4499999999999997E-2</v>
      </c>
      <c r="AB2035" s="21">
        <f t="shared" si="585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86"/>
        <v>57778307.282035396</v>
      </c>
      <c r="AJ2035" s="19">
        <f t="shared" si="587"/>
        <v>7259860.7225420559</v>
      </c>
      <c r="AK2035" s="20">
        <f t="shared" si="594"/>
        <v>0.12565028406083667</v>
      </c>
      <c r="AL2035" s="17"/>
      <c r="AM2035" s="17"/>
      <c r="AN2035" s="17"/>
      <c r="AO2035" s="17"/>
      <c r="AP2035" s="28" t="str">
        <f t="shared" si="595"/>
        <v>20213</v>
      </c>
      <c r="AQ2035" s="28" t="str">
        <f t="shared" si="596"/>
        <v>20213JPY</v>
      </c>
      <c r="AR2035" s="206" t="str">
        <f t="shared" si="597"/>
        <v>YAMAHA_Mounter</v>
      </c>
      <c r="AS2035" s="22">
        <f t="shared" si="598"/>
        <v>3</v>
      </c>
      <c r="AT2035" s="24" t="str">
        <f t="shared" si="599"/>
        <v>0-3 months</v>
      </c>
      <c r="AU2035" s="22" t="s">
        <v>3746</v>
      </c>
    </row>
    <row r="2036" spans="1:47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48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1591</v>
      </c>
      <c r="K2036" s="155" t="s">
        <v>1590</v>
      </c>
      <c r="L2036" s="17" t="s">
        <v>67</v>
      </c>
      <c r="M2036" s="13" t="s">
        <v>60</v>
      </c>
      <c r="N2036" s="13">
        <v>1</v>
      </c>
      <c r="O2036" s="13"/>
      <c r="P2036" s="33" t="str">
        <f t="shared" si="591"/>
        <v>MAIN UNIT</v>
      </c>
      <c r="Q2036" s="13" t="s">
        <v>61</v>
      </c>
      <c r="R2036" s="13" t="s">
        <v>62</v>
      </c>
      <c r="S2036" s="13" t="s">
        <v>49</v>
      </c>
      <c r="T2036" s="13" t="s">
        <v>78</v>
      </c>
      <c r="U2036" s="13" t="s">
        <v>79</v>
      </c>
      <c r="V2036" s="13" t="s">
        <v>131</v>
      </c>
      <c r="W2036" s="13" t="s">
        <v>109</v>
      </c>
      <c r="X2036" s="135">
        <v>7500000</v>
      </c>
      <c r="Y2036" s="157" t="str">
        <f t="shared" si="602"/>
        <v>1</v>
      </c>
      <c r="Z2036" s="18">
        <f t="shared" si="601"/>
        <v>7500000</v>
      </c>
      <c r="AA2036" s="13">
        <v>7.4499999999999997E-2</v>
      </c>
      <c r="AB2036" s="21">
        <f t="shared" si="585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86"/>
        <v>57778307.282035396</v>
      </c>
      <c r="AJ2036" s="19">
        <f t="shared" si="587"/>
        <v>7259860.7225420559</v>
      </c>
      <c r="AK2036" s="20">
        <f t="shared" si="594"/>
        <v>0.12565028406083667</v>
      </c>
      <c r="AL2036" s="17"/>
      <c r="AM2036" s="17"/>
      <c r="AN2036" s="17"/>
      <c r="AO2036" s="17"/>
      <c r="AP2036" s="28" t="str">
        <f t="shared" si="595"/>
        <v>20213</v>
      </c>
      <c r="AQ2036" s="28" t="str">
        <f t="shared" si="596"/>
        <v>20213JPY</v>
      </c>
      <c r="AR2036" s="206" t="str">
        <f t="shared" si="597"/>
        <v>YAMAHA_Mounter</v>
      </c>
      <c r="AS2036" s="22">
        <f t="shared" si="598"/>
        <v>3</v>
      </c>
      <c r="AT2036" s="24" t="str">
        <f t="shared" si="599"/>
        <v>0-3 months</v>
      </c>
      <c r="AU2036" s="22" t="s">
        <v>3746</v>
      </c>
    </row>
    <row r="2037" spans="1:47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48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1591</v>
      </c>
      <c r="K2037" s="155" t="s">
        <v>1590</v>
      </c>
      <c r="L2037" s="17" t="s">
        <v>67</v>
      </c>
      <c r="M2037" s="13" t="s">
        <v>60</v>
      </c>
      <c r="N2037" s="13">
        <v>1</v>
      </c>
      <c r="O2037" s="13"/>
      <c r="P2037" s="33" t="str">
        <f t="shared" si="591"/>
        <v>MAIN UNIT</v>
      </c>
      <c r="Q2037" s="13" t="s">
        <v>61</v>
      </c>
      <c r="R2037" s="13" t="s">
        <v>62</v>
      </c>
      <c r="S2037" s="13" t="s">
        <v>49</v>
      </c>
      <c r="T2037" s="13" t="s">
        <v>78</v>
      </c>
      <c r="U2037" s="13" t="s">
        <v>79</v>
      </c>
      <c r="V2037" s="13" t="s">
        <v>131</v>
      </c>
      <c r="W2037" s="13" t="s">
        <v>109</v>
      </c>
      <c r="X2037" s="135">
        <v>7500000</v>
      </c>
      <c r="Y2037" s="157" t="str">
        <f t="shared" si="602"/>
        <v>1</v>
      </c>
      <c r="Z2037" s="18">
        <f t="shared" si="601"/>
        <v>7500000</v>
      </c>
      <c r="AA2037" s="13">
        <v>7.4499999999999997E-2</v>
      </c>
      <c r="AB2037" s="21">
        <f t="shared" si="585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86"/>
        <v>57778307.282035396</v>
      </c>
      <c r="AJ2037" s="19">
        <f t="shared" si="587"/>
        <v>7259860.7225420559</v>
      </c>
      <c r="AK2037" s="20">
        <f t="shared" si="594"/>
        <v>0.12565028406083667</v>
      </c>
      <c r="AL2037" s="17"/>
      <c r="AM2037" s="17"/>
      <c r="AN2037" s="17"/>
      <c r="AO2037" s="17"/>
      <c r="AP2037" s="28" t="str">
        <f t="shared" si="595"/>
        <v>20213</v>
      </c>
      <c r="AQ2037" s="28" t="str">
        <f t="shared" si="596"/>
        <v>20213JPY</v>
      </c>
      <c r="AR2037" s="206" t="str">
        <f t="shared" si="597"/>
        <v>YAMAHA_Mounter</v>
      </c>
      <c r="AS2037" s="22">
        <f t="shared" si="598"/>
        <v>3</v>
      </c>
      <c r="AT2037" s="24" t="str">
        <f t="shared" si="599"/>
        <v>0-3 months</v>
      </c>
      <c r="AU2037" s="22" t="s">
        <v>3746</v>
      </c>
    </row>
    <row r="2038" spans="1:47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48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1591</v>
      </c>
      <c r="K2038" s="155" t="s">
        <v>1590</v>
      </c>
      <c r="L2038" s="17" t="s">
        <v>67</v>
      </c>
      <c r="M2038" s="13" t="s">
        <v>60</v>
      </c>
      <c r="N2038" s="13">
        <v>1</v>
      </c>
      <c r="O2038" s="13"/>
      <c r="P2038" s="33" t="str">
        <f t="shared" si="591"/>
        <v>MAIN UNIT</v>
      </c>
      <c r="Q2038" s="13" t="s">
        <v>61</v>
      </c>
      <c r="R2038" s="13" t="s">
        <v>62</v>
      </c>
      <c r="S2038" s="13" t="s">
        <v>49</v>
      </c>
      <c r="T2038" s="13" t="s">
        <v>78</v>
      </c>
      <c r="U2038" s="13" t="s">
        <v>79</v>
      </c>
      <c r="V2038" s="13" t="s">
        <v>131</v>
      </c>
      <c r="W2038" s="13" t="s">
        <v>109</v>
      </c>
      <c r="X2038" s="135">
        <v>7500000</v>
      </c>
      <c r="Y2038" s="157" t="str">
        <f t="shared" si="602"/>
        <v>1</v>
      </c>
      <c r="Z2038" s="18">
        <f t="shared" si="601"/>
        <v>7500000</v>
      </c>
      <c r="AA2038" s="13">
        <v>7.4499999999999997E-2</v>
      </c>
      <c r="AB2038" s="21">
        <f t="shared" ref="AB2038:AB2101" si="603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86"/>
        <v>57778307.282035396</v>
      </c>
      <c r="AJ2038" s="19">
        <f t="shared" si="587"/>
        <v>7259860.7225420559</v>
      </c>
      <c r="AK2038" s="20">
        <f t="shared" si="594"/>
        <v>0.12565028406083667</v>
      </c>
      <c r="AL2038" s="17"/>
      <c r="AM2038" s="17"/>
      <c r="AN2038" s="17"/>
      <c r="AO2038" s="17"/>
      <c r="AP2038" s="28" t="str">
        <f t="shared" si="595"/>
        <v>20213</v>
      </c>
      <c r="AQ2038" s="28" t="str">
        <f t="shared" si="596"/>
        <v>20213JPY</v>
      </c>
      <c r="AR2038" s="206" t="str">
        <f t="shared" si="597"/>
        <v>YAMAHA_Mounter</v>
      </c>
      <c r="AS2038" s="22">
        <f t="shared" si="598"/>
        <v>3</v>
      </c>
      <c r="AT2038" s="24" t="str">
        <f t="shared" si="599"/>
        <v>0-3 months</v>
      </c>
      <c r="AU2038" s="22" t="s">
        <v>3746</v>
      </c>
    </row>
    <row r="2039" spans="1:47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53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1591</v>
      </c>
      <c r="K2039" s="155" t="s">
        <v>1590</v>
      </c>
      <c r="L2039" s="17" t="s">
        <v>67</v>
      </c>
      <c r="M2039" s="13" t="s">
        <v>60</v>
      </c>
      <c r="N2039" s="13">
        <v>1</v>
      </c>
      <c r="O2039" s="13"/>
      <c r="P2039" s="33" t="str">
        <f t="shared" si="591"/>
        <v>MAIN UNIT</v>
      </c>
      <c r="Q2039" s="13" t="s">
        <v>61</v>
      </c>
      <c r="R2039" s="13" t="s">
        <v>62</v>
      </c>
      <c r="S2039" s="13" t="s">
        <v>49</v>
      </c>
      <c r="T2039" s="13" t="s">
        <v>78</v>
      </c>
      <c r="U2039" s="13" t="s">
        <v>79</v>
      </c>
      <c r="V2039" s="13" t="s">
        <v>131</v>
      </c>
      <c r="W2039" s="13" t="s">
        <v>109</v>
      </c>
      <c r="X2039" s="135">
        <v>7500000</v>
      </c>
      <c r="Y2039" s="157" t="str">
        <f t="shared" si="602"/>
        <v>1</v>
      </c>
      <c r="Z2039" s="18">
        <f t="shared" si="601"/>
        <v>7500000</v>
      </c>
      <c r="AA2039" s="13">
        <v>7.17E-2</v>
      </c>
      <c r="AB2039" s="21">
        <f t="shared" si="603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86"/>
        <v>43684091.636631854</v>
      </c>
      <c r="AJ2039" s="19">
        <f t="shared" si="587"/>
        <v>6483951.8242071122</v>
      </c>
      <c r="AK2039" s="20">
        <f t="shared" si="594"/>
        <v>0.14842821680123736</v>
      </c>
      <c r="AL2039" s="17"/>
      <c r="AM2039" s="17"/>
      <c r="AN2039" s="17"/>
      <c r="AO2039" s="17"/>
      <c r="AP2039" s="28" t="str">
        <f t="shared" si="595"/>
        <v>20214</v>
      </c>
      <c r="AQ2039" s="28" t="str">
        <f t="shared" si="596"/>
        <v>20214JPY</v>
      </c>
      <c r="AR2039" s="206" t="str">
        <f t="shared" si="597"/>
        <v>YAMAHA_Mounter</v>
      </c>
      <c r="AS2039" s="22">
        <f t="shared" si="598"/>
        <v>4</v>
      </c>
      <c r="AT2039" s="24" t="str">
        <f t="shared" si="599"/>
        <v>4-6 months</v>
      </c>
      <c r="AU2039" s="22" t="s">
        <v>3746</v>
      </c>
    </row>
    <row r="2040" spans="1:47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53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1591</v>
      </c>
      <c r="K2040" s="155" t="s">
        <v>1590</v>
      </c>
      <c r="L2040" s="17" t="s">
        <v>67</v>
      </c>
      <c r="M2040" s="13" t="s">
        <v>60</v>
      </c>
      <c r="N2040" s="13">
        <v>1</v>
      </c>
      <c r="O2040" s="13"/>
      <c r="P2040" s="33" t="str">
        <f t="shared" si="591"/>
        <v>MAIN UNIT</v>
      </c>
      <c r="Q2040" s="13" t="s">
        <v>61</v>
      </c>
      <c r="R2040" s="13" t="s">
        <v>62</v>
      </c>
      <c r="S2040" s="13" t="s">
        <v>49</v>
      </c>
      <c r="T2040" s="13" t="s">
        <v>78</v>
      </c>
      <c r="U2040" s="13" t="s">
        <v>79</v>
      </c>
      <c r="V2040" s="13" t="s">
        <v>131</v>
      </c>
      <c r="W2040" s="13" t="s">
        <v>109</v>
      </c>
      <c r="X2040" s="135">
        <v>7500000</v>
      </c>
      <c r="Y2040" s="157" t="str">
        <f t="shared" si="602"/>
        <v>1</v>
      </c>
      <c r="Z2040" s="18">
        <f t="shared" si="601"/>
        <v>7500000</v>
      </c>
      <c r="AA2040" s="13">
        <v>7.17E-2</v>
      </c>
      <c r="AB2040" s="21">
        <f t="shared" si="603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86"/>
        <v>43684091.636631854</v>
      </c>
      <c r="AJ2040" s="19">
        <f t="shared" si="587"/>
        <v>6483951.8242071122</v>
      </c>
      <c r="AK2040" s="20">
        <f t="shared" si="594"/>
        <v>0.14842821680123736</v>
      </c>
      <c r="AL2040" s="17"/>
      <c r="AM2040" s="17"/>
      <c r="AN2040" s="17"/>
      <c r="AO2040" s="17"/>
      <c r="AP2040" s="28" t="str">
        <f t="shared" si="595"/>
        <v>20214</v>
      </c>
      <c r="AQ2040" s="28" t="str">
        <f t="shared" si="596"/>
        <v>20214JPY</v>
      </c>
      <c r="AR2040" s="206" t="str">
        <f t="shared" si="597"/>
        <v>YAMAHA_Mounter</v>
      </c>
      <c r="AS2040" s="22">
        <f t="shared" si="598"/>
        <v>4</v>
      </c>
      <c r="AT2040" s="24" t="str">
        <f t="shared" si="599"/>
        <v>4-6 months</v>
      </c>
      <c r="AU2040" s="22" t="s">
        <v>3746</v>
      </c>
    </row>
    <row r="2041" spans="1:47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53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1591</v>
      </c>
      <c r="K2041" s="155" t="s">
        <v>1590</v>
      </c>
      <c r="L2041" s="17" t="s">
        <v>67</v>
      </c>
      <c r="M2041" s="13" t="s">
        <v>60</v>
      </c>
      <c r="N2041" s="13">
        <v>1</v>
      </c>
      <c r="O2041" s="13"/>
      <c r="P2041" s="33" t="str">
        <f t="shared" si="591"/>
        <v>MAIN UNIT</v>
      </c>
      <c r="Q2041" s="13" t="s">
        <v>61</v>
      </c>
      <c r="R2041" s="13" t="s">
        <v>62</v>
      </c>
      <c r="S2041" s="13" t="s">
        <v>49</v>
      </c>
      <c r="T2041" s="13" t="s">
        <v>78</v>
      </c>
      <c r="U2041" s="13" t="s">
        <v>79</v>
      </c>
      <c r="V2041" s="13" t="s">
        <v>131</v>
      </c>
      <c r="W2041" s="13" t="s">
        <v>109</v>
      </c>
      <c r="X2041" s="135">
        <v>7500000</v>
      </c>
      <c r="Y2041" s="157" t="str">
        <f t="shared" si="602"/>
        <v>1</v>
      </c>
      <c r="Z2041" s="18">
        <f t="shared" si="601"/>
        <v>7500000</v>
      </c>
      <c r="AA2041" s="13">
        <v>7.17E-2</v>
      </c>
      <c r="AB2041" s="21">
        <f t="shared" si="603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86"/>
        <v>43684091.636631854</v>
      </c>
      <c r="AJ2041" s="19">
        <f t="shared" si="587"/>
        <v>6483951.8242071122</v>
      </c>
      <c r="AK2041" s="20">
        <f t="shared" si="594"/>
        <v>0.14842821680123736</v>
      </c>
      <c r="AL2041" s="17"/>
      <c r="AM2041" s="17"/>
      <c r="AN2041" s="17"/>
      <c r="AO2041" s="17"/>
      <c r="AP2041" s="28" t="str">
        <f t="shared" si="595"/>
        <v>20214</v>
      </c>
      <c r="AQ2041" s="28" t="str">
        <f t="shared" si="596"/>
        <v>20214JPY</v>
      </c>
      <c r="AR2041" s="206" t="str">
        <f t="shared" si="597"/>
        <v>YAMAHA_Mounter</v>
      </c>
      <c r="AS2041" s="22">
        <f t="shared" si="598"/>
        <v>4</v>
      </c>
      <c r="AT2041" s="24" t="str">
        <f t="shared" si="599"/>
        <v>4-6 months</v>
      </c>
      <c r="AU2041" s="22" t="s">
        <v>3746</v>
      </c>
    </row>
    <row r="2042" spans="1:47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53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1591</v>
      </c>
      <c r="K2042" s="155" t="s">
        <v>1590</v>
      </c>
      <c r="L2042" s="17" t="s">
        <v>67</v>
      </c>
      <c r="M2042" s="13" t="s">
        <v>60</v>
      </c>
      <c r="N2042" s="13">
        <v>1</v>
      </c>
      <c r="O2042" s="13"/>
      <c r="P2042" s="33" t="str">
        <f t="shared" si="591"/>
        <v>MAIN UNIT</v>
      </c>
      <c r="Q2042" s="13" t="s">
        <v>61</v>
      </c>
      <c r="R2042" s="13" t="s">
        <v>62</v>
      </c>
      <c r="S2042" s="13" t="s">
        <v>49</v>
      </c>
      <c r="T2042" s="13" t="s">
        <v>78</v>
      </c>
      <c r="U2042" s="13" t="s">
        <v>79</v>
      </c>
      <c r="V2042" s="13" t="s">
        <v>131</v>
      </c>
      <c r="W2042" s="13" t="s">
        <v>109</v>
      </c>
      <c r="X2042" s="135">
        <v>7500000</v>
      </c>
      <c r="Y2042" s="157" t="str">
        <f t="shared" si="602"/>
        <v>1</v>
      </c>
      <c r="Z2042" s="18">
        <f t="shared" si="601"/>
        <v>7500000</v>
      </c>
      <c r="AA2042" s="13">
        <v>7.17E-2</v>
      </c>
      <c r="AB2042" s="21">
        <f t="shared" si="603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86"/>
        <v>43684091.636631854</v>
      </c>
      <c r="AJ2042" s="19">
        <f t="shared" si="587"/>
        <v>6483951.8242071122</v>
      </c>
      <c r="AK2042" s="20">
        <f t="shared" si="594"/>
        <v>0.14842821680123736</v>
      </c>
      <c r="AL2042" s="17"/>
      <c r="AM2042" s="17"/>
      <c r="AN2042" s="17"/>
      <c r="AO2042" s="17"/>
      <c r="AP2042" s="28" t="str">
        <f t="shared" si="595"/>
        <v>20214</v>
      </c>
      <c r="AQ2042" s="28" t="str">
        <f t="shared" si="596"/>
        <v>20214JPY</v>
      </c>
      <c r="AR2042" s="206" t="str">
        <f t="shared" si="597"/>
        <v>YAMAHA_Mounter</v>
      </c>
      <c r="AS2042" s="22">
        <f t="shared" si="598"/>
        <v>4</v>
      </c>
      <c r="AT2042" s="24" t="str">
        <f t="shared" si="599"/>
        <v>4-6 months</v>
      </c>
      <c r="AU2042" s="22" t="s">
        <v>3746</v>
      </c>
    </row>
    <row r="2043" spans="1:47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54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2165</v>
      </c>
      <c r="K2043" s="155" t="s">
        <v>1590</v>
      </c>
      <c r="L2043" s="17" t="s">
        <v>1301</v>
      </c>
      <c r="M2043" s="13" t="s">
        <v>60</v>
      </c>
      <c r="N2043" s="13">
        <v>1</v>
      </c>
      <c r="O2043" s="13"/>
      <c r="P2043" s="33" t="str">
        <f t="shared" si="591"/>
        <v>MAIN UNIT</v>
      </c>
      <c r="Q2043" s="13" t="s">
        <v>61</v>
      </c>
      <c r="R2043" s="13" t="s">
        <v>62</v>
      </c>
      <c r="S2043" s="13" t="s">
        <v>49</v>
      </c>
      <c r="T2043" s="13" t="s">
        <v>78</v>
      </c>
      <c r="U2043" s="13" t="s">
        <v>79</v>
      </c>
      <c r="V2043" s="13" t="s">
        <v>131</v>
      </c>
      <c r="W2043" s="13" t="s">
        <v>109</v>
      </c>
      <c r="X2043" s="135">
        <v>18000000</v>
      </c>
      <c r="Y2043" s="157" t="str">
        <f t="shared" si="602"/>
        <v>1</v>
      </c>
      <c r="Z2043" s="18">
        <f t="shared" si="601"/>
        <v>18000000</v>
      </c>
      <c r="AA2043" s="13">
        <v>6.2799999999999995E-2</v>
      </c>
      <c r="AB2043" s="21">
        <f t="shared" si="603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86"/>
        <v>44014086.982070789</v>
      </c>
      <c r="AJ2043" s="19">
        <f t="shared" si="587"/>
        <v>6419974.0221889298</v>
      </c>
      <c r="AK2043" s="20">
        <f t="shared" si="594"/>
        <v>0.14586180158193709</v>
      </c>
      <c r="AL2043" s="17"/>
      <c r="AM2043" s="17"/>
      <c r="AN2043" s="17"/>
      <c r="AO2043" s="17"/>
      <c r="AP2043" s="28" t="str">
        <f t="shared" si="595"/>
        <v>20225</v>
      </c>
      <c r="AQ2043" s="28" t="str">
        <f t="shared" si="596"/>
        <v>20225JPY</v>
      </c>
      <c r="AR2043" s="206" t="str">
        <f t="shared" si="597"/>
        <v>YAMAHA_Mounter</v>
      </c>
      <c r="AS2043" s="22">
        <f t="shared" si="598"/>
        <v>3</v>
      </c>
      <c r="AT2043" s="24" t="str">
        <f t="shared" si="599"/>
        <v>0-3 months</v>
      </c>
      <c r="AU2043" s="22" t="s">
        <v>3746</v>
      </c>
    </row>
    <row r="2044" spans="1:47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54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2165</v>
      </c>
      <c r="K2044" s="155" t="s">
        <v>1590</v>
      </c>
      <c r="L2044" s="17" t="s">
        <v>1301</v>
      </c>
      <c r="M2044" s="13" t="s">
        <v>60</v>
      </c>
      <c r="N2044" s="13">
        <v>1</v>
      </c>
      <c r="O2044" s="13"/>
      <c r="P2044" s="33" t="str">
        <f t="shared" si="591"/>
        <v>MAIN UNIT</v>
      </c>
      <c r="Q2044" s="13" t="s">
        <v>61</v>
      </c>
      <c r="R2044" s="13" t="s">
        <v>62</v>
      </c>
      <c r="S2044" s="13" t="s">
        <v>49</v>
      </c>
      <c r="T2044" s="13" t="s">
        <v>78</v>
      </c>
      <c r="U2044" s="13" t="s">
        <v>79</v>
      </c>
      <c r="V2044" s="13" t="s">
        <v>131</v>
      </c>
      <c r="W2044" s="13" t="s">
        <v>109</v>
      </c>
      <c r="X2044" s="135">
        <v>18000000</v>
      </c>
      <c r="Y2044" s="157" t="str">
        <f t="shared" si="602"/>
        <v>1</v>
      </c>
      <c r="Z2044" s="18">
        <f t="shared" si="601"/>
        <v>18000000</v>
      </c>
      <c r="AA2044" s="13">
        <v>6.2799999999999995E-2</v>
      </c>
      <c r="AB2044" s="21">
        <f t="shared" si="603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86"/>
        <v>44014086.982070789</v>
      </c>
      <c r="AJ2044" s="19">
        <f t="shared" si="587"/>
        <v>6419974.0221889298</v>
      </c>
      <c r="AK2044" s="20">
        <f t="shared" si="594"/>
        <v>0.14586180158193709</v>
      </c>
      <c r="AL2044" s="17"/>
      <c r="AM2044" s="17"/>
      <c r="AN2044" s="17"/>
      <c r="AO2044" s="17"/>
      <c r="AP2044" s="28" t="str">
        <f t="shared" si="595"/>
        <v>20225</v>
      </c>
      <c r="AQ2044" s="28" t="str">
        <f t="shared" si="596"/>
        <v>20225JPY</v>
      </c>
      <c r="AR2044" s="206" t="str">
        <f t="shared" si="597"/>
        <v>YAMAHA_Mounter</v>
      </c>
      <c r="AS2044" s="22">
        <f t="shared" si="598"/>
        <v>3</v>
      </c>
      <c r="AT2044" s="24" t="str">
        <f t="shared" si="599"/>
        <v>0-3 months</v>
      </c>
      <c r="AU2044" s="22" t="s">
        <v>3746</v>
      </c>
    </row>
    <row r="2045" spans="1:47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54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2165</v>
      </c>
      <c r="K2045" s="155" t="s">
        <v>1590</v>
      </c>
      <c r="L2045" s="17" t="s">
        <v>1301</v>
      </c>
      <c r="M2045" s="13" t="s">
        <v>60</v>
      </c>
      <c r="N2045" s="13">
        <v>1</v>
      </c>
      <c r="O2045" s="13"/>
      <c r="P2045" s="33" t="str">
        <f t="shared" si="591"/>
        <v>MAIN UNIT</v>
      </c>
      <c r="Q2045" s="13" t="s">
        <v>61</v>
      </c>
      <c r="R2045" s="13" t="s">
        <v>62</v>
      </c>
      <c r="S2045" s="13" t="s">
        <v>49</v>
      </c>
      <c r="T2045" s="13" t="s">
        <v>78</v>
      </c>
      <c r="U2045" s="13" t="s">
        <v>79</v>
      </c>
      <c r="V2045" s="13" t="s">
        <v>131</v>
      </c>
      <c r="W2045" s="13" t="s">
        <v>109</v>
      </c>
      <c r="X2045" s="135">
        <v>18000000</v>
      </c>
      <c r="Y2045" s="157" t="str">
        <f t="shared" si="602"/>
        <v>1</v>
      </c>
      <c r="Z2045" s="18">
        <f t="shared" si="601"/>
        <v>18000000</v>
      </c>
      <c r="AA2045" s="13">
        <v>6.2799999999999995E-2</v>
      </c>
      <c r="AB2045" s="21">
        <f t="shared" si="603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86"/>
        <v>44014086.982070789</v>
      </c>
      <c r="AJ2045" s="19">
        <f t="shared" si="587"/>
        <v>6419974.0221889298</v>
      </c>
      <c r="AK2045" s="20">
        <f t="shared" si="594"/>
        <v>0.14586180158193709</v>
      </c>
      <c r="AL2045" s="17"/>
      <c r="AM2045" s="17"/>
      <c r="AN2045" s="17"/>
      <c r="AO2045" s="17"/>
      <c r="AP2045" s="28" t="str">
        <f t="shared" si="595"/>
        <v>20225</v>
      </c>
      <c r="AQ2045" s="28" t="str">
        <f t="shared" si="596"/>
        <v>20225JPY</v>
      </c>
      <c r="AR2045" s="206" t="str">
        <f t="shared" si="597"/>
        <v>YAMAHA_Mounter</v>
      </c>
      <c r="AS2045" s="22">
        <f t="shared" si="598"/>
        <v>3</v>
      </c>
      <c r="AT2045" s="24" t="str">
        <f t="shared" si="599"/>
        <v>0-3 months</v>
      </c>
      <c r="AU2045" s="22" t="s">
        <v>3746</v>
      </c>
    </row>
    <row r="2046" spans="1:47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54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2165</v>
      </c>
      <c r="K2046" s="155" t="s">
        <v>1590</v>
      </c>
      <c r="L2046" s="17" t="s">
        <v>92</v>
      </c>
      <c r="M2046" s="13" t="s">
        <v>60</v>
      </c>
      <c r="N2046" s="13">
        <v>1</v>
      </c>
      <c r="O2046" s="13"/>
      <c r="P2046" s="33" t="str">
        <f t="shared" si="591"/>
        <v>MAIN UNIT</v>
      </c>
      <c r="Q2046" s="13" t="s">
        <v>61</v>
      </c>
      <c r="R2046" s="13" t="s">
        <v>62</v>
      </c>
      <c r="S2046" s="13" t="s">
        <v>49</v>
      </c>
      <c r="T2046" s="13" t="s">
        <v>78</v>
      </c>
      <c r="U2046" s="13" t="s">
        <v>79</v>
      </c>
      <c r="V2046" s="13" t="s">
        <v>131</v>
      </c>
      <c r="W2046" s="13" t="s">
        <v>109</v>
      </c>
      <c r="X2046" s="135">
        <v>16000000</v>
      </c>
      <c r="Y2046" s="157" t="str">
        <f t="shared" si="602"/>
        <v>1</v>
      </c>
      <c r="Z2046" s="18">
        <f t="shared" si="601"/>
        <v>16000000</v>
      </c>
      <c r="AA2046" s="13">
        <v>6.2799999999999995E-2</v>
      </c>
      <c r="AB2046" s="21">
        <f t="shared" si="603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86"/>
        <v>44014086.982070789</v>
      </c>
      <c r="AJ2046" s="19">
        <f t="shared" si="587"/>
        <v>6419974.0221889298</v>
      </c>
      <c r="AK2046" s="20">
        <f t="shared" si="594"/>
        <v>0.14586180158193709</v>
      </c>
      <c r="AL2046" s="17"/>
      <c r="AM2046" s="17"/>
      <c r="AN2046" s="17"/>
      <c r="AO2046" s="17"/>
      <c r="AP2046" s="28" t="str">
        <f t="shared" si="595"/>
        <v>20225</v>
      </c>
      <c r="AQ2046" s="28" t="str">
        <f t="shared" si="596"/>
        <v>20225JPY</v>
      </c>
      <c r="AR2046" s="206" t="str">
        <f t="shared" si="597"/>
        <v>YAMAHA_Mounter</v>
      </c>
      <c r="AS2046" s="22">
        <f t="shared" si="598"/>
        <v>3</v>
      </c>
      <c r="AT2046" s="24" t="str">
        <f t="shared" si="599"/>
        <v>0-3 months</v>
      </c>
      <c r="AU2046" s="22" t="s">
        <v>3746</v>
      </c>
    </row>
    <row r="2047" spans="1:47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54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2165</v>
      </c>
      <c r="K2047" s="155" t="s">
        <v>1590</v>
      </c>
      <c r="L2047" s="17" t="s">
        <v>92</v>
      </c>
      <c r="M2047" s="13" t="s">
        <v>60</v>
      </c>
      <c r="N2047" s="13">
        <v>1</v>
      </c>
      <c r="O2047" s="13"/>
      <c r="P2047" s="33" t="str">
        <f t="shared" si="591"/>
        <v>MAIN UNIT</v>
      </c>
      <c r="Q2047" s="13" t="s">
        <v>61</v>
      </c>
      <c r="R2047" s="13" t="s">
        <v>62</v>
      </c>
      <c r="S2047" s="13" t="s">
        <v>49</v>
      </c>
      <c r="T2047" s="13" t="s">
        <v>78</v>
      </c>
      <c r="U2047" s="13" t="s">
        <v>79</v>
      </c>
      <c r="V2047" s="13" t="s">
        <v>131</v>
      </c>
      <c r="W2047" s="13" t="s">
        <v>109</v>
      </c>
      <c r="X2047" s="135">
        <v>16000000</v>
      </c>
      <c r="Y2047" s="157" t="str">
        <f t="shared" si="602"/>
        <v>1</v>
      </c>
      <c r="Z2047" s="18">
        <f t="shared" si="601"/>
        <v>16000000</v>
      </c>
      <c r="AA2047" s="13">
        <v>6.2799999999999995E-2</v>
      </c>
      <c r="AB2047" s="21">
        <f t="shared" si="603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86"/>
        <v>44014086.982070789</v>
      </c>
      <c r="AJ2047" s="19">
        <f t="shared" si="587"/>
        <v>6419974.0221889298</v>
      </c>
      <c r="AK2047" s="20">
        <f t="shared" si="594"/>
        <v>0.14586180158193709</v>
      </c>
      <c r="AL2047" s="17"/>
      <c r="AM2047" s="17"/>
      <c r="AN2047" s="17"/>
      <c r="AO2047" s="17"/>
      <c r="AP2047" s="28" t="str">
        <f t="shared" si="595"/>
        <v>20225</v>
      </c>
      <c r="AQ2047" s="28" t="str">
        <f t="shared" si="596"/>
        <v>20225JPY</v>
      </c>
      <c r="AR2047" s="206" t="str">
        <f t="shared" si="597"/>
        <v>YAMAHA_Mounter</v>
      </c>
      <c r="AS2047" s="22">
        <f t="shared" si="598"/>
        <v>3</v>
      </c>
      <c r="AT2047" s="24" t="str">
        <f t="shared" si="599"/>
        <v>0-3 months</v>
      </c>
      <c r="AU2047" s="22" t="s">
        <v>3746</v>
      </c>
    </row>
    <row r="2048" spans="1:47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54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2165</v>
      </c>
      <c r="K2048" s="155" t="s">
        <v>1590</v>
      </c>
      <c r="L2048" s="17" t="s">
        <v>67</v>
      </c>
      <c r="M2048" s="13" t="s">
        <v>60</v>
      </c>
      <c r="N2048" s="13">
        <v>1</v>
      </c>
      <c r="O2048" s="13"/>
      <c r="P2048" s="33" t="str">
        <f t="shared" si="591"/>
        <v>MAIN UNIT</v>
      </c>
      <c r="Q2048" s="13" t="s">
        <v>61</v>
      </c>
      <c r="R2048" s="13" t="s">
        <v>62</v>
      </c>
      <c r="S2048" s="13" t="s">
        <v>49</v>
      </c>
      <c r="T2048" s="13" t="s">
        <v>78</v>
      </c>
      <c r="U2048" s="13" t="s">
        <v>79</v>
      </c>
      <c r="V2048" s="13" t="s">
        <v>131</v>
      </c>
      <c r="W2048" s="13" t="s">
        <v>109</v>
      </c>
      <c r="X2048" s="135">
        <v>11000000</v>
      </c>
      <c r="Y2048" s="157" t="str">
        <f t="shared" si="602"/>
        <v>1</v>
      </c>
      <c r="Z2048" s="18">
        <f t="shared" si="601"/>
        <v>11000000</v>
      </c>
      <c r="AA2048" s="13">
        <v>6.2799999999999995E-2</v>
      </c>
      <c r="AB2048" s="21">
        <f t="shared" si="603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86"/>
        <v>44014086.982070789</v>
      </c>
      <c r="AJ2048" s="19">
        <f t="shared" si="587"/>
        <v>6419974.0221889298</v>
      </c>
      <c r="AK2048" s="20">
        <f t="shared" si="594"/>
        <v>0.14586180158193709</v>
      </c>
      <c r="AL2048" s="17"/>
      <c r="AM2048" s="17"/>
      <c r="AN2048" s="17"/>
      <c r="AO2048" s="17"/>
      <c r="AP2048" s="28" t="str">
        <f t="shared" si="595"/>
        <v>20225</v>
      </c>
      <c r="AQ2048" s="28" t="str">
        <f t="shared" si="596"/>
        <v>20225JPY</v>
      </c>
      <c r="AR2048" s="206" t="str">
        <f t="shared" si="597"/>
        <v>YAMAHA_Mounter</v>
      </c>
      <c r="AS2048" s="22">
        <f t="shared" si="598"/>
        <v>3</v>
      </c>
      <c r="AT2048" s="24" t="str">
        <f t="shared" si="599"/>
        <v>0-3 months</v>
      </c>
      <c r="AU2048" s="22" t="s">
        <v>3746</v>
      </c>
    </row>
    <row r="2049" spans="1:47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54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2165</v>
      </c>
      <c r="K2049" s="155" t="s">
        <v>1590</v>
      </c>
      <c r="L2049" s="17" t="s">
        <v>67</v>
      </c>
      <c r="M2049" s="13" t="s">
        <v>60</v>
      </c>
      <c r="N2049" s="13">
        <v>1</v>
      </c>
      <c r="O2049" s="13"/>
      <c r="P2049" s="33" t="str">
        <f t="shared" si="591"/>
        <v>MAIN UNIT</v>
      </c>
      <c r="Q2049" s="13" t="s">
        <v>61</v>
      </c>
      <c r="R2049" s="13" t="s">
        <v>62</v>
      </c>
      <c r="S2049" s="13" t="s">
        <v>49</v>
      </c>
      <c r="T2049" s="13" t="s">
        <v>78</v>
      </c>
      <c r="U2049" s="13" t="s">
        <v>79</v>
      </c>
      <c r="V2049" s="13" t="s">
        <v>131</v>
      </c>
      <c r="W2049" s="13" t="s">
        <v>109</v>
      </c>
      <c r="X2049" s="135">
        <v>11000000</v>
      </c>
      <c r="Y2049" s="157" t="str">
        <f t="shared" si="602"/>
        <v>1</v>
      </c>
      <c r="Z2049" s="18">
        <f t="shared" si="601"/>
        <v>11000000</v>
      </c>
      <c r="AA2049" s="13">
        <v>6.2799999999999995E-2</v>
      </c>
      <c r="AB2049" s="21">
        <f t="shared" si="603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86"/>
        <v>44014086.982070789</v>
      </c>
      <c r="AJ2049" s="19">
        <f t="shared" si="587"/>
        <v>6419974.0221889298</v>
      </c>
      <c r="AK2049" s="20">
        <f t="shared" si="594"/>
        <v>0.14586180158193709</v>
      </c>
      <c r="AL2049" s="17"/>
      <c r="AM2049" s="17"/>
      <c r="AN2049" s="17"/>
      <c r="AO2049" s="17"/>
      <c r="AP2049" s="28" t="str">
        <f t="shared" si="595"/>
        <v>20225</v>
      </c>
      <c r="AQ2049" s="28" t="str">
        <f t="shared" si="596"/>
        <v>20225JPY</v>
      </c>
      <c r="AR2049" s="206" t="str">
        <f t="shared" si="597"/>
        <v>YAMAHA_Mounter</v>
      </c>
      <c r="AS2049" s="22">
        <f t="shared" si="598"/>
        <v>3</v>
      </c>
      <c r="AT2049" s="24" t="str">
        <f t="shared" si="599"/>
        <v>0-3 months</v>
      </c>
      <c r="AU2049" s="22" t="s">
        <v>3746</v>
      </c>
    </row>
    <row r="2050" spans="1:47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54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2165</v>
      </c>
      <c r="K2050" s="155" t="s">
        <v>1590</v>
      </c>
      <c r="L2050" s="17" t="s">
        <v>67</v>
      </c>
      <c r="M2050" s="13" t="s">
        <v>60</v>
      </c>
      <c r="N2050" s="13">
        <v>1</v>
      </c>
      <c r="O2050" s="13"/>
      <c r="P2050" s="33" t="str">
        <f t="shared" si="591"/>
        <v>MAIN UNIT</v>
      </c>
      <c r="Q2050" s="13" t="s">
        <v>61</v>
      </c>
      <c r="R2050" s="13" t="s">
        <v>62</v>
      </c>
      <c r="S2050" s="13" t="s">
        <v>49</v>
      </c>
      <c r="T2050" s="13" t="s">
        <v>78</v>
      </c>
      <c r="U2050" s="13" t="s">
        <v>79</v>
      </c>
      <c r="V2050" s="13" t="s">
        <v>131</v>
      </c>
      <c r="W2050" s="13" t="s">
        <v>109</v>
      </c>
      <c r="X2050" s="135">
        <v>11000000</v>
      </c>
      <c r="Y2050" s="157" t="str">
        <f t="shared" si="602"/>
        <v>1</v>
      </c>
      <c r="Z2050" s="18">
        <f t="shared" si="601"/>
        <v>11000000</v>
      </c>
      <c r="AA2050" s="13">
        <v>6.2799999999999995E-2</v>
      </c>
      <c r="AB2050" s="21">
        <f t="shared" si="603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ref="AI2050:AI2113" si="604">IF(P2050="C66 SERVICE","",SUMIFS(AB:AB,F:F,F2050,G:G,G2050,E:E,E2050))</f>
        <v>44014086.982070789</v>
      </c>
      <c r="AJ2050" s="19">
        <f t="shared" ref="AJ2050:AJ2113" si="605">IF(P2050="C66 SERVICE","",SUMIFS(AC:AC,F:F,F2050,G:G,G2050,E:E,E2050))</f>
        <v>6419974.0221889298</v>
      </c>
      <c r="AK2050" s="20">
        <f t="shared" si="594"/>
        <v>0.14586180158193709</v>
      </c>
      <c r="AL2050" s="17"/>
      <c r="AM2050" s="17"/>
      <c r="AN2050" s="17"/>
      <c r="AO2050" s="17"/>
      <c r="AP2050" s="28" t="str">
        <f t="shared" si="595"/>
        <v>20225</v>
      </c>
      <c r="AQ2050" s="28" t="str">
        <f t="shared" si="596"/>
        <v>20225JPY</v>
      </c>
      <c r="AR2050" s="206" t="str">
        <f t="shared" si="597"/>
        <v>YAMAHA_Mounter</v>
      </c>
      <c r="AS2050" s="22">
        <f t="shared" si="598"/>
        <v>3</v>
      </c>
      <c r="AT2050" s="24" t="str">
        <f t="shared" si="599"/>
        <v>0-3 months</v>
      </c>
      <c r="AU2050" s="22" t="s">
        <v>3746</v>
      </c>
    </row>
    <row r="2051" spans="1:47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54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2165</v>
      </c>
      <c r="K2051" s="155" t="s">
        <v>1590</v>
      </c>
      <c r="L2051" s="17" t="s">
        <v>67</v>
      </c>
      <c r="M2051" s="13" t="s">
        <v>60</v>
      </c>
      <c r="N2051" s="13">
        <v>1</v>
      </c>
      <c r="O2051" s="13"/>
      <c r="P2051" s="33" t="str">
        <f t="shared" si="591"/>
        <v>MAIN UNIT</v>
      </c>
      <c r="Q2051" s="13" t="s">
        <v>61</v>
      </c>
      <c r="R2051" s="13" t="s">
        <v>62</v>
      </c>
      <c r="S2051" s="13" t="s">
        <v>49</v>
      </c>
      <c r="T2051" s="13" t="s">
        <v>78</v>
      </c>
      <c r="U2051" s="13" t="s">
        <v>79</v>
      </c>
      <c r="V2051" s="13" t="s">
        <v>131</v>
      </c>
      <c r="W2051" s="13" t="s">
        <v>109</v>
      </c>
      <c r="X2051" s="135">
        <v>11000000</v>
      </c>
      <c r="Y2051" s="157" t="str">
        <f t="shared" si="602"/>
        <v>1</v>
      </c>
      <c r="Z2051" s="18">
        <f t="shared" si="601"/>
        <v>11000000</v>
      </c>
      <c r="AA2051" s="13">
        <v>6.2799999999999995E-2</v>
      </c>
      <c r="AB2051" s="21">
        <f t="shared" si="603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604"/>
        <v>44014086.982070789</v>
      </c>
      <c r="AJ2051" s="19">
        <f t="shared" si="605"/>
        <v>6419974.0221889298</v>
      </c>
      <c r="AK2051" s="20">
        <f t="shared" si="594"/>
        <v>0.14586180158193709</v>
      </c>
      <c r="AL2051" s="17"/>
      <c r="AM2051" s="17"/>
      <c r="AN2051" s="17"/>
      <c r="AO2051" s="17"/>
      <c r="AP2051" s="28" t="str">
        <f t="shared" si="595"/>
        <v>20225</v>
      </c>
      <c r="AQ2051" s="28" t="str">
        <f t="shared" si="596"/>
        <v>20225JPY</v>
      </c>
      <c r="AR2051" s="206" t="str">
        <f t="shared" si="597"/>
        <v>YAMAHA_Mounter</v>
      </c>
      <c r="AS2051" s="22">
        <f t="shared" si="598"/>
        <v>3</v>
      </c>
      <c r="AT2051" s="24" t="str">
        <f t="shared" si="599"/>
        <v>0-3 months</v>
      </c>
      <c r="AU2051" s="22" t="s">
        <v>3746</v>
      </c>
    </row>
    <row r="2052" spans="1:47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54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2165</v>
      </c>
      <c r="K2052" s="155" t="s">
        <v>1590</v>
      </c>
      <c r="L2052" s="17" t="s">
        <v>67</v>
      </c>
      <c r="M2052" s="13" t="s">
        <v>60</v>
      </c>
      <c r="N2052" s="13">
        <v>1</v>
      </c>
      <c r="O2052" s="13"/>
      <c r="P2052" s="33" t="str">
        <f t="shared" si="591"/>
        <v>MAIN UNIT</v>
      </c>
      <c r="Q2052" s="13" t="s">
        <v>61</v>
      </c>
      <c r="R2052" s="13" t="s">
        <v>62</v>
      </c>
      <c r="S2052" s="13" t="s">
        <v>49</v>
      </c>
      <c r="T2052" s="13" t="s">
        <v>78</v>
      </c>
      <c r="U2052" s="13" t="s">
        <v>79</v>
      </c>
      <c r="V2052" s="13" t="s">
        <v>131</v>
      </c>
      <c r="W2052" s="13" t="s">
        <v>109</v>
      </c>
      <c r="X2052" s="135">
        <v>11000000</v>
      </c>
      <c r="Y2052" s="157" t="str">
        <f t="shared" si="602"/>
        <v>1</v>
      </c>
      <c r="Z2052" s="18">
        <f t="shared" si="601"/>
        <v>11000000</v>
      </c>
      <c r="AA2052" s="13">
        <v>6.2799999999999995E-2</v>
      </c>
      <c r="AB2052" s="21">
        <f t="shared" si="603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604"/>
        <v>44014086.982070789</v>
      </c>
      <c r="AJ2052" s="19">
        <f t="shared" si="605"/>
        <v>6419974.0221889298</v>
      </c>
      <c r="AK2052" s="20">
        <f t="shared" si="594"/>
        <v>0.14586180158193709</v>
      </c>
      <c r="AL2052" s="17"/>
      <c r="AM2052" s="17"/>
      <c r="AN2052" s="17"/>
      <c r="AO2052" s="17"/>
      <c r="AP2052" s="28" t="str">
        <f t="shared" si="595"/>
        <v>20225</v>
      </c>
      <c r="AQ2052" s="28" t="str">
        <f t="shared" si="596"/>
        <v>20225JPY</v>
      </c>
      <c r="AR2052" s="206" t="str">
        <f t="shared" si="597"/>
        <v>YAMAHA_Mounter</v>
      </c>
      <c r="AS2052" s="22">
        <f t="shared" si="598"/>
        <v>3</v>
      </c>
      <c r="AT2052" s="24" t="str">
        <f t="shared" si="599"/>
        <v>0-3 months</v>
      </c>
      <c r="AU2052" s="22" t="s">
        <v>3746</v>
      </c>
    </row>
    <row r="2053" spans="1:47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54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2165</v>
      </c>
      <c r="K2053" s="155" t="s">
        <v>1590</v>
      </c>
      <c r="L2053" s="17" t="s">
        <v>92</v>
      </c>
      <c r="M2053" s="13" t="s">
        <v>60</v>
      </c>
      <c r="N2053" s="13">
        <v>1</v>
      </c>
      <c r="O2053" s="13"/>
      <c r="P2053" s="33" t="str">
        <f t="shared" si="591"/>
        <v>MAIN UNIT</v>
      </c>
      <c r="Q2053" s="13" t="s">
        <v>61</v>
      </c>
      <c r="R2053" s="13" t="s">
        <v>62</v>
      </c>
      <c r="S2053" s="13" t="s">
        <v>49</v>
      </c>
      <c r="T2053" s="13" t="s">
        <v>78</v>
      </c>
      <c r="U2053" s="13" t="s">
        <v>79</v>
      </c>
      <c r="V2053" s="13" t="s">
        <v>131</v>
      </c>
      <c r="W2053" s="13" t="s">
        <v>109</v>
      </c>
      <c r="X2053" s="135">
        <v>16000000</v>
      </c>
      <c r="Y2053" s="157" t="str">
        <f t="shared" si="602"/>
        <v>1</v>
      </c>
      <c r="Z2053" s="18">
        <f t="shared" si="601"/>
        <v>16000000</v>
      </c>
      <c r="AA2053" s="13">
        <v>6.25E-2</v>
      </c>
      <c r="AB2053" s="21">
        <f t="shared" si="603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604"/>
        <v>35682787.057522126</v>
      </c>
      <c r="AJ2053" s="19">
        <f t="shared" si="605"/>
        <v>5833368.3789623892</v>
      </c>
      <c r="AK2053" s="20">
        <f t="shared" si="594"/>
        <v>0.16347849649632912</v>
      </c>
      <c r="AL2053" s="17"/>
      <c r="AM2053" s="17"/>
      <c r="AN2053" s="17"/>
      <c r="AO2053" s="17"/>
      <c r="AP2053" s="28" t="str">
        <f t="shared" si="595"/>
        <v>20226</v>
      </c>
      <c r="AQ2053" s="28" t="str">
        <f t="shared" si="596"/>
        <v>20226JPY</v>
      </c>
      <c r="AR2053" s="206" t="str">
        <f t="shared" si="597"/>
        <v>YAMAHA_Mounter</v>
      </c>
      <c r="AS2053" s="22">
        <f t="shared" si="598"/>
        <v>4</v>
      </c>
      <c r="AT2053" s="24" t="str">
        <f t="shared" si="599"/>
        <v>4-6 months</v>
      </c>
      <c r="AU2053" s="22" t="s">
        <v>3746</v>
      </c>
    </row>
    <row r="2054" spans="1:47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54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2165</v>
      </c>
      <c r="K2054" s="155" t="s">
        <v>1590</v>
      </c>
      <c r="L2054" s="17" t="s">
        <v>67</v>
      </c>
      <c r="M2054" s="13" t="s">
        <v>60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61</v>
      </c>
      <c r="R2054" s="13" t="s">
        <v>62</v>
      </c>
      <c r="S2054" s="13" t="s">
        <v>49</v>
      </c>
      <c r="T2054" s="13" t="s">
        <v>78</v>
      </c>
      <c r="U2054" s="13" t="s">
        <v>79</v>
      </c>
      <c r="V2054" s="13" t="s">
        <v>131</v>
      </c>
      <c r="W2054" s="13" t="s">
        <v>109</v>
      </c>
      <c r="X2054" s="135">
        <v>11000000</v>
      </c>
      <c r="Y2054" s="157" t="str">
        <f t="shared" si="602"/>
        <v>1</v>
      </c>
      <c r="Z2054" s="18">
        <f t="shared" si="601"/>
        <v>11000000</v>
      </c>
      <c r="AA2054" s="13">
        <v>6.25E-2</v>
      </c>
      <c r="AB2054" s="21">
        <f t="shared" si="603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si="604"/>
        <v>35682787.057522126</v>
      </c>
      <c r="AJ2054" s="19">
        <f t="shared" si="605"/>
        <v>5833368.3789623892</v>
      </c>
      <c r="AK2054" s="20">
        <f t="shared" ref="AK2054:AK2117" si="612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3">IF(F2054="","",F2054&amp;G2054)</f>
        <v>20226</v>
      </c>
      <c r="AQ2054" s="28" t="str">
        <f t="shared" ref="AQ2054:AQ2117" si="614">IF(W2054="","",F2054&amp;G2054&amp;W2054)</f>
        <v>20226JPY</v>
      </c>
      <c r="AR2054" s="206" t="str">
        <f t="shared" ref="AR2054:AR2117" si="615">IFERROR(IF(AND(M2054="YAMAHA", R2054="C28"), "YAMAHA_Non_Mounter", IF(AND(M2054="YAMAHA", R2054="C49"), "YAMAHA_Mounter", M2054)),"")</f>
        <v>YAMAHA_Mounter</v>
      </c>
      <c r="AS2054" s="22">
        <f t="shared" ref="AS2054:AS2117" si="616">IFERROR(IF(OR(G2054="TBA", G2054=""), "", DATEDIF(DATE(B2054, C2054, 1), DATE(F2054, G2054, 1), "M")),"")</f>
        <v>4</v>
      </c>
      <c r="AT2054" s="24" t="str">
        <f t="shared" ref="AT2054:AT2117" si="617">IF(ISNUMBER(AS2054), IF(AS2054&gt;=0, IF(AS2054&lt;=3, "0-3 months", IF(AS2054&lt;=6, "4-6 months", "&gt; 6 months"))), "")</f>
        <v>4-6 months</v>
      </c>
      <c r="AU2054" s="22" t="s">
        <v>3746</v>
      </c>
    </row>
    <row r="2055" spans="1:47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54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2231</v>
      </c>
      <c r="K2055" s="155" t="s">
        <v>1590</v>
      </c>
      <c r="L2055" s="17" t="s">
        <v>92</v>
      </c>
      <c r="M2055" s="13" t="s">
        <v>60</v>
      </c>
      <c r="N2055" s="13">
        <v>1</v>
      </c>
      <c r="O2055" s="13"/>
      <c r="P2055" s="33" t="str">
        <f t="shared" si="609"/>
        <v>MAIN UNIT</v>
      </c>
      <c r="Q2055" s="13" t="s">
        <v>61</v>
      </c>
      <c r="R2055" s="13" t="s">
        <v>62</v>
      </c>
      <c r="S2055" s="13" t="s">
        <v>49</v>
      </c>
      <c r="T2055" s="13" t="s">
        <v>78</v>
      </c>
      <c r="U2055" s="13" t="s">
        <v>79</v>
      </c>
      <c r="V2055" s="13" t="s">
        <v>121</v>
      </c>
      <c r="W2055" s="13" t="s">
        <v>64</v>
      </c>
      <c r="X2055" s="135">
        <v>762233</v>
      </c>
      <c r="Y2055" s="157" t="str">
        <f t="shared" si="602"/>
        <v>1.13</v>
      </c>
      <c r="Z2055" s="18">
        <f t="shared" si="601"/>
        <v>762233</v>
      </c>
      <c r="AA2055" s="13">
        <v>1.17</v>
      </c>
      <c r="AB2055" s="21">
        <f t="shared" si="603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04"/>
        <v>36480247.665929198</v>
      </c>
      <c r="AJ2055" s="19">
        <f t="shared" si="605"/>
        <v>5330996.6372757526</v>
      </c>
      <c r="AK2055" s="20">
        <f t="shared" si="612"/>
        <v>0.14613378412599562</v>
      </c>
      <c r="AL2055" s="17"/>
      <c r="AM2055" s="17"/>
      <c r="AN2055" s="17"/>
      <c r="AO2055" s="17"/>
      <c r="AP2055" s="28" t="str">
        <f t="shared" si="613"/>
        <v>20227</v>
      </c>
      <c r="AQ2055" s="28" t="str">
        <f t="shared" si="614"/>
        <v>20227RMB</v>
      </c>
      <c r="AR2055" s="206" t="str">
        <f t="shared" si="615"/>
        <v>YAMAHA_Mounter</v>
      </c>
      <c r="AS2055" s="22">
        <f t="shared" si="616"/>
        <v>1</v>
      </c>
      <c r="AT2055" s="24" t="str">
        <f t="shared" si="617"/>
        <v>0-3 months</v>
      </c>
      <c r="AU2055" s="22" t="s">
        <v>3751</v>
      </c>
    </row>
    <row r="2056" spans="1:47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54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2231</v>
      </c>
      <c r="K2056" s="155" t="s">
        <v>1590</v>
      </c>
      <c r="L2056" s="17" t="s">
        <v>92</v>
      </c>
      <c r="M2056" s="13" t="s">
        <v>60</v>
      </c>
      <c r="N2056" s="13">
        <v>1</v>
      </c>
      <c r="O2056" s="13"/>
      <c r="P2056" s="33" t="str">
        <f t="shared" si="609"/>
        <v>MAIN UNIT</v>
      </c>
      <c r="Q2056" s="13" t="s">
        <v>61</v>
      </c>
      <c r="R2056" s="13" t="s">
        <v>62</v>
      </c>
      <c r="S2056" s="13" t="s">
        <v>49</v>
      </c>
      <c r="T2056" s="13" t="s">
        <v>78</v>
      </c>
      <c r="U2056" s="13" t="s">
        <v>79</v>
      </c>
      <c r="V2056" s="13" t="s">
        <v>121</v>
      </c>
      <c r="W2056" s="13" t="s">
        <v>64</v>
      </c>
      <c r="X2056" s="135">
        <v>762233</v>
      </c>
      <c r="Y2056" s="157" t="str">
        <f t="shared" si="602"/>
        <v>1.13</v>
      </c>
      <c r="Z2056" s="18">
        <f t="shared" si="601"/>
        <v>762233</v>
      </c>
      <c r="AA2056" s="13">
        <v>1.17</v>
      </c>
      <c r="AB2056" s="21">
        <f t="shared" si="603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04"/>
        <v>36480247.665929198</v>
      </c>
      <c r="AJ2056" s="19">
        <f t="shared" si="605"/>
        <v>5330996.6372757526</v>
      </c>
      <c r="AK2056" s="20">
        <f t="shared" si="612"/>
        <v>0.14613378412599562</v>
      </c>
      <c r="AL2056" s="17"/>
      <c r="AM2056" s="17"/>
      <c r="AN2056" s="17"/>
      <c r="AO2056" s="17"/>
      <c r="AP2056" s="28" t="str">
        <f t="shared" si="613"/>
        <v>20227</v>
      </c>
      <c r="AQ2056" s="28" t="str">
        <f t="shared" si="614"/>
        <v>20227RMB</v>
      </c>
      <c r="AR2056" s="206" t="str">
        <f t="shared" si="615"/>
        <v>YAMAHA_Mounter</v>
      </c>
      <c r="AS2056" s="22">
        <f t="shared" si="616"/>
        <v>1</v>
      </c>
      <c r="AT2056" s="24" t="str">
        <f t="shared" si="617"/>
        <v>0-3 months</v>
      </c>
      <c r="AU2056" s="22" t="s">
        <v>3751</v>
      </c>
    </row>
    <row r="2057" spans="1:47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54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2231</v>
      </c>
      <c r="K2057" s="155" t="s">
        <v>1590</v>
      </c>
      <c r="L2057" s="17" t="s">
        <v>67</v>
      </c>
      <c r="M2057" s="13" t="s">
        <v>60</v>
      </c>
      <c r="N2057" s="13">
        <v>1</v>
      </c>
      <c r="O2057" s="13"/>
      <c r="P2057" s="33" t="str">
        <f t="shared" si="609"/>
        <v>MAIN UNIT</v>
      </c>
      <c r="Q2057" s="13" t="s">
        <v>61</v>
      </c>
      <c r="R2057" s="13" t="s">
        <v>62</v>
      </c>
      <c r="S2057" s="13" t="s">
        <v>49</v>
      </c>
      <c r="T2057" s="13" t="s">
        <v>78</v>
      </c>
      <c r="U2057" s="13" t="s">
        <v>79</v>
      </c>
      <c r="V2057" s="13" t="s">
        <v>121</v>
      </c>
      <c r="W2057" s="13" t="s">
        <v>64</v>
      </c>
      <c r="X2057" s="135">
        <v>575779</v>
      </c>
      <c r="Y2057" s="157" t="str">
        <f t="shared" si="602"/>
        <v>1.13</v>
      </c>
      <c r="Z2057" s="18">
        <f t="shared" si="601"/>
        <v>575779</v>
      </c>
      <c r="AA2057" s="13">
        <v>1.17</v>
      </c>
      <c r="AB2057" s="21">
        <f t="shared" si="603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04"/>
        <v>36480247.665929198</v>
      </c>
      <c r="AJ2057" s="19">
        <f t="shared" si="605"/>
        <v>5330996.6372757526</v>
      </c>
      <c r="AK2057" s="20">
        <f t="shared" si="612"/>
        <v>0.14613378412599562</v>
      </c>
      <c r="AL2057" s="17"/>
      <c r="AM2057" s="17"/>
      <c r="AN2057" s="17"/>
      <c r="AO2057" s="17"/>
      <c r="AP2057" s="28" t="str">
        <f t="shared" si="613"/>
        <v>20227</v>
      </c>
      <c r="AQ2057" s="28" t="str">
        <f t="shared" si="614"/>
        <v>20227RMB</v>
      </c>
      <c r="AR2057" s="206" t="str">
        <f t="shared" si="615"/>
        <v>YAMAHA_Mounter</v>
      </c>
      <c r="AS2057" s="22">
        <f t="shared" si="616"/>
        <v>1</v>
      </c>
      <c r="AT2057" s="24" t="str">
        <f t="shared" si="617"/>
        <v>0-3 months</v>
      </c>
      <c r="AU2057" s="22" t="s">
        <v>3751</v>
      </c>
    </row>
    <row r="2058" spans="1:47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54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2236</v>
      </c>
      <c r="K2058" s="155" t="s">
        <v>1590</v>
      </c>
      <c r="L2058" s="17" t="s">
        <v>92</v>
      </c>
      <c r="M2058" s="13" t="s">
        <v>60</v>
      </c>
      <c r="N2058" s="13">
        <v>1</v>
      </c>
      <c r="O2058" s="13"/>
      <c r="P2058" s="33" t="str">
        <f t="shared" si="609"/>
        <v>MAIN UNIT</v>
      </c>
      <c r="Q2058" s="13" t="s">
        <v>61</v>
      </c>
      <c r="R2058" s="13" t="s">
        <v>62</v>
      </c>
      <c r="S2058" s="13" t="s">
        <v>49</v>
      </c>
      <c r="T2058" s="13" t="s">
        <v>78</v>
      </c>
      <c r="U2058" s="13" t="s">
        <v>79</v>
      </c>
      <c r="V2058" s="13" t="s">
        <v>121</v>
      </c>
      <c r="W2058" s="13" t="s">
        <v>109</v>
      </c>
      <c r="X2058" s="135">
        <v>17000000</v>
      </c>
      <c r="Y2058" s="157" t="str">
        <f t="shared" si="602"/>
        <v>1</v>
      </c>
      <c r="Z2058" s="18">
        <f t="shared" ref="Z2058:Z2121" si="618">IF(X2058="","",X2058*MAX(O2058,N2058))</f>
        <v>17000000</v>
      </c>
      <c r="AA2058" s="13">
        <v>5.8700000000000002E-2</v>
      </c>
      <c r="AB2058" s="21">
        <f t="shared" si="603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04"/>
        <v>36480247.665929198</v>
      </c>
      <c r="AJ2058" s="19">
        <f t="shared" si="605"/>
        <v>5330996.6372757526</v>
      </c>
      <c r="AK2058" s="20">
        <f t="shared" si="612"/>
        <v>0.14613378412599562</v>
      </c>
      <c r="AL2058" s="17"/>
      <c r="AM2058" s="17"/>
      <c r="AN2058" s="17"/>
      <c r="AO2058" s="17"/>
      <c r="AP2058" s="28" t="str">
        <f t="shared" si="613"/>
        <v>20227</v>
      </c>
      <c r="AQ2058" s="28" t="str">
        <f t="shared" si="614"/>
        <v>20227JPY</v>
      </c>
      <c r="AR2058" s="206" t="str">
        <f t="shared" si="615"/>
        <v>YAMAHA_Mounter</v>
      </c>
      <c r="AS2058" s="22">
        <f t="shared" si="616"/>
        <v>0</v>
      </c>
      <c r="AT2058" s="24" t="str">
        <f t="shared" si="617"/>
        <v>0-3 months</v>
      </c>
      <c r="AU2058" s="22" t="s">
        <v>3240</v>
      </c>
    </row>
    <row r="2059" spans="1:47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54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2236</v>
      </c>
      <c r="K2059" s="155" t="s">
        <v>1590</v>
      </c>
      <c r="L2059" s="17" t="s">
        <v>92</v>
      </c>
      <c r="M2059" s="13" t="s">
        <v>60</v>
      </c>
      <c r="N2059" s="13">
        <v>1</v>
      </c>
      <c r="O2059" s="13"/>
      <c r="P2059" s="33" t="str">
        <f t="shared" si="609"/>
        <v>MAIN UNIT</v>
      </c>
      <c r="Q2059" s="13" t="s">
        <v>61</v>
      </c>
      <c r="R2059" s="13" t="s">
        <v>62</v>
      </c>
      <c r="S2059" s="13" t="s">
        <v>49</v>
      </c>
      <c r="T2059" s="13" t="s">
        <v>78</v>
      </c>
      <c r="U2059" s="13" t="s">
        <v>79</v>
      </c>
      <c r="V2059" s="13" t="s">
        <v>121</v>
      </c>
      <c r="W2059" s="13" t="s">
        <v>109</v>
      </c>
      <c r="X2059" s="135">
        <v>17000000</v>
      </c>
      <c r="Y2059" s="157" t="str">
        <f t="shared" si="602"/>
        <v>1</v>
      </c>
      <c r="Z2059" s="18">
        <f t="shared" si="618"/>
        <v>17000000</v>
      </c>
      <c r="AA2059" s="13">
        <v>5.8700000000000002E-2</v>
      </c>
      <c r="AB2059" s="21">
        <f t="shared" si="603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04"/>
        <v>36480247.665929198</v>
      </c>
      <c r="AJ2059" s="19">
        <f t="shared" si="605"/>
        <v>5330996.6372757526</v>
      </c>
      <c r="AK2059" s="20">
        <f t="shared" si="612"/>
        <v>0.14613378412599562</v>
      </c>
      <c r="AL2059" s="17"/>
      <c r="AM2059" s="17"/>
      <c r="AN2059" s="17"/>
      <c r="AO2059" s="17"/>
      <c r="AP2059" s="28" t="str">
        <f t="shared" si="613"/>
        <v>20227</v>
      </c>
      <c r="AQ2059" s="28" t="str">
        <f t="shared" si="614"/>
        <v>20227JPY</v>
      </c>
      <c r="AR2059" s="206" t="str">
        <f t="shared" si="615"/>
        <v>YAMAHA_Mounter</v>
      </c>
      <c r="AS2059" s="22">
        <f t="shared" si="616"/>
        <v>0</v>
      </c>
      <c r="AT2059" s="24" t="str">
        <f t="shared" si="617"/>
        <v>0-3 months</v>
      </c>
      <c r="AU2059" s="22" t="s">
        <v>3240</v>
      </c>
    </row>
    <row r="2060" spans="1:47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54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2236</v>
      </c>
      <c r="K2060" s="155" t="s">
        <v>1590</v>
      </c>
      <c r="L2060" s="17" t="s">
        <v>92</v>
      </c>
      <c r="M2060" s="13" t="s">
        <v>60</v>
      </c>
      <c r="N2060" s="13">
        <v>1</v>
      </c>
      <c r="O2060" s="13"/>
      <c r="P2060" s="33" t="str">
        <f t="shared" si="609"/>
        <v>MAIN UNIT</v>
      </c>
      <c r="Q2060" s="13" t="s">
        <v>61</v>
      </c>
      <c r="R2060" s="13" t="s">
        <v>62</v>
      </c>
      <c r="S2060" s="13" t="s">
        <v>49</v>
      </c>
      <c r="T2060" s="13" t="s">
        <v>78</v>
      </c>
      <c r="U2060" s="13" t="s">
        <v>79</v>
      </c>
      <c r="V2060" s="13" t="s">
        <v>121</v>
      </c>
      <c r="W2060" s="13" t="s">
        <v>109</v>
      </c>
      <c r="X2060" s="135">
        <v>17000000</v>
      </c>
      <c r="Y2060" s="157" t="str">
        <f t="shared" si="602"/>
        <v>1</v>
      </c>
      <c r="Z2060" s="18">
        <f t="shared" si="618"/>
        <v>17000000</v>
      </c>
      <c r="AA2060" s="13">
        <v>5.8700000000000002E-2</v>
      </c>
      <c r="AB2060" s="21">
        <f t="shared" si="603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04"/>
        <v>36480247.665929198</v>
      </c>
      <c r="AJ2060" s="19">
        <f t="shared" si="605"/>
        <v>5330996.6372757526</v>
      </c>
      <c r="AK2060" s="20">
        <f t="shared" si="612"/>
        <v>0.14613378412599562</v>
      </c>
      <c r="AL2060" s="17"/>
      <c r="AM2060" s="17"/>
      <c r="AN2060" s="17"/>
      <c r="AO2060" s="17"/>
      <c r="AP2060" s="28" t="str">
        <f t="shared" si="613"/>
        <v>20227</v>
      </c>
      <c r="AQ2060" s="28" t="str">
        <f t="shared" si="614"/>
        <v>20227JPY</v>
      </c>
      <c r="AR2060" s="206" t="str">
        <f t="shared" si="615"/>
        <v>YAMAHA_Mounter</v>
      </c>
      <c r="AS2060" s="22">
        <f t="shared" si="616"/>
        <v>0</v>
      </c>
      <c r="AT2060" s="24" t="str">
        <f t="shared" si="617"/>
        <v>0-3 months</v>
      </c>
      <c r="AU2060" s="22" t="s">
        <v>3240</v>
      </c>
    </row>
    <row r="2061" spans="1:47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54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2236</v>
      </c>
      <c r="K2061" s="155" t="s">
        <v>1590</v>
      </c>
      <c r="L2061" s="17" t="s">
        <v>67</v>
      </c>
      <c r="M2061" s="13" t="s">
        <v>60</v>
      </c>
      <c r="N2061" s="13">
        <v>1</v>
      </c>
      <c r="O2061" s="13"/>
      <c r="P2061" s="33" t="str">
        <f t="shared" si="609"/>
        <v>MAIN UNIT</v>
      </c>
      <c r="Q2061" s="13" t="s">
        <v>61</v>
      </c>
      <c r="R2061" s="13" t="s">
        <v>62</v>
      </c>
      <c r="S2061" s="13" t="s">
        <v>49</v>
      </c>
      <c r="T2061" s="13" t="s">
        <v>78</v>
      </c>
      <c r="U2061" s="13" t="s">
        <v>79</v>
      </c>
      <c r="V2061" s="13" t="s">
        <v>121</v>
      </c>
      <c r="W2061" s="13" t="s">
        <v>109</v>
      </c>
      <c r="X2061" s="135">
        <v>12014500</v>
      </c>
      <c r="Y2061" s="157" t="str">
        <f t="shared" si="602"/>
        <v>1</v>
      </c>
      <c r="Z2061" s="18">
        <f t="shared" si="618"/>
        <v>12014500</v>
      </c>
      <c r="AA2061" s="13">
        <v>5.8700000000000002E-2</v>
      </c>
      <c r="AB2061" s="21">
        <f t="shared" si="603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04"/>
        <v>36480247.665929198</v>
      </c>
      <c r="AJ2061" s="19">
        <f t="shared" si="605"/>
        <v>5330996.6372757526</v>
      </c>
      <c r="AK2061" s="20">
        <f t="shared" si="612"/>
        <v>0.14613378412599562</v>
      </c>
      <c r="AL2061" s="17"/>
      <c r="AM2061" s="17"/>
      <c r="AN2061" s="17"/>
      <c r="AO2061" s="17"/>
      <c r="AP2061" s="28" t="str">
        <f t="shared" si="613"/>
        <v>20227</v>
      </c>
      <c r="AQ2061" s="28" t="str">
        <f t="shared" si="614"/>
        <v>20227JPY</v>
      </c>
      <c r="AR2061" s="206" t="str">
        <f t="shared" si="615"/>
        <v>YAMAHA_Mounter</v>
      </c>
      <c r="AS2061" s="22">
        <f t="shared" si="616"/>
        <v>0</v>
      </c>
      <c r="AT2061" s="24" t="str">
        <f t="shared" si="617"/>
        <v>0-3 months</v>
      </c>
      <c r="AU2061" s="22" t="s">
        <v>3240</v>
      </c>
    </row>
    <row r="2062" spans="1:47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54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2236</v>
      </c>
      <c r="K2062" s="155" t="s">
        <v>1590</v>
      </c>
      <c r="L2062" s="17" t="s">
        <v>67</v>
      </c>
      <c r="M2062" s="13" t="s">
        <v>60</v>
      </c>
      <c r="N2062" s="13">
        <v>1</v>
      </c>
      <c r="O2062" s="13"/>
      <c r="P2062" s="33" t="str">
        <f t="shared" si="609"/>
        <v>MAIN UNIT</v>
      </c>
      <c r="Q2062" s="13" t="s">
        <v>61</v>
      </c>
      <c r="R2062" s="13" t="s">
        <v>62</v>
      </c>
      <c r="S2062" s="13" t="s">
        <v>49</v>
      </c>
      <c r="T2062" s="13" t="s">
        <v>78</v>
      </c>
      <c r="U2062" s="13" t="s">
        <v>79</v>
      </c>
      <c r="V2062" s="13" t="s">
        <v>121</v>
      </c>
      <c r="W2062" s="13" t="s">
        <v>109</v>
      </c>
      <c r="X2062" s="135">
        <v>12014500</v>
      </c>
      <c r="Y2062" s="157" t="str">
        <f t="shared" si="602"/>
        <v>1</v>
      </c>
      <c r="Z2062" s="18">
        <f t="shared" si="618"/>
        <v>12014500</v>
      </c>
      <c r="AA2062" s="13">
        <v>5.8700000000000002E-2</v>
      </c>
      <c r="AB2062" s="21">
        <f t="shared" si="603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04"/>
        <v>36480247.665929198</v>
      </c>
      <c r="AJ2062" s="19">
        <f t="shared" si="605"/>
        <v>5330996.6372757526</v>
      </c>
      <c r="AK2062" s="20">
        <f t="shared" si="612"/>
        <v>0.14613378412599562</v>
      </c>
      <c r="AL2062" s="17"/>
      <c r="AM2062" s="17"/>
      <c r="AN2062" s="17"/>
      <c r="AO2062" s="17"/>
      <c r="AP2062" s="28" t="str">
        <f t="shared" si="613"/>
        <v>20227</v>
      </c>
      <c r="AQ2062" s="28" t="str">
        <f t="shared" si="614"/>
        <v>20227JPY</v>
      </c>
      <c r="AR2062" s="206" t="str">
        <f t="shared" si="615"/>
        <v>YAMAHA_Mounter</v>
      </c>
      <c r="AS2062" s="22">
        <f t="shared" si="616"/>
        <v>0</v>
      </c>
      <c r="AT2062" s="24" t="str">
        <f t="shared" si="617"/>
        <v>0-3 months</v>
      </c>
      <c r="AU2062" s="22" t="s">
        <v>3240</v>
      </c>
    </row>
    <row r="2063" spans="1:47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54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2236</v>
      </c>
      <c r="K2063" s="155" t="s">
        <v>1590</v>
      </c>
      <c r="L2063" s="17" t="s">
        <v>67</v>
      </c>
      <c r="M2063" s="13" t="s">
        <v>60</v>
      </c>
      <c r="N2063" s="13">
        <v>1</v>
      </c>
      <c r="O2063" s="13"/>
      <c r="P2063" s="33" t="str">
        <f t="shared" si="609"/>
        <v>MAIN UNIT</v>
      </c>
      <c r="Q2063" s="13" t="s">
        <v>61</v>
      </c>
      <c r="R2063" s="13" t="s">
        <v>62</v>
      </c>
      <c r="S2063" s="13" t="s">
        <v>49</v>
      </c>
      <c r="T2063" s="13" t="s">
        <v>78</v>
      </c>
      <c r="U2063" s="13" t="s">
        <v>79</v>
      </c>
      <c r="V2063" s="13" t="s">
        <v>121</v>
      </c>
      <c r="W2063" s="13" t="s">
        <v>109</v>
      </c>
      <c r="X2063" s="135">
        <v>12014500</v>
      </c>
      <c r="Y2063" s="157" t="str">
        <f t="shared" ref="Y2063:Y2081" si="619">IF(W2063="RMB","1.13", "1")</f>
        <v>1</v>
      </c>
      <c r="Z2063" s="18">
        <f t="shared" si="618"/>
        <v>12014500</v>
      </c>
      <c r="AA2063" s="13">
        <v>5.8700000000000002E-2</v>
      </c>
      <c r="AB2063" s="21">
        <f t="shared" si="603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04"/>
        <v>36480247.665929198</v>
      </c>
      <c r="AJ2063" s="19">
        <f t="shared" si="605"/>
        <v>5330996.6372757526</v>
      </c>
      <c r="AK2063" s="20">
        <f t="shared" si="612"/>
        <v>0.14613378412599562</v>
      </c>
      <c r="AL2063" s="17"/>
      <c r="AM2063" s="17"/>
      <c r="AN2063" s="17"/>
      <c r="AO2063" s="17"/>
      <c r="AP2063" s="28" t="str">
        <f t="shared" si="613"/>
        <v>20227</v>
      </c>
      <c r="AQ2063" s="28" t="str">
        <f t="shared" si="614"/>
        <v>20227JPY</v>
      </c>
      <c r="AR2063" s="206" t="str">
        <f t="shared" si="615"/>
        <v>YAMAHA_Mounter</v>
      </c>
      <c r="AS2063" s="22">
        <f t="shared" si="616"/>
        <v>0</v>
      </c>
      <c r="AT2063" s="24" t="str">
        <f t="shared" si="617"/>
        <v>0-3 months</v>
      </c>
      <c r="AU2063" s="22" t="s">
        <v>3240</v>
      </c>
    </row>
    <row r="2064" spans="1:47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54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2271</v>
      </c>
      <c r="K2064" s="155" t="s">
        <v>1590</v>
      </c>
      <c r="L2064" s="17" t="s">
        <v>92</v>
      </c>
      <c r="M2064" s="13" t="s">
        <v>60</v>
      </c>
      <c r="N2064" s="13">
        <v>1</v>
      </c>
      <c r="O2064" s="13"/>
      <c r="P2064" s="33" t="str">
        <f t="shared" si="609"/>
        <v>MAIN UNIT</v>
      </c>
      <c r="Q2064" s="13" t="s">
        <v>61</v>
      </c>
      <c r="R2064" s="13" t="s">
        <v>62</v>
      </c>
      <c r="S2064" s="13" t="s">
        <v>49</v>
      </c>
      <c r="T2064" s="13" t="s">
        <v>78</v>
      </c>
      <c r="U2064" s="13" t="s">
        <v>79</v>
      </c>
      <c r="V2064" s="13" t="s">
        <v>121</v>
      </c>
      <c r="W2064" s="13" t="s">
        <v>109</v>
      </c>
      <c r="X2064" s="135">
        <v>17000000</v>
      </c>
      <c r="Y2064" s="157" t="str">
        <f t="shared" si="619"/>
        <v>1</v>
      </c>
      <c r="Z2064" s="18">
        <f t="shared" si="618"/>
        <v>17000000</v>
      </c>
      <c r="AA2064" s="13">
        <v>5.7799999999999997E-2</v>
      </c>
      <c r="AB2064" s="21">
        <f t="shared" si="603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04"/>
        <v>15948576.102654871</v>
      </c>
      <c r="AJ2064" s="19">
        <f t="shared" si="605"/>
        <v>2739848.7004853105</v>
      </c>
      <c r="AK2064" s="20">
        <f t="shared" si="612"/>
        <v>0.17179268436567344</v>
      </c>
      <c r="AL2064" s="17"/>
      <c r="AM2064" s="17"/>
      <c r="AN2064" s="17"/>
      <c r="AO2064" s="17"/>
      <c r="AP2064" s="28" t="str">
        <f t="shared" si="613"/>
        <v>20229</v>
      </c>
      <c r="AQ2064" s="28" t="str">
        <f t="shared" si="614"/>
        <v>20229JPY</v>
      </c>
      <c r="AR2064" s="206" t="str">
        <f t="shared" si="615"/>
        <v>YAMAHA_Mounter</v>
      </c>
      <c r="AS2064" s="22">
        <f t="shared" si="616"/>
        <v>2</v>
      </c>
      <c r="AT2064" s="24" t="str">
        <f t="shared" si="617"/>
        <v>0-3 months</v>
      </c>
      <c r="AU2064" s="22" t="s">
        <v>3746</v>
      </c>
    </row>
    <row r="2065" spans="1:47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54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2271</v>
      </c>
      <c r="K2065" s="155" t="s">
        <v>1590</v>
      </c>
      <c r="L2065" s="17" t="s">
        <v>67</v>
      </c>
      <c r="M2065" s="13" t="s">
        <v>60</v>
      </c>
      <c r="N2065" s="13">
        <v>1</v>
      </c>
      <c r="O2065" s="13"/>
      <c r="P2065" s="33" t="str">
        <f t="shared" si="609"/>
        <v>MAIN UNIT</v>
      </c>
      <c r="Q2065" s="13" t="s">
        <v>61</v>
      </c>
      <c r="R2065" s="13" t="s">
        <v>62</v>
      </c>
      <c r="S2065" s="13" t="s">
        <v>49</v>
      </c>
      <c r="T2065" s="13" t="s">
        <v>78</v>
      </c>
      <c r="U2065" s="13" t="s">
        <v>79</v>
      </c>
      <c r="V2065" s="13" t="s">
        <v>121</v>
      </c>
      <c r="W2065" s="13" t="s">
        <v>109</v>
      </c>
      <c r="X2065" s="135">
        <v>12294000</v>
      </c>
      <c r="Y2065" s="157" t="str">
        <f t="shared" si="619"/>
        <v>1</v>
      </c>
      <c r="Z2065" s="18">
        <f t="shared" si="618"/>
        <v>12294000</v>
      </c>
      <c r="AA2065" s="13">
        <v>5.7799999999999997E-2</v>
      </c>
      <c r="AB2065" s="21">
        <f t="shared" si="603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04"/>
        <v>15948576.102654871</v>
      </c>
      <c r="AJ2065" s="19">
        <f t="shared" si="605"/>
        <v>2739848.7004853105</v>
      </c>
      <c r="AK2065" s="20">
        <f t="shared" si="612"/>
        <v>0.17179268436567344</v>
      </c>
      <c r="AL2065" s="17"/>
      <c r="AM2065" s="17"/>
      <c r="AN2065" s="17"/>
      <c r="AO2065" s="17"/>
      <c r="AP2065" s="28" t="str">
        <f t="shared" si="613"/>
        <v>20229</v>
      </c>
      <c r="AQ2065" s="28" t="str">
        <f t="shared" si="614"/>
        <v>20229JPY</v>
      </c>
      <c r="AR2065" s="206" t="str">
        <f t="shared" si="615"/>
        <v>YAMAHA_Mounter</v>
      </c>
      <c r="AS2065" s="22">
        <f t="shared" si="616"/>
        <v>2</v>
      </c>
      <c r="AT2065" s="24" t="str">
        <f t="shared" si="617"/>
        <v>0-3 months</v>
      </c>
      <c r="AU2065" s="22" t="s">
        <v>3746</v>
      </c>
    </row>
    <row r="2066" spans="1:47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54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2300</v>
      </c>
      <c r="K2066" s="155" t="s">
        <v>1590</v>
      </c>
      <c r="L2066" s="17" t="s">
        <v>92</v>
      </c>
      <c r="M2066" s="13" t="s">
        <v>60</v>
      </c>
      <c r="N2066" s="13">
        <v>1</v>
      </c>
      <c r="O2066" s="13"/>
      <c r="P2066" s="33" t="str">
        <f t="shared" si="609"/>
        <v>MAIN UNIT</v>
      </c>
      <c r="Q2066" s="13" t="s">
        <v>61</v>
      </c>
      <c r="R2066" s="13" t="s">
        <v>62</v>
      </c>
      <c r="S2066" s="13" t="s">
        <v>49</v>
      </c>
      <c r="T2066" s="13" t="s">
        <v>78</v>
      </c>
      <c r="U2066" s="13" t="s">
        <v>79</v>
      </c>
      <c r="V2066" s="13" t="s">
        <v>121</v>
      </c>
      <c r="W2066" s="13" t="s">
        <v>64</v>
      </c>
      <c r="X2066" s="135">
        <v>910000</v>
      </c>
      <c r="Y2066" s="157" t="str">
        <f t="shared" si="619"/>
        <v>1.13</v>
      </c>
      <c r="Z2066" s="18">
        <f t="shared" si="618"/>
        <v>910000</v>
      </c>
      <c r="AA2066" s="13">
        <v>1.1000000000000001</v>
      </c>
      <c r="AB2066" s="21">
        <f t="shared" si="603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04"/>
        <v>22717528.991150443</v>
      </c>
      <c r="AJ2066" s="19">
        <f t="shared" si="605"/>
        <v>3947747.192555753</v>
      </c>
      <c r="AK2066" s="20">
        <f t="shared" si="612"/>
        <v>0.1737753782153679</v>
      </c>
      <c r="AL2066" s="17"/>
      <c r="AM2066" s="17"/>
      <c r="AN2066" s="17"/>
      <c r="AO2066" s="17"/>
      <c r="AP2066" s="28" t="str">
        <f t="shared" si="613"/>
        <v>202210</v>
      </c>
      <c r="AQ2066" s="28" t="str">
        <f t="shared" si="614"/>
        <v>202210RMB</v>
      </c>
      <c r="AR2066" s="206" t="str">
        <f t="shared" si="615"/>
        <v>YAMAHA_Mounter</v>
      </c>
      <c r="AS2066" s="22">
        <f t="shared" si="616"/>
        <v>1</v>
      </c>
      <c r="AT2066" s="24" t="str">
        <f t="shared" si="617"/>
        <v>0-3 months</v>
      </c>
      <c r="AU2066" s="22" t="s">
        <v>3240</v>
      </c>
    </row>
    <row r="2067" spans="1:47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54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2300</v>
      </c>
      <c r="K2067" s="155" t="s">
        <v>1590</v>
      </c>
      <c r="L2067" s="17" t="s">
        <v>67</v>
      </c>
      <c r="M2067" s="13" t="s">
        <v>60</v>
      </c>
      <c r="N2067" s="13">
        <v>1</v>
      </c>
      <c r="O2067" s="13"/>
      <c r="P2067" s="33" t="str">
        <f t="shared" si="609"/>
        <v>MAIN UNIT</v>
      </c>
      <c r="Q2067" s="13" t="s">
        <v>61</v>
      </c>
      <c r="R2067" s="13" t="s">
        <v>62</v>
      </c>
      <c r="S2067" s="13" t="s">
        <v>49</v>
      </c>
      <c r="T2067" s="13" t="s">
        <v>78</v>
      </c>
      <c r="U2067" s="13" t="s">
        <v>79</v>
      </c>
      <c r="V2067" s="13" t="s">
        <v>121</v>
      </c>
      <c r="W2067" s="13" t="s">
        <v>64</v>
      </c>
      <c r="X2067" s="135">
        <v>700000</v>
      </c>
      <c r="Y2067" s="157" t="str">
        <f t="shared" si="619"/>
        <v>1.13</v>
      </c>
      <c r="Z2067" s="18">
        <f t="shared" si="618"/>
        <v>700000</v>
      </c>
      <c r="AA2067" s="13">
        <v>1.1000000000000001</v>
      </c>
      <c r="AB2067" s="21">
        <f t="shared" si="603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04"/>
        <v>22717528.991150443</v>
      </c>
      <c r="AJ2067" s="19">
        <f t="shared" si="605"/>
        <v>3947747.192555753</v>
      </c>
      <c r="AK2067" s="20">
        <f t="shared" si="612"/>
        <v>0.1737753782153679</v>
      </c>
      <c r="AL2067" s="17"/>
      <c r="AM2067" s="17"/>
      <c r="AN2067" s="17"/>
      <c r="AO2067" s="17"/>
      <c r="AP2067" s="28" t="str">
        <f t="shared" si="613"/>
        <v>202210</v>
      </c>
      <c r="AQ2067" s="28" t="str">
        <f t="shared" si="614"/>
        <v>202210RMB</v>
      </c>
      <c r="AR2067" s="206" t="str">
        <f t="shared" si="615"/>
        <v>YAMAHA_Mounter</v>
      </c>
      <c r="AS2067" s="22">
        <f t="shared" si="616"/>
        <v>1</v>
      </c>
      <c r="AT2067" s="24" t="str">
        <f t="shared" si="617"/>
        <v>0-3 months</v>
      </c>
      <c r="AU2067" s="22" t="s">
        <v>3240</v>
      </c>
    </row>
    <row r="2068" spans="1:47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54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2306</v>
      </c>
      <c r="K2068" s="155" t="s">
        <v>1590</v>
      </c>
      <c r="L2068" s="17" t="s">
        <v>92</v>
      </c>
      <c r="M2068" s="13" t="s">
        <v>60</v>
      </c>
      <c r="N2068" s="13">
        <v>1</v>
      </c>
      <c r="O2068" s="13"/>
      <c r="P2068" s="33" t="str">
        <f t="shared" si="609"/>
        <v>MAIN UNIT</v>
      </c>
      <c r="Q2068" s="13" t="s">
        <v>61</v>
      </c>
      <c r="R2068" s="13" t="s">
        <v>62</v>
      </c>
      <c r="S2068" s="13" t="s">
        <v>49</v>
      </c>
      <c r="T2068" s="13" t="s">
        <v>78</v>
      </c>
      <c r="U2068" s="13" t="s">
        <v>79</v>
      </c>
      <c r="V2068" s="13" t="s">
        <v>121</v>
      </c>
      <c r="W2068" s="13" t="s">
        <v>64</v>
      </c>
      <c r="X2068" s="135">
        <v>925000</v>
      </c>
      <c r="Y2068" s="157" t="str">
        <f t="shared" si="619"/>
        <v>1.13</v>
      </c>
      <c r="Z2068" s="18">
        <f t="shared" si="618"/>
        <v>925000</v>
      </c>
      <c r="AA2068" s="13">
        <v>1.1000000000000001</v>
      </c>
      <c r="AB2068" s="21">
        <f t="shared" si="603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04"/>
        <v>22717528.991150443</v>
      </c>
      <c r="AJ2068" s="19">
        <f t="shared" si="605"/>
        <v>3947747.192555753</v>
      </c>
      <c r="AK2068" s="20">
        <f t="shared" si="612"/>
        <v>0.1737753782153679</v>
      </c>
      <c r="AL2068" s="17"/>
      <c r="AM2068" s="17"/>
      <c r="AN2068" s="17"/>
      <c r="AO2068" s="17"/>
      <c r="AP2068" s="28" t="str">
        <f t="shared" si="613"/>
        <v>202210</v>
      </c>
      <c r="AQ2068" s="28" t="str">
        <f t="shared" si="614"/>
        <v>202210RMB</v>
      </c>
      <c r="AR2068" s="206" t="str">
        <f t="shared" si="615"/>
        <v>YAMAHA_Mounter</v>
      </c>
      <c r="AS2068" s="22">
        <f t="shared" si="616"/>
        <v>0</v>
      </c>
      <c r="AT2068" s="24" t="str">
        <f t="shared" si="617"/>
        <v>0-3 months</v>
      </c>
      <c r="AU2068" s="22" t="s">
        <v>3751</v>
      </c>
    </row>
    <row r="2069" spans="1:47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54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2306</v>
      </c>
      <c r="K2069" s="155" t="s">
        <v>1590</v>
      </c>
      <c r="L2069" s="17" t="s">
        <v>92</v>
      </c>
      <c r="M2069" s="13" t="s">
        <v>60</v>
      </c>
      <c r="N2069" s="13">
        <v>1</v>
      </c>
      <c r="O2069" s="13"/>
      <c r="P2069" s="33" t="str">
        <f t="shared" si="609"/>
        <v>MAIN UNIT</v>
      </c>
      <c r="Q2069" s="13" t="s">
        <v>61</v>
      </c>
      <c r="R2069" s="13" t="s">
        <v>62</v>
      </c>
      <c r="S2069" s="13" t="s">
        <v>49</v>
      </c>
      <c r="T2069" s="13" t="s">
        <v>78</v>
      </c>
      <c r="U2069" s="13" t="s">
        <v>79</v>
      </c>
      <c r="V2069" s="13" t="s">
        <v>121</v>
      </c>
      <c r="W2069" s="13" t="s">
        <v>64</v>
      </c>
      <c r="X2069" s="135">
        <v>925000</v>
      </c>
      <c r="Y2069" s="157" t="str">
        <f t="shared" si="619"/>
        <v>1.13</v>
      </c>
      <c r="Z2069" s="18">
        <f t="shared" si="618"/>
        <v>925000</v>
      </c>
      <c r="AA2069" s="13">
        <v>1.1000000000000001</v>
      </c>
      <c r="AB2069" s="21">
        <f t="shared" si="603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04"/>
        <v>22717528.991150443</v>
      </c>
      <c r="AJ2069" s="19">
        <f t="shared" si="605"/>
        <v>3947747.192555753</v>
      </c>
      <c r="AK2069" s="20">
        <f t="shared" si="612"/>
        <v>0.1737753782153679</v>
      </c>
      <c r="AL2069" s="17"/>
      <c r="AM2069" s="17"/>
      <c r="AN2069" s="17"/>
      <c r="AO2069" s="17"/>
      <c r="AP2069" s="28" t="str">
        <f t="shared" si="613"/>
        <v>202210</v>
      </c>
      <c r="AQ2069" s="28" t="str">
        <f t="shared" si="614"/>
        <v>202210RMB</v>
      </c>
      <c r="AR2069" s="206" t="str">
        <f t="shared" si="615"/>
        <v>YAMAHA_Mounter</v>
      </c>
      <c r="AS2069" s="22">
        <f t="shared" si="616"/>
        <v>0</v>
      </c>
      <c r="AT2069" s="24" t="str">
        <f t="shared" si="617"/>
        <v>0-3 months</v>
      </c>
      <c r="AU2069" s="22" t="s">
        <v>3751</v>
      </c>
    </row>
    <row r="2070" spans="1:47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54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2306</v>
      </c>
      <c r="K2070" s="155" t="s">
        <v>1590</v>
      </c>
      <c r="L2070" s="17" t="s">
        <v>92</v>
      </c>
      <c r="M2070" s="13" t="s">
        <v>60</v>
      </c>
      <c r="N2070" s="13">
        <v>1</v>
      </c>
      <c r="O2070" s="13"/>
      <c r="P2070" s="33" t="str">
        <f t="shared" si="609"/>
        <v>MAIN UNIT</v>
      </c>
      <c r="Q2070" s="13" t="s">
        <v>61</v>
      </c>
      <c r="R2070" s="13" t="s">
        <v>62</v>
      </c>
      <c r="S2070" s="13" t="s">
        <v>49</v>
      </c>
      <c r="T2070" s="13" t="s">
        <v>78</v>
      </c>
      <c r="U2070" s="13" t="s">
        <v>79</v>
      </c>
      <c r="V2070" s="13" t="s">
        <v>121</v>
      </c>
      <c r="W2070" s="13" t="s">
        <v>64</v>
      </c>
      <c r="X2070" s="135">
        <v>925000</v>
      </c>
      <c r="Y2070" s="157" t="str">
        <f t="shared" si="619"/>
        <v>1.13</v>
      </c>
      <c r="Z2070" s="18">
        <f t="shared" si="618"/>
        <v>925000</v>
      </c>
      <c r="AA2070" s="13">
        <v>1.1000000000000001</v>
      </c>
      <c r="AB2070" s="21">
        <f t="shared" si="603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04"/>
        <v>22717528.991150443</v>
      </c>
      <c r="AJ2070" s="19">
        <f t="shared" si="605"/>
        <v>3947747.192555753</v>
      </c>
      <c r="AK2070" s="20">
        <f t="shared" si="612"/>
        <v>0.1737753782153679</v>
      </c>
      <c r="AL2070" s="17"/>
      <c r="AM2070" s="17"/>
      <c r="AN2070" s="17"/>
      <c r="AO2070" s="17"/>
      <c r="AP2070" s="28" t="str">
        <f t="shared" si="613"/>
        <v>202210</v>
      </c>
      <c r="AQ2070" s="28" t="str">
        <f t="shared" si="614"/>
        <v>202210RMB</v>
      </c>
      <c r="AR2070" s="206" t="str">
        <f t="shared" si="615"/>
        <v>YAMAHA_Mounter</v>
      </c>
      <c r="AS2070" s="22">
        <f t="shared" si="616"/>
        <v>0</v>
      </c>
      <c r="AT2070" s="24" t="str">
        <f t="shared" si="617"/>
        <v>0-3 months</v>
      </c>
      <c r="AU2070" s="22" t="s">
        <v>3751</v>
      </c>
    </row>
    <row r="2071" spans="1:47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54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2306</v>
      </c>
      <c r="K2071" s="155" t="s">
        <v>1590</v>
      </c>
      <c r="L2071" s="17" t="s">
        <v>92</v>
      </c>
      <c r="M2071" s="13" t="s">
        <v>60</v>
      </c>
      <c r="N2071" s="13">
        <v>1</v>
      </c>
      <c r="O2071" s="13"/>
      <c r="P2071" s="33" t="str">
        <f t="shared" si="609"/>
        <v>MAIN UNIT</v>
      </c>
      <c r="Q2071" s="13" t="s">
        <v>61</v>
      </c>
      <c r="R2071" s="13" t="s">
        <v>62</v>
      </c>
      <c r="S2071" s="13" t="s">
        <v>49</v>
      </c>
      <c r="T2071" s="13" t="s">
        <v>78</v>
      </c>
      <c r="U2071" s="13" t="s">
        <v>79</v>
      </c>
      <c r="V2071" s="13" t="s">
        <v>121</v>
      </c>
      <c r="W2071" s="13" t="s">
        <v>64</v>
      </c>
      <c r="X2071" s="135">
        <v>925000</v>
      </c>
      <c r="Y2071" s="157" t="str">
        <f t="shared" si="619"/>
        <v>1.13</v>
      </c>
      <c r="Z2071" s="18">
        <f t="shared" si="618"/>
        <v>925000</v>
      </c>
      <c r="AA2071" s="13">
        <v>1.1000000000000001</v>
      </c>
      <c r="AB2071" s="21">
        <f t="shared" si="603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04"/>
        <v>22717528.991150443</v>
      </c>
      <c r="AJ2071" s="19">
        <f t="shared" si="605"/>
        <v>3947747.192555753</v>
      </c>
      <c r="AK2071" s="20">
        <f t="shared" si="612"/>
        <v>0.1737753782153679</v>
      </c>
      <c r="AL2071" s="17"/>
      <c r="AM2071" s="17"/>
      <c r="AN2071" s="17"/>
      <c r="AO2071" s="17"/>
      <c r="AP2071" s="28" t="str">
        <f t="shared" si="613"/>
        <v>202210</v>
      </c>
      <c r="AQ2071" s="28" t="str">
        <f t="shared" si="614"/>
        <v>202210RMB</v>
      </c>
      <c r="AR2071" s="206" t="str">
        <f t="shared" si="615"/>
        <v>YAMAHA_Mounter</v>
      </c>
      <c r="AS2071" s="22">
        <f t="shared" si="616"/>
        <v>0</v>
      </c>
      <c r="AT2071" s="24" t="str">
        <f t="shared" si="617"/>
        <v>0-3 months</v>
      </c>
      <c r="AU2071" s="22" t="s">
        <v>3751</v>
      </c>
    </row>
    <row r="2072" spans="1:47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54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2306</v>
      </c>
      <c r="K2072" s="155" t="s">
        <v>1590</v>
      </c>
      <c r="L2072" s="17" t="s">
        <v>67</v>
      </c>
      <c r="M2072" s="13" t="s">
        <v>60</v>
      </c>
      <c r="N2072" s="13">
        <v>1</v>
      </c>
      <c r="O2072" s="13"/>
      <c r="P2072" s="33" t="str">
        <f t="shared" si="609"/>
        <v>MAIN UNIT</v>
      </c>
      <c r="Q2072" s="13" t="s">
        <v>61</v>
      </c>
      <c r="R2072" s="13" t="s">
        <v>62</v>
      </c>
      <c r="S2072" s="13" t="s">
        <v>49</v>
      </c>
      <c r="T2072" s="13" t="s">
        <v>78</v>
      </c>
      <c r="U2072" s="13" t="s">
        <v>79</v>
      </c>
      <c r="V2072" s="13" t="s">
        <v>121</v>
      </c>
      <c r="W2072" s="13" t="s">
        <v>64</v>
      </c>
      <c r="X2072" s="135">
        <v>710800</v>
      </c>
      <c r="Y2072" s="157" t="str">
        <f t="shared" si="619"/>
        <v>1.13</v>
      </c>
      <c r="Z2072" s="18">
        <f t="shared" si="618"/>
        <v>710800</v>
      </c>
      <c r="AA2072" s="13">
        <v>1.1000000000000001</v>
      </c>
      <c r="AB2072" s="21">
        <f t="shared" si="603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04"/>
        <v>22717528.991150443</v>
      </c>
      <c r="AJ2072" s="19">
        <f t="shared" si="605"/>
        <v>3947747.192555753</v>
      </c>
      <c r="AK2072" s="20">
        <f t="shared" si="612"/>
        <v>0.1737753782153679</v>
      </c>
      <c r="AL2072" s="17"/>
      <c r="AM2072" s="17"/>
      <c r="AN2072" s="17"/>
      <c r="AO2072" s="17"/>
      <c r="AP2072" s="28" t="str">
        <f t="shared" si="613"/>
        <v>202210</v>
      </c>
      <c r="AQ2072" s="28" t="str">
        <f t="shared" si="614"/>
        <v>202210RMB</v>
      </c>
      <c r="AR2072" s="206" t="str">
        <f t="shared" si="615"/>
        <v>YAMAHA_Mounter</v>
      </c>
      <c r="AS2072" s="22">
        <f t="shared" si="616"/>
        <v>0</v>
      </c>
      <c r="AT2072" s="24" t="str">
        <f t="shared" si="617"/>
        <v>0-3 months</v>
      </c>
      <c r="AU2072" s="22" t="s">
        <v>3751</v>
      </c>
    </row>
    <row r="2073" spans="1:47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54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2306</v>
      </c>
      <c r="K2073" s="155" t="s">
        <v>1590</v>
      </c>
      <c r="L2073" s="17" t="s">
        <v>67</v>
      </c>
      <c r="M2073" s="13" t="s">
        <v>60</v>
      </c>
      <c r="N2073" s="13">
        <v>1</v>
      </c>
      <c r="O2073" s="13"/>
      <c r="P2073" s="33" t="str">
        <f t="shared" si="609"/>
        <v>MAIN UNIT</v>
      </c>
      <c r="Q2073" s="13" t="s">
        <v>61</v>
      </c>
      <c r="R2073" s="13" t="s">
        <v>62</v>
      </c>
      <c r="S2073" s="13" t="s">
        <v>49</v>
      </c>
      <c r="T2073" s="13" t="s">
        <v>78</v>
      </c>
      <c r="U2073" s="13" t="s">
        <v>79</v>
      </c>
      <c r="V2073" s="13" t="s">
        <v>121</v>
      </c>
      <c r="W2073" s="13" t="s">
        <v>64</v>
      </c>
      <c r="X2073" s="135">
        <v>710800</v>
      </c>
      <c r="Y2073" s="157" t="str">
        <f t="shared" si="619"/>
        <v>1.13</v>
      </c>
      <c r="Z2073" s="18">
        <f t="shared" si="618"/>
        <v>710800</v>
      </c>
      <c r="AA2073" s="13">
        <v>1.1000000000000001</v>
      </c>
      <c r="AB2073" s="21">
        <f t="shared" si="603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04"/>
        <v>22717528.991150443</v>
      </c>
      <c r="AJ2073" s="19">
        <f t="shared" si="605"/>
        <v>3947747.192555753</v>
      </c>
      <c r="AK2073" s="20">
        <f t="shared" si="612"/>
        <v>0.1737753782153679</v>
      </c>
      <c r="AL2073" s="17"/>
      <c r="AM2073" s="17"/>
      <c r="AN2073" s="17"/>
      <c r="AO2073" s="17"/>
      <c r="AP2073" s="28" t="str">
        <f t="shared" si="613"/>
        <v>202210</v>
      </c>
      <c r="AQ2073" s="28" t="str">
        <f t="shared" si="614"/>
        <v>202210RMB</v>
      </c>
      <c r="AR2073" s="206" t="str">
        <f t="shared" si="615"/>
        <v>YAMAHA_Mounter</v>
      </c>
      <c r="AS2073" s="22">
        <f t="shared" si="616"/>
        <v>0</v>
      </c>
      <c r="AT2073" s="24" t="str">
        <f t="shared" si="617"/>
        <v>0-3 months</v>
      </c>
      <c r="AU2073" s="22" t="s">
        <v>3751</v>
      </c>
    </row>
    <row r="2074" spans="1:47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54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2330</v>
      </c>
      <c r="K2074" s="155" t="s">
        <v>1590</v>
      </c>
      <c r="L2074" s="17" t="s">
        <v>92</v>
      </c>
      <c r="M2074" s="13" t="s">
        <v>60</v>
      </c>
      <c r="N2074" s="13">
        <v>1</v>
      </c>
      <c r="O2074" s="13"/>
      <c r="P2074" s="33" t="str">
        <f t="shared" si="609"/>
        <v>MAIN UNIT</v>
      </c>
      <c r="Q2074" s="13" t="s">
        <v>61</v>
      </c>
      <c r="R2074" s="13" t="s">
        <v>62</v>
      </c>
      <c r="S2074" s="13" t="s">
        <v>49</v>
      </c>
      <c r="T2074" s="13" t="s">
        <v>78</v>
      </c>
      <c r="U2074" s="13" t="s">
        <v>79</v>
      </c>
      <c r="V2074" s="13" t="s">
        <v>121</v>
      </c>
      <c r="W2074" s="13" t="s">
        <v>64</v>
      </c>
      <c r="X2074" s="135">
        <v>990000</v>
      </c>
      <c r="Y2074" s="157" t="str">
        <f t="shared" si="619"/>
        <v>1.13</v>
      </c>
      <c r="Z2074" s="18">
        <f t="shared" si="618"/>
        <v>990000</v>
      </c>
      <c r="AA2074" s="13">
        <v>1.08</v>
      </c>
      <c r="AB2074" s="21">
        <f t="shared" si="603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04"/>
        <v>31017966.201968137</v>
      </c>
      <c r="AJ2074" s="19">
        <f t="shared" si="605"/>
        <v>4704250.3347305888</v>
      </c>
      <c r="AK2074" s="20">
        <f t="shared" si="612"/>
        <v>0.15166211427595458</v>
      </c>
      <c r="AL2074" s="17"/>
      <c r="AM2074" s="17"/>
      <c r="AN2074" s="17"/>
      <c r="AO2074" s="17"/>
      <c r="AP2074" s="28" t="str">
        <f t="shared" si="613"/>
        <v>202211</v>
      </c>
      <c r="AQ2074" s="28" t="str">
        <f t="shared" si="614"/>
        <v>202211RMB</v>
      </c>
      <c r="AR2074" s="206" t="str">
        <f t="shared" si="615"/>
        <v>YAMAHA_Mounter</v>
      </c>
      <c r="AS2074" s="22">
        <f t="shared" si="616"/>
        <v>0</v>
      </c>
      <c r="AT2074" s="24" t="str">
        <f t="shared" si="617"/>
        <v>0-3 months</v>
      </c>
      <c r="AU2074" s="22" t="s">
        <v>3751</v>
      </c>
    </row>
    <row r="2075" spans="1:47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54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2330</v>
      </c>
      <c r="K2075" s="155" t="s">
        <v>1590</v>
      </c>
      <c r="L2075" s="17" t="s">
        <v>92</v>
      </c>
      <c r="M2075" s="13" t="s">
        <v>60</v>
      </c>
      <c r="N2075" s="13">
        <v>1</v>
      </c>
      <c r="O2075" s="13"/>
      <c r="P2075" s="33" t="str">
        <f t="shared" si="609"/>
        <v>MAIN UNIT</v>
      </c>
      <c r="Q2075" s="13" t="s">
        <v>61</v>
      </c>
      <c r="R2075" s="13" t="s">
        <v>62</v>
      </c>
      <c r="S2075" s="13" t="s">
        <v>49</v>
      </c>
      <c r="T2075" s="13" t="s">
        <v>78</v>
      </c>
      <c r="U2075" s="13" t="s">
        <v>79</v>
      </c>
      <c r="V2075" s="13" t="s">
        <v>121</v>
      </c>
      <c r="W2075" s="13" t="s">
        <v>64</v>
      </c>
      <c r="X2075" s="135">
        <v>990000</v>
      </c>
      <c r="Y2075" s="157" t="str">
        <f t="shared" si="619"/>
        <v>1.13</v>
      </c>
      <c r="Z2075" s="18">
        <f t="shared" si="618"/>
        <v>990000</v>
      </c>
      <c r="AA2075" s="13">
        <v>1.08</v>
      </c>
      <c r="AB2075" s="21">
        <f t="shared" si="603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04"/>
        <v>31017966.201968137</v>
      </c>
      <c r="AJ2075" s="19">
        <f t="shared" si="605"/>
        <v>4704250.3347305888</v>
      </c>
      <c r="AK2075" s="20">
        <f t="shared" si="612"/>
        <v>0.15166211427595458</v>
      </c>
      <c r="AL2075" s="17"/>
      <c r="AM2075" s="17"/>
      <c r="AN2075" s="17"/>
      <c r="AO2075" s="17"/>
      <c r="AP2075" s="28" t="str">
        <f t="shared" si="613"/>
        <v>202211</v>
      </c>
      <c r="AQ2075" s="28" t="str">
        <f t="shared" si="614"/>
        <v>202211RMB</v>
      </c>
      <c r="AR2075" s="206" t="str">
        <f t="shared" si="615"/>
        <v>YAMAHA_Mounter</v>
      </c>
      <c r="AS2075" s="22">
        <f t="shared" si="616"/>
        <v>0</v>
      </c>
      <c r="AT2075" s="24" t="str">
        <f t="shared" si="617"/>
        <v>0-3 months</v>
      </c>
      <c r="AU2075" s="22" t="s">
        <v>3751</v>
      </c>
    </row>
    <row r="2076" spans="1:47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54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2330</v>
      </c>
      <c r="K2076" s="155" t="s">
        <v>1590</v>
      </c>
      <c r="L2076" s="17" t="s">
        <v>92</v>
      </c>
      <c r="M2076" s="13" t="s">
        <v>60</v>
      </c>
      <c r="N2076" s="13">
        <v>1</v>
      </c>
      <c r="O2076" s="13"/>
      <c r="P2076" s="33" t="str">
        <f t="shared" si="609"/>
        <v>MAIN UNIT</v>
      </c>
      <c r="Q2076" s="13" t="s">
        <v>61</v>
      </c>
      <c r="R2076" s="13" t="s">
        <v>62</v>
      </c>
      <c r="S2076" s="13" t="s">
        <v>49</v>
      </c>
      <c r="T2076" s="13" t="s">
        <v>78</v>
      </c>
      <c r="U2076" s="13" t="s">
        <v>79</v>
      </c>
      <c r="V2076" s="13" t="s">
        <v>121</v>
      </c>
      <c r="W2076" s="13" t="s">
        <v>64</v>
      </c>
      <c r="X2076" s="135">
        <v>990000</v>
      </c>
      <c r="Y2076" s="157" t="str">
        <f t="shared" si="619"/>
        <v>1.13</v>
      </c>
      <c r="Z2076" s="18">
        <f t="shared" si="618"/>
        <v>990000</v>
      </c>
      <c r="AA2076" s="13">
        <v>1.08</v>
      </c>
      <c r="AB2076" s="21">
        <f t="shared" si="603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04"/>
        <v>31017966.201968137</v>
      </c>
      <c r="AJ2076" s="19">
        <f t="shared" si="605"/>
        <v>4704250.3347305888</v>
      </c>
      <c r="AK2076" s="20">
        <f t="shared" si="612"/>
        <v>0.15166211427595458</v>
      </c>
      <c r="AL2076" s="17"/>
      <c r="AM2076" s="17"/>
      <c r="AN2076" s="17"/>
      <c r="AO2076" s="17"/>
      <c r="AP2076" s="28" t="str">
        <f t="shared" si="613"/>
        <v>202211</v>
      </c>
      <c r="AQ2076" s="28" t="str">
        <f t="shared" si="614"/>
        <v>202211RMB</v>
      </c>
      <c r="AR2076" s="206" t="str">
        <f t="shared" si="615"/>
        <v>YAMAHA_Mounter</v>
      </c>
      <c r="AS2076" s="22">
        <f t="shared" si="616"/>
        <v>0</v>
      </c>
      <c r="AT2076" s="24" t="str">
        <f t="shared" si="617"/>
        <v>0-3 months</v>
      </c>
      <c r="AU2076" s="22" t="s">
        <v>3751</v>
      </c>
    </row>
    <row r="2077" spans="1:47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54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2330</v>
      </c>
      <c r="K2077" s="155" t="s">
        <v>1590</v>
      </c>
      <c r="L2077" s="17" t="s">
        <v>92</v>
      </c>
      <c r="M2077" s="13" t="s">
        <v>60</v>
      </c>
      <c r="N2077" s="13">
        <v>1</v>
      </c>
      <c r="O2077" s="13"/>
      <c r="P2077" s="33" t="str">
        <f t="shared" si="609"/>
        <v>MAIN UNIT</v>
      </c>
      <c r="Q2077" s="13" t="s">
        <v>61</v>
      </c>
      <c r="R2077" s="13" t="s">
        <v>62</v>
      </c>
      <c r="S2077" s="13" t="s">
        <v>49</v>
      </c>
      <c r="T2077" s="13" t="s">
        <v>78</v>
      </c>
      <c r="U2077" s="13" t="s">
        <v>79</v>
      </c>
      <c r="V2077" s="13" t="s">
        <v>121</v>
      </c>
      <c r="W2077" s="13" t="s">
        <v>64</v>
      </c>
      <c r="X2077" s="135">
        <v>990000</v>
      </c>
      <c r="Y2077" s="157" t="str">
        <f t="shared" si="619"/>
        <v>1.13</v>
      </c>
      <c r="Z2077" s="18">
        <f t="shared" si="618"/>
        <v>990000</v>
      </c>
      <c r="AA2077" s="13">
        <v>1.08</v>
      </c>
      <c r="AB2077" s="21">
        <f t="shared" si="603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04"/>
        <v>31017966.201968137</v>
      </c>
      <c r="AJ2077" s="19">
        <f t="shared" si="605"/>
        <v>4704250.3347305888</v>
      </c>
      <c r="AK2077" s="20">
        <f t="shared" si="612"/>
        <v>0.15166211427595458</v>
      </c>
      <c r="AL2077" s="17"/>
      <c r="AM2077" s="17"/>
      <c r="AN2077" s="17"/>
      <c r="AO2077" s="17"/>
      <c r="AP2077" s="28" t="str">
        <f t="shared" si="613"/>
        <v>202211</v>
      </c>
      <c r="AQ2077" s="28" t="str">
        <f t="shared" si="614"/>
        <v>202211RMB</v>
      </c>
      <c r="AR2077" s="206" t="str">
        <f t="shared" si="615"/>
        <v>YAMAHA_Mounter</v>
      </c>
      <c r="AS2077" s="22">
        <f t="shared" si="616"/>
        <v>0</v>
      </c>
      <c r="AT2077" s="24" t="str">
        <f t="shared" si="617"/>
        <v>0-3 months</v>
      </c>
      <c r="AU2077" s="22" t="s">
        <v>3751</v>
      </c>
    </row>
    <row r="2078" spans="1:47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54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2330</v>
      </c>
      <c r="K2078" s="155" t="s">
        <v>1590</v>
      </c>
      <c r="L2078" s="17" t="s">
        <v>67</v>
      </c>
      <c r="M2078" s="13" t="s">
        <v>60</v>
      </c>
      <c r="N2078" s="13">
        <v>1</v>
      </c>
      <c r="O2078" s="13"/>
      <c r="P2078" s="33" t="str">
        <f t="shared" si="609"/>
        <v>MAIN UNIT</v>
      </c>
      <c r="Q2078" s="13" t="s">
        <v>61</v>
      </c>
      <c r="R2078" s="13" t="s">
        <v>62</v>
      </c>
      <c r="S2078" s="13" t="s">
        <v>49</v>
      </c>
      <c r="T2078" s="13" t="s">
        <v>78</v>
      </c>
      <c r="U2078" s="13" t="s">
        <v>79</v>
      </c>
      <c r="V2078" s="13" t="s">
        <v>121</v>
      </c>
      <c r="W2078" s="13" t="s">
        <v>64</v>
      </c>
      <c r="X2078" s="135">
        <v>851000</v>
      </c>
      <c r="Y2078" s="157" t="str">
        <f t="shared" si="619"/>
        <v>1.13</v>
      </c>
      <c r="Z2078" s="18">
        <f t="shared" si="618"/>
        <v>851000</v>
      </c>
      <c r="AA2078" s="13">
        <v>1.08</v>
      </c>
      <c r="AB2078" s="21">
        <f t="shared" si="603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04"/>
        <v>31017966.201968137</v>
      </c>
      <c r="AJ2078" s="19">
        <f t="shared" si="605"/>
        <v>4704250.3347305888</v>
      </c>
      <c r="AK2078" s="20">
        <f t="shared" si="612"/>
        <v>0.15166211427595458</v>
      </c>
      <c r="AL2078" s="17"/>
      <c r="AM2078" s="17"/>
      <c r="AN2078" s="17"/>
      <c r="AO2078" s="17"/>
      <c r="AP2078" s="28" t="str">
        <f t="shared" si="613"/>
        <v>202211</v>
      </c>
      <c r="AQ2078" s="28" t="str">
        <f t="shared" si="614"/>
        <v>202211RMB</v>
      </c>
      <c r="AR2078" s="206" t="str">
        <f t="shared" si="615"/>
        <v>YAMAHA_Mounter</v>
      </c>
      <c r="AS2078" s="22">
        <f t="shared" si="616"/>
        <v>0</v>
      </c>
      <c r="AT2078" s="24" t="str">
        <f t="shared" si="617"/>
        <v>0-3 months</v>
      </c>
      <c r="AU2078" s="22" t="s">
        <v>3751</v>
      </c>
    </row>
    <row r="2079" spans="1:47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54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2330</v>
      </c>
      <c r="K2079" s="155" t="s">
        <v>1590</v>
      </c>
      <c r="L2079" s="17" t="s">
        <v>67</v>
      </c>
      <c r="M2079" s="13" t="s">
        <v>60</v>
      </c>
      <c r="N2079" s="13">
        <v>1</v>
      </c>
      <c r="O2079" s="13"/>
      <c r="P2079" s="33" t="str">
        <f t="shared" si="609"/>
        <v>MAIN UNIT</v>
      </c>
      <c r="Q2079" s="13" t="s">
        <v>61</v>
      </c>
      <c r="R2079" s="13" t="s">
        <v>62</v>
      </c>
      <c r="S2079" s="13" t="s">
        <v>49</v>
      </c>
      <c r="T2079" s="13" t="s">
        <v>78</v>
      </c>
      <c r="U2079" s="13" t="s">
        <v>79</v>
      </c>
      <c r="V2079" s="13" t="s">
        <v>121</v>
      </c>
      <c r="W2079" s="13" t="s">
        <v>64</v>
      </c>
      <c r="X2079" s="135">
        <v>851000</v>
      </c>
      <c r="Y2079" s="157" t="str">
        <f t="shared" si="619"/>
        <v>1.13</v>
      </c>
      <c r="Z2079" s="18">
        <f t="shared" si="618"/>
        <v>851000</v>
      </c>
      <c r="AA2079" s="13">
        <v>1.08</v>
      </c>
      <c r="AB2079" s="21">
        <f t="shared" si="603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04"/>
        <v>31017966.201968137</v>
      </c>
      <c r="AJ2079" s="19">
        <f t="shared" si="605"/>
        <v>4704250.3347305888</v>
      </c>
      <c r="AK2079" s="20">
        <f t="shared" si="612"/>
        <v>0.15166211427595458</v>
      </c>
      <c r="AL2079" s="17"/>
      <c r="AM2079" s="17"/>
      <c r="AN2079" s="17"/>
      <c r="AO2079" s="17"/>
      <c r="AP2079" s="28" t="str">
        <f t="shared" si="613"/>
        <v>202211</v>
      </c>
      <c r="AQ2079" s="28" t="str">
        <f t="shared" si="614"/>
        <v>202211RMB</v>
      </c>
      <c r="AR2079" s="206" t="str">
        <f t="shared" si="615"/>
        <v>YAMAHA_Mounter</v>
      </c>
      <c r="AS2079" s="22">
        <f t="shared" si="616"/>
        <v>0</v>
      </c>
      <c r="AT2079" s="24" t="str">
        <f t="shared" si="617"/>
        <v>0-3 months</v>
      </c>
      <c r="AU2079" s="22" t="s">
        <v>3751</v>
      </c>
    </row>
    <row r="2080" spans="1:47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54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2330</v>
      </c>
      <c r="K2080" s="155" t="s">
        <v>1590</v>
      </c>
      <c r="L2080" s="17" t="s">
        <v>67</v>
      </c>
      <c r="M2080" s="13" t="s">
        <v>60</v>
      </c>
      <c r="N2080" s="13">
        <v>1</v>
      </c>
      <c r="O2080" s="13"/>
      <c r="P2080" s="33" t="str">
        <f t="shared" si="609"/>
        <v>MAIN UNIT</v>
      </c>
      <c r="Q2080" s="13" t="s">
        <v>61</v>
      </c>
      <c r="R2080" s="13" t="s">
        <v>62</v>
      </c>
      <c r="S2080" s="13" t="s">
        <v>49</v>
      </c>
      <c r="T2080" s="13" t="s">
        <v>78</v>
      </c>
      <c r="U2080" s="13" t="s">
        <v>79</v>
      </c>
      <c r="V2080" s="13" t="s">
        <v>121</v>
      </c>
      <c r="W2080" s="13" t="s">
        <v>64</v>
      </c>
      <c r="X2080" s="135">
        <v>851000</v>
      </c>
      <c r="Y2080" s="157" t="str">
        <f t="shared" si="619"/>
        <v>1.13</v>
      </c>
      <c r="Z2080" s="18">
        <f t="shared" si="618"/>
        <v>851000</v>
      </c>
      <c r="AA2080" s="13">
        <v>1.08</v>
      </c>
      <c r="AB2080" s="21">
        <f t="shared" si="603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04"/>
        <v>31017966.201968137</v>
      </c>
      <c r="AJ2080" s="19">
        <f t="shared" si="605"/>
        <v>4704250.3347305888</v>
      </c>
      <c r="AK2080" s="20">
        <f t="shared" si="612"/>
        <v>0.15166211427595458</v>
      </c>
      <c r="AL2080" s="17"/>
      <c r="AM2080" s="17"/>
      <c r="AN2080" s="17"/>
      <c r="AO2080" s="17"/>
      <c r="AP2080" s="28" t="str">
        <f t="shared" si="613"/>
        <v>202211</v>
      </c>
      <c r="AQ2080" s="28" t="str">
        <f t="shared" si="614"/>
        <v>202211RMB</v>
      </c>
      <c r="AR2080" s="206" t="str">
        <f t="shared" si="615"/>
        <v>YAMAHA_Mounter</v>
      </c>
      <c r="AS2080" s="22">
        <f t="shared" si="616"/>
        <v>0</v>
      </c>
      <c r="AT2080" s="24" t="str">
        <f t="shared" si="617"/>
        <v>0-3 months</v>
      </c>
      <c r="AU2080" s="22" t="s">
        <v>3751</v>
      </c>
    </row>
    <row r="2081" spans="1:47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54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2330</v>
      </c>
      <c r="K2081" s="155" t="s">
        <v>1590</v>
      </c>
      <c r="L2081" s="17" t="s">
        <v>67</v>
      </c>
      <c r="M2081" s="13" t="s">
        <v>60</v>
      </c>
      <c r="N2081" s="13">
        <v>1</v>
      </c>
      <c r="O2081" s="13"/>
      <c r="P2081" s="33" t="str">
        <f t="shared" si="609"/>
        <v>MAIN UNIT</v>
      </c>
      <c r="Q2081" s="13" t="s">
        <v>61</v>
      </c>
      <c r="R2081" s="13" t="s">
        <v>62</v>
      </c>
      <c r="S2081" s="13" t="s">
        <v>49</v>
      </c>
      <c r="T2081" s="13" t="s">
        <v>78</v>
      </c>
      <c r="U2081" s="13" t="s">
        <v>79</v>
      </c>
      <c r="V2081" s="13" t="s">
        <v>121</v>
      </c>
      <c r="W2081" s="13" t="s">
        <v>64</v>
      </c>
      <c r="X2081" s="135">
        <v>851000</v>
      </c>
      <c r="Y2081" s="157" t="str">
        <f t="shared" si="619"/>
        <v>1.13</v>
      </c>
      <c r="Z2081" s="18">
        <f t="shared" si="618"/>
        <v>851000</v>
      </c>
      <c r="AA2081" s="13">
        <v>1.08</v>
      </c>
      <c r="AB2081" s="21">
        <f t="shared" si="603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04"/>
        <v>31017966.201968137</v>
      </c>
      <c r="AJ2081" s="19">
        <f t="shared" si="605"/>
        <v>4704250.3347305888</v>
      </c>
      <c r="AK2081" s="20">
        <f t="shared" si="612"/>
        <v>0.15166211427595458</v>
      </c>
      <c r="AL2081" s="17"/>
      <c r="AM2081" s="17"/>
      <c r="AN2081" s="17"/>
      <c r="AO2081" s="17"/>
      <c r="AP2081" s="28" t="str">
        <f t="shared" si="613"/>
        <v>202211</v>
      </c>
      <c r="AQ2081" s="28" t="str">
        <f t="shared" si="614"/>
        <v>202211RMB</v>
      </c>
      <c r="AR2081" s="206" t="str">
        <f t="shared" si="615"/>
        <v>YAMAHA_Mounter</v>
      </c>
      <c r="AS2081" s="22">
        <f t="shared" si="616"/>
        <v>0</v>
      </c>
      <c r="AT2081" s="24" t="str">
        <f t="shared" si="617"/>
        <v>0-3 months</v>
      </c>
      <c r="AU2081" s="22" t="s">
        <v>3751</v>
      </c>
    </row>
    <row r="2082" spans="1:47" s="12" customFormat="1">
      <c r="A2082" s="33" t="str">
        <f t="shared" si="606"/>
        <v>cancel</v>
      </c>
      <c r="B2082" s="152"/>
      <c r="C2082" s="152" t="s">
        <v>185</v>
      </c>
      <c r="D2082" s="33" t="str">
        <f t="shared" si="607"/>
        <v/>
      </c>
      <c r="E2082" s="33" t="s">
        <v>185</v>
      </c>
      <c r="F2082" s="13" t="s">
        <v>185</v>
      </c>
      <c r="G2082" s="152" t="s">
        <v>185</v>
      </c>
      <c r="H2082" s="155"/>
      <c r="I2082" s="33" t="str">
        <f t="shared" si="608"/>
        <v>Cancel</v>
      </c>
      <c r="J2082" s="186" t="s">
        <v>2643</v>
      </c>
      <c r="K2082" s="155" t="s">
        <v>202</v>
      </c>
      <c r="L2082" s="17" t="s">
        <v>92</v>
      </c>
      <c r="M2082" s="13" t="s">
        <v>60</v>
      </c>
      <c r="N2082" s="13">
        <v>2</v>
      </c>
      <c r="O2082" s="13"/>
      <c r="P2082" s="33" t="str">
        <f t="shared" si="609"/>
        <v>MAIN UNIT</v>
      </c>
      <c r="Q2082" s="13" t="s">
        <v>61</v>
      </c>
      <c r="R2082" s="13" t="s">
        <v>62</v>
      </c>
      <c r="S2082" s="13" t="s">
        <v>49</v>
      </c>
      <c r="T2082" s="13" t="s">
        <v>78</v>
      </c>
      <c r="U2082" s="13" t="s">
        <v>79</v>
      </c>
      <c r="V2082" s="13" t="s">
        <v>131</v>
      </c>
      <c r="W2082" s="13" t="s">
        <v>109</v>
      </c>
      <c r="X2082" s="135">
        <v>15000000</v>
      </c>
      <c r="Y2082" s="156">
        <v>1</v>
      </c>
      <c r="Z2082" s="18">
        <f t="shared" si="618"/>
        <v>30000000</v>
      </c>
      <c r="AA2082" s="13">
        <v>7.2099999999999997E-2</v>
      </c>
      <c r="AB2082" s="21">
        <f t="shared" si="603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04"/>
        <v>499582152.5142017</v>
      </c>
      <c r="AJ2082" s="19">
        <f t="shared" si="605"/>
        <v>59520528.679470733</v>
      </c>
      <c r="AK2082" s="20">
        <f t="shared" si="612"/>
        <v>0.11914062257814291</v>
      </c>
      <c r="AL2082" s="17"/>
      <c r="AM2082" s="17"/>
      <c r="AN2082" s="17"/>
      <c r="AO2082" s="17"/>
      <c r="AP2082" s="28" t="str">
        <f t="shared" si="613"/>
        <v>CancelCancel</v>
      </c>
      <c r="AQ2082" s="28" t="str">
        <f t="shared" si="614"/>
        <v>CancelCancelJPY</v>
      </c>
      <c r="AR2082" s="206" t="str">
        <f t="shared" si="615"/>
        <v>YAMAHA_Mounter</v>
      </c>
      <c r="AS2082" s="22" t="str">
        <f t="shared" si="616"/>
        <v/>
      </c>
      <c r="AT2082" s="24" t="str">
        <f t="shared" si="617"/>
        <v/>
      </c>
      <c r="AU2082" s="22" t="s">
        <v>3746</v>
      </c>
    </row>
    <row r="2083" spans="1:47" s="12" customFormat="1">
      <c r="A2083" s="33" t="str">
        <f t="shared" si="606"/>
        <v>cancel</v>
      </c>
      <c r="B2083" s="152"/>
      <c r="C2083" s="152" t="s">
        <v>185</v>
      </c>
      <c r="D2083" s="33" t="str">
        <f t="shared" si="607"/>
        <v/>
      </c>
      <c r="E2083" s="33" t="s">
        <v>185</v>
      </c>
      <c r="F2083" s="13" t="s">
        <v>185</v>
      </c>
      <c r="G2083" s="152" t="s">
        <v>185</v>
      </c>
      <c r="H2083" s="155"/>
      <c r="I2083" s="33" t="str">
        <f t="shared" si="608"/>
        <v>Cancel</v>
      </c>
      <c r="J2083" s="186" t="s">
        <v>2643</v>
      </c>
      <c r="K2083" s="155" t="s">
        <v>202</v>
      </c>
      <c r="L2083" s="17" t="s">
        <v>67</v>
      </c>
      <c r="M2083" s="13" t="s">
        <v>60</v>
      </c>
      <c r="N2083" s="13">
        <v>2</v>
      </c>
      <c r="O2083" s="13"/>
      <c r="P2083" s="33" t="str">
        <f t="shared" si="609"/>
        <v>MAIN UNIT</v>
      </c>
      <c r="Q2083" s="13" t="s">
        <v>61</v>
      </c>
      <c r="R2083" s="13" t="s">
        <v>62</v>
      </c>
      <c r="S2083" s="13" t="s">
        <v>49</v>
      </c>
      <c r="T2083" s="13" t="s">
        <v>78</v>
      </c>
      <c r="U2083" s="13" t="s">
        <v>79</v>
      </c>
      <c r="V2083" s="13" t="s">
        <v>131</v>
      </c>
      <c r="W2083" s="13" t="s">
        <v>109</v>
      </c>
      <c r="X2083" s="135">
        <v>11940000</v>
      </c>
      <c r="Y2083" s="156">
        <v>1</v>
      </c>
      <c r="Z2083" s="18">
        <f t="shared" si="618"/>
        <v>23880000</v>
      </c>
      <c r="AA2083" s="13">
        <v>7.2099999999999997E-2</v>
      </c>
      <c r="AB2083" s="21">
        <f t="shared" si="603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04"/>
        <v>499582152.5142017</v>
      </c>
      <c r="AJ2083" s="19">
        <f t="shared" si="605"/>
        <v>59520528.679470733</v>
      </c>
      <c r="AK2083" s="20">
        <f t="shared" si="612"/>
        <v>0.11914062257814291</v>
      </c>
      <c r="AL2083" s="17"/>
      <c r="AM2083" s="17"/>
      <c r="AN2083" s="17"/>
      <c r="AO2083" s="17"/>
      <c r="AP2083" s="28" t="str">
        <f t="shared" si="613"/>
        <v>CancelCancel</v>
      </c>
      <c r="AQ2083" s="28" t="str">
        <f t="shared" si="614"/>
        <v>CancelCancelJPY</v>
      </c>
      <c r="AR2083" s="206" t="str">
        <f t="shared" si="615"/>
        <v>YAMAHA_Mounter</v>
      </c>
      <c r="AS2083" s="22" t="str">
        <f t="shared" si="616"/>
        <v/>
      </c>
      <c r="AT2083" s="24" t="str">
        <f t="shared" si="617"/>
        <v/>
      </c>
      <c r="AU2083" s="22" t="s">
        <v>3746</v>
      </c>
    </row>
    <row r="2084" spans="1:47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185</v>
      </c>
      <c r="F2084" s="13" t="s">
        <v>185</v>
      </c>
      <c r="G2084" s="152" t="s">
        <v>185</v>
      </c>
      <c r="H2084" s="155"/>
      <c r="I2084" s="33" t="str">
        <f t="shared" si="608"/>
        <v>Cancel</v>
      </c>
      <c r="J2084" s="186" t="s">
        <v>608</v>
      </c>
      <c r="K2084" s="155" t="s">
        <v>609</v>
      </c>
      <c r="L2084" s="17" t="s">
        <v>92</v>
      </c>
      <c r="M2084" s="13" t="s">
        <v>60</v>
      </c>
      <c r="N2084" s="13">
        <v>2</v>
      </c>
      <c r="O2084" s="13"/>
      <c r="P2084" s="33" t="str">
        <f t="shared" si="609"/>
        <v>MAIN UNIT</v>
      </c>
      <c r="Q2084" s="13" t="s">
        <v>68</v>
      </c>
      <c r="R2084" s="13" t="s">
        <v>62</v>
      </c>
      <c r="S2084" s="13" t="s">
        <v>49</v>
      </c>
      <c r="T2084" s="13" t="s">
        <v>78</v>
      </c>
      <c r="U2084" s="13" t="s">
        <v>79</v>
      </c>
      <c r="V2084" s="13" t="s">
        <v>134</v>
      </c>
      <c r="W2084" s="13" t="s">
        <v>109</v>
      </c>
      <c r="X2084" s="135">
        <v>15000000</v>
      </c>
      <c r="Y2084" s="156">
        <v>1</v>
      </c>
      <c r="Z2084" s="18">
        <f t="shared" si="618"/>
        <v>30000000</v>
      </c>
      <c r="AA2084" s="13">
        <v>7.0699999999999999E-2</v>
      </c>
      <c r="AB2084" s="21">
        <f t="shared" si="603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04"/>
        <v>499582152.5142017</v>
      </c>
      <c r="AJ2084" s="19">
        <f t="shared" si="605"/>
        <v>59520528.679470733</v>
      </c>
      <c r="AK2084" s="20">
        <f t="shared" si="612"/>
        <v>0.11914062257814291</v>
      </c>
      <c r="AL2084" s="17"/>
      <c r="AM2084" s="17"/>
      <c r="AN2084" s="17"/>
      <c r="AO2084" s="17"/>
      <c r="AP2084" s="28" t="str">
        <f t="shared" si="613"/>
        <v>CancelCancel</v>
      </c>
      <c r="AQ2084" s="28" t="str">
        <f t="shared" si="614"/>
        <v>CancelCancelJPY</v>
      </c>
      <c r="AR2084" s="206" t="str">
        <f t="shared" si="615"/>
        <v>YAMAHA_Mounter</v>
      </c>
      <c r="AS2084" s="22" t="str">
        <f t="shared" si="616"/>
        <v/>
      </c>
      <c r="AT2084" s="24" t="str">
        <f t="shared" si="617"/>
        <v/>
      </c>
      <c r="AU2084" s="22" t="s">
        <v>3745</v>
      </c>
    </row>
    <row r="2085" spans="1:47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185</v>
      </c>
      <c r="F2085" s="13" t="s">
        <v>185</v>
      </c>
      <c r="G2085" s="152" t="s">
        <v>185</v>
      </c>
      <c r="H2085" s="155"/>
      <c r="I2085" s="33" t="str">
        <f t="shared" si="608"/>
        <v>Cancel</v>
      </c>
      <c r="J2085" s="186" t="s">
        <v>613</v>
      </c>
      <c r="K2085" s="155" t="s">
        <v>609</v>
      </c>
      <c r="L2085" s="17" t="s">
        <v>92</v>
      </c>
      <c r="M2085" s="13" t="s">
        <v>60</v>
      </c>
      <c r="N2085" s="13">
        <v>1</v>
      </c>
      <c r="O2085" s="13"/>
      <c r="P2085" s="33" t="str">
        <f t="shared" si="609"/>
        <v>MAIN UNIT</v>
      </c>
      <c r="Q2085" s="13" t="s">
        <v>61</v>
      </c>
      <c r="R2085" s="13" t="s">
        <v>62</v>
      </c>
      <c r="S2085" s="13" t="s">
        <v>49</v>
      </c>
      <c r="T2085" s="13" t="s">
        <v>78</v>
      </c>
      <c r="U2085" s="13" t="s">
        <v>79</v>
      </c>
      <c r="V2085" s="13" t="s">
        <v>134</v>
      </c>
      <c r="W2085" s="13" t="s">
        <v>109</v>
      </c>
      <c r="X2085" s="135">
        <v>13500000</v>
      </c>
      <c r="Y2085" s="156">
        <v>1</v>
      </c>
      <c r="Z2085" s="18">
        <f t="shared" si="618"/>
        <v>13500000</v>
      </c>
      <c r="AA2085" s="13">
        <v>7.0199999999999999E-2</v>
      </c>
      <c r="AB2085" s="21">
        <f t="shared" si="603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04"/>
        <v>499582152.5142017</v>
      </c>
      <c r="AJ2085" s="19">
        <f t="shared" si="605"/>
        <v>59520528.679470733</v>
      </c>
      <c r="AK2085" s="20">
        <f t="shared" si="612"/>
        <v>0.11914062257814291</v>
      </c>
      <c r="AL2085" s="17"/>
      <c r="AM2085" s="17"/>
      <c r="AN2085" s="17"/>
      <c r="AO2085" s="17" t="s">
        <v>614</v>
      </c>
      <c r="AP2085" s="28" t="str">
        <f t="shared" si="613"/>
        <v>CancelCancel</v>
      </c>
      <c r="AQ2085" s="28" t="str">
        <f t="shared" si="614"/>
        <v>CancelCancelJPY</v>
      </c>
      <c r="AR2085" s="206" t="str">
        <f t="shared" si="615"/>
        <v>YAMAHA_Mounter</v>
      </c>
      <c r="AS2085" s="22" t="str">
        <f t="shared" si="616"/>
        <v/>
      </c>
      <c r="AT2085" s="24" t="str">
        <f t="shared" si="617"/>
        <v/>
      </c>
      <c r="AU2085" s="22" t="s">
        <v>3745</v>
      </c>
    </row>
    <row r="2086" spans="1:47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185</v>
      </c>
      <c r="F2086" s="13" t="s">
        <v>185</v>
      </c>
      <c r="G2086" s="152" t="s">
        <v>185</v>
      </c>
      <c r="H2086" s="155"/>
      <c r="I2086" s="33" t="str">
        <f t="shared" si="608"/>
        <v>Cancel</v>
      </c>
      <c r="J2086" s="186" t="s">
        <v>613</v>
      </c>
      <c r="K2086" s="155" t="s">
        <v>609</v>
      </c>
      <c r="L2086" s="17" t="s">
        <v>92</v>
      </c>
      <c r="M2086" s="13" t="s">
        <v>60</v>
      </c>
      <c r="N2086" s="13">
        <v>1</v>
      </c>
      <c r="O2086" s="13"/>
      <c r="P2086" s="33" t="str">
        <f t="shared" si="609"/>
        <v>MAIN UNIT</v>
      </c>
      <c r="Q2086" s="13" t="s">
        <v>61</v>
      </c>
      <c r="R2086" s="13" t="s">
        <v>62</v>
      </c>
      <c r="S2086" s="13" t="s">
        <v>49</v>
      </c>
      <c r="T2086" s="13" t="s">
        <v>78</v>
      </c>
      <c r="U2086" s="13" t="s">
        <v>79</v>
      </c>
      <c r="V2086" s="13" t="s">
        <v>134</v>
      </c>
      <c r="W2086" s="13" t="s">
        <v>109</v>
      </c>
      <c r="X2086" s="135">
        <v>13500000</v>
      </c>
      <c r="Y2086" s="156">
        <v>1</v>
      </c>
      <c r="Z2086" s="18">
        <f t="shared" si="618"/>
        <v>13500000</v>
      </c>
      <c r="AA2086" s="13">
        <v>7.2300000000000003E-2</v>
      </c>
      <c r="AB2086" s="21">
        <f t="shared" si="603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04"/>
        <v>499582152.5142017</v>
      </c>
      <c r="AJ2086" s="19">
        <f t="shared" si="605"/>
        <v>59520528.679470733</v>
      </c>
      <c r="AK2086" s="20">
        <f t="shared" si="612"/>
        <v>0.11914062257814291</v>
      </c>
      <c r="AL2086" s="17"/>
      <c r="AM2086" s="17"/>
      <c r="AN2086" s="17"/>
      <c r="AO2086" s="17"/>
      <c r="AP2086" s="28" t="str">
        <f t="shared" si="613"/>
        <v>CancelCancel</v>
      </c>
      <c r="AQ2086" s="28" t="str">
        <f t="shared" si="614"/>
        <v>CancelCancelJPY</v>
      </c>
      <c r="AR2086" s="206" t="str">
        <f t="shared" si="615"/>
        <v>YAMAHA_Mounter</v>
      </c>
      <c r="AS2086" s="22" t="str">
        <f t="shared" si="616"/>
        <v/>
      </c>
      <c r="AT2086" s="24" t="str">
        <f t="shared" si="617"/>
        <v/>
      </c>
      <c r="AU2086" s="22" t="s">
        <v>3745</v>
      </c>
    </row>
    <row r="2087" spans="1:47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185</v>
      </c>
      <c r="F2087" s="13" t="s">
        <v>185</v>
      </c>
      <c r="G2087" s="152" t="s">
        <v>185</v>
      </c>
      <c r="H2087" s="155"/>
      <c r="I2087" s="33" t="str">
        <f t="shared" si="608"/>
        <v>Cancel</v>
      </c>
      <c r="J2087" s="186" t="s">
        <v>613</v>
      </c>
      <c r="K2087" s="155" t="s">
        <v>609</v>
      </c>
      <c r="L2087" s="17" t="s">
        <v>92</v>
      </c>
      <c r="M2087" s="13" t="s">
        <v>60</v>
      </c>
      <c r="N2087" s="13">
        <v>2</v>
      </c>
      <c r="O2087" s="13"/>
      <c r="P2087" s="33" t="str">
        <f t="shared" si="609"/>
        <v>MAIN UNIT</v>
      </c>
      <c r="Q2087" s="13" t="s">
        <v>61</v>
      </c>
      <c r="R2087" s="13" t="s">
        <v>62</v>
      </c>
      <c r="S2087" s="13" t="s">
        <v>49</v>
      </c>
      <c r="T2087" s="13" t="s">
        <v>78</v>
      </c>
      <c r="U2087" s="13" t="s">
        <v>79</v>
      </c>
      <c r="V2087" s="13" t="s">
        <v>134</v>
      </c>
      <c r="W2087" s="13" t="s">
        <v>109</v>
      </c>
      <c r="X2087" s="135">
        <v>13500000</v>
      </c>
      <c r="Y2087" s="156">
        <v>1</v>
      </c>
      <c r="Z2087" s="18">
        <f t="shared" si="618"/>
        <v>27000000</v>
      </c>
      <c r="AA2087" s="13">
        <v>7.0199999999999999E-2</v>
      </c>
      <c r="AB2087" s="21">
        <f t="shared" si="603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04"/>
        <v>499582152.5142017</v>
      </c>
      <c r="AJ2087" s="19">
        <f t="shared" si="605"/>
        <v>59520528.679470733</v>
      </c>
      <c r="AK2087" s="20">
        <f t="shared" si="612"/>
        <v>0.11914062257814291</v>
      </c>
      <c r="AL2087" s="17"/>
      <c r="AM2087" s="17"/>
      <c r="AN2087" s="17"/>
      <c r="AO2087" s="17"/>
      <c r="AP2087" s="28" t="str">
        <f t="shared" si="613"/>
        <v>CancelCancel</v>
      </c>
      <c r="AQ2087" s="28" t="str">
        <f t="shared" si="614"/>
        <v>CancelCancelJPY</v>
      </c>
      <c r="AR2087" s="206" t="str">
        <f t="shared" si="615"/>
        <v>YAMAHA_Mounter</v>
      </c>
      <c r="AS2087" s="22" t="str">
        <f t="shared" si="616"/>
        <v/>
      </c>
      <c r="AT2087" s="24" t="str">
        <f t="shared" si="617"/>
        <v/>
      </c>
      <c r="AU2087" s="22" t="s">
        <v>3745</v>
      </c>
    </row>
    <row r="2088" spans="1:47" s="12" customFormat="1">
      <c r="A2088" s="33" t="str">
        <f t="shared" si="606"/>
        <v>cancel</v>
      </c>
      <c r="B2088" s="152"/>
      <c r="C2088" s="152" t="s">
        <v>185</v>
      </c>
      <c r="D2088" s="33" t="str">
        <f t="shared" si="607"/>
        <v/>
      </c>
      <c r="E2088" s="33" t="s">
        <v>185</v>
      </c>
      <c r="F2088" s="13" t="s">
        <v>185</v>
      </c>
      <c r="G2088" s="152" t="s">
        <v>185</v>
      </c>
      <c r="H2088" s="155"/>
      <c r="I2088" s="33" t="str">
        <f t="shared" si="608"/>
        <v>Cancel</v>
      </c>
      <c r="J2088" s="186" t="s">
        <v>2635</v>
      </c>
      <c r="K2088" s="155" t="s">
        <v>609</v>
      </c>
      <c r="L2088" s="17" t="s">
        <v>92</v>
      </c>
      <c r="M2088" s="13" t="s">
        <v>60</v>
      </c>
      <c r="N2088" s="13">
        <v>1</v>
      </c>
      <c r="O2088" s="13"/>
      <c r="P2088" s="33" t="str">
        <f t="shared" si="609"/>
        <v>MAIN UNIT</v>
      </c>
      <c r="Q2088" s="13"/>
      <c r="R2088" s="13" t="s">
        <v>62</v>
      </c>
      <c r="S2088" s="13" t="s">
        <v>49</v>
      </c>
      <c r="T2088" s="13" t="s">
        <v>78</v>
      </c>
      <c r="U2088" s="13" t="s">
        <v>79</v>
      </c>
      <c r="V2088" s="13" t="s">
        <v>134</v>
      </c>
      <c r="W2088" s="13" t="s">
        <v>109</v>
      </c>
      <c r="X2088" s="135">
        <v>15000000</v>
      </c>
      <c r="Y2088" s="156">
        <v>1</v>
      </c>
      <c r="Z2088" s="18">
        <f t="shared" si="618"/>
        <v>15000000</v>
      </c>
      <c r="AA2088" s="13">
        <v>7.2300000000000003E-2</v>
      </c>
      <c r="AB2088" s="21">
        <f t="shared" si="603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04"/>
        <v>499582152.5142017</v>
      </c>
      <c r="AJ2088" s="19">
        <f t="shared" si="605"/>
        <v>59520528.679470733</v>
      </c>
      <c r="AK2088" s="20">
        <f t="shared" si="612"/>
        <v>0.11914062257814291</v>
      </c>
      <c r="AL2088" s="17"/>
      <c r="AM2088" s="17"/>
      <c r="AN2088" s="17"/>
      <c r="AO2088" s="17"/>
      <c r="AP2088" s="28" t="str">
        <f t="shared" si="613"/>
        <v>CancelCancel</v>
      </c>
      <c r="AQ2088" s="28" t="str">
        <f t="shared" si="614"/>
        <v>CancelCancelJPY</v>
      </c>
      <c r="AR2088" s="206" t="str">
        <f t="shared" si="615"/>
        <v>YAMAHA_Mounter</v>
      </c>
      <c r="AS2088" s="22" t="str">
        <f t="shared" si="616"/>
        <v/>
      </c>
      <c r="AT2088" s="24" t="str">
        <f t="shared" si="617"/>
        <v/>
      </c>
      <c r="AU2088" s="22" t="s">
        <v>3745</v>
      </c>
    </row>
    <row r="2089" spans="1:47" s="12" customFormat="1">
      <c r="A2089" s="33" t="str">
        <f t="shared" si="606"/>
        <v>cancel</v>
      </c>
      <c r="B2089" s="152"/>
      <c r="C2089" s="152" t="s">
        <v>185</v>
      </c>
      <c r="D2089" s="33" t="str">
        <f t="shared" si="607"/>
        <v/>
      </c>
      <c r="E2089" s="33" t="s">
        <v>185</v>
      </c>
      <c r="F2089" s="13" t="s">
        <v>185</v>
      </c>
      <c r="G2089" s="152" t="s">
        <v>185</v>
      </c>
      <c r="H2089" s="155"/>
      <c r="I2089" s="33" t="str">
        <f t="shared" si="608"/>
        <v>Cancel</v>
      </c>
      <c r="J2089" s="186" t="s">
        <v>2635</v>
      </c>
      <c r="K2089" s="155" t="s">
        <v>609</v>
      </c>
      <c r="L2089" s="17" t="s">
        <v>92</v>
      </c>
      <c r="M2089" s="13" t="s">
        <v>60</v>
      </c>
      <c r="N2089" s="13">
        <v>1</v>
      </c>
      <c r="O2089" s="13"/>
      <c r="P2089" s="33" t="str">
        <f t="shared" si="609"/>
        <v>MAIN UNIT</v>
      </c>
      <c r="Q2089" s="13"/>
      <c r="R2089" s="13" t="s">
        <v>62</v>
      </c>
      <c r="S2089" s="13" t="s">
        <v>49</v>
      </c>
      <c r="T2089" s="13" t="s">
        <v>78</v>
      </c>
      <c r="U2089" s="13" t="s">
        <v>79</v>
      </c>
      <c r="V2089" s="13" t="s">
        <v>134</v>
      </c>
      <c r="W2089" s="13" t="s">
        <v>109</v>
      </c>
      <c r="X2089" s="135">
        <v>15000000</v>
      </c>
      <c r="Y2089" s="156">
        <v>1</v>
      </c>
      <c r="Z2089" s="18">
        <f t="shared" si="618"/>
        <v>15000000</v>
      </c>
      <c r="AA2089" s="13">
        <v>7.2300000000000003E-2</v>
      </c>
      <c r="AB2089" s="21">
        <f t="shared" si="603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04"/>
        <v>499582152.5142017</v>
      </c>
      <c r="AJ2089" s="19">
        <f t="shared" si="605"/>
        <v>59520528.679470733</v>
      </c>
      <c r="AK2089" s="20">
        <f t="shared" si="612"/>
        <v>0.11914062257814291</v>
      </c>
      <c r="AL2089" s="17"/>
      <c r="AM2089" s="17"/>
      <c r="AN2089" s="17"/>
      <c r="AO2089" s="17"/>
      <c r="AP2089" s="28" t="str">
        <f t="shared" si="613"/>
        <v>CancelCancel</v>
      </c>
      <c r="AQ2089" s="28" t="str">
        <f t="shared" si="614"/>
        <v>CancelCancelJPY</v>
      </c>
      <c r="AR2089" s="206" t="str">
        <f t="shared" si="615"/>
        <v>YAMAHA_Mounter</v>
      </c>
      <c r="AS2089" s="22" t="str">
        <f t="shared" si="616"/>
        <v/>
      </c>
      <c r="AT2089" s="24" t="str">
        <f t="shared" si="617"/>
        <v/>
      </c>
      <c r="AU2089" s="22" t="s">
        <v>3745</v>
      </c>
    </row>
    <row r="2090" spans="1:47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41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554</v>
      </c>
      <c r="K2090" s="155" t="s">
        <v>555</v>
      </c>
      <c r="L2090" s="17" t="s">
        <v>67</v>
      </c>
      <c r="M2090" s="13" t="s">
        <v>60</v>
      </c>
      <c r="N2090" s="13">
        <v>2</v>
      </c>
      <c r="O2090" s="13"/>
      <c r="P2090" s="33" t="str">
        <f t="shared" si="609"/>
        <v>MAIN UNIT</v>
      </c>
      <c r="Q2090" s="13" t="s">
        <v>61</v>
      </c>
      <c r="R2090" s="13" t="s">
        <v>62</v>
      </c>
      <c r="S2090" s="13" t="s">
        <v>49</v>
      </c>
      <c r="T2090" s="13" t="s">
        <v>78</v>
      </c>
      <c r="U2090" s="13" t="s">
        <v>79</v>
      </c>
      <c r="V2090" s="13" t="s">
        <v>126</v>
      </c>
      <c r="W2090" s="13" t="s">
        <v>109</v>
      </c>
      <c r="X2090" s="135">
        <v>9275000</v>
      </c>
      <c r="Y2090" s="156">
        <v>1</v>
      </c>
      <c r="Z2090" s="18">
        <f t="shared" si="618"/>
        <v>18550000</v>
      </c>
      <c r="AA2090" s="13">
        <v>7.22E-2</v>
      </c>
      <c r="AB2090" s="21">
        <f t="shared" si="603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04"/>
        <v>47416008.333399981</v>
      </c>
      <c r="AJ2090" s="19">
        <f t="shared" si="605"/>
        <v>6981738.4465290187</v>
      </c>
      <c r="AK2090" s="20">
        <f t="shared" si="612"/>
        <v>0.14724433143839863</v>
      </c>
      <c r="AL2090" s="17"/>
      <c r="AM2090" s="17"/>
      <c r="AN2090" s="17"/>
      <c r="AO2090" s="17"/>
      <c r="AP2090" s="28" t="str">
        <f t="shared" si="613"/>
        <v>20193</v>
      </c>
      <c r="AQ2090" s="28" t="str">
        <f t="shared" si="614"/>
        <v>20193JPY</v>
      </c>
      <c r="AR2090" s="206" t="str">
        <f t="shared" si="615"/>
        <v>YAMAHA_Mounter</v>
      </c>
      <c r="AS2090" s="22">
        <f t="shared" si="616"/>
        <v>9</v>
      </c>
      <c r="AT2090" s="24" t="str">
        <f t="shared" si="617"/>
        <v>&gt; 6 months</v>
      </c>
      <c r="AU2090" s="22" t="s">
        <v>3745</v>
      </c>
    </row>
    <row r="2091" spans="1:47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41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493</v>
      </c>
      <c r="K2091" s="155" t="s">
        <v>494</v>
      </c>
      <c r="L2091" s="17" t="s">
        <v>77</v>
      </c>
      <c r="M2091" s="13" t="s">
        <v>60</v>
      </c>
      <c r="N2091" s="13">
        <v>1</v>
      </c>
      <c r="O2091" s="13"/>
      <c r="P2091" s="33" t="str">
        <f t="shared" si="609"/>
        <v>MAIN UNIT</v>
      </c>
      <c r="Q2091" s="13" t="s">
        <v>68</v>
      </c>
      <c r="R2091" s="13" t="s">
        <v>62</v>
      </c>
      <c r="S2091" s="13" t="s">
        <v>49</v>
      </c>
      <c r="T2091" s="13" t="s">
        <v>249</v>
      </c>
      <c r="U2091" s="13" t="s">
        <v>79</v>
      </c>
      <c r="V2091" s="13" t="s">
        <v>80</v>
      </c>
      <c r="W2091" s="13" t="s">
        <v>109</v>
      </c>
      <c r="X2091" s="135">
        <v>12500000</v>
      </c>
      <c r="Y2091" s="156">
        <v>1</v>
      </c>
      <c r="Z2091" s="18">
        <f t="shared" si="618"/>
        <v>12500000</v>
      </c>
      <c r="AA2091" s="13">
        <v>7.0400000000000004E-2</v>
      </c>
      <c r="AB2091" s="21">
        <f t="shared" si="603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04"/>
        <v>29840797.698275864</v>
      </c>
      <c r="AJ2091" s="19">
        <f t="shared" si="605"/>
        <v>3940167.6555448272</v>
      </c>
      <c r="AK2091" s="20">
        <f t="shared" si="612"/>
        <v>0.13203962224416277</v>
      </c>
      <c r="AL2091" s="17"/>
      <c r="AM2091" s="17"/>
      <c r="AN2091" s="17"/>
      <c r="AO2091" s="17"/>
      <c r="AP2091" s="28" t="str">
        <f t="shared" si="613"/>
        <v>201812</v>
      </c>
      <c r="AQ2091" s="28" t="str">
        <f t="shared" si="614"/>
        <v>201812JPY</v>
      </c>
      <c r="AR2091" s="206" t="str">
        <f t="shared" si="615"/>
        <v>YAMAHA_Mounter</v>
      </c>
      <c r="AS2091" s="22">
        <f t="shared" si="616"/>
        <v>1</v>
      </c>
      <c r="AT2091" s="24" t="str">
        <f t="shared" si="617"/>
        <v>0-3 months</v>
      </c>
      <c r="AU2091" s="22" t="s">
        <v>3745</v>
      </c>
    </row>
    <row r="2092" spans="1:47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48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1117</v>
      </c>
      <c r="K2092" s="155" t="s">
        <v>1118</v>
      </c>
      <c r="L2092" s="17" t="s">
        <v>67</v>
      </c>
      <c r="M2092" s="13" t="s">
        <v>60</v>
      </c>
      <c r="N2092" s="13">
        <v>1</v>
      </c>
      <c r="O2092" s="13"/>
      <c r="P2092" s="33" t="str">
        <f t="shared" si="609"/>
        <v>MAIN UNIT</v>
      </c>
      <c r="Q2092" s="13" t="s">
        <v>61</v>
      </c>
      <c r="R2092" s="13" t="s">
        <v>62</v>
      </c>
      <c r="S2092" s="13" t="s">
        <v>49</v>
      </c>
      <c r="T2092" s="13" t="s">
        <v>78</v>
      </c>
      <c r="U2092" s="13" t="s">
        <v>79</v>
      </c>
      <c r="V2092" s="13" t="s">
        <v>134</v>
      </c>
      <c r="W2092" s="13" t="s">
        <v>1105</v>
      </c>
      <c r="X2092" s="135">
        <v>7300000</v>
      </c>
      <c r="Y2092" s="156">
        <v>1</v>
      </c>
      <c r="Z2092" s="18">
        <f t="shared" si="618"/>
        <v>7300000</v>
      </c>
      <c r="AA2092" s="13">
        <v>7.5700000000000003E-2</v>
      </c>
      <c r="AB2092" s="21">
        <f t="shared" si="603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04"/>
        <v>37969334.083628319</v>
      </c>
      <c r="AJ2092" s="19">
        <f t="shared" si="605"/>
        <v>5097226.4551657084</v>
      </c>
      <c r="AK2092" s="20">
        <f t="shared" si="612"/>
        <v>0.13424587441904964</v>
      </c>
      <c r="AL2092" s="17"/>
      <c r="AM2092" s="17"/>
      <c r="AN2092" s="17"/>
      <c r="AO2092" s="17"/>
      <c r="AP2092" s="28" t="str">
        <f t="shared" si="613"/>
        <v>20208</v>
      </c>
      <c r="AQ2092" s="28" t="str">
        <f t="shared" si="614"/>
        <v>20208JPY</v>
      </c>
      <c r="AR2092" s="206" t="str">
        <f t="shared" si="615"/>
        <v>YAMAHA_Mounter</v>
      </c>
      <c r="AS2092" s="22">
        <f t="shared" si="616"/>
        <v>1</v>
      </c>
      <c r="AT2092" s="24" t="str">
        <f t="shared" si="617"/>
        <v>0-3 months</v>
      </c>
      <c r="AU2092" s="22" t="s">
        <v>3745</v>
      </c>
    </row>
    <row r="2093" spans="1:47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48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1117</v>
      </c>
      <c r="K2093" s="155" t="s">
        <v>1118</v>
      </c>
      <c r="L2093" s="17" t="s">
        <v>67</v>
      </c>
      <c r="M2093" s="13" t="s">
        <v>60</v>
      </c>
      <c r="N2093" s="13">
        <v>1</v>
      </c>
      <c r="O2093" s="13"/>
      <c r="P2093" s="33" t="str">
        <f t="shared" si="609"/>
        <v>MAIN UNIT</v>
      </c>
      <c r="Q2093" s="13" t="s">
        <v>61</v>
      </c>
      <c r="R2093" s="13" t="s">
        <v>62</v>
      </c>
      <c r="S2093" s="13" t="s">
        <v>49</v>
      </c>
      <c r="T2093" s="13" t="s">
        <v>78</v>
      </c>
      <c r="U2093" s="13" t="s">
        <v>79</v>
      </c>
      <c r="V2093" s="13" t="s">
        <v>134</v>
      </c>
      <c r="W2093" s="13" t="s">
        <v>1105</v>
      </c>
      <c r="X2093" s="135">
        <v>7300000</v>
      </c>
      <c r="Y2093" s="156">
        <v>1</v>
      </c>
      <c r="Z2093" s="18">
        <f t="shared" si="618"/>
        <v>7300000</v>
      </c>
      <c r="AA2093" s="13">
        <v>7.5700000000000003E-2</v>
      </c>
      <c r="AB2093" s="21">
        <f t="shared" si="603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04"/>
        <v>37969334.083628319</v>
      </c>
      <c r="AJ2093" s="19">
        <f t="shared" si="605"/>
        <v>5097226.4551657084</v>
      </c>
      <c r="AK2093" s="20">
        <f t="shared" si="612"/>
        <v>0.13424587441904964</v>
      </c>
      <c r="AL2093" s="17"/>
      <c r="AM2093" s="17"/>
      <c r="AN2093" s="17"/>
      <c r="AO2093" s="17"/>
      <c r="AP2093" s="28" t="str">
        <f t="shared" si="613"/>
        <v>20208</v>
      </c>
      <c r="AQ2093" s="28" t="str">
        <f t="shared" si="614"/>
        <v>20208JPY</v>
      </c>
      <c r="AR2093" s="206" t="str">
        <f t="shared" si="615"/>
        <v>YAMAHA_Mounter</v>
      </c>
      <c r="AS2093" s="22">
        <f t="shared" si="616"/>
        <v>1</v>
      </c>
      <c r="AT2093" s="24" t="str">
        <f t="shared" si="617"/>
        <v>0-3 months</v>
      </c>
      <c r="AU2093" s="22" t="s">
        <v>3745</v>
      </c>
    </row>
    <row r="2094" spans="1:47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54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2321</v>
      </c>
      <c r="K2094" s="155" t="s">
        <v>2322</v>
      </c>
      <c r="L2094" s="17" t="s">
        <v>92</v>
      </c>
      <c r="M2094" s="13" t="s">
        <v>60</v>
      </c>
      <c r="N2094" s="13">
        <v>1</v>
      </c>
      <c r="O2094" s="13"/>
      <c r="P2094" s="33" t="str">
        <f t="shared" si="609"/>
        <v>MAIN UNIT</v>
      </c>
      <c r="Q2094" s="13" t="s">
        <v>61</v>
      </c>
      <c r="R2094" s="13" t="s">
        <v>62</v>
      </c>
      <c r="S2094" s="13" t="s">
        <v>49</v>
      </c>
      <c r="T2094" s="13" t="s">
        <v>78</v>
      </c>
      <c r="U2094" s="13" t="s">
        <v>79</v>
      </c>
      <c r="V2094" s="13" t="s">
        <v>1407</v>
      </c>
      <c r="W2094" s="13" t="s">
        <v>64</v>
      </c>
      <c r="X2094" s="135">
        <v>840000</v>
      </c>
      <c r="Y2094" s="157" t="str">
        <f>IF(W2094="RMB","1.13", "1")</f>
        <v>1.13</v>
      </c>
      <c r="Z2094" s="18">
        <f t="shared" si="618"/>
        <v>840000</v>
      </c>
      <c r="AA2094" s="13">
        <v>1.08</v>
      </c>
      <c r="AB2094" s="21">
        <f t="shared" si="603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04"/>
        <v>31017966.201968137</v>
      </c>
      <c r="AJ2094" s="19">
        <f t="shared" si="605"/>
        <v>4704250.3347305888</v>
      </c>
      <c r="AK2094" s="20">
        <f t="shared" si="612"/>
        <v>0.15166211427595458</v>
      </c>
      <c r="AL2094" s="17"/>
      <c r="AM2094" s="17"/>
      <c r="AN2094" s="17"/>
      <c r="AO2094" s="17"/>
      <c r="AP2094" s="28" t="str">
        <f t="shared" si="613"/>
        <v>202211</v>
      </c>
      <c r="AQ2094" s="28" t="str">
        <f t="shared" si="614"/>
        <v>202211RMB</v>
      </c>
      <c r="AR2094" s="206" t="str">
        <f t="shared" si="615"/>
        <v>YAMAHA_Mounter</v>
      </c>
      <c r="AS2094" s="22">
        <f t="shared" si="616"/>
        <v>1</v>
      </c>
      <c r="AT2094" s="24" t="str">
        <f t="shared" si="617"/>
        <v>0-3 months</v>
      </c>
      <c r="AU2094" s="22" t="s">
        <v>3751</v>
      </c>
    </row>
    <row r="2095" spans="1:47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3146</v>
      </c>
      <c r="K2095" s="29" t="s">
        <v>2322</v>
      </c>
      <c r="L2095" s="17" t="s">
        <v>92</v>
      </c>
      <c r="M2095" s="22" t="s">
        <v>60</v>
      </c>
      <c r="N2095" s="22">
        <v>1</v>
      </c>
      <c r="O2095" s="22"/>
      <c r="P2095" s="33" t="str">
        <f t="shared" si="609"/>
        <v>MAIN UNIT</v>
      </c>
      <c r="Q2095" s="13" t="s">
        <v>61</v>
      </c>
      <c r="R2095" s="22" t="s">
        <v>62</v>
      </c>
      <c r="S2095" s="22" t="s">
        <v>49</v>
      </c>
      <c r="T2095" s="22" t="s">
        <v>78</v>
      </c>
      <c r="U2095" s="22" t="s">
        <v>78</v>
      </c>
      <c r="V2095" s="22" t="s">
        <v>1407</v>
      </c>
      <c r="W2095" s="22" t="s">
        <v>109</v>
      </c>
      <c r="X2095" s="30">
        <v>12500000</v>
      </c>
      <c r="Y2095" s="31" t="str">
        <f>IF(W2095="","",IF(W2095="RMB","1.13", "1"))</f>
        <v>1</v>
      </c>
      <c r="Z2095" s="18">
        <f t="shared" si="618"/>
        <v>12500000</v>
      </c>
      <c r="AA2095" s="22">
        <v>5.4100000000000002E-2</v>
      </c>
      <c r="AB2095" s="21">
        <f t="shared" si="603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04"/>
        <v>10524262.405309737</v>
      </c>
      <c r="AJ2095" s="27">
        <f t="shared" si="605"/>
        <v>1479050.9527127435</v>
      </c>
      <c r="AK2095" s="28">
        <f t="shared" si="612"/>
        <v>0.14053725532028996</v>
      </c>
      <c r="AL2095" s="24"/>
      <c r="AM2095" s="24"/>
      <c r="AN2095" s="24"/>
      <c r="AO2095" s="24"/>
      <c r="AP2095" s="28" t="str">
        <f t="shared" si="613"/>
        <v>20242</v>
      </c>
      <c r="AQ2095" s="28" t="str">
        <f t="shared" si="614"/>
        <v>20242JPY</v>
      </c>
      <c r="AR2095" s="206" t="str">
        <f t="shared" si="615"/>
        <v>YAMAHA_Mounter</v>
      </c>
      <c r="AS2095" s="22">
        <f t="shared" si="616"/>
        <v>1</v>
      </c>
      <c r="AT2095" s="24" t="str">
        <f t="shared" si="617"/>
        <v>0-3 months</v>
      </c>
      <c r="AU2095" s="22" t="s">
        <v>3745</v>
      </c>
    </row>
    <row r="2096" spans="1:47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55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2485</v>
      </c>
      <c r="K2096" s="155" t="s">
        <v>2486</v>
      </c>
      <c r="L2096" s="17" t="s">
        <v>67</v>
      </c>
      <c r="M2096" s="13" t="s">
        <v>60</v>
      </c>
      <c r="N2096" s="13">
        <v>1</v>
      </c>
      <c r="O2096" s="13"/>
      <c r="P2096" s="33" t="str">
        <f t="shared" si="609"/>
        <v>MAIN UNIT</v>
      </c>
      <c r="Q2096" s="13" t="s">
        <v>68</v>
      </c>
      <c r="R2096" s="13" t="s">
        <v>62</v>
      </c>
      <c r="S2096" s="13" t="s">
        <v>49</v>
      </c>
      <c r="T2096" s="13" t="s">
        <v>78</v>
      </c>
      <c r="U2096" s="13" t="s">
        <v>79</v>
      </c>
      <c r="V2096" s="13" t="s">
        <v>2011</v>
      </c>
      <c r="W2096" s="13" t="s">
        <v>109</v>
      </c>
      <c r="X2096" s="135">
        <v>10000000</v>
      </c>
      <c r="Y2096" s="157" t="str">
        <f>IF(W2096="RMB","1.13", "1")</f>
        <v>1</v>
      </c>
      <c r="Z2096" s="18">
        <f t="shared" si="618"/>
        <v>10000000</v>
      </c>
      <c r="AA2096" s="13">
        <v>0.06</v>
      </c>
      <c r="AB2096" s="21">
        <f t="shared" si="603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04"/>
        <v>30573205.452778768</v>
      </c>
      <c r="AJ2096" s="19">
        <f t="shared" si="605"/>
        <v>3790930.1683151261</v>
      </c>
      <c r="AK2096" s="20">
        <f t="shared" si="612"/>
        <v>0.12399518179964254</v>
      </c>
      <c r="AL2096" s="17"/>
      <c r="AM2096" s="17"/>
      <c r="AN2096" s="17"/>
      <c r="AO2096" s="17"/>
      <c r="AP2096" s="28" t="str">
        <f t="shared" si="613"/>
        <v>20234</v>
      </c>
      <c r="AQ2096" s="28" t="str">
        <f t="shared" si="614"/>
        <v>20234JPY</v>
      </c>
      <c r="AR2096" s="206" t="str">
        <f t="shared" si="615"/>
        <v>YAMAHA_Mounter</v>
      </c>
      <c r="AS2096" s="22">
        <f t="shared" si="616"/>
        <v>0</v>
      </c>
      <c r="AT2096" s="24" t="str">
        <f t="shared" si="617"/>
        <v>0-3 months</v>
      </c>
      <c r="AU2096" s="22" t="s">
        <v>3745</v>
      </c>
    </row>
    <row r="2097" spans="1:47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55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2485</v>
      </c>
      <c r="K2097" s="155" t="s">
        <v>2486</v>
      </c>
      <c r="L2097" s="17" t="s">
        <v>92</v>
      </c>
      <c r="M2097" s="13" t="s">
        <v>60</v>
      </c>
      <c r="N2097" s="13">
        <v>1</v>
      </c>
      <c r="O2097" s="13"/>
      <c r="P2097" s="33" t="str">
        <f t="shared" si="609"/>
        <v>MAIN UNIT</v>
      </c>
      <c r="Q2097" s="13" t="s">
        <v>68</v>
      </c>
      <c r="R2097" s="13" t="s">
        <v>62</v>
      </c>
      <c r="S2097" s="13" t="s">
        <v>49</v>
      </c>
      <c r="T2097" s="13" t="s">
        <v>78</v>
      </c>
      <c r="U2097" s="13" t="s">
        <v>79</v>
      </c>
      <c r="V2097" s="13" t="s">
        <v>2011</v>
      </c>
      <c r="W2097" s="13" t="s">
        <v>109</v>
      </c>
      <c r="X2097" s="135">
        <v>13800000</v>
      </c>
      <c r="Y2097" s="157" t="str">
        <f>IF(W2097="RMB","1.13", "1")</f>
        <v>1</v>
      </c>
      <c r="Z2097" s="18">
        <f t="shared" si="618"/>
        <v>13800000</v>
      </c>
      <c r="AA2097" s="13">
        <v>0.06</v>
      </c>
      <c r="AB2097" s="21">
        <f t="shared" si="603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04"/>
        <v>30573205.452778768</v>
      </c>
      <c r="AJ2097" s="19">
        <f t="shared" si="605"/>
        <v>3790930.1683151261</v>
      </c>
      <c r="AK2097" s="20">
        <f t="shared" si="612"/>
        <v>0.12399518179964254</v>
      </c>
      <c r="AL2097" s="17"/>
      <c r="AM2097" s="17"/>
      <c r="AN2097" s="17"/>
      <c r="AO2097" s="17"/>
      <c r="AP2097" s="28" t="str">
        <f t="shared" si="613"/>
        <v>20234</v>
      </c>
      <c r="AQ2097" s="28" t="str">
        <f t="shared" si="614"/>
        <v>20234JPY</v>
      </c>
      <c r="AR2097" s="206" t="str">
        <f t="shared" si="615"/>
        <v>YAMAHA_Mounter</v>
      </c>
      <c r="AS2097" s="22">
        <f t="shared" si="616"/>
        <v>0</v>
      </c>
      <c r="AT2097" s="24" t="str">
        <f t="shared" si="617"/>
        <v>0-3 months</v>
      </c>
      <c r="AU2097" s="22" t="s">
        <v>3745</v>
      </c>
    </row>
    <row r="2098" spans="1:47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53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1801</v>
      </c>
      <c r="K2098" s="155" t="s">
        <v>1802</v>
      </c>
      <c r="L2098" s="17" t="s">
        <v>67</v>
      </c>
      <c r="M2098" s="13" t="s">
        <v>60</v>
      </c>
      <c r="N2098" s="13">
        <v>1</v>
      </c>
      <c r="O2098" s="13"/>
      <c r="P2098" s="33" t="str">
        <f t="shared" si="609"/>
        <v>MAIN UNIT</v>
      </c>
      <c r="Q2098" s="13" t="s">
        <v>68</v>
      </c>
      <c r="R2098" s="13" t="s">
        <v>62</v>
      </c>
      <c r="S2098" s="13" t="s">
        <v>49</v>
      </c>
      <c r="T2098" s="13" t="s">
        <v>78</v>
      </c>
      <c r="U2098" s="13" t="s">
        <v>79</v>
      </c>
      <c r="V2098" s="13" t="s">
        <v>715</v>
      </c>
      <c r="W2098" s="13" t="s">
        <v>109</v>
      </c>
      <c r="X2098" s="135">
        <v>8800000</v>
      </c>
      <c r="Y2098" s="157" t="str">
        <f>IF(W2098="RMB","1.13", "1")</f>
        <v>1</v>
      </c>
      <c r="Z2098" s="18">
        <f t="shared" si="618"/>
        <v>8800000</v>
      </c>
      <c r="AA2098" s="13">
        <v>7.2099999999999997E-2</v>
      </c>
      <c r="AB2098" s="21">
        <f t="shared" si="603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04"/>
        <v>54700260.692079648</v>
      </c>
      <c r="AJ2098" s="19">
        <f t="shared" si="605"/>
        <v>7482899.5749188727</v>
      </c>
      <c r="AK2098" s="20">
        <f t="shared" si="612"/>
        <v>0.13679824337660537</v>
      </c>
      <c r="AL2098" s="17"/>
      <c r="AM2098" s="17"/>
      <c r="AN2098" s="17"/>
      <c r="AO2098" s="17"/>
      <c r="AP2098" s="28" t="str">
        <f t="shared" si="613"/>
        <v>20216</v>
      </c>
      <c r="AQ2098" s="28" t="str">
        <f t="shared" si="614"/>
        <v>20216JPY</v>
      </c>
      <c r="AR2098" s="206" t="str">
        <f t="shared" si="615"/>
        <v>YAMAHA_Mounter</v>
      </c>
      <c r="AS2098" s="22">
        <f t="shared" si="616"/>
        <v>1</v>
      </c>
      <c r="AT2098" s="24" t="str">
        <f t="shared" si="617"/>
        <v>0-3 months</v>
      </c>
      <c r="AU2098" s="22" t="s">
        <v>3746</v>
      </c>
    </row>
    <row r="2099" spans="1:47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53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1801</v>
      </c>
      <c r="K2099" s="155" t="s">
        <v>1802</v>
      </c>
      <c r="L2099" s="17" t="s">
        <v>92</v>
      </c>
      <c r="M2099" s="13" t="s">
        <v>60</v>
      </c>
      <c r="N2099" s="13">
        <v>1</v>
      </c>
      <c r="O2099" s="13"/>
      <c r="P2099" s="33" t="str">
        <f t="shared" si="609"/>
        <v>MAIN UNIT</v>
      </c>
      <c r="Q2099" s="13" t="s">
        <v>68</v>
      </c>
      <c r="R2099" s="13" t="s">
        <v>62</v>
      </c>
      <c r="S2099" s="13" t="s">
        <v>49</v>
      </c>
      <c r="T2099" s="13" t="s">
        <v>78</v>
      </c>
      <c r="U2099" s="13" t="s">
        <v>79</v>
      </c>
      <c r="V2099" s="13" t="s">
        <v>715</v>
      </c>
      <c r="W2099" s="13" t="s">
        <v>109</v>
      </c>
      <c r="X2099" s="135">
        <v>13000000</v>
      </c>
      <c r="Y2099" s="157" t="str">
        <f>IF(W2099="RMB","1.13", "1")</f>
        <v>1</v>
      </c>
      <c r="Z2099" s="18">
        <f t="shared" si="618"/>
        <v>13000000</v>
      </c>
      <c r="AA2099" s="13">
        <v>6.9199999999999998E-2</v>
      </c>
      <c r="AB2099" s="21">
        <f t="shared" si="603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04"/>
        <v>28726768.133805312</v>
      </c>
      <c r="AJ2099" s="19">
        <f t="shared" si="605"/>
        <v>3853638.1988864429</v>
      </c>
      <c r="AK2099" s="20">
        <f t="shared" si="612"/>
        <v>0.1341479898099476</v>
      </c>
      <c r="AL2099" s="17"/>
      <c r="AM2099" s="17"/>
      <c r="AN2099" s="17"/>
      <c r="AO2099" s="17"/>
      <c r="AP2099" s="28" t="str">
        <f t="shared" si="613"/>
        <v>20223</v>
      </c>
      <c r="AQ2099" s="28" t="str">
        <f t="shared" si="614"/>
        <v>20223JPY</v>
      </c>
      <c r="AR2099" s="206" t="str">
        <f t="shared" si="615"/>
        <v>YAMAHA_Mounter</v>
      </c>
      <c r="AS2099" s="22">
        <f t="shared" si="616"/>
        <v>10</v>
      </c>
      <c r="AT2099" s="24" t="str">
        <f t="shared" si="617"/>
        <v>&gt; 6 months</v>
      </c>
      <c r="AU2099" s="22" t="s">
        <v>3746</v>
      </c>
    </row>
    <row r="2100" spans="1:47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47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1250</v>
      </c>
      <c r="K2100" s="155" t="s">
        <v>1251</v>
      </c>
      <c r="L2100" s="17" t="s">
        <v>92</v>
      </c>
      <c r="M2100" s="13" t="s">
        <v>60</v>
      </c>
      <c r="N2100" s="13">
        <v>1</v>
      </c>
      <c r="O2100" s="13"/>
      <c r="P2100" s="33" t="str">
        <f t="shared" si="609"/>
        <v>MAIN UNIT</v>
      </c>
      <c r="Q2100" s="13" t="s">
        <v>68</v>
      </c>
      <c r="R2100" s="13" t="s">
        <v>62</v>
      </c>
      <c r="S2100" s="13" t="s">
        <v>49</v>
      </c>
      <c r="T2100" s="13" t="s">
        <v>78</v>
      </c>
      <c r="U2100" s="13" t="s">
        <v>79</v>
      </c>
      <c r="V2100" s="13" t="s">
        <v>311</v>
      </c>
      <c r="W2100" s="13" t="s">
        <v>109</v>
      </c>
      <c r="X2100" s="135">
        <v>10800000</v>
      </c>
      <c r="Y2100" s="156">
        <v>1</v>
      </c>
      <c r="Z2100" s="18">
        <f t="shared" si="618"/>
        <v>10800000</v>
      </c>
      <c r="AA2100" s="13">
        <v>7.2999999999999995E-2</v>
      </c>
      <c r="AB2100" s="21">
        <f t="shared" si="603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04"/>
        <v>23168285.927433632</v>
      </c>
      <c r="AJ2100" s="19">
        <f t="shared" si="605"/>
        <v>2764878.916878053</v>
      </c>
      <c r="AK2100" s="20">
        <f t="shared" si="612"/>
        <v>0.11933895004309111</v>
      </c>
      <c r="AL2100" s="17"/>
      <c r="AM2100" s="17"/>
      <c r="AN2100" s="17"/>
      <c r="AO2100" s="17"/>
      <c r="AP2100" s="28" t="str">
        <f t="shared" si="613"/>
        <v>20203</v>
      </c>
      <c r="AQ2100" s="28" t="str">
        <f t="shared" si="614"/>
        <v>20203JPY</v>
      </c>
      <c r="AR2100" s="206" t="str">
        <f t="shared" si="615"/>
        <v>YAMAHA_Mounter</v>
      </c>
      <c r="AS2100" s="22">
        <f t="shared" si="616"/>
        <v>0</v>
      </c>
      <c r="AT2100" s="24" t="str">
        <f t="shared" si="617"/>
        <v>0-3 months</v>
      </c>
      <c r="AU2100" s="22" t="s">
        <v>3745</v>
      </c>
    </row>
    <row r="2101" spans="1:47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55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2567</v>
      </c>
      <c r="K2101" s="155" t="s">
        <v>2568</v>
      </c>
      <c r="L2101" s="17" t="s">
        <v>67</v>
      </c>
      <c r="M2101" s="13" t="s">
        <v>60</v>
      </c>
      <c r="N2101" s="13">
        <v>1</v>
      </c>
      <c r="O2101" s="13"/>
      <c r="P2101" s="33" t="str">
        <f t="shared" si="609"/>
        <v>MAIN UNIT</v>
      </c>
      <c r="Q2101" s="13" t="s">
        <v>68</v>
      </c>
      <c r="R2101" s="13" t="s">
        <v>62</v>
      </c>
      <c r="S2101" s="13" t="s">
        <v>49</v>
      </c>
      <c r="T2101" s="13" t="s">
        <v>78</v>
      </c>
      <c r="U2101" s="13" t="s">
        <v>79</v>
      </c>
      <c r="V2101" s="13" t="s">
        <v>80</v>
      </c>
      <c r="W2101" s="13" t="s">
        <v>64</v>
      </c>
      <c r="X2101" s="135">
        <v>523000</v>
      </c>
      <c r="Y2101" s="157" t="str">
        <f>IF(W2101="RMB","1.13", "1")</f>
        <v>1.13</v>
      </c>
      <c r="Z2101" s="18">
        <f t="shared" si="618"/>
        <v>523000</v>
      </c>
      <c r="AA2101" s="13">
        <v>1.077</v>
      </c>
      <c r="AB2101" s="21">
        <f t="shared" si="603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04"/>
        <v>26078226.463097349</v>
      </c>
      <c r="AJ2101" s="19">
        <f t="shared" si="605"/>
        <v>3137870.4427774516</v>
      </c>
      <c r="AK2101" s="20">
        <f t="shared" si="612"/>
        <v>0.12032530077218917</v>
      </c>
      <c r="AL2101" s="17"/>
      <c r="AM2101" s="17"/>
      <c r="AN2101" s="17"/>
      <c r="AO2101" s="17"/>
      <c r="AP2101" s="28" t="str">
        <f t="shared" si="613"/>
        <v>20239</v>
      </c>
      <c r="AQ2101" s="28" t="str">
        <f t="shared" si="614"/>
        <v>20239RMB</v>
      </c>
      <c r="AR2101" s="206" t="str">
        <f t="shared" si="615"/>
        <v>YAMAHA_Mounter</v>
      </c>
      <c r="AS2101" s="22">
        <f t="shared" si="616"/>
        <v>2</v>
      </c>
      <c r="AT2101" s="24" t="str">
        <f t="shared" si="617"/>
        <v>0-3 months</v>
      </c>
      <c r="AU2101" s="22" t="s">
        <v>3751</v>
      </c>
    </row>
    <row r="2102" spans="1:47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55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2567</v>
      </c>
      <c r="K2102" s="155" t="s">
        <v>2568</v>
      </c>
      <c r="L2102" s="17" t="s">
        <v>67</v>
      </c>
      <c r="M2102" s="13" t="s">
        <v>60</v>
      </c>
      <c r="N2102" s="13">
        <v>1</v>
      </c>
      <c r="O2102" s="13"/>
      <c r="P2102" s="33" t="str">
        <f t="shared" si="609"/>
        <v>MAIN UNIT</v>
      </c>
      <c r="Q2102" s="13" t="s">
        <v>68</v>
      </c>
      <c r="R2102" s="13" t="s">
        <v>62</v>
      </c>
      <c r="S2102" s="13" t="s">
        <v>49</v>
      </c>
      <c r="T2102" s="13" t="s">
        <v>78</v>
      </c>
      <c r="U2102" s="13" t="s">
        <v>79</v>
      </c>
      <c r="V2102" s="13" t="s">
        <v>80</v>
      </c>
      <c r="W2102" s="13" t="s">
        <v>64</v>
      </c>
      <c r="X2102" s="135">
        <v>523000</v>
      </c>
      <c r="Y2102" s="157" t="str">
        <f>IF(W2102="RMB","1.13", "1")</f>
        <v>1.13</v>
      </c>
      <c r="Z2102" s="18">
        <f t="shared" si="618"/>
        <v>523000</v>
      </c>
      <c r="AA2102" s="13">
        <v>1.077</v>
      </c>
      <c r="AB2102" s="21">
        <f t="shared" ref="AB2102:AB2165" si="620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04"/>
        <v>26078226.463097349</v>
      </c>
      <c r="AJ2102" s="19">
        <f t="shared" si="605"/>
        <v>3137870.4427774516</v>
      </c>
      <c r="AK2102" s="20">
        <f t="shared" si="612"/>
        <v>0.12032530077218917</v>
      </c>
      <c r="AL2102" s="17"/>
      <c r="AM2102" s="17"/>
      <c r="AN2102" s="17"/>
      <c r="AO2102" s="17"/>
      <c r="AP2102" s="28" t="str">
        <f t="shared" si="613"/>
        <v>20239</v>
      </c>
      <c r="AQ2102" s="28" t="str">
        <f t="shared" si="614"/>
        <v>20239RMB</v>
      </c>
      <c r="AR2102" s="206" t="str">
        <f t="shared" si="615"/>
        <v>YAMAHA_Mounter</v>
      </c>
      <c r="AS2102" s="22">
        <f t="shared" si="616"/>
        <v>2</v>
      </c>
      <c r="AT2102" s="24" t="str">
        <f t="shared" si="617"/>
        <v>0-3 months</v>
      </c>
      <c r="AU2102" s="22" t="s">
        <v>3751</v>
      </c>
    </row>
    <row r="2103" spans="1:47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53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2983</v>
      </c>
      <c r="K2103" s="155" t="s">
        <v>2984</v>
      </c>
      <c r="L2103" s="17" t="s">
        <v>2837</v>
      </c>
      <c r="M2103" s="13" t="s">
        <v>2832</v>
      </c>
      <c r="N2103" s="13">
        <v>2</v>
      </c>
      <c r="O2103" s="13"/>
      <c r="P2103" s="33" t="str">
        <f t="shared" si="609"/>
        <v>MAIN UNIT</v>
      </c>
      <c r="Q2103" s="13" t="s">
        <v>68</v>
      </c>
      <c r="R2103" s="13" t="s">
        <v>2055</v>
      </c>
      <c r="S2103" s="13" t="s">
        <v>51</v>
      </c>
      <c r="T2103" s="13" t="s">
        <v>2985</v>
      </c>
      <c r="U2103" s="13" t="s">
        <v>149</v>
      </c>
      <c r="V2103" s="13" t="s">
        <v>2833</v>
      </c>
      <c r="W2103" s="13" t="s">
        <v>901</v>
      </c>
      <c r="X2103" s="135">
        <v>68000</v>
      </c>
      <c r="Y2103" s="157" t="str">
        <f>IF(W2103="RMB","1.13", "1")</f>
        <v>1</v>
      </c>
      <c r="Z2103" s="18">
        <f t="shared" si="618"/>
        <v>136000</v>
      </c>
      <c r="AA2103" s="13">
        <v>7.8</v>
      </c>
      <c r="AB2103" s="21">
        <f t="shared" si="620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04"/>
        <v>31750699.113741599</v>
      </c>
      <c r="AJ2103" s="19">
        <f t="shared" si="605"/>
        <v>4396077.3195289988</v>
      </c>
      <c r="AK2103" s="20">
        <f t="shared" si="612"/>
        <v>0.13845607946397598</v>
      </c>
      <c r="AL2103" s="17"/>
      <c r="AM2103" s="17"/>
      <c r="AN2103" s="17"/>
      <c r="AO2103" s="17"/>
      <c r="AP2103" s="28" t="str">
        <f t="shared" si="613"/>
        <v>20222</v>
      </c>
      <c r="AQ2103" s="28" t="str">
        <f t="shared" si="614"/>
        <v>20222USD</v>
      </c>
      <c r="AR2103" s="206" t="str">
        <f t="shared" si="615"/>
        <v>PEMTRON</v>
      </c>
      <c r="AS2103" s="22">
        <f t="shared" si="616"/>
        <v>5</v>
      </c>
      <c r="AT2103" s="24" t="str">
        <f t="shared" si="617"/>
        <v>4-6 months</v>
      </c>
      <c r="AU2103" s="22" t="s">
        <v>3240</v>
      </c>
    </row>
    <row r="2104" spans="1:47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3069</v>
      </c>
      <c r="K2104" s="155" t="s">
        <v>2984</v>
      </c>
      <c r="L2104" s="17" t="s">
        <v>2837</v>
      </c>
      <c r="M2104" s="13" t="s">
        <v>2832</v>
      </c>
      <c r="N2104" s="13">
        <v>2</v>
      </c>
      <c r="O2104" s="13"/>
      <c r="P2104" s="33" t="str">
        <f t="shared" si="609"/>
        <v>MAIN UNIT</v>
      </c>
      <c r="Q2104" s="13" t="s">
        <v>61</v>
      </c>
      <c r="R2104" s="13" t="s">
        <v>2055</v>
      </c>
      <c r="S2104" s="13" t="s">
        <v>51</v>
      </c>
      <c r="T2104" s="13" t="s">
        <v>2985</v>
      </c>
      <c r="U2104" s="13" t="s">
        <v>149</v>
      </c>
      <c r="V2104" s="13" t="s">
        <v>2833</v>
      </c>
      <c r="W2104" s="13" t="s">
        <v>901</v>
      </c>
      <c r="X2104" s="135">
        <v>56750</v>
      </c>
      <c r="Y2104" s="157" t="str">
        <f>IF(W2104="","",IF(W2104="RMB","1.13", "1"))</f>
        <v>1</v>
      </c>
      <c r="Z2104" s="18">
        <f t="shared" si="618"/>
        <v>113500</v>
      </c>
      <c r="AA2104" s="13">
        <v>7.8</v>
      </c>
      <c r="AB2104" s="21">
        <f t="shared" si="620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04"/>
        <v>13640480.497522123</v>
      </c>
      <c r="AJ2104" s="19">
        <f t="shared" si="605"/>
        <v>1928605.8020906283</v>
      </c>
      <c r="AK2104" s="20">
        <f t="shared" si="612"/>
        <v>0.1413884065477731</v>
      </c>
      <c r="AL2104" s="17"/>
      <c r="AM2104" s="17"/>
      <c r="AN2104" s="17"/>
      <c r="AO2104" s="17"/>
      <c r="AP2104" s="28" t="str">
        <f t="shared" si="613"/>
        <v>20236</v>
      </c>
      <c r="AQ2104" s="28" t="str">
        <f t="shared" si="614"/>
        <v>20236USD</v>
      </c>
      <c r="AR2104" s="206" t="str">
        <f t="shared" si="615"/>
        <v>PEMTRON</v>
      </c>
      <c r="AS2104" s="22">
        <f t="shared" si="616"/>
        <v>3</v>
      </c>
      <c r="AT2104" s="24" t="str">
        <f t="shared" si="617"/>
        <v>0-3 months</v>
      </c>
      <c r="AU2104" s="22" t="s">
        <v>3240</v>
      </c>
    </row>
    <row r="2105" spans="1:47" s="12" customFormat="1">
      <c r="A2105" s="33" t="str">
        <f t="shared" si="606"/>
        <v>cancel</v>
      </c>
      <c r="B2105" s="152"/>
      <c r="C2105" s="152" t="s">
        <v>185</v>
      </c>
      <c r="D2105" s="33" t="str">
        <f t="shared" si="607"/>
        <v/>
      </c>
      <c r="E2105" s="33" t="s">
        <v>185</v>
      </c>
      <c r="F2105" s="13" t="s">
        <v>185</v>
      </c>
      <c r="G2105" s="152" t="s">
        <v>1616</v>
      </c>
      <c r="H2105" s="155"/>
      <c r="I2105" s="33" t="str">
        <f t="shared" si="608"/>
        <v>Cancel</v>
      </c>
      <c r="J2105" s="186" t="s">
        <v>1839</v>
      </c>
      <c r="K2105" s="155" t="s">
        <v>2763</v>
      </c>
      <c r="L2105" s="17" t="s">
        <v>92</v>
      </c>
      <c r="M2105" s="13" t="s">
        <v>60</v>
      </c>
      <c r="N2105" s="13">
        <v>1</v>
      </c>
      <c r="O2105" s="13"/>
      <c r="P2105" s="33" t="str">
        <f t="shared" si="609"/>
        <v>MAIN UNIT</v>
      </c>
      <c r="Q2105" s="13" t="s">
        <v>61</v>
      </c>
      <c r="R2105" s="13" t="s">
        <v>62</v>
      </c>
      <c r="S2105" s="13" t="s">
        <v>49</v>
      </c>
      <c r="T2105" s="13" t="s">
        <v>78</v>
      </c>
      <c r="U2105" s="13" t="s">
        <v>79</v>
      </c>
      <c r="V2105" s="13" t="s">
        <v>1713</v>
      </c>
      <c r="W2105" s="13" t="s">
        <v>109</v>
      </c>
      <c r="X2105" s="135">
        <v>12914000</v>
      </c>
      <c r="Y2105" s="157" t="str">
        <f>IF(W2105="RMB","1.13", "1")</f>
        <v>1</v>
      </c>
      <c r="Z2105" s="18">
        <f t="shared" si="618"/>
        <v>12914000</v>
      </c>
      <c r="AA2105" s="13">
        <v>7.2800000000000004E-2</v>
      </c>
      <c r="AB2105" s="21">
        <f t="shared" si="620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04"/>
        <v>499582152.5142017</v>
      </c>
      <c r="AJ2105" s="19">
        <f t="shared" si="605"/>
        <v>59520528.679470733</v>
      </c>
      <c r="AK2105" s="20">
        <f t="shared" si="612"/>
        <v>0.11914062257814291</v>
      </c>
      <c r="AL2105" s="17"/>
      <c r="AM2105" s="17"/>
      <c r="AN2105" s="17"/>
      <c r="AO2105" s="17"/>
      <c r="AP2105" s="28" t="str">
        <f t="shared" si="613"/>
        <v>CancelCANCEL</v>
      </c>
      <c r="AQ2105" s="28" t="str">
        <f t="shared" si="614"/>
        <v>CancelCANCELJPY</v>
      </c>
      <c r="AR2105" s="206" t="str">
        <f t="shared" si="615"/>
        <v>YAMAHA_Mounter</v>
      </c>
      <c r="AS2105" s="22" t="str">
        <f t="shared" si="616"/>
        <v/>
      </c>
      <c r="AT2105" s="24" t="str">
        <f t="shared" si="617"/>
        <v/>
      </c>
      <c r="AU2105" s="22" t="s">
        <v>3745</v>
      </c>
    </row>
    <row r="2106" spans="1:47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53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1704</v>
      </c>
      <c r="K2106" s="155" t="s">
        <v>1705</v>
      </c>
      <c r="L2106" s="17" t="s">
        <v>67</v>
      </c>
      <c r="M2106" s="13" t="s">
        <v>60</v>
      </c>
      <c r="N2106" s="13">
        <v>1</v>
      </c>
      <c r="O2106" s="13"/>
      <c r="P2106" s="33" t="str">
        <f t="shared" si="609"/>
        <v>MAIN UNIT</v>
      </c>
      <c r="Q2106" s="13" t="s">
        <v>68</v>
      </c>
      <c r="R2106" s="13" t="s">
        <v>62</v>
      </c>
      <c r="S2106" s="13" t="s">
        <v>49</v>
      </c>
      <c r="T2106" s="13" t="s">
        <v>78</v>
      </c>
      <c r="U2106" s="13" t="s">
        <v>79</v>
      </c>
      <c r="V2106" s="13" t="s">
        <v>311</v>
      </c>
      <c r="W2106" s="13" t="s">
        <v>109</v>
      </c>
      <c r="X2106" s="135">
        <v>8900000</v>
      </c>
      <c r="Y2106" s="157" t="str">
        <f>IF(W2106="RMB","1.13", "1")</f>
        <v>1</v>
      </c>
      <c r="Z2106" s="18">
        <f t="shared" si="618"/>
        <v>8900000</v>
      </c>
      <c r="AA2106" s="13">
        <v>7.2800000000000004E-2</v>
      </c>
      <c r="AB2106" s="21">
        <f t="shared" si="620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04"/>
        <v>63006605.696460173</v>
      </c>
      <c r="AJ2106" s="19">
        <f t="shared" si="605"/>
        <v>8897485.660753984</v>
      </c>
      <c r="AK2106" s="20">
        <f t="shared" si="612"/>
        <v>0.141215124388995</v>
      </c>
      <c r="AL2106" s="17"/>
      <c r="AM2106" s="17"/>
      <c r="AN2106" s="17"/>
      <c r="AO2106" s="17"/>
      <c r="AP2106" s="28" t="str">
        <f t="shared" si="613"/>
        <v>20215</v>
      </c>
      <c r="AQ2106" s="28" t="str">
        <f t="shared" si="614"/>
        <v>20215JPY</v>
      </c>
      <c r="AR2106" s="206" t="str">
        <f t="shared" si="615"/>
        <v>YAMAHA_Mounter</v>
      </c>
      <c r="AS2106" s="22">
        <f t="shared" si="616"/>
        <v>4</v>
      </c>
      <c r="AT2106" s="24" t="str">
        <f t="shared" si="617"/>
        <v>4-6 months</v>
      </c>
      <c r="AU2106" s="22" t="s">
        <v>3745</v>
      </c>
    </row>
    <row r="2107" spans="1:47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53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1704</v>
      </c>
      <c r="K2107" s="155" t="s">
        <v>1705</v>
      </c>
      <c r="L2107" s="17" t="s">
        <v>92</v>
      </c>
      <c r="M2107" s="13" t="s">
        <v>60</v>
      </c>
      <c r="N2107" s="13">
        <v>1</v>
      </c>
      <c r="O2107" s="13"/>
      <c r="P2107" s="33" t="str">
        <f t="shared" si="609"/>
        <v>MAIN UNIT</v>
      </c>
      <c r="Q2107" s="13" t="s">
        <v>68</v>
      </c>
      <c r="R2107" s="13" t="s">
        <v>62</v>
      </c>
      <c r="S2107" s="13" t="s">
        <v>49</v>
      </c>
      <c r="T2107" s="13" t="s">
        <v>78</v>
      </c>
      <c r="U2107" s="13" t="s">
        <v>79</v>
      </c>
      <c r="V2107" s="13" t="s">
        <v>311</v>
      </c>
      <c r="W2107" s="13" t="s">
        <v>109</v>
      </c>
      <c r="X2107" s="135">
        <v>12000000</v>
      </c>
      <c r="Y2107" s="157" t="str">
        <f>IF(W2107="RMB","1.13", "1")</f>
        <v>1</v>
      </c>
      <c r="Z2107" s="18">
        <f t="shared" si="618"/>
        <v>12000000</v>
      </c>
      <c r="AA2107" s="13">
        <v>7.2800000000000004E-2</v>
      </c>
      <c r="AB2107" s="21">
        <f t="shared" si="620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04"/>
        <v>63006605.696460173</v>
      </c>
      <c r="AJ2107" s="19">
        <f t="shared" si="605"/>
        <v>8897485.660753984</v>
      </c>
      <c r="AK2107" s="20">
        <f t="shared" si="612"/>
        <v>0.141215124388995</v>
      </c>
      <c r="AL2107" s="17"/>
      <c r="AM2107" s="17"/>
      <c r="AN2107" s="17"/>
      <c r="AO2107" s="17"/>
      <c r="AP2107" s="28" t="str">
        <f t="shared" si="613"/>
        <v>20215</v>
      </c>
      <c r="AQ2107" s="28" t="str">
        <f t="shared" si="614"/>
        <v>20215JPY</v>
      </c>
      <c r="AR2107" s="206" t="str">
        <f t="shared" si="615"/>
        <v>YAMAHA_Mounter</v>
      </c>
      <c r="AS2107" s="22">
        <f t="shared" si="616"/>
        <v>4</v>
      </c>
      <c r="AT2107" s="24" t="str">
        <f t="shared" si="617"/>
        <v>4-6 months</v>
      </c>
      <c r="AU2107" s="22" t="s">
        <v>3745</v>
      </c>
    </row>
    <row r="2108" spans="1:47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185</v>
      </c>
      <c r="F2108" s="13" t="s">
        <v>185</v>
      </c>
      <c r="G2108" s="152" t="s">
        <v>185</v>
      </c>
      <c r="H2108" s="155"/>
      <c r="I2108" s="33" t="str">
        <f t="shared" si="608"/>
        <v>Cancel</v>
      </c>
      <c r="J2108" s="186" t="s">
        <v>2622</v>
      </c>
      <c r="K2108" s="155" t="s">
        <v>1705</v>
      </c>
      <c r="L2108" s="17" t="s">
        <v>67</v>
      </c>
      <c r="M2108" s="13" t="s">
        <v>60</v>
      </c>
      <c r="N2108" s="13">
        <v>1</v>
      </c>
      <c r="O2108" s="13"/>
      <c r="P2108" s="33" t="str">
        <f t="shared" si="609"/>
        <v>MAIN UNIT</v>
      </c>
      <c r="Q2108" s="13" t="s">
        <v>61</v>
      </c>
      <c r="R2108" s="13" t="s">
        <v>62</v>
      </c>
      <c r="S2108" s="13" t="s">
        <v>49</v>
      </c>
      <c r="T2108" s="13" t="s">
        <v>78</v>
      </c>
      <c r="U2108" s="13" t="s">
        <v>79</v>
      </c>
      <c r="V2108" s="13" t="s">
        <v>311</v>
      </c>
      <c r="W2108" s="13" t="s">
        <v>109</v>
      </c>
      <c r="X2108" s="135">
        <v>8400000</v>
      </c>
      <c r="Y2108" s="157" t="str">
        <f>IF(W2108="","",IF(W2108="RMB","1.13", "1"))</f>
        <v>1</v>
      </c>
      <c r="Z2108" s="18">
        <f t="shared" si="618"/>
        <v>8400000</v>
      </c>
      <c r="AA2108" s="13">
        <v>5.4199999999999998E-2</v>
      </c>
      <c r="AB2108" s="21">
        <f t="shared" si="620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04"/>
        <v>499582152.5142017</v>
      </c>
      <c r="AJ2108" s="19">
        <f t="shared" si="605"/>
        <v>59520528.679470733</v>
      </c>
      <c r="AK2108" s="20">
        <f t="shared" si="612"/>
        <v>0.11914062257814291</v>
      </c>
      <c r="AL2108" s="17"/>
      <c r="AM2108" s="17"/>
      <c r="AN2108" s="17"/>
      <c r="AO2108" s="17"/>
      <c r="AP2108" s="28" t="str">
        <f t="shared" si="613"/>
        <v>CancelCancel</v>
      </c>
      <c r="AQ2108" s="28" t="str">
        <f t="shared" si="614"/>
        <v>CancelCancelJPY</v>
      </c>
      <c r="AR2108" s="206" t="str">
        <f t="shared" si="615"/>
        <v>YAMAHA_Mounter</v>
      </c>
      <c r="AS2108" s="22" t="str">
        <f t="shared" si="616"/>
        <v/>
      </c>
      <c r="AT2108" s="24" t="str">
        <f t="shared" si="617"/>
        <v/>
      </c>
      <c r="AU2108" s="22" t="s">
        <v>3745</v>
      </c>
    </row>
    <row r="2109" spans="1:47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185</v>
      </c>
      <c r="F2109" s="13" t="s">
        <v>185</v>
      </c>
      <c r="G2109" s="152" t="s">
        <v>185</v>
      </c>
      <c r="H2109" s="155"/>
      <c r="I2109" s="33" t="str">
        <f t="shared" si="608"/>
        <v>Cancel</v>
      </c>
      <c r="J2109" s="186" t="s">
        <v>2622</v>
      </c>
      <c r="K2109" s="155" t="s">
        <v>1705</v>
      </c>
      <c r="L2109" s="17" t="s">
        <v>92</v>
      </c>
      <c r="M2109" s="13" t="s">
        <v>60</v>
      </c>
      <c r="N2109" s="13">
        <v>1</v>
      </c>
      <c r="O2109" s="13"/>
      <c r="P2109" s="33" t="str">
        <f t="shared" si="609"/>
        <v>MAIN UNIT</v>
      </c>
      <c r="Q2109" s="13" t="s">
        <v>61</v>
      </c>
      <c r="R2109" s="13" t="s">
        <v>62</v>
      </c>
      <c r="S2109" s="13" t="s">
        <v>49</v>
      </c>
      <c r="T2109" s="13" t="s">
        <v>78</v>
      </c>
      <c r="U2109" s="13" t="s">
        <v>79</v>
      </c>
      <c r="V2109" s="13" t="s">
        <v>311</v>
      </c>
      <c r="W2109" s="13" t="s">
        <v>109</v>
      </c>
      <c r="X2109" s="135">
        <v>14000000</v>
      </c>
      <c r="Y2109" s="157" t="str">
        <f>IF(W2109="","",IF(W2109="RMB","1.13", "1"))</f>
        <v>1</v>
      </c>
      <c r="Z2109" s="18">
        <f t="shared" si="618"/>
        <v>14000000</v>
      </c>
      <c r="AA2109" s="13">
        <v>5.4199999999999998E-2</v>
      </c>
      <c r="AB2109" s="21">
        <f t="shared" si="620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04"/>
        <v>499582152.5142017</v>
      </c>
      <c r="AJ2109" s="19">
        <f t="shared" si="605"/>
        <v>59520528.679470733</v>
      </c>
      <c r="AK2109" s="20">
        <f t="shared" si="612"/>
        <v>0.11914062257814291</v>
      </c>
      <c r="AL2109" s="17"/>
      <c r="AM2109" s="17"/>
      <c r="AN2109" s="17"/>
      <c r="AO2109" s="17"/>
      <c r="AP2109" s="28" t="str">
        <f t="shared" si="613"/>
        <v>CancelCancel</v>
      </c>
      <c r="AQ2109" s="28" t="str">
        <f t="shared" si="614"/>
        <v>CancelCancelJPY</v>
      </c>
      <c r="AR2109" s="206" t="str">
        <f t="shared" si="615"/>
        <v>YAMAHA_Mounter</v>
      </c>
      <c r="AS2109" s="22" t="str">
        <f t="shared" si="616"/>
        <v/>
      </c>
      <c r="AT2109" s="24" t="str">
        <f t="shared" si="617"/>
        <v/>
      </c>
      <c r="AU2109" s="22" t="s">
        <v>3745</v>
      </c>
    </row>
    <row r="2110" spans="1:47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3364</v>
      </c>
      <c r="K2110" s="29" t="s">
        <v>918</v>
      </c>
      <c r="L2110" s="17" t="s">
        <v>92</v>
      </c>
      <c r="M2110" s="22" t="s">
        <v>60</v>
      </c>
      <c r="N2110" s="22">
        <v>1</v>
      </c>
      <c r="O2110" s="22"/>
      <c r="P2110" s="33" t="str">
        <f t="shared" si="609"/>
        <v>MAIN UNIT</v>
      </c>
      <c r="Q2110" s="13" t="s">
        <v>61</v>
      </c>
      <c r="R2110" s="22" t="s">
        <v>62</v>
      </c>
      <c r="S2110" s="22" t="s">
        <v>49</v>
      </c>
      <c r="T2110" s="22" t="s">
        <v>78</v>
      </c>
      <c r="U2110" s="22" t="s">
        <v>78</v>
      </c>
      <c r="V2110" s="22" t="s">
        <v>112</v>
      </c>
      <c r="W2110" s="22" t="s">
        <v>64</v>
      </c>
      <c r="X2110" s="30">
        <v>788888</v>
      </c>
      <c r="Y2110" s="31" t="str">
        <f>IF(W2110="","",IF(W2110="RMB","1.13", "1"))</f>
        <v>1.13</v>
      </c>
      <c r="Z2110" s="18">
        <f t="shared" si="618"/>
        <v>788888</v>
      </c>
      <c r="AA2110" s="22">
        <v>1.08</v>
      </c>
      <c r="AB2110" s="21">
        <f t="shared" si="620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04"/>
        <v>27308925.887079656</v>
      </c>
      <c r="AJ2110" s="27">
        <f t="shared" si="605"/>
        <v>3319273.860338124</v>
      </c>
      <c r="AK2110" s="28">
        <f t="shared" si="612"/>
        <v>0.12154538314919709</v>
      </c>
      <c r="AL2110" s="24"/>
      <c r="AM2110" s="24"/>
      <c r="AN2110" s="24"/>
      <c r="AO2110" s="24"/>
      <c r="AP2110" s="28" t="str">
        <f t="shared" si="613"/>
        <v>20246</v>
      </c>
      <c r="AQ2110" s="28" t="str">
        <f t="shared" si="614"/>
        <v>20246RMB</v>
      </c>
      <c r="AR2110" s="206" t="str">
        <f t="shared" si="615"/>
        <v>YAMAHA_Mounter</v>
      </c>
      <c r="AS2110" s="22">
        <f t="shared" si="616"/>
        <v>3</v>
      </c>
      <c r="AT2110" s="24" t="str">
        <f t="shared" si="617"/>
        <v>0-3 months</v>
      </c>
      <c r="AU2110" s="22" t="s">
        <v>3751</v>
      </c>
    </row>
    <row r="2111" spans="1:47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3364</v>
      </c>
      <c r="K2111" s="29" t="s">
        <v>918</v>
      </c>
      <c r="L2111" s="17" t="s">
        <v>67</v>
      </c>
      <c r="M2111" s="22" t="s">
        <v>60</v>
      </c>
      <c r="N2111" s="22">
        <v>1</v>
      </c>
      <c r="O2111" s="22"/>
      <c r="P2111" s="33" t="str">
        <f t="shared" si="609"/>
        <v>MAIN UNIT</v>
      </c>
      <c r="Q2111" s="13" t="s">
        <v>61</v>
      </c>
      <c r="R2111" s="22" t="s">
        <v>62</v>
      </c>
      <c r="S2111" s="22" t="s">
        <v>49</v>
      </c>
      <c r="T2111" s="22" t="s">
        <v>78</v>
      </c>
      <c r="U2111" s="22" t="s">
        <v>78</v>
      </c>
      <c r="V2111" s="22" t="s">
        <v>112</v>
      </c>
      <c r="W2111" s="22" t="s">
        <v>64</v>
      </c>
      <c r="X2111" s="30">
        <v>595556</v>
      </c>
      <c r="Y2111" s="31" t="str">
        <f>IF(W2111="","",IF(W2111="RMB","1.13", "1"))</f>
        <v>1.13</v>
      </c>
      <c r="Z2111" s="18">
        <f t="shared" si="618"/>
        <v>595556</v>
      </c>
      <c r="AA2111" s="22">
        <v>1.08</v>
      </c>
      <c r="AB2111" s="21">
        <f t="shared" si="620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04"/>
        <v>27308925.887079656</v>
      </c>
      <c r="AJ2111" s="27">
        <f t="shared" si="605"/>
        <v>3319273.860338124</v>
      </c>
      <c r="AK2111" s="28">
        <f t="shared" si="612"/>
        <v>0.12154538314919709</v>
      </c>
      <c r="AL2111" s="24"/>
      <c r="AM2111" s="24"/>
      <c r="AN2111" s="24"/>
      <c r="AO2111" s="24"/>
      <c r="AP2111" s="28" t="str">
        <f t="shared" si="613"/>
        <v>20246</v>
      </c>
      <c r="AQ2111" s="28" t="str">
        <f t="shared" si="614"/>
        <v>20246RMB</v>
      </c>
      <c r="AR2111" s="206" t="str">
        <f t="shared" si="615"/>
        <v>YAMAHA_Mounter</v>
      </c>
      <c r="AS2111" s="22">
        <f t="shared" si="616"/>
        <v>3</v>
      </c>
      <c r="AT2111" s="24" t="str">
        <f t="shared" si="617"/>
        <v>0-3 months</v>
      </c>
      <c r="AU2111" s="22" t="s">
        <v>3751</v>
      </c>
    </row>
    <row r="2112" spans="1:47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48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1119</v>
      </c>
      <c r="K2112" s="155" t="s">
        <v>1120</v>
      </c>
      <c r="L2112" s="17" t="s">
        <v>92</v>
      </c>
      <c r="M2112" s="13" t="s">
        <v>60</v>
      </c>
      <c r="N2112" s="13">
        <v>1</v>
      </c>
      <c r="O2112" s="13"/>
      <c r="P2112" s="33" t="str">
        <f t="shared" si="609"/>
        <v>MAIN UNIT</v>
      </c>
      <c r="Q2112" s="13" t="s">
        <v>68</v>
      </c>
      <c r="R2112" s="13" t="s">
        <v>62</v>
      </c>
      <c r="S2112" s="13" t="s">
        <v>49</v>
      </c>
      <c r="T2112" s="13" t="s">
        <v>78</v>
      </c>
      <c r="U2112" s="13" t="s">
        <v>79</v>
      </c>
      <c r="V2112" s="13" t="s">
        <v>311</v>
      </c>
      <c r="W2112" s="13" t="s">
        <v>109</v>
      </c>
      <c r="X2112" s="135">
        <v>12365000</v>
      </c>
      <c r="Y2112" s="156">
        <v>1</v>
      </c>
      <c r="Z2112" s="18">
        <f t="shared" si="618"/>
        <v>12365000</v>
      </c>
      <c r="AA2112" s="13">
        <v>7.5700000000000003E-2</v>
      </c>
      <c r="AB2112" s="21">
        <f t="shared" si="620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04"/>
        <v>37969334.083628319</v>
      </c>
      <c r="AJ2112" s="19">
        <f t="shared" si="605"/>
        <v>5097226.4551657084</v>
      </c>
      <c r="AK2112" s="20">
        <f t="shared" si="612"/>
        <v>0.13424587441904964</v>
      </c>
      <c r="AL2112" s="17"/>
      <c r="AM2112" s="17"/>
      <c r="AN2112" s="17"/>
      <c r="AO2112" s="17"/>
      <c r="AP2112" s="28" t="str">
        <f t="shared" si="613"/>
        <v>20208</v>
      </c>
      <c r="AQ2112" s="28" t="str">
        <f t="shared" si="614"/>
        <v>20208JPY</v>
      </c>
      <c r="AR2112" s="206" t="str">
        <f t="shared" si="615"/>
        <v>YAMAHA_Mounter</v>
      </c>
      <c r="AS2112" s="22">
        <f t="shared" si="616"/>
        <v>1</v>
      </c>
      <c r="AT2112" s="24" t="str">
        <f t="shared" si="617"/>
        <v>0-3 months</v>
      </c>
      <c r="AU2112" s="22" t="s">
        <v>3745</v>
      </c>
    </row>
    <row r="2113" spans="1:47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48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1510</v>
      </c>
      <c r="K2113" s="155" t="s">
        <v>1511</v>
      </c>
      <c r="L2113" s="17" t="s">
        <v>92</v>
      </c>
      <c r="M2113" s="13" t="s">
        <v>60</v>
      </c>
      <c r="N2113" s="13">
        <v>1</v>
      </c>
      <c r="O2113" s="13"/>
      <c r="P2113" s="33" t="str">
        <f t="shared" si="609"/>
        <v>MAIN UNIT</v>
      </c>
      <c r="Q2113" s="13" t="s">
        <v>61</v>
      </c>
      <c r="R2113" s="13" t="s">
        <v>62</v>
      </c>
      <c r="S2113" s="13" t="s">
        <v>49</v>
      </c>
      <c r="T2113" s="13" t="s">
        <v>78</v>
      </c>
      <c r="U2113" s="13" t="s">
        <v>79</v>
      </c>
      <c r="V2113" s="13" t="s">
        <v>311</v>
      </c>
      <c r="W2113" s="13" t="s">
        <v>109</v>
      </c>
      <c r="X2113" s="135">
        <v>12575000</v>
      </c>
      <c r="Y2113" s="157" t="str">
        <f>IF(W2113="RMB","1.13", "1")</f>
        <v>1</v>
      </c>
      <c r="Z2113" s="18">
        <f t="shared" si="618"/>
        <v>12575000</v>
      </c>
      <c r="AA2113" s="13">
        <v>7.6799999999999993E-2</v>
      </c>
      <c r="AB2113" s="21">
        <f t="shared" si="620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04"/>
        <v>45803245.025628321</v>
      </c>
      <c r="AJ2113" s="19">
        <f t="shared" si="605"/>
        <v>5664636.2584379362</v>
      </c>
      <c r="AK2113" s="20">
        <f t="shared" si="612"/>
        <v>0.12367325186825515</v>
      </c>
      <c r="AL2113" s="17"/>
      <c r="AM2113" s="17"/>
      <c r="AN2113" s="17"/>
      <c r="AO2113" s="17" t="s">
        <v>1512</v>
      </c>
      <c r="AP2113" s="28" t="str">
        <f t="shared" si="613"/>
        <v>20211</v>
      </c>
      <c r="AQ2113" s="28" t="str">
        <f t="shared" si="614"/>
        <v>20211JPY</v>
      </c>
      <c r="AR2113" s="206" t="str">
        <f t="shared" si="615"/>
        <v>YAMAHA_Mounter</v>
      </c>
      <c r="AS2113" s="22">
        <f t="shared" si="616"/>
        <v>3</v>
      </c>
      <c r="AT2113" s="24" t="str">
        <f t="shared" si="617"/>
        <v>0-3 months</v>
      </c>
      <c r="AU2113" s="22" t="s">
        <v>3745</v>
      </c>
    </row>
    <row r="2114" spans="1:47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54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2217</v>
      </c>
      <c r="K2114" s="155" t="s">
        <v>1511</v>
      </c>
      <c r="L2114" s="17" t="s">
        <v>92</v>
      </c>
      <c r="M2114" s="13" t="s">
        <v>60</v>
      </c>
      <c r="N2114" s="13">
        <v>1</v>
      </c>
      <c r="O2114" s="13"/>
      <c r="P2114" s="33" t="str">
        <f t="shared" si="609"/>
        <v>MAIN UNIT</v>
      </c>
      <c r="Q2114" s="13" t="s">
        <v>61</v>
      </c>
      <c r="R2114" s="13" t="s">
        <v>62</v>
      </c>
      <c r="S2114" s="13" t="s">
        <v>49</v>
      </c>
      <c r="T2114" s="13" t="s">
        <v>78</v>
      </c>
      <c r="U2114" s="13" t="s">
        <v>79</v>
      </c>
      <c r="V2114" s="13" t="s">
        <v>311</v>
      </c>
      <c r="W2114" s="13" t="s">
        <v>109</v>
      </c>
      <c r="X2114" s="135">
        <v>13990000</v>
      </c>
      <c r="Y2114" s="157" t="str">
        <f>IF(W2114="RMB","1.13", "1")</f>
        <v>1</v>
      </c>
      <c r="Z2114" s="18">
        <f t="shared" si="618"/>
        <v>13990000</v>
      </c>
      <c r="AA2114" s="13">
        <v>5.8700000000000002E-2</v>
      </c>
      <c r="AB2114" s="21">
        <f t="shared" si="620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ref="AI2114:AI2177" si="621">IF(P2114="C66 SERVICE","",SUMIFS(AB:AB,F:F,F2114,G:G,G2114,E:E,E2114))</f>
        <v>36480247.665929198</v>
      </c>
      <c r="AJ2114" s="19">
        <f t="shared" ref="AJ2114:AJ2177" si="622">IF(P2114="C66 SERVICE","",SUMIFS(AC:AC,F:F,F2114,G:G,G2114,E:E,E2114))</f>
        <v>5330996.6372757526</v>
      </c>
      <c r="AK2114" s="20">
        <f t="shared" si="612"/>
        <v>0.14613378412599562</v>
      </c>
      <c r="AL2114" s="17"/>
      <c r="AM2114" s="17"/>
      <c r="AN2114" s="17"/>
      <c r="AO2114" s="17"/>
      <c r="AP2114" s="28" t="str">
        <f t="shared" si="613"/>
        <v>20227</v>
      </c>
      <c r="AQ2114" s="28" t="str">
        <f t="shared" si="614"/>
        <v>20227JPY</v>
      </c>
      <c r="AR2114" s="206" t="str">
        <f t="shared" si="615"/>
        <v>YAMAHA_Mounter</v>
      </c>
      <c r="AS2114" s="22">
        <f t="shared" si="616"/>
        <v>4</v>
      </c>
      <c r="AT2114" s="24" t="str">
        <f t="shared" si="617"/>
        <v>4-6 months</v>
      </c>
      <c r="AU2114" s="22" t="s">
        <v>3745</v>
      </c>
    </row>
    <row r="2115" spans="1:47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55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2558</v>
      </c>
      <c r="K2115" s="155" t="s">
        <v>2559</v>
      </c>
      <c r="L2115" s="17" t="s">
        <v>67</v>
      </c>
      <c r="M2115" s="13" t="s">
        <v>60</v>
      </c>
      <c r="N2115" s="13">
        <v>1</v>
      </c>
      <c r="O2115" s="13"/>
      <c r="P2115" s="33" t="str">
        <f t="shared" si="609"/>
        <v>MAIN UNIT</v>
      </c>
      <c r="Q2115" s="13" t="s">
        <v>61</v>
      </c>
      <c r="R2115" s="13" t="s">
        <v>62</v>
      </c>
      <c r="S2115" s="13" t="s">
        <v>50</v>
      </c>
      <c r="T2115" s="13" t="s">
        <v>88</v>
      </c>
      <c r="U2115" s="13" t="s">
        <v>70</v>
      </c>
      <c r="V2115" s="13" t="s">
        <v>94</v>
      </c>
      <c r="W2115" s="13" t="s">
        <v>64</v>
      </c>
      <c r="X2115" s="135">
        <v>480000</v>
      </c>
      <c r="Y2115" s="157" t="str">
        <f>IF(W2115="RMB","1.13", "1")</f>
        <v>1.13</v>
      </c>
      <c r="Z2115" s="18">
        <f t="shared" si="618"/>
        <v>480000</v>
      </c>
      <c r="AA2115" s="13">
        <v>1.0920000000000001</v>
      </c>
      <c r="AB2115" s="21">
        <f t="shared" si="620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21"/>
        <v>22953677.784070797</v>
      </c>
      <c r="AJ2115" s="19">
        <f t="shared" si="622"/>
        <v>4168706.6744155753</v>
      </c>
      <c r="AK2115" s="20">
        <f t="shared" si="612"/>
        <v>0.18161388835511752</v>
      </c>
      <c r="AL2115" s="17"/>
      <c r="AM2115" s="17"/>
      <c r="AN2115" s="17"/>
      <c r="AO2115" s="17"/>
      <c r="AP2115" s="28" t="str">
        <f t="shared" si="613"/>
        <v>20238</v>
      </c>
      <c r="AQ2115" s="28" t="str">
        <f t="shared" si="614"/>
        <v>20238RMB</v>
      </c>
      <c r="AR2115" s="206" t="str">
        <f t="shared" si="615"/>
        <v>YAMAHA_Mounter</v>
      </c>
      <c r="AS2115" s="22">
        <f t="shared" si="616"/>
        <v>0</v>
      </c>
      <c r="AT2115" s="24" t="str">
        <f t="shared" si="617"/>
        <v>0-3 months</v>
      </c>
      <c r="AU2115" s="22" t="s">
        <v>3240</v>
      </c>
    </row>
    <row r="2116" spans="1:47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54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2995</v>
      </c>
      <c r="K2116" s="155" t="s">
        <v>2559</v>
      </c>
      <c r="L2116" s="17" t="s">
        <v>2620</v>
      </c>
      <c r="M2116" s="13" t="s">
        <v>60</v>
      </c>
      <c r="N2116" s="13">
        <v>1</v>
      </c>
      <c r="O2116" s="13"/>
      <c r="P2116" s="33" t="str">
        <f t="shared" si="609"/>
        <v>MAIN UNIT</v>
      </c>
      <c r="Q2116" s="13" t="s">
        <v>61</v>
      </c>
      <c r="R2116" s="13" t="s">
        <v>2055</v>
      </c>
      <c r="S2116" s="13" t="s">
        <v>50</v>
      </c>
      <c r="T2116" s="13" t="s">
        <v>88</v>
      </c>
      <c r="U2116" s="13" t="s">
        <v>70</v>
      </c>
      <c r="V2116" s="13" t="s">
        <v>94</v>
      </c>
      <c r="W2116" s="13" t="s">
        <v>64</v>
      </c>
      <c r="X2116" s="135">
        <v>700000</v>
      </c>
      <c r="Y2116" s="157" t="str">
        <f>IF(W2116="RMB","1.13", "1")</f>
        <v>1.13</v>
      </c>
      <c r="Z2116" s="18">
        <f t="shared" si="618"/>
        <v>700000</v>
      </c>
      <c r="AA2116" s="13">
        <v>1.22</v>
      </c>
      <c r="AB2116" s="21">
        <f t="shared" si="620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21"/>
        <v>46600814.041769907</v>
      </c>
      <c r="AJ2116" s="19">
        <f t="shared" si="622"/>
        <v>5956366.3435927071</v>
      </c>
      <c r="AK2116" s="20">
        <f t="shared" si="612"/>
        <v>0.1278167874546958</v>
      </c>
      <c r="AL2116" s="17"/>
      <c r="AM2116" s="17"/>
      <c r="AN2116" s="17"/>
      <c r="AO2116" s="17"/>
      <c r="AP2116" s="28" t="str">
        <f t="shared" si="613"/>
        <v>20224</v>
      </c>
      <c r="AQ2116" s="28" t="str">
        <f t="shared" si="614"/>
        <v>20224RMB</v>
      </c>
      <c r="AR2116" s="206" t="str">
        <f t="shared" si="615"/>
        <v>YAMAHA_Non_Mounter</v>
      </c>
      <c r="AS2116" s="22">
        <f t="shared" si="616"/>
        <v>1</v>
      </c>
      <c r="AT2116" s="24" t="str">
        <f t="shared" si="617"/>
        <v>0-3 months</v>
      </c>
      <c r="AU2116" s="22" t="s">
        <v>3240</v>
      </c>
    </row>
    <row r="2117" spans="1:47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48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1056</v>
      </c>
      <c r="K2117" s="155" t="s">
        <v>1057</v>
      </c>
      <c r="L2117" s="17" t="s">
        <v>67</v>
      </c>
      <c r="M2117" s="13" t="s">
        <v>60</v>
      </c>
      <c r="N2117" s="13">
        <v>1</v>
      </c>
      <c r="O2117" s="13"/>
      <c r="P2117" s="33" t="str">
        <f t="shared" si="609"/>
        <v>MAIN UNIT</v>
      </c>
      <c r="Q2117" s="13" t="s">
        <v>68</v>
      </c>
      <c r="R2117" s="13" t="s">
        <v>62</v>
      </c>
      <c r="S2117" s="13" t="s">
        <v>50</v>
      </c>
      <c r="T2117" s="13" t="s">
        <v>88</v>
      </c>
      <c r="U2117" s="13" t="s">
        <v>70</v>
      </c>
      <c r="V2117" s="13" t="s">
        <v>94</v>
      </c>
      <c r="W2117" s="13" t="s">
        <v>64</v>
      </c>
      <c r="X2117" s="135">
        <v>580000</v>
      </c>
      <c r="Y2117" s="156" t="s">
        <v>1058</v>
      </c>
      <c r="Z2117" s="18">
        <f t="shared" si="618"/>
        <v>580000</v>
      </c>
      <c r="AA2117" s="13">
        <v>1.095</v>
      </c>
      <c r="AB2117" s="21">
        <f t="shared" si="620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21"/>
        <v>33477255.428389374</v>
      </c>
      <c r="AJ2117" s="19">
        <f t="shared" si="622"/>
        <v>4578663.362915583</v>
      </c>
      <c r="AK2117" s="20">
        <f t="shared" si="612"/>
        <v>0.13676937682988152</v>
      </c>
      <c r="AL2117" s="17"/>
      <c r="AM2117" s="17"/>
      <c r="AN2117" s="17"/>
      <c r="AO2117" s="17"/>
      <c r="AP2117" s="28" t="str">
        <f t="shared" si="613"/>
        <v>20204</v>
      </c>
      <c r="AQ2117" s="28" t="str">
        <f t="shared" si="614"/>
        <v>20204RMB</v>
      </c>
      <c r="AR2117" s="206" t="str">
        <f t="shared" si="615"/>
        <v>YAMAHA_Mounter</v>
      </c>
      <c r="AS2117" s="22">
        <f t="shared" si="616"/>
        <v>1</v>
      </c>
      <c r="AT2117" s="24" t="str">
        <f t="shared" si="617"/>
        <v>0-3 months</v>
      </c>
      <c r="AU2117" s="22" t="s">
        <v>3240</v>
      </c>
    </row>
    <row r="2118" spans="1:47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48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1073</v>
      </c>
      <c r="K2118" s="155" t="s">
        <v>1057</v>
      </c>
      <c r="L2118" s="17" t="s">
        <v>92</v>
      </c>
      <c r="M2118" s="13" t="s">
        <v>60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61</v>
      </c>
      <c r="R2118" s="13" t="s">
        <v>62</v>
      </c>
      <c r="S2118" s="13" t="s">
        <v>50</v>
      </c>
      <c r="T2118" s="13" t="s">
        <v>88</v>
      </c>
      <c r="U2118" s="13" t="s">
        <v>70</v>
      </c>
      <c r="V2118" s="13" t="s">
        <v>94</v>
      </c>
      <c r="W2118" s="13" t="s">
        <v>64</v>
      </c>
      <c r="X2118" s="135">
        <v>770000</v>
      </c>
      <c r="Y2118" s="156" t="s">
        <v>1058</v>
      </c>
      <c r="Z2118" s="18">
        <f t="shared" si="618"/>
        <v>770000</v>
      </c>
      <c r="AA2118" s="13">
        <v>1.095</v>
      </c>
      <c r="AB2118" s="21">
        <f t="shared" si="620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si="621"/>
        <v>33477255.428389374</v>
      </c>
      <c r="AJ2118" s="19">
        <f t="shared" si="622"/>
        <v>4578663.362915583</v>
      </c>
      <c r="AK2118" s="20">
        <f t="shared" ref="AK2118:AK2181" si="629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0">IF(F2118="","",F2118&amp;G2118)</f>
        <v>20204</v>
      </c>
      <c r="AQ2118" s="28" t="str">
        <f t="shared" ref="AQ2118:AQ2181" si="631">IF(W2118="","",F2118&amp;G2118&amp;W2118)</f>
        <v>20204RMB</v>
      </c>
      <c r="AR2118" s="206" t="str">
        <f t="shared" ref="AR2118:AR2181" si="632">IFERROR(IF(AND(M2118="YAMAHA", R2118="C28"), "YAMAHA_Non_Mounter", IF(AND(M2118="YAMAHA", R2118="C49"), "YAMAHA_Mounter", M2118)),"")</f>
        <v>YAMAHA_Mounter</v>
      </c>
      <c r="AS2118" s="22">
        <f t="shared" ref="AS2118:AS2181" si="633">IFERROR(IF(OR(G2118="TBA", G2118=""), "", DATEDIF(DATE(B2118, C2118, 1), DATE(F2118, G2118, 1), "M")),"")</f>
        <v>0</v>
      </c>
      <c r="AT2118" s="24" t="str">
        <f t="shared" ref="AT2118:AT2181" si="634">IF(ISNUMBER(AS2118), IF(AS2118&gt;=0, IF(AS2118&lt;=3, "0-3 months", IF(AS2118&lt;=6, "4-6 months", "&gt; 6 months"))), "")</f>
        <v>0-3 months</v>
      </c>
      <c r="AU2118" s="22" t="s">
        <v>3240</v>
      </c>
    </row>
    <row r="2119" spans="1:47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54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2310</v>
      </c>
      <c r="K2119" s="155" t="s">
        <v>1057</v>
      </c>
      <c r="L2119" s="17" t="s">
        <v>92</v>
      </c>
      <c r="M2119" s="13" t="s">
        <v>60</v>
      </c>
      <c r="N2119" s="13">
        <v>1</v>
      </c>
      <c r="O2119" s="13"/>
      <c r="P2119" s="33" t="str">
        <f t="shared" si="626"/>
        <v>MAIN UNIT</v>
      </c>
      <c r="Q2119" s="13" t="s">
        <v>61</v>
      </c>
      <c r="R2119" s="13" t="s">
        <v>62</v>
      </c>
      <c r="S2119" s="13" t="s">
        <v>50</v>
      </c>
      <c r="T2119" s="13" t="s">
        <v>88</v>
      </c>
      <c r="U2119" s="13" t="s">
        <v>70</v>
      </c>
      <c r="V2119" s="13" t="s">
        <v>94</v>
      </c>
      <c r="W2119" s="13" t="s">
        <v>64</v>
      </c>
      <c r="X2119" s="135">
        <v>1133889</v>
      </c>
      <c r="Y2119" s="157" t="str">
        <f>IF(W2119="RMB","1.13", "1")</f>
        <v>1.13</v>
      </c>
      <c r="Z2119" s="18">
        <f t="shared" si="618"/>
        <v>1133889</v>
      </c>
      <c r="AA2119" s="13">
        <v>1.08</v>
      </c>
      <c r="AB2119" s="21">
        <f t="shared" si="620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1"/>
        <v>31017966.201968137</v>
      </c>
      <c r="AJ2119" s="19">
        <f t="shared" si="622"/>
        <v>4704250.3347305888</v>
      </c>
      <c r="AK2119" s="20">
        <f t="shared" si="629"/>
        <v>0.15166211427595458</v>
      </c>
      <c r="AL2119" s="17"/>
      <c r="AM2119" s="17"/>
      <c r="AN2119" s="17"/>
      <c r="AO2119" s="17"/>
      <c r="AP2119" s="28" t="str">
        <f t="shared" si="630"/>
        <v>202211</v>
      </c>
      <c r="AQ2119" s="28" t="str">
        <f t="shared" si="631"/>
        <v>202211RMB</v>
      </c>
      <c r="AR2119" s="206" t="str">
        <f t="shared" si="632"/>
        <v>YAMAHA_Mounter</v>
      </c>
      <c r="AS2119" s="22">
        <f t="shared" si="633"/>
        <v>3</v>
      </c>
      <c r="AT2119" s="24" t="str">
        <f t="shared" si="634"/>
        <v>0-3 months</v>
      </c>
      <c r="AU2119" s="22" t="s">
        <v>3240</v>
      </c>
    </row>
    <row r="2120" spans="1:47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54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2310</v>
      </c>
      <c r="K2120" s="155" t="s">
        <v>1057</v>
      </c>
      <c r="L2120" s="17" t="s">
        <v>67</v>
      </c>
      <c r="M2120" s="13" t="s">
        <v>60</v>
      </c>
      <c r="N2120" s="13">
        <v>1</v>
      </c>
      <c r="O2120" s="13"/>
      <c r="P2120" s="33" t="str">
        <f t="shared" si="626"/>
        <v>MAIN UNIT</v>
      </c>
      <c r="Q2120" s="13" t="s">
        <v>61</v>
      </c>
      <c r="R2120" s="13" t="s">
        <v>62</v>
      </c>
      <c r="S2120" s="13" t="s">
        <v>50</v>
      </c>
      <c r="T2120" s="13" t="s">
        <v>88</v>
      </c>
      <c r="U2120" s="13" t="s">
        <v>70</v>
      </c>
      <c r="V2120" s="13" t="s">
        <v>94</v>
      </c>
      <c r="W2120" s="13" t="s">
        <v>64</v>
      </c>
      <c r="X2120" s="135">
        <v>545000</v>
      </c>
      <c r="Y2120" s="157" t="str">
        <f>IF(W2120="RMB","1.13", "1")</f>
        <v>1.13</v>
      </c>
      <c r="Z2120" s="18">
        <f t="shared" si="618"/>
        <v>545000</v>
      </c>
      <c r="AA2120" s="13">
        <v>1.08</v>
      </c>
      <c r="AB2120" s="21">
        <f t="shared" si="620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1"/>
        <v>31017966.201968137</v>
      </c>
      <c r="AJ2120" s="19">
        <f t="shared" si="622"/>
        <v>4704250.3347305888</v>
      </c>
      <c r="AK2120" s="20">
        <f t="shared" si="629"/>
        <v>0.15166211427595458</v>
      </c>
      <c r="AL2120" s="17"/>
      <c r="AM2120" s="17"/>
      <c r="AN2120" s="17"/>
      <c r="AO2120" s="17"/>
      <c r="AP2120" s="28" t="str">
        <f t="shared" si="630"/>
        <v>202211</v>
      </c>
      <c r="AQ2120" s="28" t="str">
        <f t="shared" si="631"/>
        <v>202211RMB</v>
      </c>
      <c r="AR2120" s="206" t="str">
        <f t="shared" si="632"/>
        <v>YAMAHA_Mounter</v>
      </c>
      <c r="AS2120" s="22">
        <f t="shared" si="633"/>
        <v>3</v>
      </c>
      <c r="AT2120" s="24" t="str">
        <f t="shared" si="634"/>
        <v>0-3 months</v>
      </c>
      <c r="AU2120" s="22" t="s">
        <v>3240</v>
      </c>
    </row>
    <row r="2121" spans="1:47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54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2310</v>
      </c>
      <c r="K2121" s="155" t="s">
        <v>1057</v>
      </c>
      <c r="L2121" s="17" t="s">
        <v>67</v>
      </c>
      <c r="M2121" s="13" t="s">
        <v>60</v>
      </c>
      <c r="N2121" s="13">
        <v>1</v>
      </c>
      <c r="O2121" s="13"/>
      <c r="P2121" s="33" t="str">
        <f t="shared" si="626"/>
        <v>MAIN UNIT</v>
      </c>
      <c r="Q2121" s="13" t="s">
        <v>61</v>
      </c>
      <c r="R2121" s="13" t="s">
        <v>62</v>
      </c>
      <c r="S2121" s="13" t="s">
        <v>50</v>
      </c>
      <c r="T2121" s="13" t="s">
        <v>88</v>
      </c>
      <c r="U2121" s="13" t="s">
        <v>70</v>
      </c>
      <c r="V2121" s="13" t="s">
        <v>94</v>
      </c>
      <c r="W2121" s="13" t="s">
        <v>64</v>
      </c>
      <c r="X2121" s="135">
        <v>680000</v>
      </c>
      <c r="Y2121" s="157" t="str">
        <f>IF(W2121="RMB","1.13", "1")</f>
        <v>1.13</v>
      </c>
      <c r="Z2121" s="18">
        <f t="shared" si="618"/>
        <v>680000</v>
      </c>
      <c r="AA2121" s="13">
        <v>1.08</v>
      </c>
      <c r="AB2121" s="21">
        <f t="shared" si="620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1"/>
        <v>31017966.201968137</v>
      </c>
      <c r="AJ2121" s="19">
        <f t="shared" si="622"/>
        <v>4704250.3347305888</v>
      </c>
      <c r="AK2121" s="20">
        <f t="shared" si="629"/>
        <v>0.15166211427595458</v>
      </c>
      <c r="AL2121" s="17"/>
      <c r="AM2121" s="17"/>
      <c r="AN2121" s="17"/>
      <c r="AO2121" s="17"/>
      <c r="AP2121" s="28" t="str">
        <f t="shared" si="630"/>
        <v>202211</v>
      </c>
      <c r="AQ2121" s="28" t="str">
        <f t="shared" si="631"/>
        <v>202211RMB</v>
      </c>
      <c r="AR2121" s="206" t="str">
        <f t="shared" si="632"/>
        <v>YAMAHA_Mounter</v>
      </c>
      <c r="AS2121" s="22">
        <f t="shared" si="633"/>
        <v>3</v>
      </c>
      <c r="AT2121" s="24" t="str">
        <f t="shared" si="634"/>
        <v>0-3 months</v>
      </c>
      <c r="AU2121" s="22" t="s">
        <v>3240</v>
      </c>
    </row>
    <row r="2122" spans="1:47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48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2895</v>
      </c>
      <c r="K2122" s="155" t="s">
        <v>1057</v>
      </c>
      <c r="L2122" s="17" t="s">
        <v>2620</v>
      </c>
      <c r="M2122" s="13" t="s">
        <v>60</v>
      </c>
      <c r="N2122" s="13">
        <v>2</v>
      </c>
      <c r="O2122" s="13"/>
      <c r="P2122" s="33" t="str">
        <f t="shared" si="626"/>
        <v>MAIN UNIT</v>
      </c>
      <c r="Q2122" s="13" t="s">
        <v>61</v>
      </c>
      <c r="R2122" s="13" t="s">
        <v>2055</v>
      </c>
      <c r="S2122" s="13" t="s">
        <v>50</v>
      </c>
      <c r="T2122" s="13" t="s">
        <v>88</v>
      </c>
      <c r="U2122" s="13" t="s">
        <v>70</v>
      </c>
      <c r="V2122" s="13" t="s">
        <v>94</v>
      </c>
      <c r="W2122" s="13" t="s">
        <v>64</v>
      </c>
      <c r="X2122" s="135">
        <v>475000</v>
      </c>
      <c r="Y2122" s="157" t="str">
        <f>IF(W2122="RMB","1.13", "1")</f>
        <v>1.13</v>
      </c>
      <c r="Z2122" s="18">
        <f t="shared" ref="Z2122:Z2185" si="635">IF(X2122="","",X2122*MAX(O2122,N2122))</f>
        <v>950000</v>
      </c>
      <c r="AA2122" s="13">
        <v>1.105</v>
      </c>
      <c r="AB2122" s="21">
        <f t="shared" si="620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1"/>
        <v>37969334.083628319</v>
      </c>
      <c r="AJ2122" s="19">
        <f t="shared" si="622"/>
        <v>5097226.4551657084</v>
      </c>
      <c r="AK2122" s="20">
        <f t="shared" si="629"/>
        <v>0.13424587441904964</v>
      </c>
      <c r="AL2122" s="17"/>
      <c r="AM2122" s="17"/>
      <c r="AN2122" s="17"/>
      <c r="AO2122" s="17"/>
      <c r="AP2122" s="28" t="str">
        <f t="shared" si="630"/>
        <v>20208</v>
      </c>
      <c r="AQ2122" s="28" t="str">
        <f t="shared" si="631"/>
        <v>20208RMB</v>
      </c>
      <c r="AR2122" s="206" t="str">
        <f t="shared" si="632"/>
        <v>YAMAHA_Non_Mounter</v>
      </c>
      <c r="AS2122" s="22">
        <f t="shared" si="633"/>
        <v>3</v>
      </c>
      <c r="AT2122" s="24" t="str">
        <f t="shared" si="634"/>
        <v>0-3 months</v>
      </c>
      <c r="AU2122" s="22" t="s">
        <v>3240</v>
      </c>
    </row>
    <row r="2123" spans="1:47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54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2310</v>
      </c>
      <c r="K2123" s="155" t="s">
        <v>1057</v>
      </c>
      <c r="L2123" s="17" t="s">
        <v>2620</v>
      </c>
      <c r="M2123" s="13" t="s">
        <v>60</v>
      </c>
      <c r="N2123" s="13">
        <v>1</v>
      </c>
      <c r="O2123" s="13"/>
      <c r="P2123" s="33" t="str">
        <f t="shared" si="626"/>
        <v>MAIN UNIT</v>
      </c>
      <c r="Q2123" s="13" t="s">
        <v>61</v>
      </c>
      <c r="R2123" s="13" t="s">
        <v>2055</v>
      </c>
      <c r="S2123" s="13" t="s">
        <v>50</v>
      </c>
      <c r="T2123" s="13" t="s">
        <v>88</v>
      </c>
      <c r="U2123" s="13" t="s">
        <v>70</v>
      </c>
      <c r="V2123" s="13" t="s">
        <v>94</v>
      </c>
      <c r="W2123" s="13" t="s">
        <v>64</v>
      </c>
      <c r="X2123" s="135">
        <v>600000</v>
      </c>
      <c r="Y2123" s="157" t="str">
        <f>IF(W2123="","",IF(W2123="RMB","1.13", "1"))</f>
        <v>1.13</v>
      </c>
      <c r="Z2123" s="18">
        <f t="shared" si="635"/>
        <v>600000</v>
      </c>
      <c r="AA2123" s="13">
        <v>1.08</v>
      </c>
      <c r="AB2123" s="21">
        <f t="shared" si="620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1"/>
        <v>31017966.201968137</v>
      </c>
      <c r="AJ2123" s="19">
        <f t="shared" si="622"/>
        <v>4704250.3347305888</v>
      </c>
      <c r="AK2123" s="20">
        <f t="shared" si="629"/>
        <v>0.15166211427595458</v>
      </c>
      <c r="AL2123" s="17"/>
      <c r="AM2123" s="17"/>
      <c r="AN2123" s="17"/>
      <c r="AO2123" s="17"/>
      <c r="AP2123" s="28" t="str">
        <f t="shared" si="630"/>
        <v>202211</v>
      </c>
      <c r="AQ2123" s="28" t="str">
        <f t="shared" si="631"/>
        <v>202211RMB</v>
      </c>
      <c r="AR2123" s="206" t="str">
        <f t="shared" si="632"/>
        <v>YAMAHA_Non_Mounter</v>
      </c>
      <c r="AS2123" s="22">
        <f t="shared" si="633"/>
        <v>3</v>
      </c>
      <c r="AT2123" s="24" t="str">
        <f t="shared" si="634"/>
        <v>0-3 months</v>
      </c>
      <c r="AU2123" s="22" t="s">
        <v>3240</v>
      </c>
    </row>
    <row r="2124" spans="1:47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54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2310</v>
      </c>
      <c r="K2124" s="155" t="s">
        <v>1057</v>
      </c>
      <c r="L2124" s="17" t="s">
        <v>2620</v>
      </c>
      <c r="M2124" s="13" t="s">
        <v>60</v>
      </c>
      <c r="N2124" s="13">
        <v>1</v>
      </c>
      <c r="O2124" s="13"/>
      <c r="P2124" s="33" t="str">
        <f t="shared" si="626"/>
        <v>MAIN UNIT</v>
      </c>
      <c r="Q2124" s="13" t="s">
        <v>61</v>
      </c>
      <c r="R2124" s="13" t="s">
        <v>2055</v>
      </c>
      <c r="S2124" s="13" t="s">
        <v>50</v>
      </c>
      <c r="T2124" s="13" t="s">
        <v>88</v>
      </c>
      <c r="U2124" s="13" t="s">
        <v>70</v>
      </c>
      <c r="V2124" s="13" t="s">
        <v>94</v>
      </c>
      <c r="W2124" s="13" t="s">
        <v>64</v>
      </c>
      <c r="X2124" s="135">
        <v>600000</v>
      </c>
      <c r="Y2124" s="157" t="str">
        <f>IF(W2124="","",IF(W2124="RMB","1.13", "1"))</f>
        <v>1.13</v>
      </c>
      <c r="Z2124" s="18">
        <f t="shared" si="635"/>
        <v>600000</v>
      </c>
      <c r="AA2124" s="13">
        <v>1.08</v>
      </c>
      <c r="AB2124" s="21">
        <f t="shared" si="620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1"/>
        <v>31017966.201968137</v>
      </c>
      <c r="AJ2124" s="19">
        <f t="shared" si="622"/>
        <v>4704250.3347305888</v>
      </c>
      <c r="AK2124" s="20">
        <f t="shared" si="629"/>
        <v>0.15166211427595458</v>
      </c>
      <c r="AL2124" s="17"/>
      <c r="AM2124" s="17"/>
      <c r="AN2124" s="17"/>
      <c r="AO2124" s="17"/>
      <c r="AP2124" s="28" t="str">
        <f t="shared" si="630"/>
        <v>202211</v>
      </c>
      <c r="AQ2124" s="28" t="str">
        <f t="shared" si="631"/>
        <v>202211RMB</v>
      </c>
      <c r="AR2124" s="206" t="str">
        <f t="shared" si="632"/>
        <v>YAMAHA_Non_Mounter</v>
      </c>
      <c r="AS2124" s="22">
        <f t="shared" si="633"/>
        <v>3</v>
      </c>
      <c r="AT2124" s="24" t="str">
        <f t="shared" si="634"/>
        <v>0-3 months</v>
      </c>
      <c r="AU2124" s="22" t="s">
        <v>3240</v>
      </c>
    </row>
    <row r="2125" spans="1:47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54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2310</v>
      </c>
      <c r="K2125" s="155" t="s">
        <v>1057</v>
      </c>
      <c r="L2125" s="17" t="s">
        <v>2620</v>
      </c>
      <c r="M2125" s="13" t="s">
        <v>60</v>
      </c>
      <c r="N2125" s="13">
        <v>1</v>
      </c>
      <c r="O2125" s="13"/>
      <c r="P2125" s="33" t="str">
        <f t="shared" si="626"/>
        <v>MAIN UNIT</v>
      </c>
      <c r="Q2125" s="13" t="s">
        <v>61</v>
      </c>
      <c r="R2125" s="13" t="s">
        <v>2055</v>
      </c>
      <c r="S2125" s="13" t="s">
        <v>50</v>
      </c>
      <c r="T2125" s="13" t="s">
        <v>88</v>
      </c>
      <c r="U2125" s="13" t="s">
        <v>70</v>
      </c>
      <c r="V2125" s="13" t="s">
        <v>94</v>
      </c>
      <c r="W2125" s="13" t="s">
        <v>64</v>
      </c>
      <c r="X2125" s="135">
        <v>600000</v>
      </c>
      <c r="Y2125" s="157" t="str">
        <f>IF(W2125="","",IF(W2125="RMB","1.13", "1"))</f>
        <v>1.13</v>
      </c>
      <c r="Z2125" s="18">
        <f t="shared" si="635"/>
        <v>600000</v>
      </c>
      <c r="AA2125" s="13">
        <v>1.08</v>
      </c>
      <c r="AB2125" s="21">
        <f t="shared" si="620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1"/>
        <v>31017966.201968137</v>
      </c>
      <c r="AJ2125" s="19">
        <f t="shared" si="622"/>
        <v>4704250.3347305888</v>
      </c>
      <c r="AK2125" s="20">
        <f t="shared" si="629"/>
        <v>0.15166211427595458</v>
      </c>
      <c r="AL2125" s="17"/>
      <c r="AM2125" s="17"/>
      <c r="AN2125" s="17"/>
      <c r="AO2125" s="17"/>
      <c r="AP2125" s="28" t="str">
        <f t="shared" si="630"/>
        <v>202211</v>
      </c>
      <c r="AQ2125" s="28" t="str">
        <f t="shared" si="631"/>
        <v>202211RMB</v>
      </c>
      <c r="AR2125" s="206" t="str">
        <f t="shared" si="632"/>
        <v>YAMAHA_Non_Mounter</v>
      </c>
      <c r="AS2125" s="22">
        <f t="shared" si="633"/>
        <v>3</v>
      </c>
      <c r="AT2125" s="24" t="str">
        <f t="shared" si="634"/>
        <v>0-3 months</v>
      </c>
      <c r="AU2125" s="22" t="s">
        <v>3240</v>
      </c>
    </row>
    <row r="2126" spans="1:47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54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2310</v>
      </c>
      <c r="K2126" s="155" t="s">
        <v>1057</v>
      </c>
      <c r="L2126" s="17" t="s">
        <v>2620</v>
      </c>
      <c r="M2126" s="13" t="s">
        <v>60</v>
      </c>
      <c r="N2126" s="13">
        <v>1</v>
      </c>
      <c r="O2126" s="13"/>
      <c r="P2126" s="33" t="str">
        <f t="shared" si="626"/>
        <v>MAIN UNIT</v>
      </c>
      <c r="Q2126" s="13" t="s">
        <v>61</v>
      </c>
      <c r="R2126" s="13" t="s">
        <v>2055</v>
      </c>
      <c r="S2126" s="13" t="s">
        <v>50</v>
      </c>
      <c r="T2126" s="13" t="s">
        <v>88</v>
      </c>
      <c r="U2126" s="13" t="s">
        <v>70</v>
      </c>
      <c r="V2126" s="13" t="s">
        <v>94</v>
      </c>
      <c r="W2126" s="13" t="s">
        <v>64</v>
      </c>
      <c r="X2126" s="135">
        <v>600000</v>
      </c>
      <c r="Y2126" s="157" t="str">
        <f>IF(W2126="","",IF(W2126="RMB","1.13", "1"))</f>
        <v>1.13</v>
      </c>
      <c r="Z2126" s="18">
        <f t="shared" si="635"/>
        <v>600000</v>
      </c>
      <c r="AA2126" s="13">
        <v>1.08</v>
      </c>
      <c r="AB2126" s="21">
        <f t="shared" si="620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1"/>
        <v>31017966.201968137</v>
      </c>
      <c r="AJ2126" s="19">
        <f t="shared" si="622"/>
        <v>4704250.3347305888</v>
      </c>
      <c r="AK2126" s="20">
        <f t="shared" si="629"/>
        <v>0.15166211427595458</v>
      </c>
      <c r="AL2126" s="17"/>
      <c r="AM2126" s="17"/>
      <c r="AN2126" s="17"/>
      <c r="AO2126" s="17"/>
      <c r="AP2126" s="28" t="str">
        <f t="shared" si="630"/>
        <v>202211</v>
      </c>
      <c r="AQ2126" s="28" t="str">
        <f t="shared" si="631"/>
        <v>202211RMB</v>
      </c>
      <c r="AR2126" s="206" t="str">
        <f t="shared" si="632"/>
        <v>YAMAHA_Non_Mounter</v>
      </c>
      <c r="AS2126" s="22">
        <f t="shared" si="633"/>
        <v>3</v>
      </c>
      <c r="AT2126" s="24" t="str">
        <f t="shared" si="634"/>
        <v>0-3 months</v>
      </c>
      <c r="AU2126" s="22" t="s">
        <v>3240</v>
      </c>
    </row>
    <row r="2127" spans="1:47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54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3045</v>
      </c>
      <c r="K2127" s="155" t="s">
        <v>3046</v>
      </c>
      <c r="L2127" s="17" t="s">
        <v>2620</v>
      </c>
      <c r="M2127" s="13" t="s">
        <v>60</v>
      </c>
      <c r="N2127" s="13">
        <v>1</v>
      </c>
      <c r="O2127" s="13"/>
      <c r="P2127" s="33" t="str">
        <f t="shared" si="626"/>
        <v>MAIN UNIT</v>
      </c>
      <c r="Q2127" s="13" t="s">
        <v>61</v>
      </c>
      <c r="R2127" s="13" t="s">
        <v>2055</v>
      </c>
      <c r="S2127" s="13" t="s">
        <v>50</v>
      </c>
      <c r="T2127" s="13" t="s">
        <v>101</v>
      </c>
      <c r="U2127" s="13" t="s">
        <v>70</v>
      </c>
      <c r="V2127" s="13" t="s">
        <v>94</v>
      </c>
      <c r="W2127" s="13" t="s">
        <v>64</v>
      </c>
      <c r="X2127" s="135">
        <v>500000</v>
      </c>
      <c r="Y2127" s="157" t="str">
        <f>IF(W2127="","",IF(W2127="RMB","1.13", "1"))</f>
        <v>1.13</v>
      </c>
      <c r="Z2127" s="18">
        <f t="shared" si="635"/>
        <v>500000</v>
      </c>
      <c r="AA2127" s="13">
        <v>1.1299999999999999</v>
      </c>
      <c r="AB2127" s="21">
        <f t="shared" si="620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1"/>
        <v>33543315.897345133</v>
      </c>
      <c r="AJ2127" s="19">
        <f t="shared" si="622"/>
        <v>4706169.3252984071</v>
      </c>
      <c r="AK2127" s="20">
        <f t="shared" si="629"/>
        <v>0.14030125523967318</v>
      </c>
      <c r="AL2127" s="17"/>
      <c r="AM2127" s="17"/>
      <c r="AN2127" s="17"/>
      <c r="AO2127" s="17"/>
      <c r="AP2127" s="28" t="str">
        <f t="shared" si="630"/>
        <v>20233</v>
      </c>
      <c r="AQ2127" s="28" t="str">
        <f t="shared" si="631"/>
        <v>20233RMB</v>
      </c>
      <c r="AR2127" s="206" t="str">
        <f t="shared" si="632"/>
        <v>YAMAHA_Non_Mounter</v>
      </c>
      <c r="AS2127" s="22">
        <f t="shared" si="633"/>
        <v>1</v>
      </c>
      <c r="AT2127" s="24" t="str">
        <f t="shared" si="634"/>
        <v>0-3 months</v>
      </c>
      <c r="AU2127" s="22" t="s">
        <v>3240</v>
      </c>
    </row>
    <row r="2128" spans="1:47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41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330</v>
      </c>
      <c r="K2128" s="155" t="s">
        <v>331</v>
      </c>
      <c r="L2128" s="17" t="s">
        <v>59</v>
      </c>
      <c r="M2128" s="13" t="s">
        <v>60</v>
      </c>
      <c r="N2128" s="13">
        <v>1</v>
      </c>
      <c r="O2128" s="13"/>
      <c r="P2128" s="33" t="str">
        <f t="shared" si="626"/>
        <v>MAIN UNIT</v>
      </c>
      <c r="Q2128" s="13" t="s">
        <v>61</v>
      </c>
      <c r="R2128" s="13" t="s">
        <v>62</v>
      </c>
      <c r="S2128" s="13" t="s">
        <v>50</v>
      </c>
      <c r="T2128" s="13" t="s">
        <v>88</v>
      </c>
      <c r="U2128" s="13" t="s">
        <v>70</v>
      </c>
      <c r="V2128" s="13" t="s">
        <v>332</v>
      </c>
      <c r="W2128" s="13" t="s">
        <v>64</v>
      </c>
      <c r="X2128" s="135">
        <v>528000</v>
      </c>
      <c r="Y2128" s="156">
        <v>1.17</v>
      </c>
      <c r="Z2128" s="18">
        <f t="shared" si="635"/>
        <v>528000</v>
      </c>
      <c r="AA2128" s="13">
        <v>1.23</v>
      </c>
      <c r="AB2128" s="21">
        <f t="shared" si="620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1"/>
        <v>29288201.603076916</v>
      </c>
      <c r="AJ2128" s="19">
        <f t="shared" si="622"/>
        <v>3870159.1769246152</v>
      </c>
      <c r="AK2128" s="20">
        <f t="shared" si="629"/>
        <v>0.13214055370740244</v>
      </c>
      <c r="AL2128" s="17"/>
      <c r="AM2128" s="17"/>
      <c r="AN2128" s="17"/>
      <c r="AO2128" s="17"/>
      <c r="AP2128" s="28" t="str">
        <f t="shared" si="630"/>
        <v>20184</v>
      </c>
      <c r="AQ2128" s="28" t="str">
        <f t="shared" si="631"/>
        <v>20184RMB</v>
      </c>
      <c r="AR2128" s="206" t="str">
        <f t="shared" si="632"/>
        <v>YAMAHA_Mounter</v>
      </c>
      <c r="AS2128" s="22">
        <f t="shared" si="633"/>
        <v>3</v>
      </c>
      <c r="AT2128" s="24" t="str">
        <f t="shared" si="634"/>
        <v>0-3 months</v>
      </c>
      <c r="AU2128" s="22" t="s">
        <v>3240</v>
      </c>
    </row>
    <row r="2129" spans="1:47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48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1336</v>
      </c>
      <c r="K2129" s="155" t="s">
        <v>1337</v>
      </c>
      <c r="L2129" s="17" t="s">
        <v>92</v>
      </c>
      <c r="M2129" s="13" t="s">
        <v>60</v>
      </c>
      <c r="N2129" s="13">
        <v>1</v>
      </c>
      <c r="O2129" s="13"/>
      <c r="P2129" s="33" t="str">
        <f t="shared" si="626"/>
        <v>MAIN UNIT</v>
      </c>
      <c r="Q2129" s="13" t="s">
        <v>61</v>
      </c>
      <c r="R2129" s="13" t="s">
        <v>62</v>
      </c>
      <c r="S2129" s="13" t="s">
        <v>50</v>
      </c>
      <c r="T2129" s="13" t="s">
        <v>88</v>
      </c>
      <c r="U2129" s="13" t="s">
        <v>70</v>
      </c>
      <c r="V2129" s="13" t="s">
        <v>71</v>
      </c>
      <c r="W2129" s="13" t="s">
        <v>64</v>
      </c>
      <c r="X2129" s="135">
        <v>980000</v>
      </c>
      <c r="Y2129" s="156" t="s">
        <v>1110</v>
      </c>
      <c r="Z2129" s="18">
        <f t="shared" si="635"/>
        <v>980000</v>
      </c>
      <c r="AA2129" s="13">
        <v>1.135</v>
      </c>
      <c r="AB2129" s="21">
        <f t="shared" si="620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1"/>
        <v>28011162.254106201</v>
      </c>
      <c r="AJ2129" s="19">
        <f t="shared" si="622"/>
        <v>3401347.1124888416</v>
      </c>
      <c r="AK2129" s="20">
        <f t="shared" si="629"/>
        <v>0.12142827497242578</v>
      </c>
      <c r="AL2129" s="17"/>
      <c r="AM2129" s="17"/>
      <c r="AN2129" s="17"/>
      <c r="AO2129" s="17"/>
      <c r="AP2129" s="28" t="str">
        <f t="shared" si="630"/>
        <v>202010</v>
      </c>
      <c r="AQ2129" s="28" t="str">
        <f t="shared" si="631"/>
        <v>202010RMB</v>
      </c>
      <c r="AR2129" s="206" t="str">
        <f t="shared" si="632"/>
        <v>YAMAHA_Mounter</v>
      </c>
      <c r="AS2129" s="22">
        <f t="shared" si="633"/>
        <v>2</v>
      </c>
      <c r="AT2129" s="24" t="str">
        <f t="shared" si="634"/>
        <v>0-3 months</v>
      </c>
      <c r="AU2129" s="22" t="s">
        <v>3240</v>
      </c>
    </row>
    <row r="2130" spans="1:47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48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1336</v>
      </c>
      <c r="K2130" s="155" t="s">
        <v>1337</v>
      </c>
      <c r="L2130" s="17" t="s">
        <v>67</v>
      </c>
      <c r="M2130" s="13" t="s">
        <v>60</v>
      </c>
      <c r="N2130" s="13">
        <v>1</v>
      </c>
      <c r="O2130" s="13"/>
      <c r="P2130" s="33" t="str">
        <f t="shared" si="626"/>
        <v>MAIN UNIT</v>
      </c>
      <c r="Q2130" s="13" t="s">
        <v>61</v>
      </c>
      <c r="R2130" s="13" t="s">
        <v>62</v>
      </c>
      <c r="S2130" s="13" t="s">
        <v>50</v>
      </c>
      <c r="T2130" s="13" t="s">
        <v>88</v>
      </c>
      <c r="U2130" s="13" t="s">
        <v>70</v>
      </c>
      <c r="V2130" s="13" t="s">
        <v>71</v>
      </c>
      <c r="W2130" s="13" t="s">
        <v>64</v>
      </c>
      <c r="X2130" s="135">
        <v>700000</v>
      </c>
      <c r="Y2130" s="156" t="s">
        <v>1110</v>
      </c>
      <c r="Z2130" s="18">
        <f t="shared" si="635"/>
        <v>700000</v>
      </c>
      <c r="AA2130" s="13">
        <v>1.135</v>
      </c>
      <c r="AB2130" s="21">
        <f t="shared" si="620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1"/>
        <v>28011162.254106201</v>
      </c>
      <c r="AJ2130" s="19">
        <f t="shared" si="622"/>
        <v>3401347.1124888416</v>
      </c>
      <c r="AK2130" s="20">
        <f t="shared" si="629"/>
        <v>0.12142827497242578</v>
      </c>
      <c r="AL2130" s="17"/>
      <c r="AM2130" s="17"/>
      <c r="AN2130" s="17"/>
      <c r="AO2130" s="17"/>
      <c r="AP2130" s="28" t="str">
        <f t="shared" si="630"/>
        <v>202010</v>
      </c>
      <c r="AQ2130" s="28" t="str">
        <f t="shared" si="631"/>
        <v>202010RMB</v>
      </c>
      <c r="AR2130" s="206" t="str">
        <f t="shared" si="632"/>
        <v>YAMAHA_Mounter</v>
      </c>
      <c r="AS2130" s="22">
        <f t="shared" si="633"/>
        <v>2</v>
      </c>
      <c r="AT2130" s="24" t="str">
        <f t="shared" si="634"/>
        <v>0-3 months</v>
      </c>
      <c r="AU2130" s="22" t="s">
        <v>3240</v>
      </c>
    </row>
    <row r="2131" spans="1:47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54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2119</v>
      </c>
      <c r="K2131" s="155" t="s">
        <v>2120</v>
      </c>
      <c r="L2131" s="17" t="s">
        <v>67</v>
      </c>
      <c r="M2131" s="13" t="s">
        <v>60</v>
      </c>
      <c r="N2131" s="13">
        <v>1</v>
      </c>
      <c r="O2131" s="13"/>
      <c r="P2131" s="33" t="str">
        <f t="shared" si="626"/>
        <v>MAIN UNIT</v>
      </c>
      <c r="Q2131" s="13" t="s">
        <v>68</v>
      </c>
      <c r="R2131" s="13" t="s">
        <v>62</v>
      </c>
      <c r="S2131" s="13" t="s">
        <v>50</v>
      </c>
      <c r="T2131" s="13" t="s">
        <v>88</v>
      </c>
      <c r="U2131" s="13" t="s">
        <v>70</v>
      </c>
      <c r="V2131" s="13" t="s">
        <v>1010</v>
      </c>
      <c r="W2131" s="13" t="s">
        <v>64</v>
      </c>
      <c r="X2131" s="135">
        <v>520000</v>
      </c>
      <c r="Y2131" s="157" t="str">
        <f t="shared" ref="Y2131:Y2137" si="636">IF(W2131="RMB","1.13", "1")</f>
        <v>1.13</v>
      </c>
      <c r="Z2131" s="18">
        <f t="shared" si="635"/>
        <v>520000</v>
      </c>
      <c r="AA2131" s="13">
        <v>1.1599999999999999</v>
      </c>
      <c r="AB2131" s="21">
        <f t="shared" si="620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1"/>
        <v>21045012.884955753</v>
      </c>
      <c r="AJ2131" s="19">
        <f t="shared" si="622"/>
        <v>2650260.9603327443</v>
      </c>
      <c r="AK2131" s="20">
        <f t="shared" si="629"/>
        <v>0.12593296924172048</v>
      </c>
      <c r="AL2131" s="17"/>
      <c r="AM2131" s="17"/>
      <c r="AN2131" s="17"/>
      <c r="AO2131" s="17"/>
      <c r="AP2131" s="28" t="str">
        <f t="shared" si="630"/>
        <v>20232</v>
      </c>
      <c r="AQ2131" s="28" t="str">
        <f t="shared" si="631"/>
        <v>20232RMB</v>
      </c>
      <c r="AR2131" s="206" t="str">
        <f t="shared" si="632"/>
        <v>YAMAHA_Mounter</v>
      </c>
      <c r="AS2131" s="22">
        <f t="shared" si="633"/>
        <v>9</v>
      </c>
      <c r="AT2131" s="24" t="str">
        <f t="shared" si="634"/>
        <v>&gt; 6 months</v>
      </c>
      <c r="AU2131" s="22" t="s">
        <v>3240</v>
      </c>
    </row>
    <row r="2132" spans="1:47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54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2119</v>
      </c>
      <c r="K2132" s="155" t="s">
        <v>2120</v>
      </c>
      <c r="L2132" s="17" t="s">
        <v>67</v>
      </c>
      <c r="M2132" s="13" t="s">
        <v>60</v>
      </c>
      <c r="N2132" s="13">
        <v>1</v>
      </c>
      <c r="O2132" s="13"/>
      <c r="P2132" s="33" t="str">
        <f t="shared" si="626"/>
        <v>MAIN UNIT</v>
      </c>
      <c r="Q2132" s="13" t="s">
        <v>68</v>
      </c>
      <c r="R2132" s="13" t="s">
        <v>62</v>
      </c>
      <c r="S2132" s="13" t="s">
        <v>50</v>
      </c>
      <c r="T2132" s="13" t="s">
        <v>88</v>
      </c>
      <c r="U2132" s="13" t="s">
        <v>70</v>
      </c>
      <c r="V2132" s="13" t="s">
        <v>1010</v>
      </c>
      <c r="W2132" s="13" t="s">
        <v>64</v>
      </c>
      <c r="X2132" s="135">
        <v>520000</v>
      </c>
      <c r="Y2132" s="157" t="str">
        <f t="shared" si="636"/>
        <v>1.13</v>
      </c>
      <c r="Z2132" s="18">
        <f t="shared" si="635"/>
        <v>520000</v>
      </c>
      <c r="AA2132" s="13">
        <v>1.1599999999999999</v>
      </c>
      <c r="AB2132" s="21">
        <f t="shared" si="620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1"/>
        <v>21045012.884955753</v>
      </c>
      <c r="AJ2132" s="19">
        <f t="shared" si="622"/>
        <v>2650260.9603327443</v>
      </c>
      <c r="AK2132" s="20">
        <f t="shared" si="629"/>
        <v>0.12593296924172048</v>
      </c>
      <c r="AL2132" s="17"/>
      <c r="AM2132" s="17"/>
      <c r="AN2132" s="17"/>
      <c r="AO2132" s="17"/>
      <c r="AP2132" s="28" t="str">
        <f t="shared" si="630"/>
        <v>20232</v>
      </c>
      <c r="AQ2132" s="28" t="str">
        <f t="shared" si="631"/>
        <v>20232RMB</v>
      </c>
      <c r="AR2132" s="206" t="str">
        <f t="shared" si="632"/>
        <v>YAMAHA_Mounter</v>
      </c>
      <c r="AS2132" s="22">
        <f t="shared" si="633"/>
        <v>9</v>
      </c>
      <c r="AT2132" s="24" t="str">
        <f t="shared" si="634"/>
        <v>&gt; 6 months</v>
      </c>
      <c r="AU2132" s="22" t="s">
        <v>3240</v>
      </c>
    </row>
    <row r="2133" spans="1:47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54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2119</v>
      </c>
      <c r="K2133" s="155" t="s">
        <v>2120</v>
      </c>
      <c r="L2133" s="17" t="s">
        <v>92</v>
      </c>
      <c r="M2133" s="13" t="s">
        <v>60</v>
      </c>
      <c r="N2133" s="13">
        <v>1</v>
      </c>
      <c r="O2133" s="13"/>
      <c r="P2133" s="33" t="str">
        <f t="shared" si="626"/>
        <v>MAIN UNIT</v>
      </c>
      <c r="Q2133" s="13" t="s">
        <v>68</v>
      </c>
      <c r="R2133" s="13" t="s">
        <v>62</v>
      </c>
      <c r="S2133" s="13" t="s">
        <v>50</v>
      </c>
      <c r="T2133" s="13" t="s">
        <v>88</v>
      </c>
      <c r="U2133" s="13" t="s">
        <v>70</v>
      </c>
      <c r="V2133" s="13" t="s">
        <v>1010</v>
      </c>
      <c r="W2133" s="13" t="s">
        <v>64</v>
      </c>
      <c r="X2133" s="135">
        <v>820000</v>
      </c>
      <c r="Y2133" s="157" t="str">
        <f t="shared" si="636"/>
        <v>1.13</v>
      </c>
      <c r="Z2133" s="18">
        <f t="shared" si="635"/>
        <v>820000</v>
      </c>
      <c r="AA2133" s="13">
        <v>1.1599999999999999</v>
      </c>
      <c r="AB2133" s="21">
        <f t="shared" si="620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1"/>
        <v>21045012.884955753</v>
      </c>
      <c r="AJ2133" s="19">
        <f t="shared" si="622"/>
        <v>2650260.9603327443</v>
      </c>
      <c r="AK2133" s="20">
        <f t="shared" si="629"/>
        <v>0.12593296924172048</v>
      </c>
      <c r="AL2133" s="17"/>
      <c r="AM2133" s="17"/>
      <c r="AN2133" s="17"/>
      <c r="AO2133" s="17"/>
      <c r="AP2133" s="28" t="str">
        <f t="shared" si="630"/>
        <v>20232</v>
      </c>
      <c r="AQ2133" s="28" t="str">
        <f t="shared" si="631"/>
        <v>20232RMB</v>
      </c>
      <c r="AR2133" s="206" t="str">
        <f t="shared" si="632"/>
        <v>YAMAHA_Mounter</v>
      </c>
      <c r="AS2133" s="22">
        <f t="shared" si="633"/>
        <v>9</v>
      </c>
      <c r="AT2133" s="24" t="str">
        <f t="shared" si="634"/>
        <v>&gt; 6 months</v>
      </c>
      <c r="AU2133" s="22" t="s">
        <v>3240</v>
      </c>
    </row>
    <row r="2134" spans="1:47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54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2119</v>
      </c>
      <c r="K2134" s="155" t="s">
        <v>2120</v>
      </c>
      <c r="L2134" s="17" t="s">
        <v>92</v>
      </c>
      <c r="M2134" s="13" t="s">
        <v>60</v>
      </c>
      <c r="N2134" s="13">
        <v>1</v>
      </c>
      <c r="O2134" s="13"/>
      <c r="P2134" s="33" t="str">
        <f t="shared" si="626"/>
        <v>MAIN UNIT</v>
      </c>
      <c r="Q2134" s="13" t="s">
        <v>68</v>
      </c>
      <c r="R2134" s="13" t="s">
        <v>62</v>
      </c>
      <c r="S2134" s="13" t="s">
        <v>50</v>
      </c>
      <c r="T2134" s="13" t="s">
        <v>88</v>
      </c>
      <c r="U2134" s="13" t="s">
        <v>70</v>
      </c>
      <c r="V2134" s="13" t="s">
        <v>1010</v>
      </c>
      <c r="W2134" s="13" t="s">
        <v>64</v>
      </c>
      <c r="X2134" s="135">
        <v>820000</v>
      </c>
      <c r="Y2134" s="157" t="str">
        <f t="shared" si="636"/>
        <v>1.13</v>
      </c>
      <c r="Z2134" s="18">
        <f t="shared" si="635"/>
        <v>820000</v>
      </c>
      <c r="AA2134" s="13">
        <v>1.1599999999999999</v>
      </c>
      <c r="AB2134" s="21">
        <f t="shared" si="620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1"/>
        <v>21045012.884955753</v>
      </c>
      <c r="AJ2134" s="19">
        <f t="shared" si="622"/>
        <v>2650260.9603327443</v>
      </c>
      <c r="AK2134" s="20">
        <f t="shared" si="629"/>
        <v>0.12593296924172048</v>
      </c>
      <c r="AL2134" s="17"/>
      <c r="AM2134" s="17"/>
      <c r="AN2134" s="17"/>
      <c r="AO2134" s="17"/>
      <c r="AP2134" s="28" t="str">
        <f t="shared" si="630"/>
        <v>20232</v>
      </c>
      <c r="AQ2134" s="28" t="str">
        <f t="shared" si="631"/>
        <v>20232RMB</v>
      </c>
      <c r="AR2134" s="206" t="str">
        <f t="shared" si="632"/>
        <v>YAMAHA_Mounter</v>
      </c>
      <c r="AS2134" s="22">
        <f t="shared" si="633"/>
        <v>9</v>
      </c>
      <c r="AT2134" s="24" t="str">
        <f t="shared" si="634"/>
        <v>&gt; 6 months</v>
      </c>
      <c r="AU2134" s="22" t="s">
        <v>3240</v>
      </c>
    </row>
    <row r="2135" spans="1:47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53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1752</v>
      </c>
      <c r="K2135" s="155" t="s">
        <v>1753</v>
      </c>
      <c r="L2135" s="17" t="s">
        <v>67</v>
      </c>
      <c r="M2135" s="13" t="s">
        <v>60</v>
      </c>
      <c r="N2135" s="13">
        <v>1</v>
      </c>
      <c r="O2135" s="13"/>
      <c r="P2135" s="33" t="str">
        <f t="shared" si="626"/>
        <v>MAIN UNIT</v>
      </c>
      <c r="Q2135" s="13" t="s">
        <v>61</v>
      </c>
      <c r="R2135" s="13" t="s">
        <v>62</v>
      </c>
      <c r="S2135" s="13" t="s">
        <v>50</v>
      </c>
      <c r="T2135" s="13" t="s">
        <v>88</v>
      </c>
      <c r="U2135" s="13" t="s">
        <v>70</v>
      </c>
      <c r="V2135" s="13" t="s">
        <v>71</v>
      </c>
      <c r="W2135" s="13" t="s">
        <v>64</v>
      </c>
      <c r="X2135" s="135">
        <v>481416.5</v>
      </c>
      <c r="Y2135" s="157" t="str">
        <f t="shared" si="636"/>
        <v>1.13</v>
      </c>
      <c r="Z2135" s="18">
        <f t="shared" si="635"/>
        <v>481416.5</v>
      </c>
      <c r="AA2135" s="13">
        <v>1.1950000000000001</v>
      </c>
      <c r="AB2135" s="21">
        <f t="shared" si="620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1"/>
        <v>63006605.696460173</v>
      </c>
      <c r="AJ2135" s="19">
        <f t="shared" si="622"/>
        <v>8897485.660753984</v>
      </c>
      <c r="AK2135" s="20">
        <f t="shared" si="629"/>
        <v>0.141215124388995</v>
      </c>
      <c r="AL2135" s="17"/>
      <c r="AM2135" s="17"/>
      <c r="AN2135" s="17"/>
      <c r="AO2135" s="17"/>
      <c r="AP2135" s="28" t="str">
        <f t="shared" si="630"/>
        <v>20215</v>
      </c>
      <c r="AQ2135" s="28" t="str">
        <f t="shared" si="631"/>
        <v>20215RMB</v>
      </c>
      <c r="AR2135" s="206" t="str">
        <f t="shared" si="632"/>
        <v>YAMAHA_Mounter</v>
      </c>
      <c r="AS2135" s="22">
        <f t="shared" si="633"/>
        <v>1</v>
      </c>
      <c r="AT2135" s="24" t="str">
        <f t="shared" si="634"/>
        <v>0-3 months</v>
      </c>
      <c r="AU2135" s="22" t="s">
        <v>3240</v>
      </c>
    </row>
    <row r="2136" spans="1:47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53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1752</v>
      </c>
      <c r="K2136" s="155" t="s">
        <v>1753</v>
      </c>
      <c r="L2136" s="17" t="s">
        <v>67</v>
      </c>
      <c r="M2136" s="13" t="s">
        <v>60</v>
      </c>
      <c r="N2136" s="13">
        <v>1</v>
      </c>
      <c r="O2136" s="13"/>
      <c r="P2136" s="33" t="str">
        <f t="shared" si="626"/>
        <v>MAIN UNIT</v>
      </c>
      <c r="Q2136" s="13" t="s">
        <v>61</v>
      </c>
      <c r="R2136" s="13" t="s">
        <v>62</v>
      </c>
      <c r="S2136" s="13" t="s">
        <v>50</v>
      </c>
      <c r="T2136" s="13" t="s">
        <v>88</v>
      </c>
      <c r="U2136" s="13" t="s">
        <v>70</v>
      </c>
      <c r="V2136" s="13" t="s">
        <v>71</v>
      </c>
      <c r="W2136" s="13" t="s">
        <v>64</v>
      </c>
      <c r="X2136" s="135">
        <v>481416.5</v>
      </c>
      <c r="Y2136" s="157" t="str">
        <f t="shared" si="636"/>
        <v>1.13</v>
      </c>
      <c r="Z2136" s="18">
        <f t="shared" si="635"/>
        <v>481416.5</v>
      </c>
      <c r="AA2136" s="13">
        <v>1.1950000000000001</v>
      </c>
      <c r="AB2136" s="21">
        <f t="shared" si="620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1"/>
        <v>63006605.696460173</v>
      </c>
      <c r="AJ2136" s="19">
        <f t="shared" si="622"/>
        <v>8897485.660753984</v>
      </c>
      <c r="AK2136" s="20">
        <f t="shared" si="629"/>
        <v>0.141215124388995</v>
      </c>
      <c r="AL2136" s="17"/>
      <c r="AM2136" s="17"/>
      <c r="AN2136" s="17"/>
      <c r="AO2136" s="17"/>
      <c r="AP2136" s="28" t="str">
        <f t="shared" si="630"/>
        <v>20215</v>
      </c>
      <c r="AQ2136" s="28" t="str">
        <f t="shared" si="631"/>
        <v>20215RMB</v>
      </c>
      <c r="AR2136" s="206" t="str">
        <f t="shared" si="632"/>
        <v>YAMAHA_Mounter</v>
      </c>
      <c r="AS2136" s="22">
        <f t="shared" si="633"/>
        <v>1</v>
      </c>
      <c r="AT2136" s="24" t="str">
        <f t="shared" si="634"/>
        <v>0-3 months</v>
      </c>
      <c r="AU2136" s="22" t="s">
        <v>3240</v>
      </c>
    </row>
    <row r="2137" spans="1:47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53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1752</v>
      </c>
      <c r="K2137" s="155" t="s">
        <v>1753</v>
      </c>
      <c r="L2137" s="17" t="s">
        <v>92</v>
      </c>
      <c r="M2137" s="13" t="s">
        <v>60</v>
      </c>
      <c r="N2137" s="13">
        <v>1</v>
      </c>
      <c r="O2137" s="13"/>
      <c r="P2137" s="33" t="str">
        <f t="shared" si="626"/>
        <v>MAIN UNIT</v>
      </c>
      <c r="Q2137" s="13" t="s">
        <v>61</v>
      </c>
      <c r="R2137" s="13" t="s">
        <v>62</v>
      </c>
      <c r="S2137" s="13" t="s">
        <v>50</v>
      </c>
      <c r="T2137" s="13" t="s">
        <v>88</v>
      </c>
      <c r="U2137" s="13" t="s">
        <v>70</v>
      </c>
      <c r="V2137" s="13" t="s">
        <v>71</v>
      </c>
      <c r="W2137" s="13" t="s">
        <v>64</v>
      </c>
      <c r="X2137" s="135">
        <v>820700</v>
      </c>
      <c r="Y2137" s="157" t="str">
        <f t="shared" si="636"/>
        <v>1.13</v>
      </c>
      <c r="Z2137" s="18">
        <f t="shared" si="635"/>
        <v>820700</v>
      </c>
      <c r="AA2137" s="13">
        <v>1.1950000000000001</v>
      </c>
      <c r="AB2137" s="21">
        <f t="shared" si="620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1"/>
        <v>63006605.696460173</v>
      </c>
      <c r="AJ2137" s="19">
        <f t="shared" si="622"/>
        <v>8897485.660753984</v>
      </c>
      <c r="AK2137" s="20">
        <f t="shared" si="629"/>
        <v>0.141215124388995</v>
      </c>
      <c r="AL2137" s="17"/>
      <c r="AM2137" s="17"/>
      <c r="AN2137" s="17"/>
      <c r="AO2137" s="17"/>
      <c r="AP2137" s="28" t="str">
        <f t="shared" si="630"/>
        <v>20215</v>
      </c>
      <c r="AQ2137" s="28" t="str">
        <f t="shared" si="631"/>
        <v>20215RMB</v>
      </c>
      <c r="AR2137" s="206" t="str">
        <f t="shared" si="632"/>
        <v>YAMAHA_Mounter</v>
      </c>
      <c r="AS2137" s="22">
        <f t="shared" si="633"/>
        <v>1</v>
      </c>
      <c r="AT2137" s="24" t="str">
        <f t="shared" si="634"/>
        <v>0-3 months</v>
      </c>
      <c r="AU2137" s="22" t="s">
        <v>3240</v>
      </c>
    </row>
    <row r="2138" spans="1:47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47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730</v>
      </c>
      <c r="K2138" s="155" t="s">
        <v>731</v>
      </c>
      <c r="L2138" s="17" t="s">
        <v>92</v>
      </c>
      <c r="M2138" s="13" t="s">
        <v>60</v>
      </c>
      <c r="N2138" s="13">
        <v>1</v>
      </c>
      <c r="O2138" s="13"/>
      <c r="P2138" s="33" t="str">
        <f t="shared" si="626"/>
        <v>MAIN UNIT</v>
      </c>
      <c r="Q2138" s="13" t="s">
        <v>68</v>
      </c>
      <c r="R2138" s="13" t="s">
        <v>62</v>
      </c>
      <c r="S2138" s="13" t="s">
        <v>50</v>
      </c>
      <c r="T2138" s="13" t="s">
        <v>88</v>
      </c>
      <c r="U2138" s="13" t="s">
        <v>70</v>
      </c>
      <c r="V2138" s="13" t="s">
        <v>94</v>
      </c>
      <c r="W2138" s="13" t="s">
        <v>64</v>
      </c>
      <c r="X2138" s="135">
        <v>1009000</v>
      </c>
      <c r="Y2138" s="156">
        <v>1.1299999999999999</v>
      </c>
      <c r="Z2138" s="18">
        <f t="shared" si="635"/>
        <v>1009000</v>
      </c>
      <c r="AA2138" s="13">
        <v>1.1100000000000001</v>
      </c>
      <c r="AB2138" s="21">
        <f t="shared" si="620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1"/>
        <v>27318180.088495575</v>
      </c>
      <c r="AJ2138" s="19">
        <f t="shared" si="622"/>
        <v>3014099.212353982</v>
      </c>
      <c r="AK2138" s="20">
        <f t="shared" si="629"/>
        <v>0.11033308963444827</v>
      </c>
      <c r="AL2138" s="17"/>
      <c r="AM2138" s="17"/>
      <c r="AN2138" s="17"/>
      <c r="AO2138" s="17"/>
      <c r="AP2138" s="28" t="str">
        <f t="shared" si="630"/>
        <v>201912</v>
      </c>
      <c r="AQ2138" s="28" t="str">
        <f t="shared" si="631"/>
        <v>201912RMB</v>
      </c>
      <c r="AR2138" s="206" t="str">
        <f t="shared" si="632"/>
        <v>YAMAHA_Mounter</v>
      </c>
      <c r="AS2138" s="22">
        <f t="shared" si="633"/>
        <v>2</v>
      </c>
      <c r="AT2138" s="24" t="str">
        <f t="shared" si="634"/>
        <v>0-3 months</v>
      </c>
      <c r="AU2138" s="22" t="s">
        <v>3240</v>
      </c>
    </row>
    <row r="2139" spans="1:47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47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730</v>
      </c>
      <c r="K2139" s="155" t="s">
        <v>731</v>
      </c>
      <c r="L2139" s="17" t="s">
        <v>92</v>
      </c>
      <c r="M2139" s="13" t="s">
        <v>60</v>
      </c>
      <c r="N2139" s="13">
        <v>1</v>
      </c>
      <c r="O2139" s="13"/>
      <c r="P2139" s="33" t="str">
        <f t="shared" si="626"/>
        <v>MAIN UNIT</v>
      </c>
      <c r="Q2139" s="13" t="s">
        <v>68</v>
      </c>
      <c r="R2139" s="13" t="s">
        <v>62</v>
      </c>
      <c r="S2139" s="13" t="s">
        <v>50</v>
      </c>
      <c r="T2139" s="13" t="s">
        <v>88</v>
      </c>
      <c r="U2139" s="13" t="s">
        <v>70</v>
      </c>
      <c r="V2139" s="13" t="s">
        <v>94</v>
      </c>
      <c r="W2139" s="13" t="s">
        <v>64</v>
      </c>
      <c r="X2139" s="135">
        <v>1009000</v>
      </c>
      <c r="Y2139" s="156">
        <v>1.1299999999999999</v>
      </c>
      <c r="Z2139" s="18">
        <f t="shared" si="635"/>
        <v>1009000</v>
      </c>
      <c r="AA2139" s="13">
        <v>1.1100000000000001</v>
      </c>
      <c r="AB2139" s="21">
        <f t="shared" si="620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1"/>
        <v>27318180.088495575</v>
      </c>
      <c r="AJ2139" s="19">
        <f t="shared" si="622"/>
        <v>3014099.212353982</v>
      </c>
      <c r="AK2139" s="20">
        <f t="shared" si="629"/>
        <v>0.11033308963444827</v>
      </c>
      <c r="AL2139" s="17"/>
      <c r="AM2139" s="17"/>
      <c r="AN2139" s="17"/>
      <c r="AO2139" s="17"/>
      <c r="AP2139" s="28" t="str">
        <f t="shared" si="630"/>
        <v>201912</v>
      </c>
      <c r="AQ2139" s="28" t="str">
        <f t="shared" si="631"/>
        <v>201912RMB</v>
      </c>
      <c r="AR2139" s="206" t="str">
        <f t="shared" si="632"/>
        <v>YAMAHA_Mounter</v>
      </c>
      <c r="AS2139" s="22">
        <f t="shared" si="633"/>
        <v>2</v>
      </c>
      <c r="AT2139" s="24" t="str">
        <f t="shared" si="634"/>
        <v>0-3 months</v>
      </c>
      <c r="AU2139" s="22" t="s">
        <v>3240</v>
      </c>
    </row>
    <row r="2140" spans="1:47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47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730</v>
      </c>
      <c r="K2140" s="155" t="s">
        <v>731</v>
      </c>
      <c r="L2140" s="17" t="s">
        <v>2780</v>
      </c>
      <c r="M2140" s="13" t="s">
        <v>60</v>
      </c>
      <c r="N2140" s="13">
        <v>1</v>
      </c>
      <c r="O2140" s="13"/>
      <c r="P2140" s="33" t="str">
        <f t="shared" si="626"/>
        <v>MAIN UNIT</v>
      </c>
      <c r="Q2140" s="13" t="s">
        <v>68</v>
      </c>
      <c r="R2140" s="13" t="s">
        <v>2055</v>
      </c>
      <c r="S2140" s="13" t="s">
        <v>50</v>
      </c>
      <c r="T2140" s="13" t="s">
        <v>88</v>
      </c>
      <c r="U2140" s="13" t="s">
        <v>70</v>
      </c>
      <c r="V2140" s="13" t="s">
        <v>94</v>
      </c>
      <c r="W2140" s="13" t="s">
        <v>64</v>
      </c>
      <c r="X2140" s="135">
        <v>370000</v>
      </c>
      <c r="Y2140" s="156">
        <v>1.1299999999999999</v>
      </c>
      <c r="Z2140" s="18">
        <f t="shared" si="635"/>
        <v>370000</v>
      </c>
      <c r="AA2140" s="13">
        <v>1.1100000000000001</v>
      </c>
      <c r="AB2140" s="21">
        <f t="shared" si="620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1"/>
        <v>27318180.088495575</v>
      </c>
      <c r="AJ2140" s="19">
        <f t="shared" si="622"/>
        <v>3014099.212353982</v>
      </c>
      <c r="AK2140" s="20">
        <f t="shared" si="629"/>
        <v>0.11033308963444827</v>
      </c>
      <c r="AL2140" s="17"/>
      <c r="AM2140" s="17"/>
      <c r="AN2140" s="17"/>
      <c r="AO2140" s="17"/>
      <c r="AP2140" s="28" t="str">
        <f t="shared" si="630"/>
        <v>201912</v>
      </c>
      <c r="AQ2140" s="28" t="str">
        <f t="shared" si="631"/>
        <v>201912RMB</v>
      </c>
      <c r="AR2140" s="206" t="str">
        <f t="shared" si="632"/>
        <v>YAMAHA_Non_Mounter</v>
      </c>
      <c r="AS2140" s="22">
        <f t="shared" si="633"/>
        <v>2</v>
      </c>
      <c r="AT2140" s="24" t="str">
        <f t="shared" si="634"/>
        <v>0-3 months</v>
      </c>
      <c r="AU2140" s="22" t="s">
        <v>3240</v>
      </c>
    </row>
    <row r="2141" spans="1:47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55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3038</v>
      </c>
      <c r="K2141" s="155" t="s">
        <v>3039</v>
      </c>
      <c r="L2141" s="17" t="s">
        <v>2837</v>
      </c>
      <c r="M2141" s="13" t="s">
        <v>2832</v>
      </c>
      <c r="N2141" s="13">
        <v>1</v>
      </c>
      <c r="O2141" s="13"/>
      <c r="P2141" s="33" t="str">
        <f t="shared" si="626"/>
        <v>MAIN UNIT</v>
      </c>
      <c r="Q2141" s="13" t="s">
        <v>68</v>
      </c>
      <c r="R2141" s="13" t="s">
        <v>2055</v>
      </c>
      <c r="S2141" s="13" t="s">
        <v>50</v>
      </c>
      <c r="T2141" s="13" t="s">
        <v>88</v>
      </c>
      <c r="U2141" s="13" t="s">
        <v>70</v>
      </c>
      <c r="V2141" s="13" t="s">
        <v>1010</v>
      </c>
      <c r="W2141" s="13" t="s">
        <v>64</v>
      </c>
      <c r="X2141" s="135">
        <v>380000</v>
      </c>
      <c r="Y2141" s="157" t="str">
        <f t="shared" ref="Y2141:Y2149" si="637">IF(W2141="","",IF(W2141="RMB","1.13", "1"))</f>
        <v>1.13</v>
      </c>
      <c r="Z2141" s="18">
        <f t="shared" si="635"/>
        <v>380000</v>
      </c>
      <c r="AA2141" s="13">
        <v>1.135</v>
      </c>
      <c r="AB2141" s="21">
        <f t="shared" si="620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1"/>
        <v>28177779.013274338</v>
      </c>
      <c r="AJ2141" s="19">
        <f t="shared" si="622"/>
        <v>4727216.6376190251</v>
      </c>
      <c r="AK2141" s="20">
        <f t="shared" si="629"/>
        <v>0.1677639900359808</v>
      </c>
      <c r="AL2141" s="17"/>
      <c r="AM2141" s="17"/>
      <c r="AN2141" s="17"/>
      <c r="AO2141" s="17"/>
      <c r="AP2141" s="28" t="str">
        <f t="shared" si="630"/>
        <v>20235</v>
      </c>
      <c r="AQ2141" s="28" t="str">
        <f t="shared" si="631"/>
        <v>20235RMB</v>
      </c>
      <c r="AR2141" s="206" t="str">
        <f t="shared" si="632"/>
        <v>PEMTRON</v>
      </c>
      <c r="AS2141" s="22">
        <f t="shared" si="633"/>
        <v>6</v>
      </c>
      <c r="AT2141" s="24" t="str">
        <f t="shared" si="634"/>
        <v>4-6 months</v>
      </c>
      <c r="AU2141" s="22" t="s">
        <v>3240</v>
      </c>
    </row>
    <row r="2142" spans="1:47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55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3038</v>
      </c>
      <c r="K2142" s="155" t="s">
        <v>3039</v>
      </c>
      <c r="L2142" s="17" t="s">
        <v>2837</v>
      </c>
      <c r="M2142" s="13" t="s">
        <v>2832</v>
      </c>
      <c r="N2142" s="13">
        <v>1</v>
      </c>
      <c r="O2142" s="13"/>
      <c r="P2142" s="33" t="str">
        <f t="shared" si="626"/>
        <v>MAIN UNIT</v>
      </c>
      <c r="Q2142" s="13" t="s">
        <v>68</v>
      </c>
      <c r="R2142" s="13" t="s">
        <v>2055</v>
      </c>
      <c r="S2142" s="13" t="s">
        <v>50</v>
      </c>
      <c r="T2142" s="13" t="s">
        <v>88</v>
      </c>
      <c r="U2142" s="13" t="s">
        <v>70</v>
      </c>
      <c r="V2142" s="13" t="s">
        <v>1010</v>
      </c>
      <c r="W2142" s="13" t="s">
        <v>64</v>
      </c>
      <c r="X2142" s="135">
        <v>380000</v>
      </c>
      <c r="Y2142" s="157" t="str">
        <f t="shared" si="637"/>
        <v>1.13</v>
      </c>
      <c r="Z2142" s="18">
        <f t="shared" si="635"/>
        <v>380000</v>
      </c>
      <c r="AA2142" s="13">
        <v>1.135</v>
      </c>
      <c r="AB2142" s="21">
        <f t="shared" si="620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1"/>
        <v>28177779.013274338</v>
      </c>
      <c r="AJ2142" s="19">
        <f t="shared" si="622"/>
        <v>4727216.6376190251</v>
      </c>
      <c r="AK2142" s="20">
        <f t="shared" si="629"/>
        <v>0.1677639900359808</v>
      </c>
      <c r="AL2142" s="17"/>
      <c r="AM2142" s="17"/>
      <c r="AN2142" s="17"/>
      <c r="AO2142" s="17"/>
      <c r="AP2142" s="28" t="str">
        <f t="shared" si="630"/>
        <v>20235</v>
      </c>
      <c r="AQ2142" s="28" t="str">
        <f t="shared" si="631"/>
        <v>20235RMB</v>
      </c>
      <c r="AR2142" s="206" t="str">
        <f t="shared" si="632"/>
        <v>PEMTRON</v>
      </c>
      <c r="AS2142" s="22">
        <f t="shared" si="633"/>
        <v>6</v>
      </c>
      <c r="AT2142" s="24" t="str">
        <f t="shared" si="634"/>
        <v>4-6 months</v>
      </c>
      <c r="AU2142" s="22" t="s">
        <v>3240</v>
      </c>
    </row>
    <row r="2143" spans="1:47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55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3038</v>
      </c>
      <c r="K2143" s="155" t="s">
        <v>3039</v>
      </c>
      <c r="L2143" s="17" t="s">
        <v>2837</v>
      </c>
      <c r="M2143" s="13" t="s">
        <v>2832</v>
      </c>
      <c r="N2143" s="13">
        <v>1</v>
      </c>
      <c r="O2143" s="13"/>
      <c r="P2143" s="33" t="str">
        <f t="shared" si="626"/>
        <v>MAIN UNIT</v>
      </c>
      <c r="Q2143" s="13" t="s">
        <v>68</v>
      </c>
      <c r="R2143" s="13" t="s">
        <v>2055</v>
      </c>
      <c r="S2143" s="13" t="s">
        <v>50</v>
      </c>
      <c r="T2143" s="13" t="s">
        <v>88</v>
      </c>
      <c r="U2143" s="13" t="s">
        <v>70</v>
      </c>
      <c r="V2143" s="13" t="s">
        <v>1010</v>
      </c>
      <c r="W2143" s="13" t="s">
        <v>64</v>
      </c>
      <c r="X2143" s="135">
        <v>380000</v>
      </c>
      <c r="Y2143" s="157" t="str">
        <f t="shared" si="637"/>
        <v>1.13</v>
      </c>
      <c r="Z2143" s="18">
        <f t="shared" si="635"/>
        <v>380000</v>
      </c>
      <c r="AA2143" s="13">
        <v>1.135</v>
      </c>
      <c r="AB2143" s="21">
        <f t="shared" si="620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1"/>
        <v>28177779.013274338</v>
      </c>
      <c r="AJ2143" s="19">
        <f t="shared" si="622"/>
        <v>4727216.6376190251</v>
      </c>
      <c r="AK2143" s="20">
        <f t="shared" si="629"/>
        <v>0.1677639900359808</v>
      </c>
      <c r="AL2143" s="17"/>
      <c r="AM2143" s="17"/>
      <c r="AN2143" s="17"/>
      <c r="AO2143" s="17"/>
      <c r="AP2143" s="28" t="str">
        <f t="shared" si="630"/>
        <v>20235</v>
      </c>
      <c r="AQ2143" s="28" t="str">
        <f t="shared" si="631"/>
        <v>20235RMB</v>
      </c>
      <c r="AR2143" s="206" t="str">
        <f t="shared" si="632"/>
        <v>PEMTRON</v>
      </c>
      <c r="AS2143" s="22">
        <f t="shared" si="633"/>
        <v>6</v>
      </c>
      <c r="AT2143" s="24" t="str">
        <f t="shared" si="634"/>
        <v>4-6 months</v>
      </c>
      <c r="AU2143" s="22" t="s">
        <v>3240</v>
      </c>
    </row>
    <row r="2144" spans="1:47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55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3038</v>
      </c>
      <c r="K2144" s="155" t="s">
        <v>3039</v>
      </c>
      <c r="L2144" s="17" t="s">
        <v>2837</v>
      </c>
      <c r="M2144" s="13" t="s">
        <v>2832</v>
      </c>
      <c r="N2144" s="13">
        <v>1</v>
      </c>
      <c r="O2144" s="13"/>
      <c r="P2144" s="33" t="str">
        <f t="shared" si="626"/>
        <v>MAIN UNIT</v>
      </c>
      <c r="Q2144" s="13" t="s">
        <v>68</v>
      </c>
      <c r="R2144" s="13" t="s">
        <v>2055</v>
      </c>
      <c r="S2144" s="13" t="s">
        <v>50</v>
      </c>
      <c r="T2144" s="13" t="s">
        <v>88</v>
      </c>
      <c r="U2144" s="13" t="s">
        <v>70</v>
      </c>
      <c r="V2144" s="13" t="s">
        <v>1010</v>
      </c>
      <c r="W2144" s="13" t="s">
        <v>64</v>
      </c>
      <c r="X2144" s="135">
        <v>380000</v>
      </c>
      <c r="Y2144" s="157" t="str">
        <f t="shared" si="637"/>
        <v>1.13</v>
      </c>
      <c r="Z2144" s="18">
        <f t="shared" si="635"/>
        <v>380000</v>
      </c>
      <c r="AA2144" s="13">
        <v>1.135</v>
      </c>
      <c r="AB2144" s="21">
        <f t="shared" si="620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1"/>
        <v>28177779.013274338</v>
      </c>
      <c r="AJ2144" s="19">
        <f t="shared" si="622"/>
        <v>4727216.6376190251</v>
      </c>
      <c r="AK2144" s="20">
        <f t="shared" si="629"/>
        <v>0.1677639900359808</v>
      </c>
      <c r="AL2144" s="17"/>
      <c r="AM2144" s="17"/>
      <c r="AN2144" s="17"/>
      <c r="AO2144" s="17"/>
      <c r="AP2144" s="28" t="str">
        <f t="shared" si="630"/>
        <v>20235</v>
      </c>
      <c r="AQ2144" s="28" t="str">
        <f t="shared" si="631"/>
        <v>20235RMB</v>
      </c>
      <c r="AR2144" s="206" t="str">
        <f t="shared" si="632"/>
        <v>PEMTRON</v>
      </c>
      <c r="AS2144" s="22">
        <f t="shared" si="633"/>
        <v>6</v>
      </c>
      <c r="AT2144" s="24" t="str">
        <f t="shared" si="634"/>
        <v>4-6 months</v>
      </c>
      <c r="AU2144" s="22" t="s">
        <v>3240</v>
      </c>
    </row>
    <row r="2145" spans="1:47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55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3038</v>
      </c>
      <c r="K2145" s="155" t="s">
        <v>3039</v>
      </c>
      <c r="L2145" s="17" t="s">
        <v>2837</v>
      </c>
      <c r="M2145" s="13" t="s">
        <v>2832</v>
      </c>
      <c r="N2145" s="13">
        <v>1</v>
      </c>
      <c r="O2145" s="13"/>
      <c r="P2145" s="33" t="str">
        <f t="shared" si="626"/>
        <v>MAIN UNIT</v>
      </c>
      <c r="Q2145" s="13" t="s">
        <v>68</v>
      </c>
      <c r="R2145" s="13" t="s">
        <v>2055</v>
      </c>
      <c r="S2145" s="13" t="s">
        <v>50</v>
      </c>
      <c r="T2145" s="13" t="s">
        <v>88</v>
      </c>
      <c r="U2145" s="13" t="s">
        <v>70</v>
      </c>
      <c r="V2145" s="13" t="s">
        <v>1010</v>
      </c>
      <c r="W2145" s="13" t="s">
        <v>64</v>
      </c>
      <c r="X2145" s="135">
        <v>380000</v>
      </c>
      <c r="Y2145" s="157" t="str">
        <f t="shared" si="637"/>
        <v>1.13</v>
      </c>
      <c r="Z2145" s="18">
        <f t="shared" si="635"/>
        <v>380000</v>
      </c>
      <c r="AA2145" s="13">
        <v>1.135</v>
      </c>
      <c r="AB2145" s="21">
        <f t="shared" si="620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1"/>
        <v>28177779.013274338</v>
      </c>
      <c r="AJ2145" s="19">
        <f t="shared" si="622"/>
        <v>4727216.6376190251</v>
      </c>
      <c r="AK2145" s="20">
        <f t="shared" si="629"/>
        <v>0.1677639900359808</v>
      </c>
      <c r="AL2145" s="17"/>
      <c r="AM2145" s="17"/>
      <c r="AN2145" s="17"/>
      <c r="AO2145" s="17"/>
      <c r="AP2145" s="28" t="str">
        <f t="shared" si="630"/>
        <v>20235</v>
      </c>
      <c r="AQ2145" s="28" t="str">
        <f t="shared" si="631"/>
        <v>20235RMB</v>
      </c>
      <c r="AR2145" s="206" t="str">
        <f t="shared" si="632"/>
        <v>PEMTRON</v>
      </c>
      <c r="AS2145" s="22">
        <f t="shared" si="633"/>
        <v>6</v>
      </c>
      <c r="AT2145" s="24" t="str">
        <f t="shared" si="634"/>
        <v>4-6 months</v>
      </c>
      <c r="AU2145" s="22" t="s">
        <v>3240</v>
      </c>
    </row>
    <row r="2146" spans="1:47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55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3038</v>
      </c>
      <c r="K2146" s="155" t="s">
        <v>3039</v>
      </c>
      <c r="L2146" s="17" t="s">
        <v>2837</v>
      </c>
      <c r="M2146" s="13" t="s">
        <v>2832</v>
      </c>
      <c r="N2146" s="13">
        <v>1</v>
      </c>
      <c r="O2146" s="13"/>
      <c r="P2146" s="33" t="str">
        <f t="shared" si="626"/>
        <v>MAIN UNIT</v>
      </c>
      <c r="Q2146" s="13" t="s">
        <v>68</v>
      </c>
      <c r="R2146" s="13" t="s">
        <v>2055</v>
      </c>
      <c r="S2146" s="13" t="s">
        <v>50</v>
      </c>
      <c r="T2146" s="13" t="s">
        <v>88</v>
      </c>
      <c r="U2146" s="13" t="s">
        <v>70</v>
      </c>
      <c r="V2146" s="13" t="s">
        <v>1010</v>
      </c>
      <c r="W2146" s="13" t="s">
        <v>64</v>
      </c>
      <c r="X2146" s="135">
        <v>380000</v>
      </c>
      <c r="Y2146" s="157" t="str">
        <f t="shared" si="637"/>
        <v>1.13</v>
      </c>
      <c r="Z2146" s="18">
        <f t="shared" si="635"/>
        <v>380000</v>
      </c>
      <c r="AA2146" s="13">
        <v>1.135</v>
      </c>
      <c r="AB2146" s="21">
        <f t="shared" si="620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1"/>
        <v>28177779.013274338</v>
      </c>
      <c r="AJ2146" s="19">
        <f t="shared" si="622"/>
        <v>4727216.6376190251</v>
      </c>
      <c r="AK2146" s="20">
        <f t="shared" si="629"/>
        <v>0.1677639900359808</v>
      </c>
      <c r="AL2146" s="17"/>
      <c r="AM2146" s="17"/>
      <c r="AN2146" s="17"/>
      <c r="AO2146" s="17"/>
      <c r="AP2146" s="28" t="str">
        <f t="shared" si="630"/>
        <v>20235</v>
      </c>
      <c r="AQ2146" s="28" t="str">
        <f t="shared" si="631"/>
        <v>20235RMB</v>
      </c>
      <c r="AR2146" s="206" t="str">
        <f t="shared" si="632"/>
        <v>PEMTRON</v>
      </c>
      <c r="AS2146" s="22">
        <f t="shared" si="633"/>
        <v>6</v>
      </c>
      <c r="AT2146" s="24" t="str">
        <f t="shared" si="634"/>
        <v>4-6 months</v>
      </c>
      <c r="AU2146" s="22" t="s">
        <v>3240</v>
      </c>
    </row>
    <row r="2147" spans="1:47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55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3038</v>
      </c>
      <c r="K2147" s="155" t="s">
        <v>3039</v>
      </c>
      <c r="L2147" s="17" t="s">
        <v>2837</v>
      </c>
      <c r="M2147" s="13" t="s">
        <v>2832</v>
      </c>
      <c r="N2147" s="13">
        <v>1</v>
      </c>
      <c r="O2147" s="13"/>
      <c r="P2147" s="33" t="str">
        <f t="shared" si="626"/>
        <v>MAIN UNIT</v>
      </c>
      <c r="Q2147" s="13" t="s">
        <v>68</v>
      </c>
      <c r="R2147" s="13" t="s">
        <v>2055</v>
      </c>
      <c r="S2147" s="13" t="s">
        <v>50</v>
      </c>
      <c r="T2147" s="13" t="s">
        <v>88</v>
      </c>
      <c r="U2147" s="13" t="s">
        <v>70</v>
      </c>
      <c r="V2147" s="13" t="s">
        <v>1010</v>
      </c>
      <c r="W2147" s="13" t="s">
        <v>64</v>
      </c>
      <c r="X2147" s="135">
        <v>380000</v>
      </c>
      <c r="Y2147" s="157" t="str">
        <f t="shared" si="637"/>
        <v>1.13</v>
      </c>
      <c r="Z2147" s="18">
        <f t="shared" si="635"/>
        <v>380000</v>
      </c>
      <c r="AA2147" s="13">
        <v>1.135</v>
      </c>
      <c r="AB2147" s="21">
        <f t="shared" si="620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1"/>
        <v>28177779.013274338</v>
      </c>
      <c r="AJ2147" s="19">
        <f t="shared" si="622"/>
        <v>4727216.6376190251</v>
      </c>
      <c r="AK2147" s="20">
        <f t="shared" si="629"/>
        <v>0.1677639900359808</v>
      </c>
      <c r="AL2147" s="17"/>
      <c r="AM2147" s="17"/>
      <c r="AN2147" s="17"/>
      <c r="AO2147" s="17"/>
      <c r="AP2147" s="28" t="str">
        <f t="shared" si="630"/>
        <v>20235</v>
      </c>
      <c r="AQ2147" s="28" t="str">
        <f t="shared" si="631"/>
        <v>20235RMB</v>
      </c>
      <c r="AR2147" s="206" t="str">
        <f t="shared" si="632"/>
        <v>PEMTRON</v>
      </c>
      <c r="AS2147" s="22">
        <f t="shared" si="633"/>
        <v>6</v>
      </c>
      <c r="AT2147" s="24" t="str">
        <f t="shared" si="634"/>
        <v>4-6 months</v>
      </c>
      <c r="AU2147" s="22" t="s">
        <v>3240</v>
      </c>
    </row>
    <row r="2148" spans="1:47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3403</v>
      </c>
      <c r="K2148" s="29" t="s">
        <v>1970</v>
      </c>
      <c r="L2148" s="17" t="s">
        <v>2620</v>
      </c>
      <c r="M2148" s="22" t="s">
        <v>60</v>
      </c>
      <c r="N2148" s="22">
        <v>1</v>
      </c>
      <c r="O2148" s="22"/>
      <c r="P2148" s="33" t="str">
        <f t="shared" si="626"/>
        <v>MAIN UNIT</v>
      </c>
      <c r="Q2148" s="13" t="s">
        <v>61</v>
      </c>
      <c r="R2148" s="22" t="s">
        <v>2055</v>
      </c>
      <c r="S2148" s="22" t="s">
        <v>50</v>
      </c>
      <c r="T2148" s="22" t="s">
        <v>78</v>
      </c>
      <c r="U2148" s="22" t="s">
        <v>3405</v>
      </c>
      <c r="V2148" s="22" t="s">
        <v>121</v>
      </c>
      <c r="W2148" s="22" t="s">
        <v>109</v>
      </c>
      <c r="X2148" s="30">
        <v>7200000</v>
      </c>
      <c r="Y2148" s="31" t="str">
        <f t="shared" si="637"/>
        <v>1</v>
      </c>
      <c r="Z2148" s="18">
        <f t="shared" si="635"/>
        <v>7200000</v>
      </c>
      <c r="AA2148" s="22">
        <v>5.0999999999999997E-2</v>
      </c>
      <c r="AB2148" s="21">
        <f t="shared" si="620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1"/>
        <v>27308925.887079656</v>
      </c>
      <c r="AJ2148" s="27">
        <f t="shared" si="622"/>
        <v>3319273.860338124</v>
      </c>
      <c r="AK2148" s="28">
        <f t="shared" si="629"/>
        <v>0.12154538314919709</v>
      </c>
      <c r="AL2148" s="24"/>
      <c r="AM2148" s="24"/>
      <c r="AN2148" s="24"/>
      <c r="AO2148" s="24"/>
      <c r="AP2148" s="28" t="str">
        <f t="shared" si="630"/>
        <v>20246</v>
      </c>
      <c r="AQ2148" s="28" t="str">
        <f t="shared" si="631"/>
        <v>20246JPY</v>
      </c>
      <c r="AR2148" s="206" t="str">
        <f t="shared" si="632"/>
        <v>YAMAHA_Non_Mounter</v>
      </c>
      <c r="AS2148" s="22">
        <f t="shared" si="633"/>
        <v>2</v>
      </c>
      <c r="AT2148" s="24" t="str">
        <f t="shared" si="634"/>
        <v>0-3 months</v>
      </c>
      <c r="AU2148" s="22" t="s">
        <v>3746</v>
      </c>
    </row>
    <row r="2149" spans="1:47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3172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3451</v>
      </c>
      <c r="K2149" s="29" t="s">
        <v>2264</v>
      </c>
      <c r="L2149" s="17" t="s">
        <v>92</v>
      </c>
      <c r="M2149" s="22" t="s">
        <v>60</v>
      </c>
      <c r="N2149" s="22">
        <v>1</v>
      </c>
      <c r="O2149" s="22"/>
      <c r="P2149" s="33" t="str">
        <f t="shared" si="626"/>
        <v>MAIN UNIT</v>
      </c>
      <c r="Q2149" s="22" t="s">
        <v>61</v>
      </c>
      <c r="R2149" s="22" t="s">
        <v>62</v>
      </c>
      <c r="S2149" s="22" t="s">
        <v>50</v>
      </c>
      <c r="T2149" s="22" t="s">
        <v>88</v>
      </c>
      <c r="U2149" s="22" t="s">
        <v>70</v>
      </c>
      <c r="V2149" s="22" t="s">
        <v>102</v>
      </c>
      <c r="W2149" s="22" t="s">
        <v>64</v>
      </c>
      <c r="X2149" s="104">
        <v>785000</v>
      </c>
      <c r="Y2149" s="195" t="str">
        <f t="shared" si="637"/>
        <v>1.13</v>
      </c>
      <c r="Z2149" s="196">
        <f t="shared" si="635"/>
        <v>785000</v>
      </c>
      <c r="AA2149" s="22">
        <v>1.08</v>
      </c>
      <c r="AB2149" s="197">
        <f t="shared" si="620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1"/>
        <v>27308925.887079656</v>
      </c>
      <c r="AJ2149" s="200">
        <f t="shared" si="622"/>
        <v>3319273.860338124</v>
      </c>
      <c r="AK2149" s="201">
        <f t="shared" si="629"/>
        <v>0.12154538314919709</v>
      </c>
      <c r="AL2149" s="24"/>
      <c r="AM2149" s="24"/>
      <c r="AN2149" s="24"/>
      <c r="AO2149" s="24"/>
      <c r="AP2149" s="105" t="str">
        <f t="shared" si="630"/>
        <v>20246</v>
      </c>
      <c r="AQ2149" s="28" t="str">
        <f t="shared" si="631"/>
        <v>20246RMB</v>
      </c>
      <c r="AR2149" s="206" t="str">
        <f t="shared" si="632"/>
        <v>YAMAHA_Mounter</v>
      </c>
      <c r="AS2149" s="22">
        <f t="shared" si="633"/>
        <v>1</v>
      </c>
      <c r="AT2149" s="24" t="str">
        <f t="shared" si="634"/>
        <v>0-3 months</v>
      </c>
      <c r="AU2149" s="22" t="s">
        <v>3240</v>
      </c>
    </row>
    <row r="2150" spans="1:47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48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1017</v>
      </c>
      <c r="K2150" s="155" t="s">
        <v>1018</v>
      </c>
      <c r="L2150" s="17" t="s">
        <v>67</v>
      </c>
      <c r="M2150" s="13" t="s">
        <v>60</v>
      </c>
      <c r="N2150" s="13">
        <v>1</v>
      </c>
      <c r="O2150" s="13"/>
      <c r="P2150" s="33" t="str">
        <f t="shared" si="626"/>
        <v>MAIN UNIT</v>
      </c>
      <c r="Q2150" s="13" t="s">
        <v>68</v>
      </c>
      <c r="R2150" s="13" t="s">
        <v>62</v>
      </c>
      <c r="S2150" s="13" t="s">
        <v>50</v>
      </c>
      <c r="T2150" s="13" t="s">
        <v>88</v>
      </c>
      <c r="U2150" s="13" t="s">
        <v>70</v>
      </c>
      <c r="V2150" s="13" t="s">
        <v>1010</v>
      </c>
      <c r="W2150" s="13" t="s">
        <v>64</v>
      </c>
      <c r="X2150" s="135">
        <v>740000</v>
      </c>
      <c r="Y2150" s="156">
        <v>1.1299999999999999</v>
      </c>
      <c r="Z2150" s="18">
        <f t="shared" si="635"/>
        <v>740000</v>
      </c>
      <c r="AA2150" s="13">
        <v>1.089</v>
      </c>
      <c r="AB2150" s="21">
        <f t="shared" si="620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1"/>
        <v>29183109.05575221</v>
      </c>
      <c r="AJ2150" s="19">
        <f t="shared" si="622"/>
        <v>3741266.5648721238</v>
      </c>
      <c r="AK2150" s="20">
        <f t="shared" si="629"/>
        <v>0.12819972531798121</v>
      </c>
      <c r="AL2150" s="17"/>
      <c r="AM2150" s="17"/>
      <c r="AN2150" s="17"/>
      <c r="AO2150" s="17"/>
      <c r="AP2150" s="28" t="str">
        <f t="shared" si="630"/>
        <v>20206</v>
      </c>
      <c r="AQ2150" s="28" t="str">
        <f t="shared" si="631"/>
        <v>20206RMB</v>
      </c>
      <c r="AR2150" s="206" t="str">
        <f t="shared" si="632"/>
        <v>YAMAHA_Mounter</v>
      </c>
      <c r="AS2150" s="22">
        <f t="shared" si="633"/>
        <v>6</v>
      </c>
      <c r="AT2150" s="24" t="str">
        <f t="shared" si="634"/>
        <v>4-6 months</v>
      </c>
      <c r="AU2150" s="22" t="s">
        <v>3240</v>
      </c>
    </row>
    <row r="2151" spans="1:47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55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2333</v>
      </c>
      <c r="K2151" s="155" t="s">
        <v>2334</v>
      </c>
      <c r="L2151" s="17" t="s">
        <v>67</v>
      </c>
      <c r="M2151" s="13" t="s">
        <v>60</v>
      </c>
      <c r="N2151" s="13">
        <v>1</v>
      </c>
      <c r="O2151" s="13"/>
      <c r="P2151" s="33" t="str">
        <f t="shared" si="626"/>
        <v>MAIN UNIT</v>
      </c>
      <c r="Q2151" s="13" t="s">
        <v>68</v>
      </c>
      <c r="R2151" s="13" t="s">
        <v>62</v>
      </c>
      <c r="S2151" s="13" t="s">
        <v>50</v>
      </c>
      <c r="T2151" s="13" t="s">
        <v>88</v>
      </c>
      <c r="U2151" s="13" t="s">
        <v>70</v>
      </c>
      <c r="V2151" s="13" t="s">
        <v>1010</v>
      </c>
      <c r="W2151" s="13" t="s">
        <v>64</v>
      </c>
      <c r="X2151" s="135">
        <v>460000</v>
      </c>
      <c r="Y2151" s="157" t="str">
        <f>IF(W2151="RMB","1.13", "1")</f>
        <v>1.13</v>
      </c>
      <c r="Z2151" s="18">
        <f t="shared" si="635"/>
        <v>460000</v>
      </c>
      <c r="AA2151" s="13">
        <v>1.105</v>
      </c>
      <c r="AB2151" s="21">
        <f t="shared" si="620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1"/>
        <v>13640480.497522123</v>
      </c>
      <c r="AJ2151" s="19">
        <f t="shared" si="622"/>
        <v>1928605.8020906283</v>
      </c>
      <c r="AK2151" s="20">
        <f t="shared" si="629"/>
        <v>0.1413884065477731</v>
      </c>
      <c r="AL2151" s="17"/>
      <c r="AM2151" s="17"/>
      <c r="AN2151" s="17"/>
      <c r="AO2151" s="17"/>
      <c r="AP2151" s="28" t="str">
        <f t="shared" si="630"/>
        <v>20236</v>
      </c>
      <c r="AQ2151" s="28" t="str">
        <f t="shared" si="631"/>
        <v>20236RMB</v>
      </c>
      <c r="AR2151" s="206" t="str">
        <f t="shared" si="632"/>
        <v>YAMAHA_Mounter</v>
      </c>
      <c r="AS2151" s="22">
        <f t="shared" si="633"/>
        <v>7</v>
      </c>
      <c r="AT2151" s="24" t="str">
        <f t="shared" si="634"/>
        <v>&gt; 6 months</v>
      </c>
      <c r="AU2151" s="22" t="s">
        <v>3240</v>
      </c>
    </row>
    <row r="2152" spans="1:47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48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1505</v>
      </c>
      <c r="K2152" s="155" t="s">
        <v>1506</v>
      </c>
      <c r="L2152" s="17" t="s">
        <v>92</v>
      </c>
      <c r="M2152" s="13" t="s">
        <v>60</v>
      </c>
      <c r="N2152" s="13">
        <v>1</v>
      </c>
      <c r="O2152" s="13"/>
      <c r="P2152" s="33" t="str">
        <f t="shared" si="626"/>
        <v>MAIN UNIT</v>
      </c>
      <c r="Q2152" s="13" t="s">
        <v>68</v>
      </c>
      <c r="R2152" s="13" t="s">
        <v>62</v>
      </c>
      <c r="S2152" s="13" t="s">
        <v>50</v>
      </c>
      <c r="T2152" s="13" t="s">
        <v>88</v>
      </c>
      <c r="U2152" s="13" t="s">
        <v>89</v>
      </c>
      <c r="V2152" s="13" t="s">
        <v>84</v>
      </c>
      <c r="W2152" s="13" t="s">
        <v>64</v>
      </c>
      <c r="X2152" s="135">
        <v>1000000</v>
      </c>
      <c r="Y2152" s="157" t="str">
        <f>IF(W2152="RMB","1.13", "1")</f>
        <v>1.13</v>
      </c>
      <c r="Z2152" s="18">
        <f t="shared" si="635"/>
        <v>1000000</v>
      </c>
      <c r="AA2152" s="13">
        <v>1.1850000000000001</v>
      </c>
      <c r="AB2152" s="21">
        <f t="shared" si="620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1"/>
        <v>45803245.025628321</v>
      </c>
      <c r="AJ2152" s="19">
        <f t="shared" si="622"/>
        <v>5664636.2584379362</v>
      </c>
      <c r="AK2152" s="20">
        <f t="shared" si="629"/>
        <v>0.12367325186825515</v>
      </c>
      <c r="AL2152" s="17"/>
      <c r="AM2152" s="17"/>
      <c r="AN2152" s="17"/>
      <c r="AO2152" s="17"/>
      <c r="AP2152" s="28" t="str">
        <f t="shared" si="630"/>
        <v>20211</v>
      </c>
      <c r="AQ2152" s="28" t="str">
        <f t="shared" si="631"/>
        <v>20211RMB</v>
      </c>
      <c r="AR2152" s="206" t="str">
        <f t="shared" si="632"/>
        <v>YAMAHA_Mounter</v>
      </c>
      <c r="AS2152" s="22">
        <f t="shared" si="633"/>
        <v>3</v>
      </c>
      <c r="AT2152" s="24" t="str">
        <f t="shared" si="634"/>
        <v>0-3 months</v>
      </c>
      <c r="AU2152" s="22" t="s">
        <v>3240</v>
      </c>
    </row>
    <row r="2153" spans="1:47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48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1505</v>
      </c>
      <c r="K2153" s="155" t="s">
        <v>1506</v>
      </c>
      <c r="L2153" s="17" t="s">
        <v>67</v>
      </c>
      <c r="M2153" s="13" t="s">
        <v>60</v>
      </c>
      <c r="N2153" s="13">
        <v>1</v>
      </c>
      <c r="O2153" s="13"/>
      <c r="P2153" s="33" t="str">
        <f t="shared" si="626"/>
        <v>MAIN UNIT</v>
      </c>
      <c r="Q2153" s="13" t="s">
        <v>68</v>
      </c>
      <c r="R2153" s="13" t="s">
        <v>62</v>
      </c>
      <c r="S2153" s="13" t="s">
        <v>50</v>
      </c>
      <c r="T2153" s="13" t="s">
        <v>88</v>
      </c>
      <c r="U2153" s="13" t="s">
        <v>89</v>
      </c>
      <c r="V2153" s="13" t="s">
        <v>84</v>
      </c>
      <c r="W2153" s="13" t="s">
        <v>64</v>
      </c>
      <c r="X2153" s="135">
        <v>800800</v>
      </c>
      <c r="Y2153" s="157" t="str">
        <f>IF(W2153="RMB","1.13", "1")</f>
        <v>1.13</v>
      </c>
      <c r="Z2153" s="18">
        <f t="shared" si="635"/>
        <v>800800</v>
      </c>
      <c r="AA2153" s="13">
        <v>1.1850000000000001</v>
      </c>
      <c r="AB2153" s="21">
        <f t="shared" si="620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1"/>
        <v>45803245.025628321</v>
      </c>
      <c r="AJ2153" s="19">
        <f t="shared" si="622"/>
        <v>5664636.2584379362</v>
      </c>
      <c r="AK2153" s="20">
        <f t="shared" si="629"/>
        <v>0.12367325186825515</v>
      </c>
      <c r="AL2153" s="17"/>
      <c r="AM2153" s="17"/>
      <c r="AN2153" s="17"/>
      <c r="AO2153" s="17"/>
      <c r="AP2153" s="28" t="str">
        <f t="shared" si="630"/>
        <v>20211</v>
      </c>
      <c r="AQ2153" s="28" t="str">
        <f t="shared" si="631"/>
        <v>20211RMB</v>
      </c>
      <c r="AR2153" s="206" t="str">
        <f t="shared" si="632"/>
        <v>YAMAHA_Mounter</v>
      </c>
      <c r="AS2153" s="22">
        <f t="shared" si="633"/>
        <v>3</v>
      </c>
      <c r="AT2153" s="24" t="str">
        <f t="shared" si="634"/>
        <v>0-3 months</v>
      </c>
      <c r="AU2153" s="22" t="s">
        <v>3240</v>
      </c>
    </row>
    <row r="2154" spans="1:47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48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1132</v>
      </c>
      <c r="K2154" s="155" t="s">
        <v>1133</v>
      </c>
      <c r="L2154" s="17" t="s">
        <v>516</v>
      </c>
      <c r="M2154" s="13" t="s">
        <v>60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61</v>
      </c>
      <c r="R2154" s="13" t="s">
        <v>62</v>
      </c>
      <c r="S2154" s="13" t="s">
        <v>50</v>
      </c>
      <c r="T2154" s="13" t="s">
        <v>88</v>
      </c>
      <c r="U2154" s="13" t="s">
        <v>70</v>
      </c>
      <c r="V2154" s="13" t="s">
        <v>71</v>
      </c>
      <c r="W2154" s="13" t="s">
        <v>64</v>
      </c>
      <c r="X2154" s="135">
        <v>3580</v>
      </c>
      <c r="Y2154" s="156">
        <v>1.1299999999999999</v>
      </c>
      <c r="Z2154" s="18">
        <f t="shared" si="635"/>
        <v>35800</v>
      </c>
      <c r="AA2154" s="13">
        <v>1.105</v>
      </c>
      <c r="AB2154" s="21">
        <f t="shared" si="620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1"/>
        <v>37969334.083628319</v>
      </c>
      <c r="AJ2154" s="19">
        <f t="shared" si="622"/>
        <v>5097226.4551657084</v>
      </c>
      <c r="AK2154" s="20">
        <f t="shared" si="629"/>
        <v>0.13424587441904964</v>
      </c>
      <c r="AL2154" s="17"/>
      <c r="AM2154" s="17"/>
      <c r="AN2154" s="17"/>
      <c r="AO2154" s="17"/>
      <c r="AP2154" s="28" t="str">
        <f t="shared" si="630"/>
        <v>20208</v>
      </c>
      <c r="AQ2154" s="28" t="str">
        <f t="shared" si="631"/>
        <v>20208RMB</v>
      </c>
      <c r="AR2154" s="206" t="str">
        <f t="shared" si="632"/>
        <v>YAMAHA_Mounter</v>
      </c>
      <c r="AS2154" s="22">
        <f t="shared" si="633"/>
        <v>0</v>
      </c>
      <c r="AT2154" s="24" t="str">
        <f t="shared" si="634"/>
        <v>0-3 months</v>
      </c>
      <c r="AU2154" s="22" t="s">
        <v>3240</v>
      </c>
    </row>
    <row r="2155" spans="1:47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48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1161</v>
      </c>
      <c r="K2155" s="155" t="s">
        <v>1162</v>
      </c>
      <c r="L2155" s="17" t="s">
        <v>67</v>
      </c>
      <c r="M2155" s="13" t="s">
        <v>60</v>
      </c>
      <c r="N2155" s="13">
        <v>1</v>
      </c>
      <c r="O2155" s="13"/>
      <c r="P2155" s="33" t="str">
        <f t="shared" si="626"/>
        <v>MAIN UNIT</v>
      </c>
      <c r="Q2155" s="13" t="s">
        <v>68</v>
      </c>
      <c r="R2155" s="13" t="s">
        <v>62</v>
      </c>
      <c r="S2155" s="13" t="s">
        <v>50</v>
      </c>
      <c r="T2155" s="13" t="s">
        <v>88</v>
      </c>
      <c r="U2155" s="13" t="s">
        <v>70</v>
      </c>
      <c r="V2155" s="13" t="s">
        <v>71</v>
      </c>
      <c r="W2155" s="13" t="s">
        <v>64</v>
      </c>
      <c r="X2155" s="135">
        <v>750000</v>
      </c>
      <c r="Y2155" s="156">
        <v>1.1299999999999999</v>
      </c>
      <c r="Z2155" s="18">
        <f t="shared" si="635"/>
        <v>750000</v>
      </c>
      <c r="AA2155" s="13">
        <v>1.095</v>
      </c>
      <c r="AB2155" s="21">
        <f t="shared" si="620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1"/>
        <v>35384300.169380538</v>
      </c>
      <c r="AJ2155" s="19">
        <f t="shared" si="622"/>
        <v>5044538.8896988509</v>
      </c>
      <c r="AK2155" s="20">
        <f t="shared" si="629"/>
        <v>0.14256432557804533</v>
      </c>
      <c r="AL2155" s="17"/>
      <c r="AM2155" s="17"/>
      <c r="AN2155" s="17"/>
      <c r="AO2155" s="17"/>
      <c r="AP2155" s="28" t="str">
        <f t="shared" si="630"/>
        <v>20207</v>
      </c>
      <c r="AQ2155" s="28" t="str">
        <f t="shared" si="631"/>
        <v>20207RMB</v>
      </c>
      <c r="AR2155" s="206" t="str">
        <f t="shared" si="632"/>
        <v>YAMAHA_Mounter</v>
      </c>
      <c r="AS2155" s="22">
        <f t="shared" si="633"/>
        <v>1</v>
      </c>
      <c r="AT2155" s="24" t="str">
        <f t="shared" si="634"/>
        <v>0-3 months</v>
      </c>
      <c r="AU2155" s="22" t="s">
        <v>3240</v>
      </c>
    </row>
    <row r="2156" spans="1:47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48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1289</v>
      </c>
      <c r="K2156" s="155" t="s">
        <v>1290</v>
      </c>
      <c r="L2156" s="17" t="s">
        <v>67</v>
      </c>
      <c r="M2156" s="13" t="s">
        <v>60</v>
      </c>
      <c r="N2156" s="13">
        <v>1</v>
      </c>
      <c r="O2156" s="13"/>
      <c r="P2156" s="33" t="str">
        <f t="shared" si="626"/>
        <v>MAIN UNIT</v>
      </c>
      <c r="Q2156" s="13" t="s">
        <v>68</v>
      </c>
      <c r="R2156" s="13" t="s">
        <v>62</v>
      </c>
      <c r="S2156" s="13" t="s">
        <v>50</v>
      </c>
      <c r="T2156" s="13" t="s">
        <v>88</v>
      </c>
      <c r="U2156" s="13" t="s">
        <v>70</v>
      </c>
      <c r="V2156" s="13" t="s">
        <v>71</v>
      </c>
      <c r="W2156" s="13" t="s">
        <v>64</v>
      </c>
      <c r="X2156" s="135">
        <v>640000</v>
      </c>
      <c r="Y2156" s="156">
        <v>1.1299999999999999</v>
      </c>
      <c r="Z2156" s="18">
        <f t="shared" si="635"/>
        <v>640000</v>
      </c>
      <c r="AA2156" s="13">
        <v>1.095</v>
      </c>
      <c r="AB2156" s="21">
        <f t="shared" si="620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1"/>
        <v>28065694.408805311</v>
      </c>
      <c r="AJ2156" s="19">
        <f t="shared" si="622"/>
        <v>4157433.2906989697</v>
      </c>
      <c r="AK2156" s="20">
        <f t="shared" si="629"/>
        <v>0.14813220831602228</v>
      </c>
      <c r="AL2156" s="17"/>
      <c r="AM2156" s="17"/>
      <c r="AN2156" s="17"/>
      <c r="AO2156" s="17"/>
      <c r="AP2156" s="28" t="str">
        <f t="shared" si="630"/>
        <v>20205</v>
      </c>
      <c r="AQ2156" s="28" t="str">
        <f t="shared" si="631"/>
        <v>20205RMB</v>
      </c>
      <c r="AR2156" s="206" t="str">
        <f t="shared" si="632"/>
        <v>YAMAHA_Mounter</v>
      </c>
      <c r="AS2156" s="22">
        <f t="shared" si="633"/>
        <v>1</v>
      </c>
      <c r="AT2156" s="24" t="str">
        <f t="shared" si="634"/>
        <v>0-3 months</v>
      </c>
      <c r="AU2156" s="22" t="s">
        <v>3240</v>
      </c>
    </row>
    <row r="2157" spans="1:47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48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1289</v>
      </c>
      <c r="K2157" s="155" t="s">
        <v>1290</v>
      </c>
      <c r="L2157" s="17" t="s">
        <v>67</v>
      </c>
      <c r="M2157" s="13" t="s">
        <v>60</v>
      </c>
      <c r="N2157" s="13">
        <v>1</v>
      </c>
      <c r="O2157" s="13"/>
      <c r="P2157" s="33" t="str">
        <f t="shared" si="626"/>
        <v>MAIN UNIT</v>
      </c>
      <c r="Q2157" s="13" t="s">
        <v>68</v>
      </c>
      <c r="R2157" s="13" t="s">
        <v>62</v>
      </c>
      <c r="S2157" s="13" t="s">
        <v>50</v>
      </c>
      <c r="T2157" s="13" t="s">
        <v>88</v>
      </c>
      <c r="U2157" s="13" t="s">
        <v>70</v>
      </c>
      <c r="V2157" s="13" t="s">
        <v>71</v>
      </c>
      <c r="W2157" s="13" t="s">
        <v>64</v>
      </c>
      <c r="X2157" s="135">
        <v>640000</v>
      </c>
      <c r="Y2157" s="156">
        <v>1.1299999999999999</v>
      </c>
      <c r="Z2157" s="18">
        <f t="shared" si="635"/>
        <v>640000</v>
      </c>
      <c r="AA2157" s="13">
        <v>1.095</v>
      </c>
      <c r="AB2157" s="21">
        <f t="shared" si="620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1"/>
        <v>28065694.408805311</v>
      </c>
      <c r="AJ2157" s="19">
        <f t="shared" si="622"/>
        <v>4157433.2906989697</v>
      </c>
      <c r="AK2157" s="20">
        <f t="shared" si="629"/>
        <v>0.14813220831602228</v>
      </c>
      <c r="AL2157" s="17"/>
      <c r="AM2157" s="17"/>
      <c r="AN2157" s="17"/>
      <c r="AO2157" s="17"/>
      <c r="AP2157" s="28" t="str">
        <f t="shared" si="630"/>
        <v>20205</v>
      </c>
      <c r="AQ2157" s="28" t="str">
        <f t="shared" si="631"/>
        <v>20205RMB</v>
      </c>
      <c r="AR2157" s="206" t="str">
        <f t="shared" si="632"/>
        <v>YAMAHA_Mounter</v>
      </c>
      <c r="AS2157" s="22">
        <f t="shared" si="633"/>
        <v>1</v>
      </c>
      <c r="AT2157" s="24" t="str">
        <f t="shared" si="634"/>
        <v>0-3 months</v>
      </c>
      <c r="AU2157" s="22" t="s">
        <v>3240</v>
      </c>
    </row>
    <row r="2158" spans="1:47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55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2480</v>
      </c>
      <c r="K2158" s="155" t="s">
        <v>2481</v>
      </c>
      <c r="L2158" s="17" t="s">
        <v>92</v>
      </c>
      <c r="M2158" s="13" t="s">
        <v>60</v>
      </c>
      <c r="N2158" s="13">
        <v>1</v>
      </c>
      <c r="O2158" s="13"/>
      <c r="P2158" s="33" t="str">
        <f t="shared" si="626"/>
        <v>MAIN UNIT</v>
      </c>
      <c r="Q2158" s="13" t="s">
        <v>68</v>
      </c>
      <c r="R2158" s="13" t="s">
        <v>62</v>
      </c>
      <c r="S2158" s="13" t="s">
        <v>50</v>
      </c>
      <c r="T2158" s="13" t="s">
        <v>88</v>
      </c>
      <c r="U2158" s="13" t="s">
        <v>70</v>
      </c>
      <c r="V2158" s="13" t="s">
        <v>1010</v>
      </c>
      <c r="W2158" s="13" t="s">
        <v>64</v>
      </c>
      <c r="X2158" s="135">
        <v>910000</v>
      </c>
      <c r="Y2158" s="157" t="str">
        <f>IF(W2158="RMB","1.13", "1")</f>
        <v>1.13</v>
      </c>
      <c r="Z2158" s="18">
        <f t="shared" si="635"/>
        <v>910000</v>
      </c>
      <c r="AA2158" s="13">
        <v>1.1399999999999999</v>
      </c>
      <c r="AB2158" s="21">
        <f t="shared" si="620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1"/>
        <v>30573205.452778768</v>
      </c>
      <c r="AJ2158" s="19">
        <f t="shared" si="622"/>
        <v>3790930.1683151261</v>
      </c>
      <c r="AK2158" s="20">
        <f t="shared" si="629"/>
        <v>0.12399518179964254</v>
      </c>
      <c r="AL2158" s="17"/>
      <c r="AM2158" s="17"/>
      <c r="AN2158" s="17"/>
      <c r="AO2158" s="17"/>
      <c r="AP2158" s="28" t="str">
        <f t="shared" si="630"/>
        <v>20234</v>
      </c>
      <c r="AQ2158" s="28" t="str">
        <f t="shared" si="631"/>
        <v>20234RMB</v>
      </c>
      <c r="AR2158" s="206" t="str">
        <f t="shared" si="632"/>
        <v>YAMAHA_Mounter</v>
      </c>
      <c r="AS2158" s="22">
        <f t="shared" si="633"/>
        <v>0</v>
      </c>
      <c r="AT2158" s="24" t="str">
        <f t="shared" si="634"/>
        <v>0-3 months</v>
      </c>
      <c r="AU2158" s="22" t="s">
        <v>3240</v>
      </c>
    </row>
    <row r="2159" spans="1:47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41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241</v>
      </c>
      <c r="K2159" s="155" t="s">
        <v>242</v>
      </c>
      <c r="L2159" s="17" t="s">
        <v>77</v>
      </c>
      <c r="M2159" s="13" t="s">
        <v>60</v>
      </c>
      <c r="N2159" s="13">
        <v>1</v>
      </c>
      <c r="O2159" s="13"/>
      <c r="P2159" s="33" t="str">
        <f t="shared" si="626"/>
        <v>MAIN UNIT</v>
      </c>
      <c r="Q2159" s="13" t="s">
        <v>68</v>
      </c>
      <c r="R2159" s="13" t="s">
        <v>62</v>
      </c>
      <c r="S2159" s="13" t="s">
        <v>50</v>
      </c>
      <c r="T2159" s="13" t="s">
        <v>88</v>
      </c>
      <c r="U2159" s="13" t="s">
        <v>70</v>
      </c>
      <c r="V2159" s="13" t="s">
        <v>71</v>
      </c>
      <c r="W2159" s="13" t="s">
        <v>64</v>
      </c>
      <c r="X2159" s="135">
        <v>1035500</v>
      </c>
      <c r="Y2159" s="156">
        <v>1.1599999999999999</v>
      </c>
      <c r="Z2159" s="18">
        <f t="shared" si="635"/>
        <v>1035500</v>
      </c>
      <c r="AA2159" s="13">
        <v>1.23</v>
      </c>
      <c r="AB2159" s="21">
        <f t="shared" si="620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1"/>
        <v>34109166.105589926</v>
      </c>
      <c r="AJ2159" s="19">
        <f t="shared" si="622"/>
        <v>4642032.7199573703</v>
      </c>
      <c r="AK2159" s="20">
        <f t="shared" si="629"/>
        <v>0.13609340977692849</v>
      </c>
      <c r="AL2159" s="17"/>
      <c r="AM2159" s="17"/>
      <c r="AN2159" s="17" t="s">
        <v>151</v>
      </c>
      <c r="AO2159" s="17" t="s">
        <v>243</v>
      </c>
      <c r="AP2159" s="28" t="str">
        <f t="shared" si="630"/>
        <v>20185</v>
      </c>
      <c r="AQ2159" s="28" t="str">
        <f t="shared" si="631"/>
        <v>20185RMB</v>
      </c>
      <c r="AR2159" s="206" t="str">
        <f t="shared" si="632"/>
        <v>YAMAHA_Mounter</v>
      </c>
      <c r="AS2159" s="22">
        <f t="shared" si="633"/>
        <v>1</v>
      </c>
      <c r="AT2159" s="24" t="str">
        <f t="shared" si="634"/>
        <v>0-3 months</v>
      </c>
      <c r="AU2159" s="22" t="s">
        <v>3240</v>
      </c>
    </row>
    <row r="2160" spans="1:47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41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252</v>
      </c>
      <c r="K2160" s="155" t="s">
        <v>242</v>
      </c>
      <c r="L2160" s="17" t="s">
        <v>67</v>
      </c>
      <c r="M2160" s="13" t="s">
        <v>60</v>
      </c>
      <c r="N2160" s="13">
        <v>1</v>
      </c>
      <c r="O2160" s="13"/>
      <c r="P2160" s="33" t="str">
        <f t="shared" si="626"/>
        <v>MAIN UNIT</v>
      </c>
      <c r="Q2160" s="13" t="s">
        <v>68</v>
      </c>
      <c r="R2160" s="13" t="s">
        <v>62</v>
      </c>
      <c r="S2160" s="13" t="s">
        <v>50</v>
      </c>
      <c r="T2160" s="13" t="s">
        <v>88</v>
      </c>
      <c r="U2160" s="13" t="s">
        <v>70</v>
      </c>
      <c r="V2160" s="13" t="s">
        <v>71</v>
      </c>
      <c r="W2160" s="13" t="s">
        <v>64</v>
      </c>
      <c r="X2160" s="135">
        <v>783700</v>
      </c>
      <c r="Y2160" s="156">
        <v>1.1599999999999999</v>
      </c>
      <c r="Z2160" s="18">
        <f t="shared" si="635"/>
        <v>783700</v>
      </c>
      <c r="AA2160" s="13">
        <v>1.125</v>
      </c>
      <c r="AB2160" s="21">
        <f t="shared" si="620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1"/>
        <v>10785027.603448275</v>
      </c>
      <c r="AJ2160" s="19">
        <f t="shared" si="622"/>
        <v>1540894.1297982759</v>
      </c>
      <c r="AK2160" s="20">
        <f t="shared" si="629"/>
        <v>0.1428734525728621</v>
      </c>
      <c r="AL2160" s="17"/>
      <c r="AM2160" s="17"/>
      <c r="AN2160" s="17"/>
      <c r="AO2160" s="17"/>
      <c r="AP2160" s="28" t="str">
        <f t="shared" si="630"/>
        <v>201811</v>
      </c>
      <c r="AQ2160" s="28" t="str">
        <f t="shared" si="631"/>
        <v>201811RMB</v>
      </c>
      <c r="AR2160" s="206" t="str">
        <f t="shared" si="632"/>
        <v>YAMAHA_Mounter</v>
      </c>
      <c r="AS2160" s="22">
        <f t="shared" si="633"/>
        <v>7</v>
      </c>
      <c r="AT2160" s="24" t="str">
        <f t="shared" si="634"/>
        <v>&gt; 6 months</v>
      </c>
      <c r="AU2160" s="22" t="s">
        <v>3240</v>
      </c>
    </row>
    <row r="2161" spans="1:47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47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635</v>
      </c>
      <c r="K2161" s="155" t="s">
        <v>242</v>
      </c>
      <c r="L2161" s="17" t="s">
        <v>92</v>
      </c>
      <c r="M2161" s="13" t="s">
        <v>60</v>
      </c>
      <c r="N2161" s="13">
        <v>1</v>
      </c>
      <c r="O2161" s="13"/>
      <c r="P2161" s="33" t="str">
        <f t="shared" si="626"/>
        <v>MAIN UNIT</v>
      </c>
      <c r="Q2161" s="13" t="s">
        <v>61</v>
      </c>
      <c r="R2161" s="13" t="s">
        <v>62</v>
      </c>
      <c r="S2161" s="13" t="s">
        <v>50</v>
      </c>
      <c r="T2161" s="13" t="s">
        <v>88</v>
      </c>
      <c r="U2161" s="13" t="s">
        <v>70</v>
      </c>
      <c r="V2161" s="13" t="s">
        <v>71</v>
      </c>
      <c r="W2161" s="13" t="s">
        <v>64</v>
      </c>
      <c r="X2161" s="135">
        <v>983879</v>
      </c>
      <c r="Y2161" s="156">
        <v>1.1299999999999999</v>
      </c>
      <c r="Z2161" s="18">
        <f t="shared" si="635"/>
        <v>983879</v>
      </c>
      <c r="AA2161" s="13">
        <v>1.1599999999999999</v>
      </c>
      <c r="AB2161" s="21">
        <f t="shared" si="620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1"/>
        <v>32843736.557277881</v>
      </c>
      <c r="AJ2161" s="19">
        <f t="shared" si="622"/>
        <v>3921470.6822663117</v>
      </c>
      <c r="AK2161" s="20">
        <f t="shared" si="629"/>
        <v>0.11939782416131177</v>
      </c>
      <c r="AL2161" s="17"/>
      <c r="AM2161" s="17">
        <v>19</v>
      </c>
      <c r="AN2161" s="17"/>
      <c r="AO2161" s="17"/>
      <c r="AP2161" s="28" t="str">
        <f t="shared" si="630"/>
        <v>20194</v>
      </c>
      <c r="AQ2161" s="28" t="str">
        <f t="shared" si="631"/>
        <v>20194RMB</v>
      </c>
      <c r="AR2161" s="206" t="str">
        <f t="shared" si="632"/>
        <v>YAMAHA_Mounter</v>
      </c>
      <c r="AS2161" s="22">
        <f t="shared" si="633"/>
        <v>0</v>
      </c>
      <c r="AT2161" s="24" t="str">
        <f t="shared" si="634"/>
        <v>0-3 months</v>
      </c>
      <c r="AU2161" s="22" t="s">
        <v>3240</v>
      </c>
    </row>
    <row r="2162" spans="1:47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47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635</v>
      </c>
      <c r="K2162" s="155" t="s">
        <v>242</v>
      </c>
      <c r="L2162" s="17" t="s">
        <v>67</v>
      </c>
      <c r="M2162" s="13" t="s">
        <v>60</v>
      </c>
      <c r="N2162" s="13">
        <v>3</v>
      </c>
      <c r="O2162" s="13"/>
      <c r="P2162" s="33" t="str">
        <f t="shared" si="626"/>
        <v>MAIN UNIT</v>
      </c>
      <c r="Q2162" s="13" t="s">
        <v>61</v>
      </c>
      <c r="R2162" s="13" t="s">
        <v>62</v>
      </c>
      <c r="S2162" s="13" t="s">
        <v>50</v>
      </c>
      <c r="T2162" s="13" t="s">
        <v>88</v>
      </c>
      <c r="U2162" s="13" t="s">
        <v>70</v>
      </c>
      <c r="V2162" s="13" t="s">
        <v>71</v>
      </c>
      <c r="W2162" s="13" t="s">
        <v>64</v>
      </c>
      <c r="X2162" s="135">
        <v>672155</v>
      </c>
      <c r="Y2162" s="156">
        <v>1.1299999999999999</v>
      </c>
      <c r="Z2162" s="18">
        <f t="shared" si="635"/>
        <v>2016465</v>
      </c>
      <c r="AA2162" s="13">
        <v>1.1599999999999999</v>
      </c>
      <c r="AB2162" s="21">
        <f t="shared" si="620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1"/>
        <v>32843736.557277881</v>
      </c>
      <c r="AJ2162" s="19">
        <f t="shared" si="622"/>
        <v>3921470.6822663117</v>
      </c>
      <c r="AK2162" s="20">
        <f t="shared" si="629"/>
        <v>0.11939782416131177</v>
      </c>
      <c r="AL2162" s="17"/>
      <c r="AM2162" s="17">
        <v>19</v>
      </c>
      <c r="AN2162" s="17"/>
      <c r="AO2162" s="17"/>
      <c r="AP2162" s="28" t="str">
        <f t="shared" si="630"/>
        <v>20194</v>
      </c>
      <c r="AQ2162" s="28" t="str">
        <f t="shared" si="631"/>
        <v>20194RMB</v>
      </c>
      <c r="AR2162" s="206" t="str">
        <f t="shared" si="632"/>
        <v>YAMAHA_Mounter</v>
      </c>
      <c r="AS2162" s="22">
        <f t="shared" si="633"/>
        <v>0</v>
      </c>
      <c r="AT2162" s="24" t="str">
        <f t="shared" si="634"/>
        <v>0-3 months</v>
      </c>
      <c r="AU2162" s="22" t="s">
        <v>3240</v>
      </c>
    </row>
    <row r="2163" spans="1:47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185</v>
      </c>
      <c r="F2163" s="13" t="s">
        <v>185</v>
      </c>
      <c r="G2163" s="152" t="s">
        <v>185</v>
      </c>
      <c r="H2163" s="155"/>
      <c r="I2163" s="33" t="str">
        <f t="shared" si="625"/>
        <v>Cancel</v>
      </c>
      <c r="J2163" s="186" t="s">
        <v>2362</v>
      </c>
      <c r="K2163" s="155" t="s">
        <v>2363</v>
      </c>
      <c r="L2163" s="17" t="s">
        <v>92</v>
      </c>
      <c r="M2163" s="13" t="s">
        <v>60</v>
      </c>
      <c r="N2163" s="13">
        <v>1</v>
      </c>
      <c r="O2163" s="13"/>
      <c r="P2163" s="33" t="str">
        <f t="shared" si="626"/>
        <v>MAIN UNIT</v>
      </c>
      <c r="Q2163" s="13" t="s">
        <v>68</v>
      </c>
      <c r="R2163" s="13" t="s">
        <v>62</v>
      </c>
      <c r="S2163" s="13" t="s">
        <v>50</v>
      </c>
      <c r="T2163" s="13" t="s">
        <v>88</v>
      </c>
      <c r="U2163" s="13" t="s">
        <v>70</v>
      </c>
      <c r="V2163" s="13" t="s">
        <v>169</v>
      </c>
      <c r="W2163" s="13" t="s">
        <v>64</v>
      </c>
      <c r="X2163" s="135">
        <v>800000</v>
      </c>
      <c r="Y2163" s="157" t="str">
        <f t="shared" ref="Y2163:Y2168" si="638">IF(W2163="RMB","1.13", "1")</f>
        <v>1.13</v>
      </c>
      <c r="Z2163" s="18">
        <f t="shared" si="635"/>
        <v>800000</v>
      </c>
      <c r="AA2163" s="13">
        <v>1.105</v>
      </c>
      <c r="AB2163" s="21">
        <f t="shared" si="620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1"/>
        <v>499582152.5142017</v>
      </c>
      <c r="AJ2163" s="19">
        <f t="shared" si="622"/>
        <v>59520528.679470733</v>
      </c>
      <c r="AK2163" s="20">
        <f t="shared" si="629"/>
        <v>0.11914062257814291</v>
      </c>
      <c r="AL2163" s="17"/>
      <c r="AM2163" s="17"/>
      <c r="AN2163" s="17"/>
      <c r="AO2163" s="17"/>
      <c r="AP2163" s="28" t="str">
        <f t="shared" si="630"/>
        <v>CancelCancel</v>
      </c>
      <c r="AQ2163" s="28" t="str">
        <f t="shared" si="631"/>
        <v>CancelCancelRMB</v>
      </c>
      <c r="AR2163" s="206" t="str">
        <f t="shared" si="632"/>
        <v>YAMAHA_Mounter</v>
      </c>
      <c r="AS2163" s="22" t="str">
        <f t="shared" si="633"/>
        <v/>
      </c>
      <c r="AT2163" s="24" t="str">
        <f t="shared" si="634"/>
        <v/>
      </c>
      <c r="AU2163" s="22" t="s">
        <v>3240</v>
      </c>
    </row>
    <row r="2164" spans="1:47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185</v>
      </c>
      <c r="F2164" s="13" t="s">
        <v>185</v>
      </c>
      <c r="G2164" s="152" t="s">
        <v>185</v>
      </c>
      <c r="H2164" s="155"/>
      <c r="I2164" s="33" t="str">
        <f t="shared" si="625"/>
        <v>Cancel</v>
      </c>
      <c r="J2164" s="186" t="s">
        <v>2362</v>
      </c>
      <c r="K2164" s="155" t="s">
        <v>2363</v>
      </c>
      <c r="L2164" s="17" t="s">
        <v>67</v>
      </c>
      <c r="M2164" s="13" t="s">
        <v>60</v>
      </c>
      <c r="N2164" s="13">
        <v>1</v>
      </c>
      <c r="O2164" s="13"/>
      <c r="P2164" s="33" t="str">
        <f t="shared" si="626"/>
        <v>MAIN UNIT</v>
      </c>
      <c r="Q2164" s="13" t="s">
        <v>68</v>
      </c>
      <c r="R2164" s="13" t="s">
        <v>62</v>
      </c>
      <c r="S2164" s="13" t="s">
        <v>50</v>
      </c>
      <c r="T2164" s="13" t="s">
        <v>88</v>
      </c>
      <c r="U2164" s="13" t="s">
        <v>70</v>
      </c>
      <c r="V2164" s="13" t="s">
        <v>169</v>
      </c>
      <c r="W2164" s="13" t="s">
        <v>64</v>
      </c>
      <c r="X2164" s="135">
        <v>525000</v>
      </c>
      <c r="Y2164" s="157" t="str">
        <f t="shared" si="638"/>
        <v>1.13</v>
      </c>
      <c r="Z2164" s="18">
        <f t="shared" si="635"/>
        <v>525000</v>
      </c>
      <c r="AA2164" s="13">
        <v>1.105</v>
      </c>
      <c r="AB2164" s="21">
        <f t="shared" si="620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1"/>
        <v>499582152.5142017</v>
      </c>
      <c r="AJ2164" s="19">
        <f t="shared" si="622"/>
        <v>59520528.679470733</v>
      </c>
      <c r="AK2164" s="20">
        <f t="shared" si="629"/>
        <v>0.11914062257814291</v>
      </c>
      <c r="AL2164" s="17"/>
      <c r="AM2164" s="17"/>
      <c r="AN2164" s="17"/>
      <c r="AO2164" s="17"/>
      <c r="AP2164" s="28" t="str">
        <f t="shared" si="630"/>
        <v>CancelCancel</v>
      </c>
      <c r="AQ2164" s="28" t="str">
        <f t="shared" si="631"/>
        <v>CancelCancelRMB</v>
      </c>
      <c r="AR2164" s="206" t="str">
        <f t="shared" si="632"/>
        <v>YAMAHA_Mounter</v>
      </c>
      <c r="AS2164" s="22" t="str">
        <f t="shared" si="633"/>
        <v/>
      </c>
      <c r="AT2164" s="24" t="str">
        <f t="shared" si="634"/>
        <v/>
      </c>
      <c r="AU2164" s="22" t="s">
        <v>3240</v>
      </c>
    </row>
    <row r="2165" spans="1:47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53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2137</v>
      </c>
      <c r="K2165" s="155" t="s">
        <v>2138</v>
      </c>
      <c r="L2165" s="17" t="s">
        <v>92</v>
      </c>
      <c r="M2165" s="13" t="s">
        <v>60</v>
      </c>
      <c r="N2165" s="13">
        <v>1</v>
      </c>
      <c r="O2165" s="13"/>
      <c r="P2165" s="33" t="str">
        <f t="shared" si="626"/>
        <v>MAIN UNIT</v>
      </c>
      <c r="Q2165" s="13" t="s">
        <v>68</v>
      </c>
      <c r="R2165" s="13" t="s">
        <v>62</v>
      </c>
      <c r="S2165" s="13" t="s">
        <v>50</v>
      </c>
      <c r="T2165" s="13" t="s">
        <v>93</v>
      </c>
      <c r="U2165" s="13" t="s">
        <v>70</v>
      </c>
      <c r="V2165" s="13" t="s">
        <v>1400</v>
      </c>
      <c r="W2165" s="13" t="s">
        <v>64</v>
      </c>
      <c r="X2165" s="135">
        <v>783200</v>
      </c>
      <c r="Y2165" s="157" t="str">
        <f t="shared" si="638"/>
        <v>1.13</v>
      </c>
      <c r="Z2165" s="18">
        <f t="shared" si="635"/>
        <v>783200</v>
      </c>
      <c r="AA2165" s="13">
        <v>1.22</v>
      </c>
      <c r="AB2165" s="21">
        <f t="shared" si="620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1"/>
        <v>28726768.133805312</v>
      </c>
      <c r="AJ2165" s="19">
        <f t="shared" si="622"/>
        <v>3853638.1988864429</v>
      </c>
      <c r="AK2165" s="20">
        <f t="shared" si="629"/>
        <v>0.1341479898099476</v>
      </c>
      <c r="AL2165" s="17"/>
      <c r="AM2165" s="17"/>
      <c r="AN2165" s="17"/>
      <c r="AO2165" s="17"/>
      <c r="AP2165" s="28" t="str">
        <f t="shared" si="630"/>
        <v>20223</v>
      </c>
      <c r="AQ2165" s="28" t="str">
        <f t="shared" si="631"/>
        <v>20223RMB</v>
      </c>
      <c r="AR2165" s="206" t="str">
        <f t="shared" si="632"/>
        <v>YAMAHA_Mounter</v>
      </c>
      <c r="AS2165" s="22">
        <f t="shared" si="633"/>
        <v>0</v>
      </c>
      <c r="AT2165" s="24" t="str">
        <f t="shared" si="634"/>
        <v>0-3 months</v>
      </c>
      <c r="AU2165" s="22" t="s">
        <v>3240</v>
      </c>
    </row>
    <row r="2166" spans="1:47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53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2137</v>
      </c>
      <c r="K2166" s="155" t="s">
        <v>2138</v>
      </c>
      <c r="L2166" s="17" t="s">
        <v>92</v>
      </c>
      <c r="M2166" s="13" t="s">
        <v>60</v>
      </c>
      <c r="N2166" s="13">
        <v>1</v>
      </c>
      <c r="O2166" s="13"/>
      <c r="P2166" s="33" t="str">
        <f t="shared" si="626"/>
        <v>MAIN UNIT</v>
      </c>
      <c r="Q2166" s="13" t="s">
        <v>68</v>
      </c>
      <c r="R2166" s="13" t="s">
        <v>62</v>
      </c>
      <c r="S2166" s="13" t="s">
        <v>50</v>
      </c>
      <c r="T2166" s="13" t="s">
        <v>93</v>
      </c>
      <c r="U2166" s="13" t="s">
        <v>70</v>
      </c>
      <c r="V2166" s="13" t="s">
        <v>1400</v>
      </c>
      <c r="W2166" s="13" t="s">
        <v>64</v>
      </c>
      <c r="X2166" s="135">
        <v>783200</v>
      </c>
      <c r="Y2166" s="157" t="str">
        <f t="shared" si="638"/>
        <v>1.13</v>
      </c>
      <c r="Z2166" s="18">
        <f t="shared" si="635"/>
        <v>783200</v>
      </c>
      <c r="AA2166" s="13">
        <v>1.22</v>
      </c>
      <c r="AB2166" s="21">
        <f t="shared" ref="AB2166:AB2229" si="639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1"/>
        <v>28726768.133805312</v>
      </c>
      <c r="AJ2166" s="19">
        <f t="shared" si="622"/>
        <v>3853638.1988864429</v>
      </c>
      <c r="AK2166" s="20">
        <f t="shared" si="629"/>
        <v>0.1341479898099476</v>
      </c>
      <c r="AL2166" s="17"/>
      <c r="AM2166" s="17"/>
      <c r="AN2166" s="17"/>
      <c r="AO2166" s="17"/>
      <c r="AP2166" s="28" t="str">
        <f t="shared" si="630"/>
        <v>20223</v>
      </c>
      <c r="AQ2166" s="28" t="str">
        <f t="shared" si="631"/>
        <v>20223RMB</v>
      </c>
      <c r="AR2166" s="206" t="str">
        <f t="shared" si="632"/>
        <v>YAMAHA_Mounter</v>
      </c>
      <c r="AS2166" s="22">
        <f t="shared" si="633"/>
        <v>0</v>
      </c>
      <c r="AT2166" s="24" t="str">
        <f t="shared" si="634"/>
        <v>0-3 months</v>
      </c>
      <c r="AU2166" s="22" t="s">
        <v>3240</v>
      </c>
    </row>
    <row r="2167" spans="1:47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53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2137</v>
      </c>
      <c r="K2167" s="155" t="s">
        <v>2138</v>
      </c>
      <c r="L2167" s="17" t="s">
        <v>516</v>
      </c>
      <c r="M2167" s="13" t="s">
        <v>60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68</v>
      </c>
      <c r="R2167" s="13" t="s">
        <v>62</v>
      </c>
      <c r="S2167" s="13" t="s">
        <v>50</v>
      </c>
      <c r="T2167" s="13" t="s">
        <v>93</v>
      </c>
      <c r="U2167" s="13" t="s">
        <v>70</v>
      </c>
      <c r="V2167" s="13" t="s">
        <v>1400</v>
      </c>
      <c r="W2167" s="13" t="s">
        <v>64</v>
      </c>
      <c r="X2167" s="135">
        <v>3629.6149999999998</v>
      </c>
      <c r="Y2167" s="157" t="str">
        <f t="shared" si="638"/>
        <v>1.13</v>
      </c>
      <c r="Z2167" s="18">
        <f t="shared" si="635"/>
        <v>377479.95999999996</v>
      </c>
      <c r="AA2167" s="13">
        <v>1.22</v>
      </c>
      <c r="AB2167" s="21">
        <f t="shared" si="639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1"/>
        <v>28726768.133805312</v>
      </c>
      <c r="AJ2167" s="19">
        <f t="shared" si="622"/>
        <v>3853638.1988864429</v>
      </c>
      <c r="AK2167" s="20">
        <f t="shared" si="629"/>
        <v>0.1341479898099476</v>
      </c>
      <c r="AL2167" s="17"/>
      <c r="AM2167" s="17"/>
      <c r="AN2167" s="17"/>
      <c r="AO2167" s="17"/>
      <c r="AP2167" s="28" t="str">
        <f t="shared" si="630"/>
        <v>20223</v>
      </c>
      <c r="AQ2167" s="28" t="str">
        <f t="shared" si="631"/>
        <v>20223RMB</v>
      </c>
      <c r="AR2167" s="206" t="str">
        <f t="shared" si="632"/>
        <v>YAMAHA_Mounter</v>
      </c>
      <c r="AS2167" s="22">
        <f t="shared" si="633"/>
        <v>0</v>
      </c>
      <c r="AT2167" s="24" t="str">
        <f t="shared" si="634"/>
        <v>0-3 months</v>
      </c>
      <c r="AU2167" s="22" t="s">
        <v>3240</v>
      </c>
    </row>
    <row r="2168" spans="1:47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53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2137</v>
      </c>
      <c r="K2168" s="155" t="s">
        <v>2138</v>
      </c>
      <c r="L2168" s="17" t="s">
        <v>865</v>
      </c>
      <c r="M2168" s="13" t="s">
        <v>377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68</v>
      </c>
      <c r="R2168" s="13" t="s">
        <v>62</v>
      </c>
      <c r="S2168" s="13" t="s">
        <v>50</v>
      </c>
      <c r="T2168" s="13" t="s">
        <v>93</v>
      </c>
      <c r="U2168" s="13" t="s">
        <v>70</v>
      </c>
      <c r="V2168" s="13" t="s">
        <v>1400</v>
      </c>
      <c r="W2168" s="13" t="s">
        <v>64</v>
      </c>
      <c r="X2168" s="135">
        <v>530</v>
      </c>
      <c r="Y2168" s="157" t="str">
        <f t="shared" si="638"/>
        <v>1.13</v>
      </c>
      <c r="Z2168" s="18">
        <f t="shared" si="635"/>
        <v>2120</v>
      </c>
      <c r="AA2168" s="13">
        <v>1.22</v>
      </c>
      <c r="AB2168" s="21">
        <f t="shared" si="639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1"/>
        <v>28726768.133805312</v>
      </c>
      <c r="AJ2168" s="19">
        <f t="shared" si="622"/>
        <v>3853638.1988864429</v>
      </c>
      <c r="AK2168" s="20">
        <f t="shared" si="629"/>
        <v>0.1341479898099476</v>
      </c>
      <c r="AL2168" s="17"/>
      <c r="AM2168" s="17"/>
      <c r="AN2168" s="17"/>
      <c r="AO2168" s="17"/>
      <c r="AP2168" s="28" t="str">
        <f t="shared" si="630"/>
        <v>20223</v>
      </c>
      <c r="AQ2168" s="28" t="str">
        <f t="shared" si="631"/>
        <v>20223RMB</v>
      </c>
      <c r="AR2168" s="206" t="str">
        <f t="shared" si="632"/>
        <v>LOCAL SUPPLIER</v>
      </c>
      <c r="AS2168" s="22">
        <f t="shared" si="633"/>
        <v>0</v>
      </c>
      <c r="AT2168" s="24" t="str">
        <f t="shared" si="634"/>
        <v>0-3 months</v>
      </c>
      <c r="AU2168" s="22" t="s">
        <v>3240</v>
      </c>
    </row>
    <row r="2169" spans="1:47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48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1272</v>
      </c>
      <c r="K2169" s="155" t="s">
        <v>1273</v>
      </c>
      <c r="L2169" s="17" t="s">
        <v>67</v>
      </c>
      <c r="M2169" s="13" t="s">
        <v>60</v>
      </c>
      <c r="N2169" s="13">
        <v>1</v>
      </c>
      <c r="O2169" s="13"/>
      <c r="P2169" s="33" t="str">
        <f t="shared" si="626"/>
        <v>MAIN UNIT</v>
      </c>
      <c r="Q2169" s="13" t="s">
        <v>61</v>
      </c>
      <c r="R2169" s="13" t="s">
        <v>62</v>
      </c>
      <c r="S2169" s="13" t="s">
        <v>50</v>
      </c>
      <c r="T2169" s="13" t="s">
        <v>88</v>
      </c>
      <c r="U2169" s="13" t="s">
        <v>89</v>
      </c>
      <c r="V2169" s="13" t="s">
        <v>84</v>
      </c>
      <c r="W2169" s="13" t="s">
        <v>64</v>
      </c>
      <c r="X2169" s="135">
        <v>670000</v>
      </c>
      <c r="Y2169" s="156" t="s">
        <v>1058</v>
      </c>
      <c r="Z2169" s="18">
        <f t="shared" si="635"/>
        <v>670000</v>
      </c>
      <c r="AA2169" s="13">
        <v>1.095</v>
      </c>
      <c r="AB2169" s="21">
        <f t="shared" si="639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1"/>
        <v>28065694.408805311</v>
      </c>
      <c r="AJ2169" s="19">
        <f t="shared" si="622"/>
        <v>4157433.2906989697</v>
      </c>
      <c r="AK2169" s="20">
        <f t="shared" si="629"/>
        <v>0.14813220831602228</v>
      </c>
      <c r="AL2169" s="17"/>
      <c r="AM2169" s="17"/>
      <c r="AN2169" s="17"/>
      <c r="AO2169" s="17"/>
      <c r="AP2169" s="28" t="str">
        <f t="shared" si="630"/>
        <v>20205</v>
      </c>
      <c r="AQ2169" s="28" t="str">
        <f t="shared" si="631"/>
        <v>20205RMB</v>
      </c>
      <c r="AR2169" s="206" t="str">
        <f t="shared" si="632"/>
        <v>YAMAHA_Mounter</v>
      </c>
      <c r="AS2169" s="22">
        <f t="shared" si="633"/>
        <v>2</v>
      </c>
      <c r="AT2169" s="24" t="str">
        <f t="shared" si="634"/>
        <v>0-3 months</v>
      </c>
      <c r="AU2169" s="22" t="s">
        <v>3240</v>
      </c>
    </row>
    <row r="2170" spans="1:47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55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2510</v>
      </c>
      <c r="K2170" s="155" t="s">
        <v>1273</v>
      </c>
      <c r="L2170" s="17" t="s">
        <v>92</v>
      </c>
      <c r="M2170" s="13" t="s">
        <v>60</v>
      </c>
      <c r="N2170" s="13">
        <v>1</v>
      </c>
      <c r="O2170" s="13"/>
      <c r="P2170" s="33" t="str">
        <f t="shared" si="626"/>
        <v>MAIN UNIT</v>
      </c>
      <c r="Q2170" s="13" t="s">
        <v>61</v>
      </c>
      <c r="R2170" s="13" t="s">
        <v>62</v>
      </c>
      <c r="S2170" s="13" t="s">
        <v>50</v>
      </c>
      <c r="T2170" s="13" t="s">
        <v>88</v>
      </c>
      <c r="U2170" s="13" t="s">
        <v>89</v>
      </c>
      <c r="V2170" s="13" t="s">
        <v>84</v>
      </c>
      <c r="W2170" s="13" t="s">
        <v>64</v>
      </c>
      <c r="X2170" s="135">
        <v>814570</v>
      </c>
      <c r="Y2170" s="157" t="str">
        <f t="shared" ref="Y2170:Y2179" si="640">IF(W2170="RMB","1.13", "1")</f>
        <v>1.13</v>
      </c>
      <c r="Z2170" s="18">
        <f t="shared" si="635"/>
        <v>814570</v>
      </c>
      <c r="AA2170" s="13">
        <v>1.135</v>
      </c>
      <c r="AB2170" s="21">
        <f t="shared" si="639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1"/>
        <v>28177779.013274338</v>
      </c>
      <c r="AJ2170" s="19">
        <f t="shared" si="622"/>
        <v>4727216.6376190251</v>
      </c>
      <c r="AK2170" s="20">
        <f t="shared" si="629"/>
        <v>0.1677639900359808</v>
      </c>
      <c r="AL2170" s="17"/>
      <c r="AM2170" s="17"/>
      <c r="AN2170" s="17"/>
      <c r="AO2170" s="17"/>
      <c r="AP2170" s="28" t="str">
        <f t="shared" si="630"/>
        <v>20235</v>
      </c>
      <c r="AQ2170" s="28" t="str">
        <f t="shared" si="631"/>
        <v>20235RMB</v>
      </c>
      <c r="AR2170" s="206" t="str">
        <f t="shared" si="632"/>
        <v>YAMAHA_Mounter</v>
      </c>
      <c r="AS2170" s="22">
        <f t="shared" si="633"/>
        <v>0</v>
      </c>
      <c r="AT2170" s="24" t="str">
        <f t="shared" si="634"/>
        <v>0-3 months</v>
      </c>
      <c r="AU2170" s="22" t="s">
        <v>3240</v>
      </c>
    </row>
    <row r="2171" spans="1:47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48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1563</v>
      </c>
      <c r="K2171" s="155" t="s">
        <v>1564</v>
      </c>
      <c r="L2171" s="17" t="s">
        <v>92</v>
      </c>
      <c r="M2171" s="13" t="s">
        <v>60</v>
      </c>
      <c r="N2171" s="13">
        <v>1</v>
      </c>
      <c r="O2171" s="13"/>
      <c r="P2171" s="33" t="str">
        <f t="shared" si="626"/>
        <v>MAIN UNIT</v>
      </c>
      <c r="Q2171" s="13" t="s">
        <v>68</v>
      </c>
      <c r="R2171" s="13" t="s">
        <v>62</v>
      </c>
      <c r="S2171" s="13" t="s">
        <v>50</v>
      </c>
      <c r="T2171" s="13" t="s">
        <v>88</v>
      </c>
      <c r="U2171" s="13" t="s">
        <v>70</v>
      </c>
      <c r="V2171" s="13" t="s">
        <v>169</v>
      </c>
      <c r="W2171" s="13" t="s">
        <v>64</v>
      </c>
      <c r="X2171" s="135">
        <v>910000</v>
      </c>
      <c r="Y2171" s="157" t="str">
        <f t="shared" si="640"/>
        <v>1.13</v>
      </c>
      <c r="Z2171" s="18">
        <f t="shared" si="635"/>
        <v>910000</v>
      </c>
      <c r="AA2171" s="13">
        <v>1.2</v>
      </c>
      <c r="AB2171" s="21">
        <f t="shared" si="639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1"/>
        <v>57778307.282035396</v>
      </c>
      <c r="AJ2171" s="19">
        <f t="shared" si="622"/>
        <v>7259860.7225420559</v>
      </c>
      <c r="AK2171" s="20">
        <f t="shared" si="629"/>
        <v>0.12565028406083667</v>
      </c>
      <c r="AL2171" s="17"/>
      <c r="AM2171" s="17"/>
      <c r="AN2171" s="17"/>
      <c r="AO2171" s="17"/>
      <c r="AP2171" s="28" t="str">
        <f t="shared" si="630"/>
        <v>20213</v>
      </c>
      <c r="AQ2171" s="28" t="str">
        <f t="shared" si="631"/>
        <v>20213RMB</v>
      </c>
      <c r="AR2171" s="206" t="str">
        <f t="shared" si="632"/>
        <v>YAMAHA_Mounter</v>
      </c>
      <c r="AS2171" s="22">
        <f t="shared" si="633"/>
        <v>3</v>
      </c>
      <c r="AT2171" s="24" t="str">
        <f t="shared" si="634"/>
        <v>0-3 months</v>
      </c>
      <c r="AU2171" s="22" t="s">
        <v>3240</v>
      </c>
    </row>
    <row r="2172" spans="1:47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48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1563</v>
      </c>
      <c r="K2172" s="155" t="s">
        <v>1564</v>
      </c>
      <c r="L2172" s="17" t="s">
        <v>67</v>
      </c>
      <c r="M2172" s="13" t="s">
        <v>60</v>
      </c>
      <c r="N2172" s="13">
        <v>1</v>
      </c>
      <c r="O2172" s="13"/>
      <c r="P2172" s="33" t="str">
        <f t="shared" si="626"/>
        <v>MAIN UNIT</v>
      </c>
      <c r="Q2172" s="13" t="s">
        <v>68</v>
      </c>
      <c r="R2172" s="13" t="s">
        <v>62</v>
      </c>
      <c r="S2172" s="13" t="s">
        <v>50</v>
      </c>
      <c r="T2172" s="13" t="s">
        <v>88</v>
      </c>
      <c r="U2172" s="13" t="s">
        <v>70</v>
      </c>
      <c r="V2172" s="13" t="s">
        <v>169</v>
      </c>
      <c r="W2172" s="13" t="s">
        <v>64</v>
      </c>
      <c r="X2172" s="135">
        <v>550000</v>
      </c>
      <c r="Y2172" s="157" t="str">
        <f t="shared" si="640"/>
        <v>1.13</v>
      </c>
      <c r="Z2172" s="18">
        <f t="shared" si="635"/>
        <v>550000</v>
      </c>
      <c r="AA2172" s="13">
        <v>1.2</v>
      </c>
      <c r="AB2172" s="21">
        <f t="shared" si="639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1"/>
        <v>57778307.282035396</v>
      </c>
      <c r="AJ2172" s="19">
        <f t="shared" si="622"/>
        <v>7259860.7225420559</v>
      </c>
      <c r="AK2172" s="20">
        <f t="shared" si="629"/>
        <v>0.12565028406083667</v>
      </c>
      <c r="AL2172" s="17"/>
      <c r="AM2172" s="17"/>
      <c r="AN2172" s="17"/>
      <c r="AO2172" s="17"/>
      <c r="AP2172" s="28" t="str">
        <f t="shared" si="630"/>
        <v>20213</v>
      </c>
      <c r="AQ2172" s="28" t="str">
        <f t="shared" si="631"/>
        <v>20213RMB</v>
      </c>
      <c r="AR2172" s="206" t="str">
        <f t="shared" si="632"/>
        <v>YAMAHA_Mounter</v>
      </c>
      <c r="AS2172" s="22">
        <f t="shared" si="633"/>
        <v>3</v>
      </c>
      <c r="AT2172" s="24" t="str">
        <f t="shared" si="634"/>
        <v>0-3 months</v>
      </c>
      <c r="AU2172" s="22" t="s">
        <v>3240</v>
      </c>
    </row>
    <row r="2173" spans="1:47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54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2242</v>
      </c>
      <c r="K2173" s="155" t="s">
        <v>1564</v>
      </c>
      <c r="L2173" s="17" t="s">
        <v>92</v>
      </c>
      <c r="M2173" s="13" t="s">
        <v>60</v>
      </c>
      <c r="N2173" s="13">
        <v>1</v>
      </c>
      <c r="O2173" s="13"/>
      <c r="P2173" s="33" t="str">
        <f t="shared" si="626"/>
        <v>MAIN UNIT</v>
      </c>
      <c r="Q2173" s="13" t="s">
        <v>61</v>
      </c>
      <c r="R2173" s="13" t="s">
        <v>62</v>
      </c>
      <c r="S2173" s="13" t="s">
        <v>50</v>
      </c>
      <c r="T2173" s="13" t="s">
        <v>93</v>
      </c>
      <c r="U2173" s="13" t="s">
        <v>70</v>
      </c>
      <c r="V2173" s="13" t="s">
        <v>169</v>
      </c>
      <c r="W2173" s="13" t="s">
        <v>64</v>
      </c>
      <c r="X2173" s="135">
        <v>845000</v>
      </c>
      <c r="Y2173" s="157" t="str">
        <f t="shared" si="640"/>
        <v>1.13</v>
      </c>
      <c r="Z2173" s="18">
        <f t="shared" si="635"/>
        <v>845000</v>
      </c>
      <c r="AA2173" s="13">
        <v>1.163</v>
      </c>
      <c r="AB2173" s="21">
        <f t="shared" si="639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1"/>
        <v>35073581.838938057</v>
      </c>
      <c r="AJ2173" s="19">
        <f t="shared" si="622"/>
        <v>5034113.9728989396</v>
      </c>
      <c r="AK2173" s="20">
        <f t="shared" si="629"/>
        <v>0.14353007902118958</v>
      </c>
      <c r="AL2173" s="17"/>
      <c r="AM2173" s="17"/>
      <c r="AN2173" s="17"/>
      <c r="AO2173" s="17"/>
      <c r="AP2173" s="28" t="str">
        <f t="shared" si="630"/>
        <v>20228</v>
      </c>
      <c r="AQ2173" s="28" t="str">
        <f t="shared" si="631"/>
        <v>20228RMB</v>
      </c>
      <c r="AR2173" s="206" t="str">
        <f t="shared" si="632"/>
        <v>YAMAHA_Mounter</v>
      </c>
      <c r="AS2173" s="22">
        <f t="shared" si="633"/>
        <v>4</v>
      </c>
      <c r="AT2173" s="24" t="str">
        <f t="shared" si="634"/>
        <v>4-6 months</v>
      </c>
      <c r="AU2173" s="22" t="s">
        <v>3240</v>
      </c>
    </row>
    <row r="2174" spans="1:47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54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2242</v>
      </c>
      <c r="K2174" s="155" t="s">
        <v>1564</v>
      </c>
      <c r="L2174" s="17" t="s">
        <v>92</v>
      </c>
      <c r="M2174" s="13" t="s">
        <v>60</v>
      </c>
      <c r="N2174" s="13">
        <v>1</v>
      </c>
      <c r="O2174" s="13"/>
      <c r="P2174" s="33" t="str">
        <f t="shared" si="626"/>
        <v>MAIN UNIT</v>
      </c>
      <c r="Q2174" s="13" t="s">
        <v>61</v>
      </c>
      <c r="R2174" s="13" t="s">
        <v>62</v>
      </c>
      <c r="S2174" s="13" t="s">
        <v>50</v>
      </c>
      <c r="T2174" s="13" t="s">
        <v>93</v>
      </c>
      <c r="U2174" s="13" t="s">
        <v>70</v>
      </c>
      <c r="V2174" s="13" t="s">
        <v>169</v>
      </c>
      <c r="W2174" s="13" t="s">
        <v>64</v>
      </c>
      <c r="X2174" s="135">
        <v>845000</v>
      </c>
      <c r="Y2174" s="157" t="str">
        <f t="shared" si="640"/>
        <v>1.13</v>
      </c>
      <c r="Z2174" s="18">
        <f t="shared" si="635"/>
        <v>845000</v>
      </c>
      <c r="AA2174" s="13">
        <v>1.163</v>
      </c>
      <c r="AB2174" s="21">
        <f t="shared" si="639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1"/>
        <v>35073581.838938057</v>
      </c>
      <c r="AJ2174" s="19">
        <f t="shared" si="622"/>
        <v>5034113.9728989396</v>
      </c>
      <c r="AK2174" s="20">
        <f t="shared" si="629"/>
        <v>0.14353007902118958</v>
      </c>
      <c r="AL2174" s="17"/>
      <c r="AM2174" s="17"/>
      <c r="AN2174" s="17"/>
      <c r="AO2174" s="17"/>
      <c r="AP2174" s="28" t="str">
        <f t="shared" si="630"/>
        <v>20228</v>
      </c>
      <c r="AQ2174" s="28" t="str">
        <f t="shared" si="631"/>
        <v>20228RMB</v>
      </c>
      <c r="AR2174" s="206" t="str">
        <f t="shared" si="632"/>
        <v>YAMAHA_Mounter</v>
      </c>
      <c r="AS2174" s="22">
        <f t="shared" si="633"/>
        <v>4</v>
      </c>
      <c r="AT2174" s="24" t="str">
        <f t="shared" si="634"/>
        <v>4-6 months</v>
      </c>
      <c r="AU2174" s="22" t="s">
        <v>3240</v>
      </c>
    </row>
    <row r="2175" spans="1:47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54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2242</v>
      </c>
      <c r="K2175" s="155" t="s">
        <v>1564</v>
      </c>
      <c r="L2175" s="17" t="s">
        <v>67</v>
      </c>
      <c r="M2175" s="13" t="s">
        <v>60</v>
      </c>
      <c r="N2175" s="13">
        <v>1</v>
      </c>
      <c r="O2175" s="13"/>
      <c r="P2175" s="33" t="str">
        <f t="shared" si="626"/>
        <v>MAIN UNIT</v>
      </c>
      <c r="Q2175" s="13" t="s">
        <v>61</v>
      </c>
      <c r="R2175" s="13" t="s">
        <v>62</v>
      </c>
      <c r="S2175" s="13" t="s">
        <v>50</v>
      </c>
      <c r="T2175" s="13" t="s">
        <v>93</v>
      </c>
      <c r="U2175" s="13" t="s">
        <v>70</v>
      </c>
      <c r="V2175" s="13" t="s">
        <v>169</v>
      </c>
      <c r="W2175" s="13" t="s">
        <v>64</v>
      </c>
      <c r="X2175" s="135">
        <v>500000</v>
      </c>
      <c r="Y2175" s="157" t="str">
        <f t="shared" si="640"/>
        <v>1.13</v>
      </c>
      <c r="Z2175" s="18">
        <f t="shared" si="635"/>
        <v>500000</v>
      </c>
      <c r="AA2175" s="13">
        <v>1.163</v>
      </c>
      <c r="AB2175" s="21">
        <f t="shared" si="639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1"/>
        <v>35073581.838938057</v>
      </c>
      <c r="AJ2175" s="19">
        <f t="shared" si="622"/>
        <v>5034113.9728989396</v>
      </c>
      <c r="AK2175" s="20">
        <f t="shared" si="629"/>
        <v>0.14353007902118958</v>
      </c>
      <c r="AL2175" s="17"/>
      <c r="AM2175" s="17"/>
      <c r="AN2175" s="17"/>
      <c r="AO2175" s="17"/>
      <c r="AP2175" s="28" t="str">
        <f t="shared" si="630"/>
        <v>20228</v>
      </c>
      <c r="AQ2175" s="28" t="str">
        <f t="shared" si="631"/>
        <v>20228RMB</v>
      </c>
      <c r="AR2175" s="206" t="str">
        <f t="shared" si="632"/>
        <v>YAMAHA_Mounter</v>
      </c>
      <c r="AS2175" s="22">
        <f t="shared" si="633"/>
        <v>4</v>
      </c>
      <c r="AT2175" s="24" t="str">
        <f t="shared" si="634"/>
        <v>4-6 months</v>
      </c>
      <c r="AU2175" s="22" t="s">
        <v>3240</v>
      </c>
    </row>
    <row r="2176" spans="1:47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54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2242</v>
      </c>
      <c r="K2176" s="155" t="s">
        <v>1564</v>
      </c>
      <c r="L2176" s="17" t="s">
        <v>67</v>
      </c>
      <c r="M2176" s="13" t="s">
        <v>60</v>
      </c>
      <c r="N2176" s="13">
        <v>1</v>
      </c>
      <c r="O2176" s="13"/>
      <c r="P2176" s="33" t="str">
        <f t="shared" si="626"/>
        <v>MAIN UNIT</v>
      </c>
      <c r="Q2176" s="13" t="s">
        <v>61</v>
      </c>
      <c r="R2176" s="13" t="s">
        <v>62</v>
      </c>
      <c r="S2176" s="13" t="s">
        <v>50</v>
      </c>
      <c r="T2176" s="13" t="s">
        <v>93</v>
      </c>
      <c r="U2176" s="13" t="s">
        <v>70</v>
      </c>
      <c r="V2176" s="13" t="s">
        <v>169</v>
      </c>
      <c r="W2176" s="13" t="s">
        <v>64</v>
      </c>
      <c r="X2176" s="135">
        <v>500000</v>
      </c>
      <c r="Y2176" s="157" t="str">
        <f t="shared" si="640"/>
        <v>1.13</v>
      </c>
      <c r="Z2176" s="18">
        <f t="shared" si="635"/>
        <v>500000</v>
      </c>
      <c r="AA2176" s="13">
        <v>1.163</v>
      </c>
      <c r="AB2176" s="21">
        <f t="shared" si="639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1"/>
        <v>35073581.838938057</v>
      </c>
      <c r="AJ2176" s="19">
        <f t="shared" si="622"/>
        <v>5034113.9728989396</v>
      </c>
      <c r="AK2176" s="20">
        <f t="shared" si="629"/>
        <v>0.14353007902118958</v>
      </c>
      <c r="AL2176" s="17"/>
      <c r="AM2176" s="17"/>
      <c r="AN2176" s="17"/>
      <c r="AO2176" s="17"/>
      <c r="AP2176" s="28" t="str">
        <f t="shared" si="630"/>
        <v>20228</v>
      </c>
      <c r="AQ2176" s="28" t="str">
        <f t="shared" si="631"/>
        <v>20228RMB</v>
      </c>
      <c r="AR2176" s="206" t="str">
        <f t="shared" si="632"/>
        <v>YAMAHA_Mounter</v>
      </c>
      <c r="AS2176" s="22">
        <f t="shared" si="633"/>
        <v>4</v>
      </c>
      <c r="AT2176" s="24" t="str">
        <f t="shared" si="634"/>
        <v>4-6 months</v>
      </c>
      <c r="AU2176" s="22" t="s">
        <v>3240</v>
      </c>
    </row>
    <row r="2177" spans="1:47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55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2474</v>
      </c>
      <c r="K2177" s="155" t="s">
        <v>2475</v>
      </c>
      <c r="L2177" s="17" t="s">
        <v>92</v>
      </c>
      <c r="M2177" s="13" t="s">
        <v>60</v>
      </c>
      <c r="N2177" s="13">
        <v>1</v>
      </c>
      <c r="O2177" s="13"/>
      <c r="P2177" s="33" t="str">
        <f t="shared" si="626"/>
        <v>MAIN UNIT</v>
      </c>
      <c r="Q2177" s="13" t="s">
        <v>68</v>
      </c>
      <c r="R2177" s="13" t="s">
        <v>62</v>
      </c>
      <c r="S2177" s="13" t="s">
        <v>50</v>
      </c>
      <c r="T2177" s="13" t="s">
        <v>88</v>
      </c>
      <c r="U2177" s="13" t="s">
        <v>70</v>
      </c>
      <c r="V2177" s="13" t="s">
        <v>94</v>
      </c>
      <c r="W2177" s="13" t="s">
        <v>64</v>
      </c>
      <c r="X2177" s="135">
        <v>650000</v>
      </c>
      <c r="Y2177" s="157" t="str">
        <f t="shared" si="640"/>
        <v>1.13</v>
      </c>
      <c r="Z2177" s="18">
        <f t="shared" si="635"/>
        <v>650000</v>
      </c>
      <c r="AA2177" s="13">
        <v>1.1399999999999999</v>
      </c>
      <c r="AB2177" s="21">
        <f t="shared" si="639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1"/>
        <v>30573205.452778768</v>
      </c>
      <c r="AJ2177" s="19">
        <f t="shared" si="622"/>
        <v>3790930.1683151261</v>
      </c>
      <c r="AK2177" s="20">
        <f t="shared" si="629"/>
        <v>0.12399518179964254</v>
      </c>
      <c r="AL2177" s="17"/>
      <c r="AM2177" s="17"/>
      <c r="AN2177" s="17"/>
      <c r="AO2177" s="17"/>
      <c r="AP2177" s="28" t="str">
        <f t="shared" si="630"/>
        <v>20234</v>
      </c>
      <c r="AQ2177" s="28" t="str">
        <f t="shared" si="631"/>
        <v>20234RMB</v>
      </c>
      <c r="AR2177" s="206" t="str">
        <f t="shared" si="632"/>
        <v>YAMAHA_Mounter</v>
      </c>
      <c r="AS2177" s="22">
        <f t="shared" si="633"/>
        <v>1</v>
      </c>
      <c r="AT2177" s="24" t="str">
        <f t="shared" si="634"/>
        <v>0-3 months</v>
      </c>
      <c r="AU2177" s="22" t="s">
        <v>3240</v>
      </c>
    </row>
    <row r="2178" spans="1:47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54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2159</v>
      </c>
      <c r="K2178" s="155" t="s">
        <v>2160</v>
      </c>
      <c r="L2178" s="17" t="s">
        <v>67</v>
      </c>
      <c r="M2178" s="13" t="s">
        <v>60</v>
      </c>
      <c r="N2178" s="13">
        <v>1</v>
      </c>
      <c r="O2178" s="13"/>
      <c r="P2178" s="33" t="str">
        <f t="shared" si="626"/>
        <v>MAIN UNIT</v>
      </c>
      <c r="Q2178" s="13" t="s">
        <v>68</v>
      </c>
      <c r="R2178" s="13" t="s">
        <v>62</v>
      </c>
      <c r="S2178" s="13" t="s">
        <v>50</v>
      </c>
      <c r="T2178" s="13" t="s">
        <v>88</v>
      </c>
      <c r="U2178" s="13" t="s">
        <v>70</v>
      </c>
      <c r="V2178" s="13" t="s">
        <v>94</v>
      </c>
      <c r="W2178" s="13" t="s">
        <v>64</v>
      </c>
      <c r="X2178" s="135">
        <v>495000</v>
      </c>
      <c r="Y2178" s="157" t="str">
        <f t="shared" si="640"/>
        <v>1.13</v>
      </c>
      <c r="Z2178" s="18">
        <f t="shared" si="635"/>
        <v>495000</v>
      </c>
      <c r="AA2178" s="13">
        <v>1.1950000000000001</v>
      </c>
      <c r="AB2178" s="21">
        <f t="shared" si="639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ref="AI2178:AI2241" si="641">IF(P2178="C66 SERVICE","",SUMIFS(AB:AB,F:F,F2178,G:G,G2178,E:E,E2178))</f>
        <v>44014086.982070789</v>
      </c>
      <c r="AJ2178" s="19">
        <f t="shared" ref="AJ2178:AJ2241" si="642">IF(P2178="C66 SERVICE","",SUMIFS(AC:AC,F:F,F2178,G:G,G2178,E:E,E2178))</f>
        <v>6419974.0221889298</v>
      </c>
      <c r="AK2178" s="20">
        <f t="shared" si="629"/>
        <v>0.14586180158193709</v>
      </c>
      <c r="AL2178" s="17"/>
      <c r="AM2178" s="17"/>
      <c r="AN2178" s="17"/>
      <c r="AO2178" s="17"/>
      <c r="AP2178" s="28" t="str">
        <f t="shared" si="630"/>
        <v>20225</v>
      </c>
      <c r="AQ2178" s="28" t="str">
        <f t="shared" si="631"/>
        <v>20225RMB</v>
      </c>
      <c r="AR2178" s="206" t="str">
        <f t="shared" si="632"/>
        <v>YAMAHA_Mounter</v>
      </c>
      <c r="AS2178" s="22">
        <f t="shared" si="633"/>
        <v>4</v>
      </c>
      <c r="AT2178" s="24" t="str">
        <f t="shared" si="634"/>
        <v>4-6 months</v>
      </c>
      <c r="AU2178" s="22" t="s">
        <v>3240</v>
      </c>
    </row>
    <row r="2179" spans="1:47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54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2159</v>
      </c>
      <c r="K2179" s="155" t="s">
        <v>2160</v>
      </c>
      <c r="L2179" s="17" t="s">
        <v>92</v>
      </c>
      <c r="M2179" s="13" t="s">
        <v>60</v>
      </c>
      <c r="N2179" s="13">
        <v>1</v>
      </c>
      <c r="O2179" s="13"/>
      <c r="P2179" s="33" t="str">
        <f t="shared" si="626"/>
        <v>MAIN UNIT</v>
      </c>
      <c r="Q2179" s="13" t="s">
        <v>68</v>
      </c>
      <c r="R2179" s="13" t="s">
        <v>62</v>
      </c>
      <c r="S2179" s="13" t="s">
        <v>50</v>
      </c>
      <c r="T2179" s="13" t="s">
        <v>88</v>
      </c>
      <c r="U2179" s="13" t="s">
        <v>70</v>
      </c>
      <c r="V2179" s="13" t="s">
        <v>94</v>
      </c>
      <c r="W2179" s="13" t="s">
        <v>64</v>
      </c>
      <c r="X2179" s="135">
        <v>955900</v>
      </c>
      <c r="Y2179" s="157" t="str">
        <f t="shared" si="640"/>
        <v>1.13</v>
      </c>
      <c r="Z2179" s="18">
        <f t="shared" si="635"/>
        <v>955900</v>
      </c>
      <c r="AA2179" s="13">
        <v>1.1950000000000001</v>
      </c>
      <c r="AB2179" s="21">
        <f t="shared" si="639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41"/>
        <v>44014086.982070789</v>
      </c>
      <c r="AJ2179" s="19">
        <f t="shared" si="642"/>
        <v>6419974.0221889298</v>
      </c>
      <c r="AK2179" s="20">
        <f t="shared" si="629"/>
        <v>0.14586180158193709</v>
      </c>
      <c r="AL2179" s="17"/>
      <c r="AM2179" s="17"/>
      <c r="AN2179" s="17"/>
      <c r="AO2179" s="17"/>
      <c r="AP2179" s="28" t="str">
        <f t="shared" si="630"/>
        <v>20225</v>
      </c>
      <c r="AQ2179" s="28" t="str">
        <f t="shared" si="631"/>
        <v>20225RMB</v>
      </c>
      <c r="AR2179" s="206" t="str">
        <f t="shared" si="632"/>
        <v>YAMAHA_Mounter</v>
      </c>
      <c r="AS2179" s="22">
        <f t="shared" si="633"/>
        <v>4</v>
      </c>
      <c r="AT2179" s="24" t="str">
        <f t="shared" si="634"/>
        <v>4-6 months</v>
      </c>
      <c r="AU2179" s="22" t="s">
        <v>3240</v>
      </c>
    </row>
    <row r="2180" spans="1:47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3130</v>
      </c>
      <c r="K2180" s="29" t="s">
        <v>3131</v>
      </c>
      <c r="L2180" s="17" t="s">
        <v>67</v>
      </c>
      <c r="M2180" s="22" t="s">
        <v>60</v>
      </c>
      <c r="N2180" s="22">
        <v>1</v>
      </c>
      <c r="O2180" s="22"/>
      <c r="P2180" s="33" t="str">
        <f t="shared" si="626"/>
        <v>MAIN UNIT</v>
      </c>
      <c r="Q2180" s="13" t="s">
        <v>68</v>
      </c>
      <c r="R2180" s="22" t="s">
        <v>62</v>
      </c>
      <c r="S2180" s="22" t="s">
        <v>50</v>
      </c>
      <c r="T2180" s="22" t="s">
        <v>88</v>
      </c>
      <c r="U2180" s="22" t="s">
        <v>70</v>
      </c>
      <c r="V2180" s="22" t="s">
        <v>1400</v>
      </c>
      <c r="W2180" s="22" t="s">
        <v>64</v>
      </c>
      <c r="X2180" s="30">
        <v>525000</v>
      </c>
      <c r="Y2180" s="31" t="str">
        <f>IF(W2180="","",IF(W2180="RMB","1.13", "1"))</f>
        <v>1.13</v>
      </c>
      <c r="Z2180" s="18">
        <f t="shared" si="635"/>
        <v>525000</v>
      </c>
      <c r="AA2180" s="22">
        <v>1.0900000000000001</v>
      </c>
      <c r="AB2180" s="21">
        <f t="shared" si="639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41"/>
        <v>10524262.405309737</v>
      </c>
      <c r="AJ2180" s="27">
        <f t="shared" si="642"/>
        <v>1479050.9527127435</v>
      </c>
      <c r="AK2180" s="28">
        <f t="shared" si="629"/>
        <v>0.14053725532028996</v>
      </c>
      <c r="AL2180" s="24"/>
      <c r="AM2180" s="24"/>
      <c r="AN2180" s="24"/>
      <c r="AO2180" s="24"/>
      <c r="AP2180" s="28" t="str">
        <f t="shared" si="630"/>
        <v>20242</v>
      </c>
      <c r="AQ2180" s="28" t="str">
        <f t="shared" si="631"/>
        <v>20242RMB</v>
      </c>
      <c r="AR2180" s="206" t="str">
        <f t="shared" si="632"/>
        <v>YAMAHA_Mounter</v>
      </c>
      <c r="AS2180" s="22">
        <f t="shared" si="633"/>
        <v>1</v>
      </c>
      <c r="AT2180" s="24" t="str">
        <f t="shared" si="634"/>
        <v>0-3 months</v>
      </c>
      <c r="AU2180" s="22" t="s">
        <v>3240</v>
      </c>
    </row>
    <row r="2181" spans="1:47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3130</v>
      </c>
      <c r="K2181" s="29" t="s">
        <v>3131</v>
      </c>
      <c r="L2181" s="17" t="s">
        <v>67</v>
      </c>
      <c r="M2181" s="22" t="s">
        <v>60</v>
      </c>
      <c r="N2181" s="22">
        <v>1</v>
      </c>
      <c r="O2181" s="22"/>
      <c r="P2181" s="33" t="str">
        <f t="shared" si="626"/>
        <v>MAIN UNIT</v>
      </c>
      <c r="Q2181" s="13" t="s">
        <v>68</v>
      </c>
      <c r="R2181" s="22" t="s">
        <v>62</v>
      </c>
      <c r="S2181" s="22" t="s">
        <v>50</v>
      </c>
      <c r="T2181" s="22" t="s">
        <v>88</v>
      </c>
      <c r="U2181" s="22" t="s">
        <v>70</v>
      </c>
      <c r="V2181" s="22" t="s">
        <v>1400</v>
      </c>
      <c r="W2181" s="22" t="s">
        <v>64</v>
      </c>
      <c r="X2181" s="30">
        <v>525000</v>
      </c>
      <c r="Y2181" s="31" t="str">
        <f>IF(W2181="","",IF(W2181="RMB","1.13", "1"))</f>
        <v>1.13</v>
      </c>
      <c r="Z2181" s="18">
        <f t="shared" si="635"/>
        <v>525000</v>
      </c>
      <c r="AA2181" s="22">
        <v>1.0900000000000001</v>
      </c>
      <c r="AB2181" s="21">
        <f t="shared" si="639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41"/>
        <v>10524262.405309737</v>
      </c>
      <c r="AJ2181" s="27">
        <f t="shared" si="642"/>
        <v>1479050.9527127435</v>
      </c>
      <c r="AK2181" s="28">
        <f t="shared" si="629"/>
        <v>0.14053725532028996</v>
      </c>
      <c r="AL2181" s="24"/>
      <c r="AM2181" s="24"/>
      <c r="AN2181" s="24"/>
      <c r="AO2181" s="24"/>
      <c r="AP2181" s="28" t="str">
        <f t="shared" si="630"/>
        <v>20242</v>
      </c>
      <c r="AQ2181" s="28" t="str">
        <f t="shared" si="631"/>
        <v>20242RMB</v>
      </c>
      <c r="AR2181" s="206" t="str">
        <f t="shared" si="632"/>
        <v>YAMAHA_Mounter</v>
      </c>
      <c r="AS2181" s="22">
        <f t="shared" si="633"/>
        <v>1</v>
      </c>
      <c r="AT2181" s="24" t="str">
        <f t="shared" si="634"/>
        <v>0-3 months</v>
      </c>
      <c r="AU2181" s="22" t="s">
        <v>3240</v>
      </c>
    </row>
    <row r="2182" spans="1:47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41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86</v>
      </c>
      <c r="K2182" s="155" t="s">
        <v>87</v>
      </c>
      <c r="L2182" s="17" t="s">
        <v>59</v>
      </c>
      <c r="M2182" s="13" t="s">
        <v>60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61</v>
      </c>
      <c r="R2182" s="13" t="s">
        <v>62</v>
      </c>
      <c r="S2182" s="13" t="s">
        <v>50</v>
      </c>
      <c r="T2182" s="13" t="s">
        <v>88</v>
      </c>
      <c r="U2182" s="13" t="s">
        <v>89</v>
      </c>
      <c r="V2182" s="13" t="s">
        <v>84</v>
      </c>
      <c r="W2182" s="13" t="s">
        <v>64</v>
      </c>
      <c r="X2182" s="135">
        <v>507000</v>
      </c>
      <c r="Y2182" s="156">
        <v>1.17</v>
      </c>
      <c r="Z2182" s="18">
        <f t="shared" si="635"/>
        <v>507000</v>
      </c>
      <c r="AA2182" s="13">
        <v>1.23</v>
      </c>
      <c r="AB2182" s="21">
        <f t="shared" si="639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si="641"/>
        <v>29288201.603076916</v>
      </c>
      <c r="AJ2182" s="19">
        <f t="shared" si="642"/>
        <v>3870159.1769246152</v>
      </c>
      <c r="AK2182" s="20">
        <f t="shared" ref="AK2182:AK2245" si="649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0">IF(F2182="","",F2182&amp;G2182)</f>
        <v>20184</v>
      </c>
      <c r="AQ2182" s="28" t="str">
        <f t="shared" ref="AQ2182:AQ2245" si="651">IF(W2182="","",F2182&amp;G2182&amp;W2182)</f>
        <v>20184RMB</v>
      </c>
      <c r="AR2182" s="206" t="str">
        <f t="shared" ref="AR2182:AR2245" si="652">IFERROR(IF(AND(M2182="YAMAHA", R2182="C28"), "YAMAHA_Non_Mounter", IF(AND(M2182="YAMAHA", R2182="C49"), "YAMAHA_Mounter", M2182)),"")</f>
        <v>YAMAHA_Mounter</v>
      </c>
      <c r="AS2182" s="22">
        <f t="shared" ref="AS2182:AS2245" si="653">IFERROR(IF(OR(G2182="TBA", G2182=""), "", DATEDIF(DATE(B2182, C2182, 1), DATE(F2182, G2182, 1), "M")),"")</f>
        <v>5</v>
      </c>
      <c r="AT2182" s="24" t="str">
        <f t="shared" ref="AT2182:AT2245" si="654">IF(ISNUMBER(AS2182), IF(AS2182&gt;=0, IF(AS2182&lt;=3, "0-3 months", IF(AS2182&lt;=6, "4-6 months", "&gt; 6 months"))), "")</f>
        <v>4-6 months</v>
      </c>
      <c r="AU2182" s="22" t="s">
        <v>3240</v>
      </c>
    </row>
    <row r="2183" spans="1:47" s="12" customFormat="1">
      <c r="A2183" s="33" t="str">
        <f t="shared" si="643"/>
        <v>cancel</v>
      </c>
      <c r="B2183" s="152"/>
      <c r="C2183" s="152" t="s">
        <v>185</v>
      </c>
      <c r="D2183" s="33" t="str">
        <f t="shared" si="644"/>
        <v/>
      </c>
      <c r="E2183" s="33" t="s">
        <v>185</v>
      </c>
      <c r="F2183" s="13" t="s">
        <v>185</v>
      </c>
      <c r="G2183" s="152" t="s">
        <v>185</v>
      </c>
      <c r="H2183" s="155"/>
      <c r="I2183" s="33" t="str">
        <f t="shared" si="645"/>
        <v>Cancel</v>
      </c>
      <c r="J2183" s="186" t="s">
        <v>2641</v>
      </c>
      <c r="K2183" s="155" t="s">
        <v>2642</v>
      </c>
      <c r="L2183" s="17" t="s">
        <v>67</v>
      </c>
      <c r="M2183" s="13" t="s">
        <v>60</v>
      </c>
      <c r="N2183" s="13">
        <v>1</v>
      </c>
      <c r="O2183" s="13"/>
      <c r="P2183" s="33" t="str">
        <f t="shared" si="646"/>
        <v>MAIN UNIT</v>
      </c>
      <c r="Q2183" s="13" t="s">
        <v>61</v>
      </c>
      <c r="R2183" s="13" t="s">
        <v>62</v>
      </c>
      <c r="S2183" s="13" t="s">
        <v>50</v>
      </c>
      <c r="T2183" s="13" t="s">
        <v>88</v>
      </c>
      <c r="U2183" s="13" t="s">
        <v>89</v>
      </c>
      <c r="V2183" s="13" t="s">
        <v>84</v>
      </c>
      <c r="W2183" s="13" t="s">
        <v>64</v>
      </c>
      <c r="X2183" s="135">
        <v>800000</v>
      </c>
      <c r="Y2183" s="156">
        <v>1.1299999999999999</v>
      </c>
      <c r="Z2183" s="18">
        <f t="shared" si="635"/>
        <v>800000</v>
      </c>
      <c r="AA2183" s="13">
        <v>1.1100000000000001</v>
      </c>
      <c r="AB2183" s="21">
        <f t="shared" si="639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1"/>
        <v>499582152.5142017</v>
      </c>
      <c r="AJ2183" s="19">
        <f t="shared" si="642"/>
        <v>59520528.679470733</v>
      </c>
      <c r="AK2183" s="20">
        <f t="shared" si="649"/>
        <v>0.11914062257814291</v>
      </c>
      <c r="AL2183" s="17"/>
      <c r="AM2183" s="17"/>
      <c r="AN2183" s="17"/>
      <c r="AO2183" s="17"/>
      <c r="AP2183" s="28" t="str">
        <f t="shared" si="650"/>
        <v>CancelCancel</v>
      </c>
      <c r="AQ2183" s="28" t="str">
        <f t="shared" si="651"/>
        <v>CancelCancelRMB</v>
      </c>
      <c r="AR2183" s="206" t="str">
        <f t="shared" si="652"/>
        <v>YAMAHA_Mounter</v>
      </c>
      <c r="AS2183" s="22" t="str">
        <f t="shared" si="653"/>
        <v/>
      </c>
      <c r="AT2183" s="24" t="str">
        <f t="shared" si="654"/>
        <v/>
      </c>
      <c r="AU2183" s="22" t="s">
        <v>3240</v>
      </c>
    </row>
    <row r="2184" spans="1:47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53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1614</v>
      </c>
      <c r="K2184" s="155" t="s">
        <v>1615</v>
      </c>
      <c r="L2184" s="17" t="s">
        <v>67</v>
      </c>
      <c r="M2184" s="13" t="s">
        <v>60</v>
      </c>
      <c r="N2184" s="13">
        <v>1</v>
      </c>
      <c r="O2184" s="13"/>
      <c r="P2184" s="33" t="str">
        <f t="shared" si="646"/>
        <v>MAIN UNIT</v>
      </c>
      <c r="Q2184" s="13" t="s">
        <v>61</v>
      </c>
      <c r="R2184" s="13" t="s">
        <v>62</v>
      </c>
      <c r="S2184" s="13" t="s">
        <v>50</v>
      </c>
      <c r="T2184" s="13" t="s">
        <v>88</v>
      </c>
      <c r="U2184" s="13" t="s">
        <v>89</v>
      </c>
      <c r="V2184" s="13" t="s">
        <v>84</v>
      </c>
      <c r="W2184" s="13" t="s">
        <v>64</v>
      </c>
      <c r="X2184" s="135">
        <v>795000</v>
      </c>
      <c r="Y2184" s="156">
        <v>1.1299999999999999</v>
      </c>
      <c r="Z2184" s="18">
        <f t="shared" si="635"/>
        <v>795000</v>
      </c>
      <c r="AA2184" s="13">
        <v>1.2</v>
      </c>
      <c r="AB2184" s="21">
        <f t="shared" si="639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1"/>
        <v>15533177.71460177</v>
      </c>
      <c r="AJ2184" s="19">
        <f t="shared" si="642"/>
        <v>1819298.5437526547</v>
      </c>
      <c r="AK2184" s="20">
        <f t="shared" si="649"/>
        <v>0.11712339723265033</v>
      </c>
      <c r="AL2184" s="17"/>
      <c r="AM2184" s="17"/>
      <c r="AN2184" s="17"/>
      <c r="AO2184" s="17"/>
      <c r="AP2184" s="28" t="str">
        <f t="shared" si="650"/>
        <v>202110</v>
      </c>
      <c r="AQ2184" s="28" t="str">
        <f t="shared" si="651"/>
        <v>202110RMB</v>
      </c>
      <c r="AR2184" s="206" t="str">
        <f t="shared" si="652"/>
        <v>YAMAHA_Mounter</v>
      </c>
      <c r="AS2184" s="22">
        <f t="shared" si="653"/>
        <v>14</v>
      </c>
      <c r="AT2184" s="24" t="str">
        <f t="shared" si="654"/>
        <v>&gt; 6 months</v>
      </c>
      <c r="AU2184" s="22" t="s">
        <v>3240</v>
      </c>
    </row>
    <row r="2185" spans="1:47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47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944</v>
      </c>
      <c r="K2185" s="155" t="s">
        <v>945</v>
      </c>
      <c r="L2185" s="17" t="s">
        <v>92</v>
      </c>
      <c r="M2185" s="13" t="s">
        <v>60</v>
      </c>
      <c r="N2185" s="13">
        <v>1</v>
      </c>
      <c r="O2185" s="13"/>
      <c r="P2185" s="33" t="str">
        <f t="shared" si="646"/>
        <v>MAIN UNIT</v>
      </c>
      <c r="Q2185" s="13" t="s">
        <v>68</v>
      </c>
      <c r="R2185" s="13" t="s">
        <v>62</v>
      </c>
      <c r="S2185" s="13" t="s">
        <v>49</v>
      </c>
      <c r="T2185" s="13" t="s">
        <v>78</v>
      </c>
      <c r="U2185" s="13" t="s">
        <v>79</v>
      </c>
      <c r="V2185" s="13" t="s">
        <v>672</v>
      </c>
      <c r="W2185" s="13" t="s">
        <v>64</v>
      </c>
      <c r="X2185" s="135">
        <v>880000</v>
      </c>
      <c r="Y2185" s="156">
        <v>1.1299999999999999</v>
      </c>
      <c r="Z2185" s="18">
        <f t="shared" si="635"/>
        <v>880000</v>
      </c>
      <c r="AA2185" s="13">
        <v>1.095</v>
      </c>
      <c r="AB2185" s="21">
        <f t="shared" si="639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1"/>
        <v>28647263.974455759</v>
      </c>
      <c r="AJ2185" s="19">
        <f t="shared" si="642"/>
        <v>3219855.6912513468</v>
      </c>
      <c r="AK2185" s="20">
        <f t="shared" si="649"/>
        <v>0.11239662168514358</v>
      </c>
      <c r="AL2185" s="17"/>
      <c r="AM2185" s="17"/>
      <c r="AN2185" s="17"/>
      <c r="AO2185" s="17"/>
      <c r="AP2185" s="28" t="str">
        <f t="shared" si="650"/>
        <v>201910</v>
      </c>
      <c r="AQ2185" s="28" t="str">
        <f t="shared" si="651"/>
        <v>201910RMB</v>
      </c>
      <c r="AR2185" s="206" t="str">
        <f t="shared" si="652"/>
        <v>YAMAHA_Mounter</v>
      </c>
      <c r="AS2185" s="22">
        <f t="shared" si="653"/>
        <v>1</v>
      </c>
      <c r="AT2185" s="24" t="str">
        <f t="shared" si="654"/>
        <v>0-3 months</v>
      </c>
      <c r="AU2185" s="22" t="s">
        <v>3744</v>
      </c>
    </row>
    <row r="2186" spans="1:47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47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944</v>
      </c>
      <c r="K2186" s="155" t="s">
        <v>945</v>
      </c>
      <c r="L2186" s="17" t="s">
        <v>67</v>
      </c>
      <c r="M2186" s="13" t="s">
        <v>60</v>
      </c>
      <c r="N2186" s="13">
        <v>1</v>
      </c>
      <c r="O2186" s="13"/>
      <c r="P2186" s="33" t="str">
        <f t="shared" si="646"/>
        <v>MAIN UNIT</v>
      </c>
      <c r="Q2186" s="13" t="s">
        <v>68</v>
      </c>
      <c r="R2186" s="13" t="s">
        <v>62</v>
      </c>
      <c r="S2186" s="13" t="s">
        <v>49</v>
      </c>
      <c r="T2186" s="13" t="s">
        <v>78</v>
      </c>
      <c r="U2186" s="13" t="s">
        <v>79</v>
      </c>
      <c r="V2186" s="13" t="s">
        <v>672</v>
      </c>
      <c r="W2186" s="13" t="s">
        <v>64</v>
      </c>
      <c r="X2186" s="135">
        <v>600000</v>
      </c>
      <c r="Y2186" s="156">
        <v>1.1299999999999999</v>
      </c>
      <c r="Z2186" s="18">
        <f t="shared" ref="Z2186:Z2249" si="655">IF(X2186="","",X2186*MAX(O2186,N2186))</f>
        <v>600000</v>
      </c>
      <c r="AA2186" s="13">
        <v>1.095</v>
      </c>
      <c r="AB2186" s="21">
        <f t="shared" si="639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1"/>
        <v>28647263.974455759</v>
      </c>
      <c r="AJ2186" s="19">
        <f t="shared" si="642"/>
        <v>3219855.6912513468</v>
      </c>
      <c r="AK2186" s="20">
        <f t="shared" si="649"/>
        <v>0.11239662168514358</v>
      </c>
      <c r="AL2186" s="17"/>
      <c r="AM2186" s="17"/>
      <c r="AN2186" s="17"/>
      <c r="AO2186" s="17"/>
      <c r="AP2186" s="28" t="str">
        <f t="shared" si="650"/>
        <v>201910</v>
      </c>
      <c r="AQ2186" s="28" t="str">
        <f t="shared" si="651"/>
        <v>201910RMB</v>
      </c>
      <c r="AR2186" s="206" t="str">
        <f t="shared" si="652"/>
        <v>YAMAHA_Mounter</v>
      </c>
      <c r="AS2186" s="22">
        <f t="shared" si="653"/>
        <v>1</v>
      </c>
      <c r="AT2186" s="24" t="str">
        <f t="shared" si="654"/>
        <v>0-3 months</v>
      </c>
      <c r="AU2186" s="22" t="s">
        <v>3744</v>
      </c>
    </row>
    <row r="2187" spans="1:47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41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2835</v>
      </c>
      <c r="K2187" s="155" t="s">
        <v>2836</v>
      </c>
      <c r="L2187" s="17" t="s">
        <v>2837</v>
      </c>
      <c r="M2187" s="13" t="s">
        <v>2832</v>
      </c>
      <c r="N2187" s="13">
        <v>1</v>
      </c>
      <c r="O2187" s="13"/>
      <c r="P2187" s="33" t="str">
        <f t="shared" si="646"/>
        <v>MAIN UNIT</v>
      </c>
      <c r="Q2187" s="13" t="s">
        <v>61</v>
      </c>
      <c r="R2187" s="13" t="s">
        <v>2055</v>
      </c>
      <c r="S2187" s="13" t="s">
        <v>51</v>
      </c>
      <c r="T2187" s="13" t="s">
        <v>936</v>
      </c>
      <c r="U2187" s="13" t="s">
        <v>149</v>
      </c>
      <c r="V2187" s="13" t="s">
        <v>2828</v>
      </c>
      <c r="W2187" s="13" t="s">
        <v>64</v>
      </c>
      <c r="X2187" s="135">
        <v>445000</v>
      </c>
      <c r="Y2187" s="156">
        <v>1.1599999999999999</v>
      </c>
      <c r="Z2187" s="18">
        <f t="shared" si="655"/>
        <v>445000</v>
      </c>
      <c r="AA2187" s="13">
        <v>1.125</v>
      </c>
      <c r="AB2187" s="21">
        <f t="shared" si="639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1"/>
        <v>29840797.698275864</v>
      </c>
      <c r="AJ2187" s="19">
        <f t="shared" si="642"/>
        <v>3940167.6555448272</v>
      </c>
      <c r="AK2187" s="20">
        <f t="shared" si="649"/>
        <v>0.13203962224416277</v>
      </c>
      <c r="AL2187" s="17"/>
      <c r="AM2187" s="17"/>
      <c r="AN2187" s="17"/>
      <c r="AO2187" s="17"/>
      <c r="AP2187" s="28" t="str">
        <f t="shared" si="650"/>
        <v>201812</v>
      </c>
      <c r="AQ2187" s="28" t="str">
        <f t="shared" si="651"/>
        <v>201812RMB</v>
      </c>
      <c r="AR2187" s="206" t="str">
        <f t="shared" si="652"/>
        <v>PEMTRON</v>
      </c>
      <c r="AS2187" s="22">
        <f t="shared" si="653"/>
        <v>1</v>
      </c>
      <c r="AT2187" s="24" t="str">
        <f t="shared" si="654"/>
        <v>0-3 months</v>
      </c>
      <c r="AU2187" s="22" t="s">
        <v>3240</v>
      </c>
    </row>
    <row r="2188" spans="1:47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47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912</v>
      </c>
      <c r="K2188" s="155" t="s">
        <v>913</v>
      </c>
      <c r="L2188" s="17" t="s">
        <v>92</v>
      </c>
      <c r="M2188" s="13" t="s">
        <v>60</v>
      </c>
      <c r="N2188" s="13">
        <v>1</v>
      </c>
      <c r="O2188" s="13"/>
      <c r="P2188" s="33" t="str">
        <f t="shared" si="646"/>
        <v>MAIN UNIT</v>
      </c>
      <c r="Q2188" s="13" t="s">
        <v>68</v>
      </c>
      <c r="R2188" s="13" t="s">
        <v>62</v>
      </c>
      <c r="S2188" s="13" t="s">
        <v>49</v>
      </c>
      <c r="T2188" s="13" t="s">
        <v>78</v>
      </c>
      <c r="U2188" s="13" t="s">
        <v>79</v>
      </c>
      <c r="V2188" s="13" t="s">
        <v>106</v>
      </c>
      <c r="W2188" s="13" t="s">
        <v>64</v>
      </c>
      <c r="X2188" s="135">
        <v>1080000</v>
      </c>
      <c r="Y2188" s="156">
        <v>1.1299999999999999</v>
      </c>
      <c r="Z2188" s="18">
        <f t="shared" si="655"/>
        <v>1080000</v>
      </c>
      <c r="AA2188" s="13">
        <v>1.1100000000000001</v>
      </c>
      <c r="AB2188" s="21">
        <f t="shared" si="639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1"/>
        <v>26147030.909862842</v>
      </c>
      <c r="AJ2188" s="19">
        <f t="shared" si="642"/>
        <v>2743862.8630715334</v>
      </c>
      <c r="AK2188" s="20">
        <f t="shared" si="649"/>
        <v>0.10493974908778378</v>
      </c>
      <c r="AL2188" s="17"/>
      <c r="AM2188" s="17"/>
      <c r="AN2188" s="17"/>
      <c r="AO2188" s="17"/>
      <c r="AP2188" s="28" t="str">
        <f t="shared" si="650"/>
        <v>201911</v>
      </c>
      <c r="AQ2188" s="28" t="str">
        <f t="shared" si="651"/>
        <v>201911RMB</v>
      </c>
      <c r="AR2188" s="206" t="str">
        <f t="shared" si="652"/>
        <v>YAMAHA_Mounter</v>
      </c>
      <c r="AS2188" s="22">
        <f t="shared" si="653"/>
        <v>2</v>
      </c>
      <c r="AT2188" s="24" t="str">
        <f t="shared" si="654"/>
        <v>0-3 months</v>
      </c>
      <c r="AU2188" s="22" t="s">
        <v>3744</v>
      </c>
    </row>
    <row r="2189" spans="1:47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55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2573</v>
      </c>
      <c r="K2189" s="155" t="s">
        <v>913</v>
      </c>
      <c r="L2189" s="17" t="s">
        <v>92</v>
      </c>
      <c r="M2189" s="13" t="s">
        <v>60</v>
      </c>
      <c r="N2189" s="13">
        <v>1</v>
      </c>
      <c r="O2189" s="13"/>
      <c r="P2189" s="33" t="str">
        <f t="shared" si="646"/>
        <v>MAIN UNIT</v>
      </c>
      <c r="Q2189" s="13" t="s">
        <v>61</v>
      </c>
      <c r="R2189" s="13" t="s">
        <v>62</v>
      </c>
      <c r="S2189" s="13" t="s">
        <v>49</v>
      </c>
      <c r="T2189" s="13" t="s">
        <v>1071</v>
      </c>
      <c r="U2189" s="13" t="s">
        <v>2574</v>
      </c>
      <c r="V2189" s="13" t="s">
        <v>80</v>
      </c>
      <c r="W2189" s="13" t="s">
        <v>109</v>
      </c>
      <c r="X2189" s="135">
        <v>11860000</v>
      </c>
      <c r="Y2189" s="157" t="str">
        <f>IF(W2189="RMB","1.13", "1")</f>
        <v>1</v>
      </c>
      <c r="Z2189" s="18">
        <f t="shared" si="655"/>
        <v>11860000</v>
      </c>
      <c r="AA2189" s="13">
        <v>5.4899999999999997E-2</v>
      </c>
      <c r="AB2189" s="21">
        <f t="shared" si="639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1"/>
        <v>26078226.463097349</v>
      </c>
      <c r="AJ2189" s="19">
        <f t="shared" si="642"/>
        <v>3137870.4427774516</v>
      </c>
      <c r="AK2189" s="20">
        <f t="shared" si="649"/>
        <v>0.12032530077218917</v>
      </c>
      <c r="AL2189" s="17"/>
      <c r="AM2189" s="17"/>
      <c r="AN2189" s="17"/>
      <c r="AO2189" s="17"/>
      <c r="AP2189" s="28" t="str">
        <f t="shared" si="650"/>
        <v>20239</v>
      </c>
      <c r="AQ2189" s="28" t="str">
        <f t="shared" si="651"/>
        <v>20239JPY</v>
      </c>
      <c r="AR2189" s="206" t="str">
        <f t="shared" si="652"/>
        <v>YAMAHA_Mounter</v>
      </c>
      <c r="AS2189" s="22">
        <f t="shared" si="653"/>
        <v>0</v>
      </c>
      <c r="AT2189" s="24" t="str">
        <f t="shared" si="654"/>
        <v>0-3 months</v>
      </c>
      <c r="AU2189" s="22" t="s">
        <v>3240</v>
      </c>
    </row>
    <row r="2190" spans="1:47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48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1363</v>
      </c>
      <c r="K2190" s="155" t="s">
        <v>1364</v>
      </c>
      <c r="L2190" s="17" t="s">
        <v>67</v>
      </c>
      <c r="M2190" s="13" t="s">
        <v>60</v>
      </c>
      <c r="N2190" s="13">
        <v>1</v>
      </c>
      <c r="O2190" s="13"/>
      <c r="P2190" s="33" t="str">
        <f t="shared" si="646"/>
        <v>MAIN UNIT</v>
      </c>
      <c r="Q2190" s="13" t="s">
        <v>61</v>
      </c>
      <c r="R2190" s="13" t="s">
        <v>62</v>
      </c>
      <c r="S2190" s="13" t="s">
        <v>49</v>
      </c>
      <c r="T2190" s="13" t="s">
        <v>78</v>
      </c>
      <c r="U2190" s="13" t="s">
        <v>79</v>
      </c>
      <c r="V2190" s="13" t="s">
        <v>1365</v>
      </c>
      <c r="W2190" s="13" t="s">
        <v>1105</v>
      </c>
      <c r="X2190" s="135">
        <v>10000000</v>
      </c>
      <c r="Y2190" s="156">
        <v>1</v>
      </c>
      <c r="Z2190" s="18">
        <f t="shared" si="655"/>
        <v>10000000</v>
      </c>
      <c r="AA2190" s="13">
        <v>7.4899999999999994E-2</v>
      </c>
      <c r="AB2190" s="21">
        <f t="shared" si="639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1"/>
        <v>47907808.356810622</v>
      </c>
      <c r="AJ2190" s="19">
        <f t="shared" si="642"/>
        <v>6027384.8806384448</v>
      </c>
      <c r="AK2190" s="20">
        <f t="shared" si="649"/>
        <v>0.12581216063459488</v>
      </c>
      <c r="AL2190" s="17"/>
      <c r="AM2190" s="17"/>
      <c r="AN2190" s="17"/>
      <c r="AO2190" s="17"/>
      <c r="AP2190" s="28" t="str">
        <f t="shared" si="650"/>
        <v>20209</v>
      </c>
      <c r="AQ2190" s="28" t="str">
        <f t="shared" si="651"/>
        <v>20209JPY</v>
      </c>
      <c r="AR2190" s="206" t="str">
        <f t="shared" si="652"/>
        <v>YAMAHA_Mounter</v>
      </c>
      <c r="AS2190" s="22">
        <f t="shared" si="653"/>
        <v>2</v>
      </c>
      <c r="AT2190" s="24" t="str">
        <f t="shared" si="654"/>
        <v>0-3 months</v>
      </c>
      <c r="AU2190" s="22" t="s">
        <v>3746</v>
      </c>
    </row>
    <row r="2191" spans="1:47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48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1363</v>
      </c>
      <c r="K2191" s="155" t="s">
        <v>1364</v>
      </c>
      <c r="L2191" s="17" t="s">
        <v>67</v>
      </c>
      <c r="M2191" s="13" t="s">
        <v>60</v>
      </c>
      <c r="N2191" s="13">
        <v>1</v>
      </c>
      <c r="O2191" s="13"/>
      <c r="P2191" s="33" t="str">
        <f t="shared" si="646"/>
        <v>MAIN UNIT</v>
      </c>
      <c r="Q2191" s="13" t="s">
        <v>61</v>
      </c>
      <c r="R2191" s="13" t="s">
        <v>62</v>
      </c>
      <c r="S2191" s="13" t="s">
        <v>49</v>
      </c>
      <c r="T2191" s="13" t="s">
        <v>78</v>
      </c>
      <c r="U2191" s="13" t="s">
        <v>79</v>
      </c>
      <c r="V2191" s="13" t="s">
        <v>1365</v>
      </c>
      <c r="W2191" s="13" t="s">
        <v>1105</v>
      </c>
      <c r="X2191" s="135">
        <v>10000000</v>
      </c>
      <c r="Y2191" s="156">
        <v>1</v>
      </c>
      <c r="Z2191" s="18">
        <f t="shared" si="655"/>
        <v>10000000</v>
      </c>
      <c r="AA2191" s="13">
        <v>7.4899999999999994E-2</v>
      </c>
      <c r="AB2191" s="21">
        <f t="shared" si="639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1"/>
        <v>47907808.356810622</v>
      </c>
      <c r="AJ2191" s="19">
        <f t="shared" si="642"/>
        <v>6027384.8806384448</v>
      </c>
      <c r="AK2191" s="20">
        <f t="shared" si="649"/>
        <v>0.12581216063459488</v>
      </c>
      <c r="AL2191" s="17"/>
      <c r="AM2191" s="17"/>
      <c r="AN2191" s="17"/>
      <c r="AO2191" s="17"/>
      <c r="AP2191" s="28" t="str">
        <f t="shared" si="650"/>
        <v>20209</v>
      </c>
      <c r="AQ2191" s="28" t="str">
        <f t="shared" si="651"/>
        <v>20209JPY</v>
      </c>
      <c r="AR2191" s="206" t="str">
        <f t="shared" si="652"/>
        <v>YAMAHA_Mounter</v>
      </c>
      <c r="AS2191" s="22">
        <f t="shared" si="653"/>
        <v>2</v>
      </c>
      <c r="AT2191" s="24" t="str">
        <f t="shared" si="654"/>
        <v>0-3 months</v>
      </c>
      <c r="AU2191" s="22" t="s">
        <v>3746</v>
      </c>
    </row>
    <row r="2192" spans="1:47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48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1363</v>
      </c>
      <c r="K2192" s="155" t="s">
        <v>1364</v>
      </c>
      <c r="L2192" s="17" t="s">
        <v>92</v>
      </c>
      <c r="M2192" s="13" t="s">
        <v>60</v>
      </c>
      <c r="N2192" s="13">
        <v>1</v>
      </c>
      <c r="O2192" s="13"/>
      <c r="P2192" s="33" t="str">
        <f t="shared" si="646"/>
        <v>MAIN UNIT</v>
      </c>
      <c r="Q2192" s="13" t="s">
        <v>61</v>
      </c>
      <c r="R2192" s="13" t="s">
        <v>62</v>
      </c>
      <c r="S2192" s="13" t="s">
        <v>49</v>
      </c>
      <c r="T2192" s="13" t="s">
        <v>78</v>
      </c>
      <c r="U2192" s="13" t="s">
        <v>79</v>
      </c>
      <c r="V2192" s="13" t="s">
        <v>1365</v>
      </c>
      <c r="W2192" s="13" t="s">
        <v>1105</v>
      </c>
      <c r="X2192" s="135">
        <v>14200000</v>
      </c>
      <c r="Y2192" s="156">
        <v>1</v>
      </c>
      <c r="Z2192" s="18">
        <f t="shared" si="655"/>
        <v>14200000</v>
      </c>
      <c r="AA2192" s="13">
        <v>7.4899999999999994E-2</v>
      </c>
      <c r="AB2192" s="21">
        <f t="shared" si="639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1"/>
        <v>47907808.356810622</v>
      </c>
      <c r="AJ2192" s="19">
        <f t="shared" si="642"/>
        <v>6027384.8806384448</v>
      </c>
      <c r="AK2192" s="20">
        <f t="shared" si="649"/>
        <v>0.12581216063459488</v>
      </c>
      <c r="AL2192" s="17"/>
      <c r="AM2192" s="17"/>
      <c r="AN2192" s="17"/>
      <c r="AO2192" s="17"/>
      <c r="AP2192" s="28" t="str">
        <f t="shared" si="650"/>
        <v>20209</v>
      </c>
      <c r="AQ2192" s="28" t="str">
        <f t="shared" si="651"/>
        <v>20209JPY</v>
      </c>
      <c r="AR2192" s="206" t="str">
        <f t="shared" si="652"/>
        <v>YAMAHA_Mounter</v>
      </c>
      <c r="AS2192" s="22">
        <f t="shared" si="653"/>
        <v>2</v>
      </c>
      <c r="AT2192" s="24" t="str">
        <f t="shared" si="654"/>
        <v>0-3 months</v>
      </c>
      <c r="AU2192" s="22" t="s">
        <v>3746</v>
      </c>
    </row>
    <row r="2193" spans="1:47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48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1436</v>
      </c>
      <c r="K2193" s="155" t="s">
        <v>1437</v>
      </c>
      <c r="L2193" s="17" t="s">
        <v>67</v>
      </c>
      <c r="M2193" s="13" t="s">
        <v>60</v>
      </c>
      <c r="N2193" s="13">
        <v>1</v>
      </c>
      <c r="O2193" s="13"/>
      <c r="P2193" s="33" t="str">
        <f t="shared" si="646"/>
        <v>MAIN UNIT</v>
      </c>
      <c r="Q2193" s="13" t="s">
        <v>61</v>
      </c>
      <c r="R2193" s="13" t="s">
        <v>62</v>
      </c>
      <c r="S2193" s="13" t="s">
        <v>49</v>
      </c>
      <c r="T2193" s="13" t="s">
        <v>78</v>
      </c>
      <c r="U2193" s="13" t="s">
        <v>79</v>
      </c>
      <c r="V2193" s="13" t="s">
        <v>1407</v>
      </c>
      <c r="W2193" s="13" t="s">
        <v>109</v>
      </c>
      <c r="X2193" s="135">
        <v>10000000</v>
      </c>
      <c r="Y2193" s="157" t="str">
        <f t="shared" ref="Y2193:Y2212" si="656">IF(W2193="RMB","1.13", "1")</f>
        <v>1</v>
      </c>
      <c r="Z2193" s="18">
        <f t="shared" si="655"/>
        <v>10000000</v>
      </c>
      <c r="AA2193" s="13">
        <v>7.6100000000000001E-2</v>
      </c>
      <c r="AB2193" s="21">
        <f t="shared" si="639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1"/>
        <v>48763143.537654862</v>
      </c>
      <c r="AJ2193" s="19">
        <f t="shared" si="642"/>
        <v>5924029.9702154724</v>
      </c>
      <c r="AK2193" s="20">
        <f t="shared" si="649"/>
        <v>0.1214858095774925</v>
      </c>
      <c r="AL2193" s="17"/>
      <c r="AM2193" s="17"/>
      <c r="AN2193" s="17"/>
      <c r="AO2193" s="17"/>
      <c r="AP2193" s="28" t="str">
        <f t="shared" si="650"/>
        <v>202012</v>
      </c>
      <c r="AQ2193" s="28" t="str">
        <f t="shared" si="651"/>
        <v>202012JPY</v>
      </c>
      <c r="AR2193" s="206" t="str">
        <f t="shared" si="652"/>
        <v>YAMAHA_Mounter</v>
      </c>
      <c r="AS2193" s="22">
        <f t="shared" si="653"/>
        <v>3</v>
      </c>
      <c r="AT2193" s="24" t="str">
        <f t="shared" si="654"/>
        <v>0-3 months</v>
      </c>
      <c r="AU2193" s="22" t="s">
        <v>3746</v>
      </c>
    </row>
    <row r="2194" spans="1:47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48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1436</v>
      </c>
      <c r="K2194" s="155" t="s">
        <v>1437</v>
      </c>
      <c r="L2194" s="17" t="s">
        <v>67</v>
      </c>
      <c r="M2194" s="13" t="s">
        <v>60</v>
      </c>
      <c r="N2194" s="13">
        <v>1</v>
      </c>
      <c r="O2194" s="13"/>
      <c r="P2194" s="33" t="str">
        <f t="shared" si="646"/>
        <v>MAIN UNIT</v>
      </c>
      <c r="Q2194" s="13" t="s">
        <v>61</v>
      </c>
      <c r="R2194" s="13" t="s">
        <v>62</v>
      </c>
      <c r="S2194" s="13" t="s">
        <v>49</v>
      </c>
      <c r="T2194" s="13" t="s">
        <v>78</v>
      </c>
      <c r="U2194" s="13" t="s">
        <v>79</v>
      </c>
      <c r="V2194" s="13" t="s">
        <v>1407</v>
      </c>
      <c r="W2194" s="13" t="s">
        <v>109</v>
      </c>
      <c r="X2194" s="135">
        <v>10000000</v>
      </c>
      <c r="Y2194" s="157" t="str">
        <f t="shared" si="656"/>
        <v>1</v>
      </c>
      <c r="Z2194" s="18">
        <f t="shared" si="655"/>
        <v>10000000</v>
      </c>
      <c r="AA2194" s="13">
        <v>7.6100000000000001E-2</v>
      </c>
      <c r="AB2194" s="21">
        <f t="shared" si="639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1"/>
        <v>48763143.537654862</v>
      </c>
      <c r="AJ2194" s="19">
        <f t="shared" si="642"/>
        <v>5924029.9702154724</v>
      </c>
      <c r="AK2194" s="20">
        <f t="shared" si="649"/>
        <v>0.1214858095774925</v>
      </c>
      <c r="AL2194" s="17"/>
      <c r="AM2194" s="17"/>
      <c r="AN2194" s="17"/>
      <c r="AO2194" s="17"/>
      <c r="AP2194" s="28" t="str">
        <f t="shared" si="650"/>
        <v>202012</v>
      </c>
      <c r="AQ2194" s="28" t="str">
        <f t="shared" si="651"/>
        <v>202012JPY</v>
      </c>
      <c r="AR2194" s="206" t="str">
        <f t="shared" si="652"/>
        <v>YAMAHA_Mounter</v>
      </c>
      <c r="AS2194" s="22">
        <f t="shared" si="653"/>
        <v>3</v>
      </c>
      <c r="AT2194" s="24" t="str">
        <f t="shared" si="654"/>
        <v>0-3 months</v>
      </c>
      <c r="AU2194" s="22" t="s">
        <v>3746</v>
      </c>
    </row>
    <row r="2195" spans="1:47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48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1436</v>
      </c>
      <c r="K2195" s="155" t="s">
        <v>1437</v>
      </c>
      <c r="L2195" s="17" t="s">
        <v>92</v>
      </c>
      <c r="M2195" s="13" t="s">
        <v>60</v>
      </c>
      <c r="N2195" s="13">
        <v>1</v>
      </c>
      <c r="O2195" s="13"/>
      <c r="P2195" s="33" t="str">
        <f t="shared" si="646"/>
        <v>MAIN UNIT</v>
      </c>
      <c r="Q2195" s="13" t="s">
        <v>61</v>
      </c>
      <c r="R2195" s="13" t="s">
        <v>62</v>
      </c>
      <c r="S2195" s="13" t="s">
        <v>49</v>
      </c>
      <c r="T2195" s="13" t="s">
        <v>78</v>
      </c>
      <c r="U2195" s="13" t="s">
        <v>79</v>
      </c>
      <c r="V2195" s="13" t="s">
        <v>1407</v>
      </c>
      <c r="W2195" s="13" t="s">
        <v>109</v>
      </c>
      <c r="X2195" s="135">
        <v>14200000</v>
      </c>
      <c r="Y2195" s="157" t="str">
        <f t="shared" si="656"/>
        <v>1</v>
      </c>
      <c r="Z2195" s="18">
        <f t="shared" si="655"/>
        <v>14200000</v>
      </c>
      <c r="AA2195" s="13">
        <v>7.6100000000000001E-2</v>
      </c>
      <c r="AB2195" s="21">
        <f t="shared" si="639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1"/>
        <v>48763143.537654862</v>
      </c>
      <c r="AJ2195" s="19">
        <f t="shared" si="642"/>
        <v>5924029.9702154724</v>
      </c>
      <c r="AK2195" s="20">
        <f t="shared" si="649"/>
        <v>0.1214858095774925</v>
      </c>
      <c r="AL2195" s="17"/>
      <c r="AM2195" s="17"/>
      <c r="AN2195" s="17"/>
      <c r="AO2195" s="17"/>
      <c r="AP2195" s="28" t="str">
        <f t="shared" si="650"/>
        <v>202012</v>
      </c>
      <c r="AQ2195" s="28" t="str">
        <f t="shared" si="651"/>
        <v>202012JPY</v>
      </c>
      <c r="AR2195" s="206" t="str">
        <f t="shared" si="652"/>
        <v>YAMAHA_Mounter</v>
      </c>
      <c r="AS2195" s="22">
        <f t="shared" si="653"/>
        <v>3</v>
      </c>
      <c r="AT2195" s="24" t="str">
        <f t="shared" si="654"/>
        <v>0-3 months</v>
      </c>
      <c r="AU2195" s="22" t="s">
        <v>3746</v>
      </c>
    </row>
    <row r="2196" spans="1:47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53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1886</v>
      </c>
      <c r="K2196" s="155" t="s">
        <v>1437</v>
      </c>
      <c r="L2196" s="17" t="s">
        <v>1301</v>
      </c>
      <c r="M2196" s="13" t="s">
        <v>60</v>
      </c>
      <c r="N2196" s="13">
        <v>1</v>
      </c>
      <c r="O2196" s="13"/>
      <c r="P2196" s="33" t="str">
        <f t="shared" si="646"/>
        <v>MAIN UNIT</v>
      </c>
      <c r="Q2196" s="13" t="s">
        <v>61</v>
      </c>
      <c r="R2196" s="13" t="s">
        <v>62</v>
      </c>
      <c r="S2196" s="13" t="s">
        <v>49</v>
      </c>
      <c r="T2196" s="13" t="s">
        <v>78</v>
      </c>
      <c r="U2196" s="13" t="s">
        <v>79</v>
      </c>
      <c r="V2196" s="13" t="s">
        <v>1407</v>
      </c>
      <c r="W2196" s="13" t="s">
        <v>109</v>
      </c>
      <c r="X2196" s="135">
        <v>18600000</v>
      </c>
      <c r="Y2196" s="157" t="str">
        <f t="shared" si="656"/>
        <v>1</v>
      </c>
      <c r="Z2196" s="18">
        <f t="shared" si="655"/>
        <v>18600000</v>
      </c>
      <c r="AA2196" s="13">
        <v>7.0000000000000007E-2</v>
      </c>
      <c r="AB2196" s="21">
        <f t="shared" si="639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1"/>
        <v>29500529.005044252</v>
      </c>
      <c r="AJ2196" s="19">
        <f t="shared" si="642"/>
        <v>3253064.846231177</v>
      </c>
      <c r="AK2196" s="20">
        <f t="shared" si="649"/>
        <v>0.11027140718984871</v>
      </c>
      <c r="AL2196" s="17"/>
      <c r="AM2196" s="17"/>
      <c r="AN2196" s="17"/>
      <c r="AO2196" s="17"/>
      <c r="AP2196" s="28" t="str">
        <f t="shared" si="650"/>
        <v>202111</v>
      </c>
      <c r="AQ2196" s="28" t="str">
        <f t="shared" si="651"/>
        <v>202111JPY</v>
      </c>
      <c r="AR2196" s="206" t="str">
        <f t="shared" si="652"/>
        <v>YAMAHA_Mounter</v>
      </c>
      <c r="AS2196" s="22">
        <f t="shared" si="653"/>
        <v>7</v>
      </c>
      <c r="AT2196" s="24" t="str">
        <f t="shared" si="654"/>
        <v>&gt; 6 months</v>
      </c>
      <c r="AU2196" s="22" t="s">
        <v>3746</v>
      </c>
    </row>
    <row r="2197" spans="1:47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53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1886</v>
      </c>
      <c r="K2197" s="155" t="s">
        <v>1437</v>
      </c>
      <c r="L2197" s="17" t="s">
        <v>1301</v>
      </c>
      <c r="M2197" s="13" t="s">
        <v>60</v>
      </c>
      <c r="N2197" s="13">
        <v>1</v>
      </c>
      <c r="O2197" s="13"/>
      <c r="P2197" s="33" t="str">
        <f t="shared" si="646"/>
        <v>MAIN UNIT</v>
      </c>
      <c r="Q2197" s="13" t="s">
        <v>61</v>
      </c>
      <c r="R2197" s="13" t="s">
        <v>62</v>
      </c>
      <c r="S2197" s="13" t="s">
        <v>49</v>
      </c>
      <c r="T2197" s="13" t="s">
        <v>78</v>
      </c>
      <c r="U2197" s="13" t="s">
        <v>79</v>
      </c>
      <c r="V2197" s="13" t="s">
        <v>1407</v>
      </c>
      <c r="W2197" s="13" t="s">
        <v>109</v>
      </c>
      <c r="X2197" s="135">
        <v>18600000</v>
      </c>
      <c r="Y2197" s="157" t="str">
        <f t="shared" si="656"/>
        <v>1</v>
      </c>
      <c r="Z2197" s="18">
        <f t="shared" si="655"/>
        <v>18600000</v>
      </c>
      <c r="AA2197" s="13">
        <v>7.0000000000000007E-2</v>
      </c>
      <c r="AB2197" s="21">
        <f t="shared" si="639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1"/>
        <v>29500529.005044252</v>
      </c>
      <c r="AJ2197" s="19">
        <f t="shared" si="642"/>
        <v>3253064.846231177</v>
      </c>
      <c r="AK2197" s="20">
        <f t="shared" si="649"/>
        <v>0.11027140718984871</v>
      </c>
      <c r="AL2197" s="17"/>
      <c r="AM2197" s="17"/>
      <c r="AN2197" s="17"/>
      <c r="AO2197" s="17"/>
      <c r="AP2197" s="28" t="str">
        <f t="shared" si="650"/>
        <v>202111</v>
      </c>
      <c r="AQ2197" s="28" t="str">
        <f t="shared" si="651"/>
        <v>202111JPY</v>
      </c>
      <c r="AR2197" s="206" t="str">
        <f t="shared" si="652"/>
        <v>YAMAHA_Mounter</v>
      </c>
      <c r="AS2197" s="22">
        <f t="shared" si="653"/>
        <v>7</v>
      </c>
      <c r="AT2197" s="24" t="str">
        <f t="shared" si="654"/>
        <v>&gt; 6 months</v>
      </c>
      <c r="AU2197" s="22" t="s">
        <v>3746</v>
      </c>
    </row>
    <row r="2198" spans="1:47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53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1886</v>
      </c>
      <c r="K2198" s="155" t="s">
        <v>1437</v>
      </c>
      <c r="L2198" s="17" t="s">
        <v>1301</v>
      </c>
      <c r="M2198" s="13" t="s">
        <v>60</v>
      </c>
      <c r="N2198" s="13">
        <v>1</v>
      </c>
      <c r="O2198" s="13"/>
      <c r="P2198" s="33" t="str">
        <f t="shared" si="646"/>
        <v>MAIN UNIT</v>
      </c>
      <c r="Q2198" s="13" t="s">
        <v>61</v>
      </c>
      <c r="R2198" s="13" t="s">
        <v>62</v>
      </c>
      <c r="S2198" s="13" t="s">
        <v>49</v>
      </c>
      <c r="T2198" s="13" t="s">
        <v>78</v>
      </c>
      <c r="U2198" s="13" t="s">
        <v>79</v>
      </c>
      <c r="V2198" s="13" t="s">
        <v>1407</v>
      </c>
      <c r="W2198" s="13" t="s">
        <v>109</v>
      </c>
      <c r="X2198" s="135">
        <v>18600000</v>
      </c>
      <c r="Y2198" s="157" t="str">
        <f t="shared" si="656"/>
        <v>1</v>
      </c>
      <c r="Z2198" s="18">
        <f t="shared" si="655"/>
        <v>18600000</v>
      </c>
      <c r="AA2198" s="13">
        <v>7.0000000000000007E-2</v>
      </c>
      <c r="AB2198" s="21">
        <f t="shared" si="639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1"/>
        <v>29500529.005044252</v>
      </c>
      <c r="AJ2198" s="19">
        <f t="shared" si="642"/>
        <v>3253064.846231177</v>
      </c>
      <c r="AK2198" s="20">
        <f t="shared" si="649"/>
        <v>0.11027140718984871</v>
      </c>
      <c r="AL2198" s="17"/>
      <c r="AM2198" s="17"/>
      <c r="AN2198" s="17"/>
      <c r="AO2198" s="17"/>
      <c r="AP2198" s="28" t="str">
        <f t="shared" si="650"/>
        <v>202111</v>
      </c>
      <c r="AQ2198" s="28" t="str">
        <f t="shared" si="651"/>
        <v>202111JPY</v>
      </c>
      <c r="AR2198" s="206" t="str">
        <f t="shared" si="652"/>
        <v>YAMAHA_Mounter</v>
      </c>
      <c r="AS2198" s="22">
        <f t="shared" si="653"/>
        <v>7</v>
      </c>
      <c r="AT2198" s="24" t="str">
        <f t="shared" si="654"/>
        <v>&gt; 6 months</v>
      </c>
      <c r="AU2198" s="22" t="s">
        <v>3746</v>
      </c>
    </row>
    <row r="2199" spans="1:47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54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2144</v>
      </c>
      <c r="K2199" s="155" t="s">
        <v>1437</v>
      </c>
      <c r="L2199" s="17" t="s">
        <v>1301</v>
      </c>
      <c r="M2199" s="13" t="s">
        <v>60</v>
      </c>
      <c r="N2199" s="13">
        <v>1</v>
      </c>
      <c r="O2199" s="13"/>
      <c r="P2199" s="33" t="str">
        <f t="shared" si="646"/>
        <v>MAIN UNIT</v>
      </c>
      <c r="Q2199" s="13" t="s">
        <v>61</v>
      </c>
      <c r="R2199" s="13" t="s">
        <v>62</v>
      </c>
      <c r="S2199" s="13" t="s">
        <v>49</v>
      </c>
      <c r="T2199" s="13" t="s">
        <v>78</v>
      </c>
      <c r="U2199" s="13" t="s">
        <v>79</v>
      </c>
      <c r="V2199" s="13" t="s">
        <v>1407</v>
      </c>
      <c r="W2199" s="13" t="s">
        <v>109</v>
      </c>
      <c r="X2199" s="135">
        <v>21000000</v>
      </c>
      <c r="Y2199" s="157" t="str">
        <f t="shared" si="656"/>
        <v>1</v>
      </c>
      <c r="Z2199" s="18">
        <f t="shared" si="655"/>
        <v>21000000</v>
      </c>
      <c r="AA2199" s="13">
        <v>5.8799999999999998E-2</v>
      </c>
      <c r="AB2199" s="21">
        <f t="shared" si="639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1"/>
        <v>33543315.897345133</v>
      </c>
      <c r="AJ2199" s="19">
        <f t="shared" si="642"/>
        <v>4706169.3252984071</v>
      </c>
      <c r="AK2199" s="20">
        <f t="shared" si="649"/>
        <v>0.14030125523967318</v>
      </c>
      <c r="AL2199" s="17"/>
      <c r="AM2199" s="17"/>
      <c r="AN2199" s="17"/>
      <c r="AO2199" s="17"/>
      <c r="AP2199" s="28" t="str">
        <f t="shared" si="650"/>
        <v>20233</v>
      </c>
      <c r="AQ2199" s="28" t="str">
        <f t="shared" si="651"/>
        <v>20233JPY</v>
      </c>
      <c r="AR2199" s="206" t="str">
        <f t="shared" si="652"/>
        <v>YAMAHA_Mounter</v>
      </c>
      <c r="AS2199" s="22">
        <f t="shared" si="653"/>
        <v>3</v>
      </c>
      <c r="AT2199" s="24" t="str">
        <f t="shared" si="654"/>
        <v>0-3 months</v>
      </c>
      <c r="AU2199" s="22" t="s">
        <v>3746</v>
      </c>
    </row>
    <row r="2200" spans="1:47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54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2144</v>
      </c>
      <c r="K2200" s="155" t="s">
        <v>1437</v>
      </c>
      <c r="L2200" s="17" t="s">
        <v>1301</v>
      </c>
      <c r="M2200" s="13" t="s">
        <v>60</v>
      </c>
      <c r="N2200" s="13">
        <v>1</v>
      </c>
      <c r="O2200" s="13"/>
      <c r="P2200" s="33" t="str">
        <f t="shared" si="646"/>
        <v>MAIN UNIT</v>
      </c>
      <c r="Q2200" s="13" t="s">
        <v>61</v>
      </c>
      <c r="R2200" s="13" t="s">
        <v>62</v>
      </c>
      <c r="S2200" s="13" t="s">
        <v>49</v>
      </c>
      <c r="T2200" s="13" t="s">
        <v>78</v>
      </c>
      <c r="U2200" s="13" t="s">
        <v>79</v>
      </c>
      <c r="V2200" s="13" t="s">
        <v>1407</v>
      </c>
      <c r="W2200" s="13" t="s">
        <v>109</v>
      </c>
      <c r="X2200" s="135">
        <v>21000000</v>
      </c>
      <c r="Y2200" s="157" t="str">
        <f t="shared" si="656"/>
        <v>1</v>
      </c>
      <c r="Z2200" s="18">
        <f t="shared" si="655"/>
        <v>21000000</v>
      </c>
      <c r="AA2200" s="13">
        <v>5.8799999999999998E-2</v>
      </c>
      <c r="AB2200" s="21">
        <f t="shared" si="639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1"/>
        <v>33543315.897345133</v>
      </c>
      <c r="AJ2200" s="19">
        <f t="shared" si="642"/>
        <v>4706169.3252984071</v>
      </c>
      <c r="AK2200" s="20">
        <f t="shared" si="649"/>
        <v>0.14030125523967318</v>
      </c>
      <c r="AL2200" s="17"/>
      <c r="AM2200" s="17"/>
      <c r="AN2200" s="17"/>
      <c r="AO2200" s="17"/>
      <c r="AP2200" s="28" t="str">
        <f t="shared" si="650"/>
        <v>20233</v>
      </c>
      <c r="AQ2200" s="28" t="str">
        <f t="shared" si="651"/>
        <v>20233JPY</v>
      </c>
      <c r="AR2200" s="206" t="str">
        <f t="shared" si="652"/>
        <v>YAMAHA_Mounter</v>
      </c>
      <c r="AS2200" s="22">
        <f t="shared" si="653"/>
        <v>3</v>
      </c>
      <c r="AT2200" s="24" t="str">
        <f t="shared" si="654"/>
        <v>0-3 months</v>
      </c>
      <c r="AU2200" s="22" t="s">
        <v>3746</v>
      </c>
    </row>
    <row r="2201" spans="1:47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54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2144</v>
      </c>
      <c r="K2201" s="155" t="s">
        <v>1437</v>
      </c>
      <c r="L2201" s="17" t="s">
        <v>1301</v>
      </c>
      <c r="M2201" s="13" t="s">
        <v>60</v>
      </c>
      <c r="N2201" s="13">
        <v>1</v>
      </c>
      <c r="O2201" s="13"/>
      <c r="P2201" s="33" t="str">
        <f t="shared" si="646"/>
        <v>MAIN UNIT</v>
      </c>
      <c r="Q2201" s="13" t="s">
        <v>61</v>
      </c>
      <c r="R2201" s="13" t="s">
        <v>62</v>
      </c>
      <c r="S2201" s="13" t="s">
        <v>49</v>
      </c>
      <c r="T2201" s="13" t="s">
        <v>78</v>
      </c>
      <c r="U2201" s="13" t="s">
        <v>79</v>
      </c>
      <c r="V2201" s="13" t="s">
        <v>1407</v>
      </c>
      <c r="W2201" s="13" t="s">
        <v>109</v>
      </c>
      <c r="X2201" s="135">
        <v>21000000</v>
      </c>
      <c r="Y2201" s="157" t="str">
        <f t="shared" si="656"/>
        <v>1</v>
      </c>
      <c r="Z2201" s="18">
        <f t="shared" si="655"/>
        <v>21000000</v>
      </c>
      <c r="AA2201" s="13">
        <v>5.8799999999999998E-2</v>
      </c>
      <c r="AB2201" s="21">
        <f t="shared" si="639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1"/>
        <v>33543315.897345133</v>
      </c>
      <c r="AJ2201" s="19">
        <f t="shared" si="642"/>
        <v>4706169.3252984071</v>
      </c>
      <c r="AK2201" s="20">
        <f t="shared" si="649"/>
        <v>0.14030125523967318</v>
      </c>
      <c r="AL2201" s="17"/>
      <c r="AM2201" s="17"/>
      <c r="AN2201" s="17"/>
      <c r="AO2201" s="17"/>
      <c r="AP2201" s="28" t="str">
        <f t="shared" si="650"/>
        <v>20233</v>
      </c>
      <c r="AQ2201" s="28" t="str">
        <f t="shared" si="651"/>
        <v>20233JPY</v>
      </c>
      <c r="AR2201" s="206" t="str">
        <f t="shared" si="652"/>
        <v>YAMAHA_Mounter</v>
      </c>
      <c r="AS2201" s="22">
        <f t="shared" si="653"/>
        <v>3</v>
      </c>
      <c r="AT2201" s="24" t="str">
        <f t="shared" si="654"/>
        <v>0-3 months</v>
      </c>
      <c r="AU2201" s="22" t="s">
        <v>3746</v>
      </c>
    </row>
    <row r="2202" spans="1:47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54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2156</v>
      </c>
      <c r="K2202" s="155" t="s">
        <v>1437</v>
      </c>
      <c r="L2202" s="17" t="s">
        <v>92</v>
      </c>
      <c r="M2202" s="13" t="s">
        <v>60</v>
      </c>
      <c r="N2202" s="13">
        <v>1</v>
      </c>
      <c r="O2202" s="13"/>
      <c r="P2202" s="33" t="str">
        <f t="shared" si="646"/>
        <v>MAIN UNIT</v>
      </c>
      <c r="Q2202" s="13" t="s">
        <v>61</v>
      </c>
      <c r="R2202" s="13" t="s">
        <v>62</v>
      </c>
      <c r="S2202" s="13" t="s">
        <v>49</v>
      </c>
      <c r="T2202" s="13" t="s">
        <v>78</v>
      </c>
      <c r="U2202" s="13" t="s">
        <v>79</v>
      </c>
      <c r="V2202" s="13" t="s">
        <v>1407</v>
      </c>
      <c r="W2202" s="13" t="s">
        <v>109</v>
      </c>
      <c r="X2202" s="135">
        <v>18000000</v>
      </c>
      <c r="Y2202" s="157" t="str">
        <f t="shared" si="656"/>
        <v>1</v>
      </c>
      <c r="Z2202" s="18">
        <f t="shared" si="655"/>
        <v>18000000</v>
      </c>
      <c r="AA2202" s="13">
        <v>6.2799999999999995E-2</v>
      </c>
      <c r="AB2202" s="21">
        <f t="shared" si="639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1"/>
        <v>44014086.982070789</v>
      </c>
      <c r="AJ2202" s="19">
        <f t="shared" si="642"/>
        <v>6419974.0221889298</v>
      </c>
      <c r="AK2202" s="20">
        <f t="shared" si="649"/>
        <v>0.14586180158193709</v>
      </c>
      <c r="AL2202" s="17"/>
      <c r="AM2202" s="17"/>
      <c r="AN2202" s="17"/>
      <c r="AO2202" s="17"/>
      <c r="AP2202" s="28" t="str">
        <f t="shared" si="650"/>
        <v>20225</v>
      </c>
      <c r="AQ2202" s="28" t="str">
        <f t="shared" si="651"/>
        <v>20225JPY</v>
      </c>
      <c r="AR2202" s="206" t="str">
        <f t="shared" si="652"/>
        <v>YAMAHA_Mounter</v>
      </c>
      <c r="AS2202" s="22">
        <f t="shared" si="653"/>
        <v>4</v>
      </c>
      <c r="AT2202" s="24" t="str">
        <f t="shared" si="654"/>
        <v>4-6 months</v>
      </c>
      <c r="AU2202" s="22" t="s">
        <v>3746</v>
      </c>
    </row>
    <row r="2203" spans="1:47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54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2156</v>
      </c>
      <c r="K2203" s="155" t="s">
        <v>1437</v>
      </c>
      <c r="L2203" s="17" t="s">
        <v>92</v>
      </c>
      <c r="M2203" s="13" t="s">
        <v>60</v>
      </c>
      <c r="N2203" s="13">
        <v>1</v>
      </c>
      <c r="O2203" s="13"/>
      <c r="P2203" s="33" t="str">
        <f t="shared" si="646"/>
        <v>MAIN UNIT</v>
      </c>
      <c r="Q2203" s="13" t="s">
        <v>61</v>
      </c>
      <c r="R2203" s="13" t="s">
        <v>62</v>
      </c>
      <c r="S2203" s="13" t="s">
        <v>49</v>
      </c>
      <c r="T2203" s="13" t="s">
        <v>78</v>
      </c>
      <c r="U2203" s="13" t="s">
        <v>79</v>
      </c>
      <c r="V2203" s="13" t="s">
        <v>1407</v>
      </c>
      <c r="W2203" s="13" t="s">
        <v>109</v>
      </c>
      <c r="X2203" s="135">
        <v>18000000</v>
      </c>
      <c r="Y2203" s="157" t="str">
        <f t="shared" si="656"/>
        <v>1</v>
      </c>
      <c r="Z2203" s="18">
        <f t="shared" si="655"/>
        <v>18000000</v>
      </c>
      <c r="AA2203" s="13">
        <v>6.2799999999999995E-2</v>
      </c>
      <c r="AB2203" s="21">
        <f t="shared" si="639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1"/>
        <v>44014086.982070789</v>
      </c>
      <c r="AJ2203" s="19">
        <f t="shared" si="642"/>
        <v>6419974.0221889298</v>
      </c>
      <c r="AK2203" s="20">
        <f t="shared" si="649"/>
        <v>0.14586180158193709</v>
      </c>
      <c r="AL2203" s="17"/>
      <c r="AM2203" s="17"/>
      <c r="AN2203" s="17"/>
      <c r="AO2203" s="17"/>
      <c r="AP2203" s="28" t="str">
        <f t="shared" si="650"/>
        <v>20225</v>
      </c>
      <c r="AQ2203" s="28" t="str">
        <f t="shared" si="651"/>
        <v>20225JPY</v>
      </c>
      <c r="AR2203" s="206" t="str">
        <f t="shared" si="652"/>
        <v>YAMAHA_Mounter</v>
      </c>
      <c r="AS2203" s="22">
        <f t="shared" si="653"/>
        <v>4</v>
      </c>
      <c r="AT2203" s="24" t="str">
        <f t="shared" si="654"/>
        <v>4-6 months</v>
      </c>
      <c r="AU2203" s="22" t="s">
        <v>3746</v>
      </c>
    </row>
    <row r="2204" spans="1:47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54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2156</v>
      </c>
      <c r="K2204" s="155" t="s">
        <v>1437</v>
      </c>
      <c r="L2204" s="17" t="s">
        <v>67</v>
      </c>
      <c r="M2204" s="13" t="s">
        <v>60</v>
      </c>
      <c r="N2204" s="13">
        <v>1</v>
      </c>
      <c r="O2204" s="13"/>
      <c r="P2204" s="33" t="str">
        <f t="shared" si="646"/>
        <v>MAIN UNIT</v>
      </c>
      <c r="Q2204" s="13" t="s">
        <v>61</v>
      </c>
      <c r="R2204" s="13" t="s">
        <v>62</v>
      </c>
      <c r="S2204" s="13" t="s">
        <v>49</v>
      </c>
      <c r="T2204" s="13" t="s">
        <v>78</v>
      </c>
      <c r="U2204" s="13" t="s">
        <v>79</v>
      </c>
      <c r="V2204" s="13" t="s">
        <v>1407</v>
      </c>
      <c r="W2204" s="13" t="s">
        <v>109</v>
      </c>
      <c r="X2204" s="135">
        <v>11500000</v>
      </c>
      <c r="Y2204" s="157" t="str">
        <f t="shared" si="656"/>
        <v>1</v>
      </c>
      <c r="Z2204" s="18">
        <f t="shared" si="655"/>
        <v>11500000</v>
      </c>
      <c r="AA2204" s="13">
        <v>6.2799999999999995E-2</v>
      </c>
      <c r="AB2204" s="21">
        <f t="shared" si="639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1"/>
        <v>44014086.982070789</v>
      </c>
      <c r="AJ2204" s="19">
        <f t="shared" si="642"/>
        <v>6419974.0221889298</v>
      </c>
      <c r="AK2204" s="20">
        <f t="shared" si="649"/>
        <v>0.14586180158193709</v>
      </c>
      <c r="AL2204" s="17"/>
      <c r="AM2204" s="17"/>
      <c r="AN2204" s="17"/>
      <c r="AO2204" s="17"/>
      <c r="AP2204" s="28" t="str">
        <f t="shared" si="650"/>
        <v>20225</v>
      </c>
      <c r="AQ2204" s="28" t="str">
        <f t="shared" si="651"/>
        <v>20225JPY</v>
      </c>
      <c r="AR2204" s="206" t="str">
        <f t="shared" si="652"/>
        <v>YAMAHA_Mounter</v>
      </c>
      <c r="AS2204" s="22">
        <f t="shared" si="653"/>
        <v>4</v>
      </c>
      <c r="AT2204" s="24" t="str">
        <f t="shared" si="654"/>
        <v>4-6 months</v>
      </c>
      <c r="AU2204" s="22" t="s">
        <v>3746</v>
      </c>
    </row>
    <row r="2205" spans="1:47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54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2156</v>
      </c>
      <c r="K2205" s="155" t="s">
        <v>1437</v>
      </c>
      <c r="L2205" s="17" t="s">
        <v>67</v>
      </c>
      <c r="M2205" s="13" t="s">
        <v>60</v>
      </c>
      <c r="N2205" s="13">
        <v>1</v>
      </c>
      <c r="O2205" s="13"/>
      <c r="P2205" s="33" t="str">
        <f t="shared" si="646"/>
        <v>MAIN UNIT</v>
      </c>
      <c r="Q2205" s="13" t="s">
        <v>61</v>
      </c>
      <c r="R2205" s="13" t="s">
        <v>62</v>
      </c>
      <c r="S2205" s="13" t="s">
        <v>49</v>
      </c>
      <c r="T2205" s="13" t="s">
        <v>78</v>
      </c>
      <c r="U2205" s="13" t="s">
        <v>79</v>
      </c>
      <c r="V2205" s="13" t="s">
        <v>1407</v>
      </c>
      <c r="W2205" s="13" t="s">
        <v>109</v>
      </c>
      <c r="X2205" s="135">
        <v>11500000</v>
      </c>
      <c r="Y2205" s="157" t="str">
        <f t="shared" si="656"/>
        <v>1</v>
      </c>
      <c r="Z2205" s="18">
        <f t="shared" si="655"/>
        <v>11500000</v>
      </c>
      <c r="AA2205" s="13">
        <v>6.2799999999999995E-2</v>
      </c>
      <c r="AB2205" s="21">
        <f t="shared" si="639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1"/>
        <v>44014086.982070789</v>
      </c>
      <c r="AJ2205" s="19">
        <f t="shared" si="642"/>
        <v>6419974.0221889298</v>
      </c>
      <c r="AK2205" s="20">
        <f t="shared" si="649"/>
        <v>0.14586180158193709</v>
      </c>
      <c r="AL2205" s="17"/>
      <c r="AM2205" s="17"/>
      <c r="AN2205" s="17"/>
      <c r="AO2205" s="17"/>
      <c r="AP2205" s="28" t="str">
        <f t="shared" si="650"/>
        <v>20225</v>
      </c>
      <c r="AQ2205" s="28" t="str">
        <f t="shared" si="651"/>
        <v>20225JPY</v>
      </c>
      <c r="AR2205" s="206" t="str">
        <f t="shared" si="652"/>
        <v>YAMAHA_Mounter</v>
      </c>
      <c r="AS2205" s="22">
        <f t="shared" si="653"/>
        <v>4</v>
      </c>
      <c r="AT2205" s="24" t="str">
        <f t="shared" si="654"/>
        <v>4-6 months</v>
      </c>
      <c r="AU2205" s="22" t="s">
        <v>3746</v>
      </c>
    </row>
    <row r="2206" spans="1:47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54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2156</v>
      </c>
      <c r="K2206" s="155" t="s">
        <v>1437</v>
      </c>
      <c r="L2206" s="17" t="s">
        <v>67</v>
      </c>
      <c r="M2206" s="13" t="s">
        <v>60</v>
      </c>
      <c r="N2206" s="13">
        <v>1</v>
      </c>
      <c r="O2206" s="13"/>
      <c r="P2206" s="33" t="str">
        <f t="shared" si="646"/>
        <v>MAIN UNIT</v>
      </c>
      <c r="Q2206" s="13" t="s">
        <v>61</v>
      </c>
      <c r="R2206" s="13" t="s">
        <v>62</v>
      </c>
      <c r="S2206" s="13" t="s">
        <v>49</v>
      </c>
      <c r="T2206" s="13" t="s">
        <v>78</v>
      </c>
      <c r="U2206" s="13" t="s">
        <v>79</v>
      </c>
      <c r="V2206" s="13" t="s">
        <v>1407</v>
      </c>
      <c r="W2206" s="13" t="s">
        <v>109</v>
      </c>
      <c r="X2206" s="135">
        <v>11500000</v>
      </c>
      <c r="Y2206" s="157" t="str">
        <f t="shared" si="656"/>
        <v>1</v>
      </c>
      <c r="Z2206" s="18">
        <f t="shared" si="655"/>
        <v>11500000</v>
      </c>
      <c r="AA2206" s="13">
        <v>6.2799999999999995E-2</v>
      </c>
      <c r="AB2206" s="21">
        <f t="shared" si="639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1"/>
        <v>44014086.982070789</v>
      </c>
      <c r="AJ2206" s="19">
        <f t="shared" si="642"/>
        <v>6419974.0221889298</v>
      </c>
      <c r="AK2206" s="20">
        <f t="shared" si="649"/>
        <v>0.14586180158193709</v>
      </c>
      <c r="AL2206" s="17"/>
      <c r="AM2206" s="17"/>
      <c r="AN2206" s="17"/>
      <c r="AO2206" s="17"/>
      <c r="AP2206" s="28" t="str">
        <f t="shared" si="650"/>
        <v>20225</v>
      </c>
      <c r="AQ2206" s="28" t="str">
        <f t="shared" si="651"/>
        <v>20225JPY</v>
      </c>
      <c r="AR2206" s="206" t="str">
        <f t="shared" si="652"/>
        <v>YAMAHA_Mounter</v>
      </c>
      <c r="AS2206" s="22">
        <f t="shared" si="653"/>
        <v>4</v>
      </c>
      <c r="AT2206" s="24" t="str">
        <f t="shared" si="654"/>
        <v>4-6 months</v>
      </c>
      <c r="AU2206" s="22" t="s">
        <v>3746</v>
      </c>
    </row>
    <row r="2207" spans="1:47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54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2156</v>
      </c>
      <c r="K2207" s="155" t="s">
        <v>1437</v>
      </c>
      <c r="L2207" s="17" t="s">
        <v>67</v>
      </c>
      <c r="M2207" s="13" t="s">
        <v>60</v>
      </c>
      <c r="N2207" s="13">
        <v>1</v>
      </c>
      <c r="O2207" s="13"/>
      <c r="P2207" s="33" t="str">
        <f t="shared" si="646"/>
        <v>MAIN UNIT</v>
      </c>
      <c r="Q2207" s="13" t="s">
        <v>61</v>
      </c>
      <c r="R2207" s="13" t="s">
        <v>62</v>
      </c>
      <c r="S2207" s="13" t="s">
        <v>49</v>
      </c>
      <c r="T2207" s="13" t="s">
        <v>78</v>
      </c>
      <c r="U2207" s="13" t="s">
        <v>79</v>
      </c>
      <c r="V2207" s="13" t="s">
        <v>1407</v>
      </c>
      <c r="W2207" s="13" t="s">
        <v>109</v>
      </c>
      <c r="X2207" s="135">
        <v>11500000</v>
      </c>
      <c r="Y2207" s="157" t="str">
        <f t="shared" si="656"/>
        <v>1</v>
      </c>
      <c r="Z2207" s="18">
        <f t="shared" si="655"/>
        <v>11500000</v>
      </c>
      <c r="AA2207" s="13">
        <v>6.2799999999999995E-2</v>
      </c>
      <c r="AB2207" s="21">
        <f t="shared" si="639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1"/>
        <v>44014086.982070789</v>
      </c>
      <c r="AJ2207" s="19">
        <f t="shared" si="642"/>
        <v>6419974.0221889298</v>
      </c>
      <c r="AK2207" s="20">
        <f t="shared" si="649"/>
        <v>0.14586180158193709</v>
      </c>
      <c r="AL2207" s="17"/>
      <c r="AM2207" s="17"/>
      <c r="AN2207" s="17"/>
      <c r="AO2207" s="17"/>
      <c r="AP2207" s="28" t="str">
        <f t="shared" si="650"/>
        <v>20225</v>
      </c>
      <c r="AQ2207" s="28" t="str">
        <f t="shared" si="651"/>
        <v>20225JPY</v>
      </c>
      <c r="AR2207" s="206" t="str">
        <f t="shared" si="652"/>
        <v>YAMAHA_Mounter</v>
      </c>
      <c r="AS2207" s="22">
        <f t="shared" si="653"/>
        <v>4</v>
      </c>
      <c r="AT2207" s="24" t="str">
        <f t="shared" si="654"/>
        <v>4-6 months</v>
      </c>
      <c r="AU2207" s="22" t="s">
        <v>3746</v>
      </c>
    </row>
    <row r="2208" spans="1:47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54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2403</v>
      </c>
      <c r="K2208" s="155" t="s">
        <v>1437</v>
      </c>
      <c r="L2208" s="17" t="s">
        <v>92</v>
      </c>
      <c r="M2208" s="13" t="s">
        <v>60</v>
      </c>
      <c r="N2208" s="13">
        <v>1</v>
      </c>
      <c r="O2208" s="13"/>
      <c r="P2208" s="33" t="str">
        <f t="shared" si="646"/>
        <v>MAIN UNIT</v>
      </c>
      <c r="Q2208" s="13" t="s">
        <v>61</v>
      </c>
      <c r="R2208" s="13" t="s">
        <v>62</v>
      </c>
      <c r="S2208" s="13" t="s">
        <v>49</v>
      </c>
      <c r="T2208" s="13" t="s">
        <v>78</v>
      </c>
      <c r="U2208" s="13" t="s">
        <v>79</v>
      </c>
      <c r="V2208" s="13" t="s">
        <v>1407</v>
      </c>
      <c r="W2208" s="13" t="s">
        <v>64</v>
      </c>
      <c r="X2208" s="135">
        <v>990000</v>
      </c>
      <c r="Y2208" s="157" t="str">
        <f t="shared" si="656"/>
        <v>1.13</v>
      </c>
      <c r="Z2208" s="18">
        <f t="shared" si="655"/>
        <v>990000</v>
      </c>
      <c r="AA2208" s="13">
        <v>1.0900000000000001</v>
      </c>
      <c r="AB2208" s="21">
        <f t="shared" si="639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1"/>
        <v>17329060.066371687</v>
      </c>
      <c r="AJ2208" s="19">
        <f t="shared" si="642"/>
        <v>2472600.2142256643</v>
      </c>
      <c r="AK2208" s="20">
        <f t="shared" si="649"/>
        <v>0.14268518919984163</v>
      </c>
      <c r="AL2208" s="17"/>
      <c r="AM2208" s="17"/>
      <c r="AN2208" s="17"/>
      <c r="AO2208" s="17"/>
      <c r="AP2208" s="28" t="str">
        <f t="shared" si="650"/>
        <v>202212</v>
      </c>
      <c r="AQ2208" s="28" t="str">
        <f t="shared" si="651"/>
        <v>202212RMB</v>
      </c>
      <c r="AR2208" s="206" t="str">
        <f t="shared" si="652"/>
        <v>YAMAHA_Mounter</v>
      </c>
      <c r="AS2208" s="22">
        <f t="shared" si="653"/>
        <v>0</v>
      </c>
      <c r="AT2208" s="24" t="str">
        <f t="shared" si="654"/>
        <v>0-3 months</v>
      </c>
      <c r="AU2208" s="22" t="s">
        <v>3751</v>
      </c>
    </row>
    <row r="2209" spans="1:47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54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2403</v>
      </c>
      <c r="K2209" s="155" t="s">
        <v>1437</v>
      </c>
      <c r="L2209" s="17" t="s">
        <v>92</v>
      </c>
      <c r="M2209" s="13" t="s">
        <v>60</v>
      </c>
      <c r="N2209" s="13">
        <v>1</v>
      </c>
      <c r="O2209" s="13"/>
      <c r="P2209" s="33" t="str">
        <f t="shared" si="646"/>
        <v>MAIN UNIT</v>
      </c>
      <c r="Q2209" s="13" t="s">
        <v>61</v>
      </c>
      <c r="R2209" s="13" t="s">
        <v>62</v>
      </c>
      <c r="S2209" s="13" t="s">
        <v>49</v>
      </c>
      <c r="T2209" s="13" t="s">
        <v>78</v>
      </c>
      <c r="U2209" s="13" t="s">
        <v>79</v>
      </c>
      <c r="V2209" s="13" t="s">
        <v>1407</v>
      </c>
      <c r="W2209" s="13" t="s">
        <v>64</v>
      </c>
      <c r="X2209" s="135">
        <v>990000</v>
      </c>
      <c r="Y2209" s="157" t="str">
        <f t="shared" si="656"/>
        <v>1.13</v>
      </c>
      <c r="Z2209" s="18">
        <f t="shared" si="655"/>
        <v>990000</v>
      </c>
      <c r="AA2209" s="13">
        <v>1.0900000000000001</v>
      </c>
      <c r="AB2209" s="21">
        <f t="shared" si="639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1"/>
        <v>17329060.066371687</v>
      </c>
      <c r="AJ2209" s="19">
        <f t="shared" si="642"/>
        <v>2472600.2142256643</v>
      </c>
      <c r="AK2209" s="20">
        <f t="shared" si="649"/>
        <v>0.14268518919984163</v>
      </c>
      <c r="AL2209" s="17"/>
      <c r="AM2209" s="17"/>
      <c r="AN2209" s="17"/>
      <c r="AO2209" s="17"/>
      <c r="AP2209" s="28" t="str">
        <f t="shared" si="650"/>
        <v>202212</v>
      </c>
      <c r="AQ2209" s="28" t="str">
        <f t="shared" si="651"/>
        <v>202212RMB</v>
      </c>
      <c r="AR2209" s="206" t="str">
        <f t="shared" si="652"/>
        <v>YAMAHA_Mounter</v>
      </c>
      <c r="AS2209" s="22">
        <f t="shared" si="653"/>
        <v>0</v>
      </c>
      <c r="AT2209" s="24" t="str">
        <f t="shared" si="654"/>
        <v>0-3 months</v>
      </c>
      <c r="AU2209" s="22" t="s">
        <v>3751</v>
      </c>
    </row>
    <row r="2210" spans="1:47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54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2403</v>
      </c>
      <c r="K2210" s="155" t="s">
        <v>1437</v>
      </c>
      <c r="L2210" s="17" t="s">
        <v>67</v>
      </c>
      <c r="M2210" s="13" t="s">
        <v>60</v>
      </c>
      <c r="N2210" s="13">
        <v>1</v>
      </c>
      <c r="O2210" s="13"/>
      <c r="P2210" s="33" t="str">
        <f t="shared" si="646"/>
        <v>MAIN UNIT</v>
      </c>
      <c r="Q2210" s="13" t="s">
        <v>61</v>
      </c>
      <c r="R2210" s="13" t="s">
        <v>62</v>
      </c>
      <c r="S2210" s="13" t="s">
        <v>49</v>
      </c>
      <c r="T2210" s="13" t="s">
        <v>78</v>
      </c>
      <c r="U2210" s="13" t="s">
        <v>79</v>
      </c>
      <c r="V2210" s="13" t="s">
        <v>1407</v>
      </c>
      <c r="W2210" s="13" t="s">
        <v>64</v>
      </c>
      <c r="X2210" s="135">
        <v>756000</v>
      </c>
      <c r="Y2210" s="157" t="str">
        <f t="shared" si="656"/>
        <v>1.13</v>
      </c>
      <c r="Z2210" s="18">
        <f t="shared" si="655"/>
        <v>756000</v>
      </c>
      <c r="AA2210" s="13">
        <v>1.0900000000000001</v>
      </c>
      <c r="AB2210" s="21">
        <f t="shared" si="639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1"/>
        <v>17329060.066371687</v>
      </c>
      <c r="AJ2210" s="19">
        <f t="shared" si="642"/>
        <v>2472600.2142256643</v>
      </c>
      <c r="AK2210" s="20">
        <f t="shared" si="649"/>
        <v>0.14268518919984163</v>
      </c>
      <c r="AL2210" s="17"/>
      <c r="AM2210" s="17"/>
      <c r="AN2210" s="17"/>
      <c r="AO2210" s="17"/>
      <c r="AP2210" s="28" t="str">
        <f t="shared" si="650"/>
        <v>202212</v>
      </c>
      <c r="AQ2210" s="28" t="str">
        <f t="shared" si="651"/>
        <v>202212RMB</v>
      </c>
      <c r="AR2210" s="206" t="str">
        <f t="shared" si="652"/>
        <v>YAMAHA_Mounter</v>
      </c>
      <c r="AS2210" s="22">
        <f t="shared" si="653"/>
        <v>0</v>
      </c>
      <c r="AT2210" s="24" t="str">
        <f t="shared" si="654"/>
        <v>0-3 months</v>
      </c>
      <c r="AU2210" s="22" t="s">
        <v>3751</v>
      </c>
    </row>
    <row r="2211" spans="1:47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54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2403</v>
      </c>
      <c r="K2211" s="155" t="s">
        <v>1437</v>
      </c>
      <c r="L2211" s="17" t="s">
        <v>67</v>
      </c>
      <c r="M2211" s="13" t="s">
        <v>60</v>
      </c>
      <c r="N2211" s="13">
        <v>1</v>
      </c>
      <c r="O2211" s="13"/>
      <c r="P2211" s="33" t="str">
        <f t="shared" si="646"/>
        <v>MAIN UNIT</v>
      </c>
      <c r="Q2211" s="13" t="s">
        <v>61</v>
      </c>
      <c r="R2211" s="13" t="s">
        <v>62</v>
      </c>
      <c r="S2211" s="13" t="s">
        <v>49</v>
      </c>
      <c r="T2211" s="13" t="s">
        <v>78</v>
      </c>
      <c r="U2211" s="13" t="s">
        <v>79</v>
      </c>
      <c r="V2211" s="13" t="s">
        <v>1407</v>
      </c>
      <c r="W2211" s="13" t="s">
        <v>64</v>
      </c>
      <c r="X2211" s="135">
        <v>756000</v>
      </c>
      <c r="Y2211" s="157" t="str">
        <f t="shared" si="656"/>
        <v>1.13</v>
      </c>
      <c r="Z2211" s="18">
        <f t="shared" si="655"/>
        <v>756000</v>
      </c>
      <c r="AA2211" s="13">
        <v>1.0900000000000001</v>
      </c>
      <c r="AB2211" s="21">
        <f t="shared" si="639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1"/>
        <v>17329060.066371687</v>
      </c>
      <c r="AJ2211" s="19">
        <f t="shared" si="642"/>
        <v>2472600.2142256643</v>
      </c>
      <c r="AK2211" s="20">
        <f t="shared" si="649"/>
        <v>0.14268518919984163</v>
      </c>
      <c r="AL2211" s="17"/>
      <c r="AM2211" s="17"/>
      <c r="AN2211" s="17"/>
      <c r="AO2211" s="17"/>
      <c r="AP2211" s="28" t="str">
        <f t="shared" si="650"/>
        <v>202212</v>
      </c>
      <c r="AQ2211" s="28" t="str">
        <f t="shared" si="651"/>
        <v>202212RMB</v>
      </c>
      <c r="AR2211" s="206" t="str">
        <f t="shared" si="652"/>
        <v>YAMAHA_Mounter</v>
      </c>
      <c r="AS2211" s="22">
        <f t="shared" si="653"/>
        <v>0</v>
      </c>
      <c r="AT2211" s="24" t="str">
        <f t="shared" si="654"/>
        <v>0-3 months</v>
      </c>
      <c r="AU2211" s="22" t="s">
        <v>3751</v>
      </c>
    </row>
    <row r="2212" spans="1:47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54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2414</v>
      </c>
      <c r="K2212" s="155" t="s">
        <v>1437</v>
      </c>
      <c r="L2212" s="17" t="s">
        <v>92</v>
      </c>
      <c r="M2212" s="13" t="s">
        <v>60</v>
      </c>
      <c r="N2212" s="13">
        <v>1</v>
      </c>
      <c r="O2212" s="13"/>
      <c r="P2212" s="33" t="str">
        <f t="shared" si="646"/>
        <v>MAIN UNIT</v>
      </c>
      <c r="Q2212" s="13" t="s">
        <v>61</v>
      </c>
      <c r="R2212" s="13" t="s">
        <v>62</v>
      </c>
      <c r="S2212" s="13" t="s">
        <v>49</v>
      </c>
      <c r="T2212" s="13" t="s">
        <v>78</v>
      </c>
      <c r="U2212" s="13" t="s">
        <v>79</v>
      </c>
      <c r="V2212" s="13" t="s">
        <v>1407</v>
      </c>
      <c r="W2212" s="13" t="s">
        <v>64</v>
      </c>
      <c r="X2212" s="135">
        <v>850000</v>
      </c>
      <c r="Y2212" s="157" t="str">
        <f t="shared" si="656"/>
        <v>1.13</v>
      </c>
      <c r="Z2212" s="18">
        <f t="shared" si="655"/>
        <v>850000</v>
      </c>
      <c r="AA2212" s="13">
        <v>1.1599999999999999</v>
      </c>
      <c r="AB2212" s="21">
        <f t="shared" si="639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1"/>
        <v>21045012.884955753</v>
      </c>
      <c r="AJ2212" s="19">
        <f t="shared" si="642"/>
        <v>2650260.9603327443</v>
      </c>
      <c r="AK2212" s="20">
        <f t="shared" si="649"/>
        <v>0.12593296924172048</v>
      </c>
      <c r="AL2212" s="17"/>
      <c r="AM2212" s="17"/>
      <c r="AN2212" s="17"/>
      <c r="AO2212" s="17"/>
      <c r="AP2212" s="28" t="str">
        <f t="shared" si="650"/>
        <v>20232</v>
      </c>
      <c r="AQ2212" s="28" t="str">
        <f t="shared" si="651"/>
        <v>20232RMB</v>
      </c>
      <c r="AR2212" s="206" t="str">
        <f t="shared" si="652"/>
        <v>YAMAHA_Mounter</v>
      </c>
      <c r="AS2212" s="22">
        <f t="shared" si="653"/>
        <v>0</v>
      </c>
      <c r="AT2212" s="24" t="str">
        <f t="shared" si="654"/>
        <v>0-3 months</v>
      </c>
      <c r="AU2212" s="22" t="s">
        <v>3751</v>
      </c>
    </row>
    <row r="2213" spans="1:47" s="12" customFormat="1">
      <c r="A2213" s="33" t="str">
        <f t="shared" si="643"/>
        <v>cancel</v>
      </c>
      <c r="B2213" s="152"/>
      <c r="C2213" s="152" t="s">
        <v>185</v>
      </c>
      <c r="D2213" s="33" t="str">
        <f t="shared" si="644"/>
        <v/>
      </c>
      <c r="E2213" s="33" t="s">
        <v>185</v>
      </c>
      <c r="F2213" s="13" t="s">
        <v>185</v>
      </c>
      <c r="G2213" s="152" t="s">
        <v>185</v>
      </c>
      <c r="H2213" s="155"/>
      <c r="I2213" s="33" t="str">
        <f t="shared" si="645"/>
        <v>Cancel</v>
      </c>
      <c r="J2213" s="186" t="s">
        <v>2729</v>
      </c>
      <c r="K2213" s="155" t="s">
        <v>2730</v>
      </c>
      <c r="L2213" s="17" t="s">
        <v>67</v>
      </c>
      <c r="M2213" s="13" t="s">
        <v>60</v>
      </c>
      <c r="N2213" s="13">
        <v>1</v>
      </c>
      <c r="O2213" s="13"/>
      <c r="P2213" s="33" t="str">
        <f t="shared" si="646"/>
        <v>MAIN UNIT</v>
      </c>
      <c r="Q2213" s="13" t="s">
        <v>68</v>
      </c>
      <c r="R2213" s="13" t="s">
        <v>62</v>
      </c>
      <c r="S2213" s="13" t="s">
        <v>49</v>
      </c>
      <c r="T2213" s="13" t="s">
        <v>78</v>
      </c>
      <c r="U2213" s="13" t="s">
        <v>79</v>
      </c>
      <c r="V2213" s="13" t="s">
        <v>1186</v>
      </c>
      <c r="W2213" s="13" t="s">
        <v>109</v>
      </c>
      <c r="X2213" s="135">
        <v>7771400</v>
      </c>
      <c r="Y2213" s="156">
        <v>1</v>
      </c>
      <c r="Z2213" s="18">
        <f t="shared" si="655"/>
        <v>7771400</v>
      </c>
      <c r="AA2213" s="13">
        <v>7.4899999999999994E-2</v>
      </c>
      <c r="AB2213" s="21">
        <f t="shared" si="639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1"/>
        <v>499582152.5142017</v>
      </c>
      <c r="AJ2213" s="19">
        <f t="shared" si="642"/>
        <v>59520528.679470733</v>
      </c>
      <c r="AK2213" s="20">
        <f t="shared" si="649"/>
        <v>0.11914062257814291</v>
      </c>
      <c r="AL2213" s="17"/>
      <c r="AM2213" s="17"/>
      <c r="AN2213" s="17"/>
      <c r="AO2213" s="17"/>
      <c r="AP2213" s="28" t="str">
        <f t="shared" si="650"/>
        <v>CancelCancel</v>
      </c>
      <c r="AQ2213" s="28" t="str">
        <f t="shared" si="651"/>
        <v>CancelCancelJPY</v>
      </c>
      <c r="AR2213" s="206" t="str">
        <f t="shared" si="652"/>
        <v>YAMAHA_Mounter</v>
      </c>
      <c r="AS2213" s="22" t="str">
        <f t="shared" si="653"/>
        <v/>
      </c>
      <c r="AT2213" s="24" t="str">
        <f t="shared" si="654"/>
        <v/>
      </c>
      <c r="AU2213" s="22" t="s">
        <v>3240</v>
      </c>
    </row>
    <row r="2214" spans="1:47" s="12" customFormat="1">
      <c r="A2214" s="33" t="str">
        <f t="shared" si="643"/>
        <v>cancel</v>
      </c>
      <c r="B2214" s="152"/>
      <c r="C2214" s="152" t="s">
        <v>185</v>
      </c>
      <c r="D2214" s="33" t="str">
        <f t="shared" si="644"/>
        <v/>
      </c>
      <c r="E2214" s="33" t="s">
        <v>185</v>
      </c>
      <c r="F2214" s="13" t="s">
        <v>185</v>
      </c>
      <c r="G2214" s="152" t="s">
        <v>185</v>
      </c>
      <c r="H2214" s="155"/>
      <c r="I2214" s="33" t="str">
        <f t="shared" si="645"/>
        <v>Cancel</v>
      </c>
      <c r="J2214" s="186" t="s">
        <v>2748</v>
      </c>
      <c r="K2214" s="155" t="s">
        <v>2730</v>
      </c>
      <c r="L2214" s="17" t="s">
        <v>67</v>
      </c>
      <c r="M2214" s="13" t="s">
        <v>60</v>
      </c>
      <c r="N2214" s="13">
        <v>1</v>
      </c>
      <c r="O2214" s="13"/>
      <c r="P2214" s="33" t="str">
        <f t="shared" si="646"/>
        <v>MAIN UNIT</v>
      </c>
      <c r="Q2214" s="13" t="s">
        <v>61</v>
      </c>
      <c r="R2214" s="13" t="s">
        <v>62</v>
      </c>
      <c r="S2214" s="13" t="s">
        <v>49</v>
      </c>
      <c r="T2214" s="13" t="s">
        <v>78</v>
      </c>
      <c r="U2214" s="13" t="s">
        <v>79</v>
      </c>
      <c r="V2214" s="13" t="s">
        <v>126</v>
      </c>
      <c r="W2214" s="13" t="s">
        <v>109</v>
      </c>
      <c r="X2214" s="135">
        <v>7771400</v>
      </c>
      <c r="Y2214" s="157" t="str">
        <f>IF(W2214="RMB","1.13", "1")</f>
        <v>1</v>
      </c>
      <c r="Z2214" s="18">
        <f t="shared" si="655"/>
        <v>7771400</v>
      </c>
      <c r="AA2214" s="13">
        <v>7.6100000000000001E-2</v>
      </c>
      <c r="AB2214" s="21">
        <f t="shared" si="639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1"/>
        <v>499582152.5142017</v>
      </c>
      <c r="AJ2214" s="19">
        <f t="shared" si="642"/>
        <v>59520528.679470733</v>
      </c>
      <c r="AK2214" s="20">
        <f t="shared" si="649"/>
        <v>0.11914062257814291</v>
      </c>
      <c r="AL2214" s="17"/>
      <c r="AM2214" s="17"/>
      <c r="AN2214" s="17"/>
      <c r="AO2214" s="17" t="s">
        <v>2749</v>
      </c>
      <c r="AP2214" s="28" t="str">
        <f t="shared" si="650"/>
        <v>CancelCancel</v>
      </c>
      <c r="AQ2214" s="28" t="str">
        <f t="shared" si="651"/>
        <v>CancelCancelJPY</v>
      </c>
      <c r="AR2214" s="206" t="str">
        <f t="shared" si="652"/>
        <v>YAMAHA_Mounter</v>
      </c>
      <c r="AS2214" s="22" t="str">
        <f t="shared" si="653"/>
        <v/>
      </c>
      <c r="AT2214" s="24" t="str">
        <f t="shared" si="654"/>
        <v/>
      </c>
      <c r="AU2214" s="22" t="s">
        <v>3240</v>
      </c>
    </row>
    <row r="2215" spans="1:47" s="12" customFormat="1">
      <c r="A2215" s="33" t="str">
        <f t="shared" si="643"/>
        <v>cancel</v>
      </c>
      <c r="B2215" s="152"/>
      <c r="C2215" s="152" t="s">
        <v>185</v>
      </c>
      <c r="D2215" s="33" t="str">
        <f t="shared" si="644"/>
        <v/>
      </c>
      <c r="E2215" s="33" t="s">
        <v>185</v>
      </c>
      <c r="F2215" s="13" t="s">
        <v>185</v>
      </c>
      <c r="G2215" s="152" t="s">
        <v>185</v>
      </c>
      <c r="H2215" s="155"/>
      <c r="I2215" s="33" t="str">
        <f t="shared" si="645"/>
        <v>Cancel</v>
      </c>
      <c r="J2215" s="186" t="s">
        <v>2748</v>
      </c>
      <c r="K2215" s="155" t="s">
        <v>2730</v>
      </c>
      <c r="L2215" s="17" t="s">
        <v>67</v>
      </c>
      <c r="M2215" s="13" t="s">
        <v>60</v>
      </c>
      <c r="N2215" s="13">
        <v>1</v>
      </c>
      <c r="O2215" s="13"/>
      <c r="P2215" s="33" t="str">
        <f t="shared" si="646"/>
        <v>MAIN UNIT</v>
      </c>
      <c r="Q2215" s="13" t="s">
        <v>61</v>
      </c>
      <c r="R2215" s="13" t="s">
        <v>62</v>
      </c>
      <c r="S2215" s="13" t="s">
        <v>49</v>
      </c>
      <c r="T2215" s="13" t="s">
        <v>78</v>
      </c>
      <c r="U2215" s="13" t="s">
        <v>79</v>
      </c>
      <c r="V2215" s="13" t="s">
        <v>126</v>
      </c>
      <c r="W2215" s="13" t="s">
        <v>109</v>
      </c>
      <c r="X2215" s="135">
        <v>7771400</v>
      </c>
      <c r="Y2215" s="157" t="str">
        <f>IF(W2215="RMB","1.13", "1")</f>
        <v>1</v>
      </c>
      <c r="Z2215" s="18">
        <f t="shared" si="655"/>
        <v>7771400</v>
      </c>
      <c r="AA2215" s="13">
        <v>7.6100000000000001E-2</v>
      </c>
      <c r="AB2215" s="21">
        <f t="shared" si="639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1"/>
        <v>499582152.5142017</v>
      </c>
      <c r="AJ2215" s="19">
        <f t="shared" si="642"/>
        <v>59520528.679470733</v>
      </c>
      <c r="AK2215" s="20">
        <f t="shared" si="649"/>
        <v>0.11914062257814291</v>
      </c>
      <c r="AL2215" s="17"/>
      <c r="AM2215" s="17"/>
      <c r="AN2215" s="17"/>
      <c r="AO2215" s="17" t="s">
        <v>2750</v>
      </c>
      <c r="AP2215" s="28" t="str">
        <f t="shared" si="650"/>
        <v>CancelCancel</v>
      </c>
      <c r="AQ2215" s="28" t="str">
        <f t="shared" si="651"/>
        <v>CancelCancelJPY</v>
      </c>
      <c r="AR2215" s="206" t="str">
        <f t="shared" si="652"/>
        <v>YAMAHA_Mounter</v>
      </c>
      <c r="AS2215" s="22" t="str">
        <f t="shared" si="653"/>
        <v/>
      </c>
      <c r="AT2215" s="24" t="str">
        <f t="shared" si="654"/>
        <v/>
      </c>
      <c r="AU2215" s="22" t="s">
        <v>3240</v>
      </c>
    </row>
    <row r="2216" spans="1:47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47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906</v>
      </c>
      <c r="K2216" s="155" t="s">
        <v>907</v>
      </c>
      <c r="L2216" s="17" t="s">
        <v>92</v>
      </c>
      <c r="M2216" s="13" t="s">
        <v>60</v>
      </c>
      <c r="N2216" s="13">
        <v>1</v>
      </c>
      <c r="O2216" s="13"/>
      <c r="P2216" s="33" t="str">
        <f t="shared" si="646"/>
        <v>MAIN UNIT</v>
      </c>
      <c r="Q2216" s="13" t="s">
        <v>61</v>
      </c>
      <c r="R2216" s="13" t="s">
        <v>62</v>
      </c>
      <c r="S2216" s="13" t="s">
        <v>49</v>
      </c>
      <c r="T2216" s="13" t="s">
        <v>78</v>
      </c>
      <c r="U2216" s="13" t="s">
        <v>79</v>
      </c>
      <c r="V2216" s="13" t="s">
        <v>126</v>
      </c>
      <c r="W2216" s="13" t="s">
        <v>109</v>
      </c>
      <c r="X2216" s="135">
        <v>13760000</v>
      </c>
      <c r="Y2216" s="156">
        <v>1</v>
      </c>
      <c r="Z2216" s="18">
        <f t="shared" si="655"/>
        <v>13760000</v>
      </c>
      <c r="AA2216" s="13">
        <v>7.3499999999999996E-2</v>
      </c>
      <c r="AB2216" s="21">
        <f t="shared" si="639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1"/>
        <v>26147030.909862842</v>
      </c>
      <c r="AJ2216" s="19">
        <f t="shared" si="642"/>
        <v>2743862.8630715334</v>
      </c>
      <c r="AK2216" s="20">
        <f t="shared" si="649"/>
        <v>0.10493974908778378</v>
      </c>
      <c r="AL2216" s="17"/>
      <c r="AM2216" s="17"/>
      <c r="AN2216" s="17"/>
      <c r="AO2216" s="17"/>
      <c r="AP2216" s="28" t="str">
        <f t="shared" si="650"/>
        <v>201911</v>
      </c>
      <c r="AQ2216" s="28" t="str">
        <f t="shared" si="651"/>
        <v>201911JPY</v>
      </c>
      <c r="AR2216" s="206" t="str">
        <f t="shared" si="652"/>
        <v>YAMAHA_Mounter</v>
      </c>
      <c r="AS2216" s="22">
        <f t="shared" si="653"/>
        <v>1</v>
      </c>
      <c r="AT2216" s="24" t="str">
        <f t="shared" si="654"/>
        <v>0-3 months</v>
      </c>
      <c r="AU2216" s="22" t="s">
        <v>3745</v>
      </c>
    </row>
    <row r="2217" spans="1:47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47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906</v>
      </c>
      <c r="K2217" s="155" t="s">
        <v>907</v>
      </c>
      <c r="L2217" s="17" t="s">
        <v>67</v>
      </c>
      <c r="M2217" s="13" t="s">
        <v>60</v>
      </c>
      <c r="N2217" s="13">
        <v>1</v>
      </c>
      <c r="O2217" s="13"/>
      <c r="P2217" s="33" t="str">
        <f t="shared" si="646"/>
        <v>MAIN UNIT</v>
      </c>
      <c r="Q2217" s="13" t="s">
        <v>61</v>
      </c>
      <c r="R2217" s="13" t="s">
        <v>62</v>
      </c>
      <c r="S2217" s="13" t="s">
        <v>49</v>
      </c>
      <c r="T2217" s="13" t="s">
        <v>78</v>
      </c>
      <c r="U2217" s="13" t="s">
        <v>79</v>
      </c>
      <c r="V2217" s="13" t="s">
        <v>126</v>
      </c>
      <c r="W2217" s="13" t="s">
        <v>109</v>
      </c>
      <c r="X2217" s="135">
        <v>8000000</v>
      </c>
      <c r="Y2217" s="156">
        <v>1</v>
      </c>
      <c r="Z2217" s="18">
        <f t="shared" si="655"/>
        <v>8000000</v>
      </c>
      <c r="AA2217" s="13">
        <v>7.3499999999999996E-2</v>
      </c>
      <c r="AB2217" s="21">
        <f t="shared" si="639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1"/>
        <v>26147030.909862842</v>
      </c>
      <c r="AJ2217" s="19">
        <f t="shared" si="642"/>
        <v>2743862.8630715334</v>
      </c>
      <c r="AK2217" s="20">
        <f t="shared" si="649"/>
        <v>0.10493974908778378</v>
      </c>
      <c r="AL2217" s="17"/>
      <c r="AM2217" s="17"/>
      <c r="AN2217" s="17"/>
      <c r="AO2217" s="17"/>
      <c r="AP2217" s="28" t="str">
        <f t="shared" si="650"/>
        <v>201911</v>
      </c>
      <c r="AQ2217" s="28" t="str">
        <f t="shared" si="651"/>
        <v>201911JPY</v>
      </c>
      <c r="AR2217" s="206" t="str">
        <f t="shared" si="652"/>
        <v>YAMAHA_Mounter</v>
      </c>
      <c r="AS2217" s="22">
        <f t="shared" si="653"/>
        <v>1</v>
      </c>
      <c r="AT2217" s="24" t="str">
        <f t="shared" si="654"/>
        <v>0-3 months</v>
      </c>
      <c r="AU2217" s="22" t="s">
        <v>3745</v>
      </c>
    </row>
    <row r="2218" spans="1:47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47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961</v>
      </c>
      <c r="K2218" s="155" t="s">
        <v>907</v>
      </c>
      <c r="L2218" s="17" t="s">
        <v>67</v>
      </c>
      <c r="M2218" s="13" t="s">
        <v>60</v>
      </c>
      <c r="N2218" s="13">
        <v>1</v>
      </c>
      <c r="O2218" s="13"/>
      <c r="P2218" s="33" t="str">
        <f t="shared" si="646"/>
        <v>MAIN UNIT</v>
      </c>
      <c r="Q2218" s="13" t="s">
        <v>68</v>
      </c>
      <c r="R2218" s="13" t="s">
        <v>62</v>
      </c>
      <c r="S2218" s="13" t="s">
        <v>49</v>
      </c>
      <c r="T2218" s="13" t="s">
        <v>78</v>
      </c>
      <c r="U2218" s="13" t="s">
        <v>79</v>
      </c>
      <c r="V2218" s="13" t="s">
        <v>126</v>
      </c>
      <c r="W2218" s="13" t="s">
        <v>64</v>
      </c>
      <c r="X2218" s="135">
        <v>750000</v>
      </c>
      <c r="Y2218" s="156">
        <v>1.1299999999999999</v>
      </c>
      <c r="Z2218" s="18">
        <f t="shared" si="655"/>
        <v>750000</v>
      </c>
      <c r="AA2218" s="13">
        <v>1.095</v>
      </c>
      <c r="AB2218" s="21">
        <f t="shared" si="639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1"/>
        <v>37599388.802345134</v>
      </c>
      <c r="AJ2218" s="19">
        <f t="shared" si="642"/>
        <v>4866784.3630338367</v>
      </c>
      <c r="AK2218" s="20">
        <f t="shared" si="649"/>
        <v>0.12943785838163113</v>
      </c>
      <c r="AL2218" s="17"/>
      <c r="AM2218" s="17"/>
      <c r="AN2218" s="17"/>
      <c r="AO2218" s="17"/>
      <c r="AP2218" s="28" t="str">
        <f t="shared" si="650"/>
        <v>20199</v>
      </c>
      <c r="AQ2218" s="28" t="str">
        <f t="shared" si="651"/>
        <v>20199RMB</v>
      </c>
      <c r="AR2218" s="206" t="str">
        <f t="shared" si="652"/>
        <v>YAMAHA_Mounter</v>
      </c>
      <c r="AS2218" s="22">
        <f t="shared" si="653"/>
        <v>1</v>
      </c>
      <c r="AT2218" s="24" t="str">
        <f t="shared" si="654"/>
        <v>0-3 months</v>
      </c>
      <c r="AU2218" s="22" t="s">
        <v>3744</v>
      </c>
    </row>
    <row r="2219" spans="1:47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48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1072</v>
      </c>
      <c r="K2219" s="155" t="s">
        <v>907</v>
      </c>
      <c r="L2219" s="17" t="s">
        <v>92</v>
      </c>
      <c r="M2219" s="13" t="s">
        <v>60</v>
      </c>
      <c r="N2219" s="13">
        <v>1</v>
      </c>
      <c r="O2219" s="13"/>
      <c r="P2219" s="33" t="str">
        <f t="shared" si="646"/>
        <v>MAIN UNIT</v>
      </c>
      <c r="Q2219" s="13" t="s">
        <v>61</v>
      </c>
      <c r="R2219" s="13" t="s">
        <v>62</v>
      </c>
      <c r="S2219" s="13" t="s">
        <v>49</v>
      </c>
      <c r="T2219" s="13" t="s">
        <v>78</v>
      </c>
      <c r="U2219" s="13" t="s">
        <v>79</v>
      </c>
      <c r="V2219" s="13" t="s">
        <v>126</v>
      </c>
      <c r="W2219" s="13" t="s">
        <v>109</v>
      </c>
      <c r="X2219" s="135">
        <v>12000000</v>
      </c>
      <c r="Y2219" s="156">
        <v>1</v>
      </c>
      <c r="Z2219" s="18">
        <f t="shared" si="655"/>
        <v>12000000</v>
      </c>
      <c r="AA2219" s="13">
        <v>7.3599999999999999E-2</v>
      </c>
      <c r="AB2219" s="21">
        <f t="shared" si="639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1"/>
        <v>33477255.428389374</v>
      </c>
      <c r="AJ2219" s="19">
        <f t="shared" si="642"/>
        <v>4578663.362915583</v>
      </c>
      <c r="AK2219" s="20">
        <f t="shared" si="649"/>
        <v>0.13676937682988152</v>
      </c>
      <c r="AL2219" s="17"/>
      <c r="AM2219" s="17"/>
      <c r="AN2219" s="17"/>
      <c r="AO2219" s="17"/>
      <c r="AP2219" s="28" t="str">
        <f t="shared" si="650"/>
        <v>20204</v>
      </c>
      <c r="AQ2219" s="28" t="str">
        <f t="shared" si="651"/>
        <v>20204JPY</v>
      </c>
      <c r="AR2219" s="206" t="str">
        <f t="shared" si="652"/>
        <v>YAMAHA_Mounter</v>
      </c>
      <c r="AS2219" s="22">
        <f t="shared" si="653"/>
        <v>0</v>
      </c>
      <c r="AT2219" s="24" t="str">
        <f t="shared" si="654"/>
        <v>0-3 months</v>
      </c>
      <c r="AU2219" s="22" t="s">
        <v>3745</v>
      </c>
    </row>
    <row r="2220" spans="1:47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53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1774</v>
      </c>
      <c r="K2220" s="155" t="s">
        <v>907</v>
      </c>
      <c r="L2220" s="17" t="s">
        <v>92</v>
      </c>
      <c r="M2220" s="13" t="s">
        <v>60</v>
      </c>
      <c r="N2220" s="13">
        <v>1</v>
      </c>
      <c r="O2220" s="13"/>
      <c r="P2220" s="33" t="str">
        <f t="shared" si="646"/>
        <v>MAIN UNIT</v>
      </c>
      <c r="Q2220" s="13" t="s">
        <v>61</v>
      </c>
      <c r="R2220" s="13" t="s">
        <v>62</v>
      </c>
      <c r="S2220" s="13" t="s">
        <v>49</v>
      </c>
      <c r="T2220" s="13" t="s">
        <v>78</v>
      </c>
      <c r="U2220" s="13" t="s">
        <v>79</v>
      </c>
      <c r="V2220" s="13" t="s">
        <v>126</v>
      </c>
      <c r="W2220" s="13" t="s">
        <v>109</v>
      </c>
      <c r="X2220" s="135">
        <v>13200000</v>
      </c>
      <c r="Y2220" s="157" t="str">
        <f>IF(W2220="RMB","1.13", "1")</f>
        <v>1</v>
      </c>
      <c r="Z2220" s="18">
        <f t="shared" si="655"/>
        <v>13200000</v>
      </c>
      <c r="AA2220" s="13">
        <v>7.2099999999999997E-2</v>
      </c>
      <c r="AB2220" s="21">
        <f t="shared" si="639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1"/>
        <v>54700260.692079648</v>
      </c>
      <c r="AJ2220" s="19">
        <f t="shared" si="642"/>
        <v>7482899.5749188727</v>
      </c>
      <c r="AK2220" s="20">
        <f t="shared" si="649"/>
        <v>0.13679824337660537</v>
      </c>
      <c r="AL2220" s="17"/>
      <c r="AM2220" s="17"/>
      <c r="AN2220" s="17"/>
      <c r="AO2220" s="17"/>
      <c r="AP2220" s="28" t="str">
        <f t="shared" si="650"/>
        <v>20216</v>
      </c>
      <c r="AQ2220" s="28" t="str">
        <f t="shared" si="651"/>
        <v>20216JPY</v>
      </c>
      <c r="AR2220" s="206" t="str">
        <f t="shared" si="652"/>
        <v>YAMAHA_Mounter</v>
      </c>
      <c r="AS2220" s="22">
        <f t="shared" si="653"/>
        <v>3</v>
      </c>
      <c r="AT2220" s="24" t="str">
        <f t="shared" si="654"/>
        <v>0-3 months</v>
      </c>
      <c r="AU2220" s="22" t="s">
        <v>3745</v>
      </c>
    </row>
    <row r="2221" spans="1:47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53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1854</v>
      </c>
      <c r="K2221" s="155" t="s">
        <v>907</v>
      </c>
      <c r="L2221" s="17" t="s">
        <v>92</v>
      </c>
      <c r="M2221" s="13" t="s">
        <v>60</v>
      </c>
      <c r="N2221" s="13">
        <v>1</v>
      </c>
      <c r="O2221" s="13"/>
      <c r="P2221" s="33" t="str">
        <f t="shared" si="646"/>
        <v>MAIN UNIT</v>
      </c>
      <c r="Q2221" s="13" t="s">
        <v>61</v>
      </c>
      <c r="R2221" s="13" t="s">
        <v>62</v>
      </c>
      <c r="S2221" s="13" t="s">
        <v>49</v>
      </c>
      <c r="T2221" s="13" t="s">
        <v>78</v>
      </c>
      <c r="U2221" s="13" t="s">
        <v>79</v>
      </c>
      <c r="V2221" s="13" t="s">
        <v>126</v>
      </c>
      <c r="W2221" s="13" t="s">
        <v>109</v>
      </c>
      <c r="X2221" s="135">
        <v>8100000</v>
      </c>
      <c r="Y2221" s="157" t="str">
        <f>IF(W2221="RMB","1.13", "1")</f>
        <v>1</v>
      </c>
      <c r="Z2221" s="18">
        <f t="shared" si="655"/>
        <v>8100000</v>
      </c>
      <c r="AA2221" s="13">
        <v>7.2400000000000006E-2</v>
      </c>
      <c r="AB2221" s="21">
        <f t="shared" si="639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1"/>
        <v>47458373.787610628</v>
      </c>
      <c r="AJ2221" s="19">
        <f t="shared" si="642"/>
        <v>7436880.1411522133</v>
      </c>
      <c r="AK2221" s="20">
        <f t="shared" si="649"/>
        <v>0.15670322321692506</v>
      </c>
      <c r="AL2221" s="17"/>
      <c r="AM2221" s="17"/>
      <c r="AN2221" s="17"/>
      <c r="AO2221" s="17"/>
      <c r="AP2221" s="28" t="str">
        <f t="shared" si="650"/>
        <v>20218</v>
      </c>
      <c r="AQ2221" s="28" t="str">
        <f t="shared" si="651"/>
        <v>20218JPY</v>
      </c>
      <c r="AR2221" s="206" t="str">
        <f t="shared" si="652"/>
        <v>YAMAHA_Mounter</v>
      </c>
      <c r="AS2221" s="22">
        <f t="shared" si="653"/>
        <v>4</v>
      </c>
      <c r="AT2221" s="24" t="str">
        <f t="shared" si="654"/>
        <v>4-6 months</v>
      </c>
      <c r="AU2221" s="22" t="s">
        <v>3240</v>
      </c>
    </row>
    <row r="2222" spans="1:47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54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1998</v>
      </c>
      <c r="K2222" s="155" t="s">
        <v>907</v>
      </c>
      <c r="L2222" s="17" t="s">
        <v>92</v>
      </c>
      <c r="M2222" s="13" t="s">
        <v>60</v>
      </c>
      <c r="N2222" s="13">
        <v>1</v>
      </c>
      <c r="O2222" s="13"/>
      <c r="P2222" s="33" t="str">
        <f t="shared" si="646"/>
        <v>MAIN UNIT</v>
      </c>
      <c r="Q2222" s="13" t="s">
        <v>61</v>
      </c>
      <c r="R2222" s="13" t="s">
        <v>62</v>
      </c>
      <c r="S2222" s="13" t="s">
        <v>49</v>
      </c>
      <c r="T2222" s="13" t="s">
        <v>78</v>
      </c>
      <c r="U2222" s="13" t="s">
        <v>79</v>
      </c>
      <c r="V2222" s="13" t="s">
        <v>126</v>
      </c>
      <c r="W2222" s="13" t="s">
        <v>109</v>
      </c>
      <c r="X2222" s="135">
        <v>13488000</v>
      </c>
      <c r="Y2222" s="157" t="str">
        <f>IF(W2222="RMB","1.13", "1")</f>
        <v>1</v>
      </c>
      <c r="Z2222" s="18">
        <f t="shared" si="655"/>
        <v>13488000</v>
      </c>
      <c r="AA2222" s="13">
        <v>6.54E-2</v>
      </c>
      <c r="AB2222" s="21">
        <f t="shared" si="639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1"/>
        <v>46600814.041769907</v>
      </c>
      <c r="AJ2222" s="19">
        <f t="shared" si="642"/>
        <v>5956366.3435927071</v>
      </c>
      <c r="AK2222" s="20">
        <f t="shared" si="649"/>
        <v>0.1278167874546958</v>
      </c>
      <c r="AL2222" s="17"/>
      <c r="AM2222" s="17"/>
      <c r="AN2222" s="17"/>
      <c r="AO2222" s="17"/>
      <c r="AP2222" s="28" t="str">
        <f t="shared" si="650"/>
        <v>20224</v>
      </c>
      <c r="AQ2222" s="28" t="str">
        <f t="shared" si="651"/>
        <v>20224JPY</v>
      </c>
      <c r="AR2222" s="206" t="str">
        <f t="shared" si="652"/>
        <v>YAMAHA_Mounter</v>
      </c>
      <c r="AS2222" s="22">
        <f t="shared" si="653"/>
        <v>10</v>
      </c>
      <c r="AT2222" s="24" t="str">
        <f t="shared" si="654"/>
        <v>&gt; 6 months</v>
      </c>
      <c r="AU2222" s="22" t="s">
        <v>3745</v>
      </c>
    </row>
    <row r="2223" spans="1:47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54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1998</v>
      </c>
      <c r="K2223" s="155" t="s">
        <v>907</v>
      </c>
      <c r="L2223" s="17" t="s">
        <v>67</v>
      </c>
      <c r="M2223" s="13" t="s">
        <v>60</v>
      </c>
      <c r="N2223" s="13">
        <v>1</v>
      </c>
      <c r="O2223" s="13"/>
      <c r="P2223" s="33" t="str">
        <f t="shared" si="646"/>
        <v>MAIN UNIT</v>
      </c>
      <c r="Q2223" s="13" t="s">
        <v>61</v>
      </c>
      <c r="R2223" s="13" t="s">
        <v>62</v>
      </c>
      <c r="S2223" s="13" t="s">
        <v>49</v>
      </c>
      <c r="T2223" s="13" t="s">
        <v>78</v>
      </c>
      <c r="U2223" s="13" t="s">
        <v>79</v>
      </c>
      <c r="V2223" s="13" t="s">
        <v>126</v>
      </c>
      <c r="W2223" s="13" t="s">
        <v>109</v>
      </c>
      <c r="X2223" s="135">
        <v>7900000</v>
      </c>
      <c r="Y2223" s="157" t="str">
        <f>IF(W2223="RMB","1.13", "1")</f>
        <v>1</v>
      </c>
      <c r="Z2223" s="18">
        <f t="shared" si="655"/>
        <v>7900000</v>
      </c>
      <c r="AA2223" s="13">
        <v>6.54E-2</v>
      </c>
      <c r="AB2223" s="21">
        <f t="shared" si="639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1"/>
        <v>46600814.041769907</v>
      </c>
      <c r="AJ2223" s="19">
        <f t="shared" si="642"/>
        <v>5956366.3435927071</v>
      </c>
      <c r="AK2223" s="20">
        <f t="shared" si="649"/>
        <v>0.1278167874546958</v>
      </c>
      <c r="AL2223" s="17"/>
      <c r="AM2223" s="17"/>
      <c r="AN2223" s="17"/>
      <c r="AO2223" s="17"/>
      <c r="AP2223" s="28" t="str">
        <f t="shared" si="650"/>
        <v>20224</v>
      </c>
      <c r="AQ2223" s="28" t="str">
        <f t="shared" si="651"/>
        <v>20224JPY</v>
      </c>
      <c r="AR2223" s="206" t="str">
        <f t="shared" si="652"/>
        <v>YAMAHA_Mounter</v>
      </c>
      <c r="AS2223" s="22">
        <f t="shared" si="653"/>
        <v>10</v>
      </c>
      <c r="AT2223" s="24" t="str">
        <f t="shared" si="654"/>
        <v>&gt; 6 months</v>
      </c>
      <c r="AU2223" s="22" t="s">
        <v>3745</v>
      </c>
    </row>
    <row r="2224" spans="1:47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54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1998</v>
      </c>
      <c r="K2224" s="155" t="s">
        <v>907</v>
      </c>
      <c r="L2224" s="17" t="s">
        <v>67</v>
      </c>
      <c r="M2224" s="13" t="s">
        <v>60</v>
      </c>
      <c r="N2224" s="13">
        <v>1</v>
      </c>
      <c r="O2224" s="13"/>
      <c r="P2224" s="33" t="str">
        <f t="shared" si="646"/>
        <v>MAIN UNIT</v>
      </c>
      <c r="Q2224" s="13" t="s">
        <v>61</v>
      </c>
      <c r="R2224" s="13" t="s">
        <v>62</v>
      </c>
      <c r="S2224" s="13" t="s">
        <v>49</v>
      </c>
      <c r="T2224" s="13" t="s">
        <v>78</v>
      </c>
      <c r="U2224" s="13" t="s">
        <v>79</v>
      </c>
      <c r="V2224" s="13" t="s">
        <v>126</v>
      </c>
      <c r="W2224" s="13" t="s">
        <v>109</v>
      </c>
      <c r="X2224" s="135">
        <v>7900000</v>
      </c>
      <c r="Y2224" s="157" t="str">
        <f>IF(W2224="RMB","1.13", "1")</f>
        <v>1</v>
      </c>
      <c r="Z2224" s="18">
        <f t="shared" si="655"/>
        <v>7900000</v>
      </c>
      <c r="AA2224" s="13">
        <v>6.54E-2</v>
      </c>
      <c r="AB2224" s="21">
        <f t="shared" si="639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1"/>
        <v>46600814.041769907</v>
      </c>
      <c r="AJ2224" s="19">
        <f t="shared" si="642"/>
        <v>5956366.3435927071</v>
      </c>
      <c r="AK2224" s="20">
        <f t="shared" si="649"/>
        <v>0.1278167874546958</v>
      </c>
      <c r="AL2224" s="17"/>
      <c r="AM2224" s="17"/>
      <c r="AN2224" s="17"/>
      <c r="AO2224" s="17"/>
      <c r="AP2224" s="28" t="str">
        <f t="shared" si="650"/>
        <v>20224</v>
      </c>
      <c r="AQ2224" s="28" t="str">
        <f t="shared" si="651"/>
        <v>20224JPY</v>
      </c>
      <c r="AR2224" s="206" t="str">
        <f t="shared" si="652"/>
        <v>YAMAHA_Mounter</v>
      </c>
      <c r="AS2224" s="22">
        <f t="shared" si="653"/>
        <v>10</v>
      </c>
      <c r="AT2224" s="24" t="str">
        <f t="shared" si="654"/>
        <v>&gt; 6 months</v>
      </c>
      <c r="AU2224" s="22" t="s">
        <v>3745</v>
      </c>
    </row>
    <row r="2225" spans="1:47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48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1189</v>
      </c>
      <c r="K2225" s="155" t="s">
        <v>1190</v>
      </c>
      <c r="L2225" s="17" t="s">
        <v>92</v>
      </c>
      <c r="M2225" s="13" t="s">
        <v>60</v>
      </c>
      <c r="N2225" s="13">
        <v>1</v>
      </c>
      <c r="O2225" s="13"/>
      <c r="P2225" s="33" t="str">
        <f t="shared" si="646"/>
        <v>MAIN UNIT</v>
      </c>
      <c r="Q2225" s="13" t="s">
        <v>61</v>
      </c>
      <c r="R2225" s="13" t="s">
        <v>62</v>
      </c>
      <c r="S2225" s="13" t="s">
        <v>49</v>
      </c>
      <c r="T2225" s="13" t="s">
        <v>78</v>
      </c>
      <c r="U2225" s="13" t="s">
        <v>79</v>
      </c>
      <c r="V2225" s="13" t="s">
        <v>1104</v>
      </c>
      <c r="W2225" s="13" t="s">
        <v>1101</v>
      </c>
      <c r="X2225" s="135">
        <v>1250000</v>
      </c>
      <c r="Y2225" s="156">
        <v>1.1299999999999999</v>
      </c>
      <c r="Z2225" s="18">
        <f t="shared" si="655"/>
        <v>1250000</v>
      </c>
      <c r="AA2225" s="13">
        <v>1.095</v>
      </c>
      <c r="AB2225" s="21">
        <f t="shared" si="639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1"/>
        <v>35384300.169380538</v>
      </c>
      <c r="AJ2225" s="19">
        <f t="shared" si="642"/>
        <v>5044538.8896988509</v>
      </c>
      <c r="AK2225" s="20">
        <f t="shared" si="649"/>
        <v>0.14256432557804533</v>
      </c>
      <c r="AL2225" s="17"/>
      <c r="AM2225" s="17"/>
      <c r="AN2225" s="17"/>
      <c r="AO2225" s="17"/>
      <c r="AP2225" s="28" t="str">
        <f t="shared" si="650"/>
        <v>20207</v>
      </c>
      <c r="AQ2225" s="28" t="str">
        <f t="shared" si="651"/>
        <v>20207RMB</v>
      </c>
      <c r="AR2225" s="206" t="str">
        <f t="shared" si="652"/>
        <v>YAMAHA_Mounter</v>
      </c>
      <c r="AS2225" s="22">
        <f t="shared" si="653"/>
        <v>1</v>
      </c>
      <c r="AT2225" s="24" t="str">
        <f t="shared" si="654"/>
        <v>0-3 months</v>
      </c>
      <c r="AU2225" s="22" t="s">
        <v>3744</v>
      </c>
    </row>
    <row r="2226" spans="1:47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48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1213</v>
      </c>
      <c r="K2226" s="155" t="s">
        <v>1214</v>
      </c>
      <c r="L2226" s="17" t="s">
        <v>92</v>
      </c>
      <c r="M2226" s="13" t="s">
        <v>60</v>
      </c>
      <c r="N2226" s="13">
        <v>1</v>
      </c>
      <c r="O2226" s="13"/>
      <c r="P2226" s="33" t="str">
        <f t="shared" si="646"/>
        <v>MAIN UNIT</v>
      </c>
      <c r="Q2226" s="13" t="s">
        <v>61</v>
      </c>
      <c r="R2226" s="13" t="s">
        <v>62</v>
      </c>
      <c r="S2226" s="13" t="s">
        <v>49</v>
      </c>
      <c r="T2226" s="13" t="s">
        <v>78</v>
      </c>
      <c r="U2226" s="13" t="s">
        <v>79</v>
      </c>
      <c r="V2226" s="13" t="s">
        <v>112</v>
      </c>
      <c r="W2226" s="13" t="s">
        <v>64</v>
      </c>
      <c r="X2226" s="135">
        <v>1158250</v>
      </c>
      <c r="Y2226" s="156">
        <v>1.1299999999999999</v>
      </c>
      <c r="Z2226" s="18">
        <f t="shared" si="655"/>
        <v>1158250</v>
      </c>
      <c r="AA2226" s="13">
        <v>1.089</v>
      </c>
      <c r="AB2226" s="21">
        <f t="shared" si="639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1"/>
        <v>29183109.05575221</v>
      </c>
      <c r="AJ2226" s="19">
        <f t="shared" si="642"/>
        <v>3741266.5648721238</v>
      </c>
      <c r="AK2226" s="20">
        <f t="shared" si="649"/>
        <v>0.12819972531798121</v>
      </c>
      <c r="AL2226" s="17"/>
      <c r="AM2226" s="17"/>
      <c r="AN2226" s="17"/>
      <c r="AO2226" s="17"/>
      <c r="AP2226" s="28" t="str">
        <f t="shared" si="650"/>
        <v>20206</v>
      </c>
      <c r="AQ2226" s="28" t="str">
        <f t="shared" si="651"/>
        <v>20206RMB</v>
      </c>
      <c r="AR2226" s="206" t="str">
        <f t="shared" si="652"/>
        <v>YAMAHA_Mounter</v>
      </c>
      <c r="AS2226" s="22">
        <f t="shared" si="653"/>
        <v>2</v>
      </c>
      <c r="AT2226" s="24" t="str">
        <f t="shared" si="654"/>
        <v>0-3 months</v>
      </c>
      <c r="AU2226" s="22" t="s">
        <v>3744</v>
      </c>
    </row>
    <row r="2227" spans="1:47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48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1213</v>
      </c>
      <c r="K2227" s="155" t="s">
        <v>1214</v>
      </c>
      <c r="L2227" s="17" t="s">
        <v>92</v>
      </c>
      <c r="M2227" s="13" t="s">
        <v>60</v>
      </c>
      <c r="N2227" s="13">
        <v>1</v>
      </c>
      <c r="O2227" s="13"/>
      <c r="P2227" s="33" t="str">
        <f t="shared" si="646"/>
        <v>MAIN UNIT</v>
      </c>
      <c r="Q2227" s="13" t="s">
        <v>61</v>
      </c>
      <c r="R2227" s="13" t="s">
        <v>62</v>
      </c>
      <c r="S2227" s="13" t="s">
        <v>49</v>
      </c>
      <c r="T2227" s="13" t="s">
        <v>78</v>
      </c>
      <c r="U2227" s="13" t="s">
        <v>79</v>
      </c>
      <c r="V2227" s="13" t="s">
        <v>112</v>
      </c>
      <c r="W2227" s="13" t="s">
        <v>64</v>
      </c>
      <c r="X2227" s="135">
        <v>1158250</v>
      </c>
      <c r="Y2227" s="156">
        <v>1.1299999999999999</v>
      </c>
      <c r="Z2227" s="18">
        <f t="shared" si="655"/>
        <v>1158250</v>
      </c>
      <c r="AA2227" s="13">
        <v>1.089</v>
      </c>
      <c r="AB2227" s="21">
        <f t="shared" si="639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1"/>
        <v>29183109.05575221</v>
      </c>
      <c r="AJ2227" s="19">
        <f t="shared" si="642"/>
        <v>3741266.5648721238</v>
      </c>
      <c r="AK2227" s="20">
        <f t="shared" si="649"/>
        <v>0.12819972531798121</v>
      </c>
      <c r="AL2227" s="17"/>
      <c r="AM2227" s="17"/>
      <c r="AN2227" s="17"/>
      <c r="AO2227" s="17"/>
      <c r="AP2227" s="28" t="str">
        <f t="shared" si="650"/>
        <v>20206</v>
      </c>
      <c r="AQ2227" s="28" t="str">
        <f t="shared" si="651"/>
        <v>20206RMB</v>
      </c>
      <c r="AR2227" s="206" t="str">
        <f t="shared" si="652"/>
        <v>YAMAHA_Mounter</v>
      </c>
      <c r="AS2227" s="22">
        <f t="shared" si="653"/>
        <v>2</v>
      </c>
      <c r="AT2227" s="24" t="str">
        <f t="shared" si="654"/>
        <v>0-3 months</v>
      </c>
      <c r="AU2227" s="22" t="s">
        <v>3744</v>
      </c>
    </row>
    <row r="2228" spans="1:47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48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1213</v>
      </c>
      <c r="K2228" s="155" t="s">
        <v>1214</v>
      </c>
      <c r="L2228" s="17" t="s">
        <v>92</v>
      </c>
      <c r="M2228" s="13" t="s">
        <v>60</v>
      </c>
      <c r="N2228" s="13">
        <v>1</v>
      </c>
      <c r="O2228" s="13"/>
      <c r="P2228" s="33" t="str">
        <f t="shared" si="646"/>
        <v>MAIN UNIT</v>
      </c>
      <c r="Q2228" s="13" t="s">
        <v>61</v>
      </c>
      <c r="R2228" s="13" t="s">
        <v>62</v>
      </c>
      <c r="S2228" s="13" t="s">
        <v>49</v>
      </c>
      <c r="T2228" s="13" t="s">
        <v>78</v>
      </c>
      <c r="U2228" s="13" t="s">
        <v>79</v>
      </c>
      <c r="V2228" s="13" t="s">
        <v>112</v>
      </c>
      <c r="W2228" s="13" t="s">
        <v>64</v>
      </c>
      <c r="X2228" s="135">
        <v>1158250</v>
      </c>
      <c r="Y2228" s="156">
        <v>1.1299999999999999</v>
      </c>
      <c r="Z2228" s="18">
        <f t="shared" si="655"/>
        <v>1158250</v>
      </c>
      <c r="AA2228" s="13">
        <v>1.089</v>
      </c>
      <c r="AB2228" s="21">
        <f t="shared" si="639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1"/>
        <v>29183109.05575221</v>
      </c>
      <c r="AJ2228" s="19">
        <f t="shared" si="642"/>
        <v>3741266.5648721238</v>
      </c>
      <c r="AK2228" s="20">
        <f t="shared" si="649"/>
        <v>0.12819972531798121</v>
      </c>
      <c r="AL2228" s="17"/>
      <c r="AM2228" s="17"/>
      <c r="AN2228" s="17"/>
      <c r="AO2228" s="17"/>
      <c r="AP2228" s="28" t="str">
        <f t="shared" si="650"/>
        <v>20206</v>
      </c>
      <c r="AQ2228" s="28" t="str">
        <f t="shared" si="651"/>
        <v>20206RMB</v>
      </c>
      <c r="AR2228" s="206" t="str">
        <f t="shared" si="652"/>
        <v>YAMAHA_Mounter</v>
      </c>
      <c r="AS2228" s="22">
        <f t="shared" si="653"/>
        <v>2</v>
      </c>
      <c r="AT2228" s="24" t="str">
        <f t="shared" si="654"/>
        <v>0-3 months</v>
      </c>
      <c r="AU2228" s="22" t="s">
        <v>3744</v>
      </c>
    </row>
    <row r="2229" spans="1:47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48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1389</v>
      </c>
      <c r="K2229" s="155" t="s">
        <v>1390</v>
      </c>
      <c r="L2229" s="17" t="s">
        <v>92</v>
      </c>
      <c r="M2229" s="13" t="s">
        <v>60</v>
      </c>
      <c r="N2229" s="13">
        <v>1</v>
      </c>
      <c r="O2229" s="13"/>
      <c r="P2229" s="33" t="str">
        <f t="shared" si="646"/>
        <v>MAIN UNIT</v>
      </c>
      <c r="Q2229" s="13" t="s">
        <v>61</v>
      </c>
      <c r="R2229" s="13" t="s">
        <v>62</v>
      </c>
      <c r="S2229" s="13" t="s">
        <v>49</v>
      </c>
      <c r="T2229" s="13" t="s">
        <v>78</v>
      </c>
      <c r="U2229" s="13" t="s">
        <v>79</v>
      </c>
      <c r="V2229" s="13" t="s">
        <v>1391</v>
      </c>
      <c r="W2229" s="13" t="s">
        <v>64</v>
      </c>
      <c r="X2229" s="135">
        <v>1250000</v>
      </c>
      <c r="Y2229" s="156">
        <v>1.1299999999999999</v>
      </c>
      <c r="Z2229" s="18">
        <f t="shared" si="655"/>
        <v>1250000</v>
      </c>
      <c r="AA2229" s="13">
        <v>1.1299999999999999</v>
      </c>
      <c r="AB2229" s="21">
        <f t="shared" si="639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1"/>
        <v>47907808.356810622</v>
      </c>
      <c r="AJ2229" s="19">
        <f t="shared" si="642"/>
        <v>6027384.8806384448</v>
      </c>
      <c r="AK2229" s="20">
        <f t="shared" si="649"/>
        <v>0.12581216063459488</v>
      </c>
      <c r="AL2229" s="17"/>
      <c r="AM2229" s="17"/>
      <c r="AN2229" s="17"/>
      <c r="AO2229" s="17"/>
      <c r="AP2229" s="28" t="str">
        <f t="shared" si="650"/>
        <v>20209</v>
      </c>
      <c r="AQ2229" s="28" t="str">
        <f t="shared" si="651"/>
        <v>20209RMB</v>
      </c>
      <c r="AR2229" s="206" t="str">
        <f t="shared" si="652"/>
        <v>YAMAHA_Mounter</v>
      </c>
      <c r="AS2229" s="22">
        <f t="shared" si="653"/>
        <v>1</v>
      </c>
      <c r="AT2229" s="24" t="str">
        <f t="shared" si="654"/>
        <v>0-3 months</v>
      </c>
      <c r="AU2229" s="22" t="s">
        <v>3744</v>
      </c>
    </row>
    <row r="2230" spans="1:47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48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1389</v>
      </c>
      <c r="K2230" s="155" t="s">
        <v>1390</v>
      </c>
      <c r="L2230" s="17" t="s">
        <v>92</v>
      </c>
      <c r="M2230" s="13" t="s">
        <v>60</v>
      </c>
      <c r="N2230" s="13">
        <v>1</v>
      </c>
      <c r="O2230" s="13"/>
      <c r="P2230" s="33" t="str">
        <f t="shared" si="646"/>
        <v>MAIN UNIT</v>
      </c>
      <c r="Q2230" s="13" t="s">
        <v>61</v>
      </c>
      <c r="R2230" s="13" t="s">
        <v>62</v>
      </c>
      <c r="S2230" s="13" t="s">
        <v>49</v>
      </c>
      <c r="T2230" s="13" t="s">
        <v>78</v>
      </c>
      <c r="U2230" s="13" t="s">
        <v>79</v>
      </c>
      <c r="V2230" s="13" t="s">
        <v>1391</v>
      </c>
      <c r="W2230" s="13" t="s">
        <v>64</v>
      </c>
      <c r="X2230" s="135">
        <v>1250000</v>
      </c>
      <c r="Y2230" s="156">
        <v>1.1299999999999999</v>
      </c>
      <c r="Z2230" s="18">
        <f t="shared" si="655"/>
        <v>1250000</v>
      </c>
      <c r="AA2230" s="13">
        <v>1.1299999999999999</v>
      </c>
      <c r="AB2230" s="21">
        <f t="shared" ref="AB2230:AB2251" si="657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1"/>
        <v>47907808.356810622</v>
      </c>
      <c r="AJ2230" s="19">
        <f t="shared" si="642"/>
        <v>6027384.8806384448</v>
      </c>
      <c r="AK2230" s="20">
        <f t="shared" si="649"/>
        <v>0.12581216063459488</v>
      </c>
      <c r="AL2230" s="17"/>
      <c r="AM2230" s="17"/>
      <c r="AN2230" s="17"/>
      <c r="AO2230" s="17"/>
      <c r="AP2230" s="28" t="str">
        <f t="shared" si="650"/>
        <v>20209</v>
      </c>
      <c r="AQ2230" s="28" t="str">
        <f t="shared" si="651"/>
        <v>20209RMB</v>
      </c>
      <c r="AR2230" s="206" t="str">
        <f t="shared" si="652"/>
        <v>YAMAHA_Mounter</v>
      </c>
      <c r="AS2230" s="22">
        <f t="shared" si="653"/>
        <v>1</v>
      </c>
      <c r="AT2230" s="24" t="str">
        <f t="shared" si="654"/>
        <v>0-3 months</v>
      </c>
      <c r="AU2230" s="22" t="s">
        <v>3744</v>
      </c>
    </row>
    <row r="2231" spans="1:47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48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1389</v>
      </c>
      <c r="K2231" s="155" t="s">
        <v>1390</v>
      </c>
      <c r="L2231" s="17" t="s">
        <v>67</v>
      </c>
      <c r="M2231" s="13" t="s">
        <v>60</v>
      </c>
      <c r="N2231" s="13">
        <v>1</v>
      </c>
      <c r="O2231" s="13"/>
      <c r="P2231" s="33" t="str">
        <f t="shared" si="646"/>
        <v>MAIN UNIT</v>
      </c>
      <c r="Q2231" s="13" t="s">
        <v>61</v>
      </c>
      <c r="R2231" s="13" t="s">
        <v>62</v>
      </c>
      <c r="S2231" s="13" t="s">
        <v>49</v>
      </c>
      <c r="T2231" s="13" t="s">
        <v>78</v>
      </c>
      <c r="U2231" s="13" t="s">
        <v>79</v>
      </c>
      <c r="V2231" s="13" t="s">
        <v>1391</v>
      </c>
      <c r="W2231" s="13" t="s">
        <v>64</v>
      </c>
      <c r="X2231" s="135">
        <v>600000</v>
      </c>
      <c r="Y2231" s="156">
        <v>1.1299999999999999</v>
      </c>
      <c r="Z2231" s="18">
        <f t="shared" si="655"/>
        <v>600000</v>
      </c>
      <c r="AA2231" s="13">
        <v>1.1299999999999999</v>
      </c>
      <c r="AB2231" s="21">
        <f t="shared" si="657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1"/>
        <v>47907808.356810622</v>
      </c>
      <c r="AJ2231" s="19">
        <f t="shared" si="642"/>
        <v>6027384.8806384448</v>
      </c>
      <c r="AK2231" s="20">
        <f t="shared" si="649"/>
        <v>0.12581216063459488</v>
      </c>
      <c r="AL2231" s="17"/>
      <c r="AM2231" s="17"/>
      <c r="AN2231" s="17"/>
      <c r="AO2231" s="17"/>
      <c r="AP2231" s="28" t="str">
        <f t="shared" si="650"/>
        <v>20209</v>
      </c>
      <c r="AQ2231" s="28" t="str">
        <f t="shared" si="651"/>
        <v>20209RMB</v>
      </c>
      <c r="AR2231" s="206" t="str">
        <f t="shared" si="652"/>
        <v>YAMAHA_Mounter</v>
      </c>
      <c r="AS2231" s="22">
        <f t="shared" si="653"/>
        <v>1</v>
      </c>
      <c r="AT2231" s="24" t="str">
        <f t="shared" si="654"/>
        <v>0-3 months</v>
      </c>
      <c r="AU2231" s="22" t="s">
        <v>3744</v>
      </c>
    </row>
    <row r="2232" spans="1:47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53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1807</v>
      </c>
      <c r="K2232" s="155" t="s">
        <v>1214</v>
      </c>
      <c r="L2232" s="17" t="s">
        <v>92</v>
      </c>
      <c r="M2232" s="13" t="s">
        <v>60</v>
      </c>
      <c r="N2232" s="13">
        <v>1</v>
      </c>
      <c r="O2232" s="13"/>
      <c r="P2232" s="33" t="str">
        <f t="shared" si="646"/>
        <v>MAIN UNIT</v>
      </c>
      <c r="Q2232" s="13" t="s">
        <v>61</v>
      </c>
      <c r="R2232" s="13" t="s">
        <v>62</v>
      </c>
      <c r="S2232" s="13" t="s">
        <v>49</v>
      </c>
      <c r="T2232" s="13" t="s">
        <v>78</v>
      </c>
      <c r="U2232" s="13" t="s">
        <v>79</v>
      </c>
      <c r="V2232" s="13" t="s">
        <v>131</v>
      </c>
      <c r="W2232" s="13" t="s">
        <v>64</v>
      </c>
      <c r="X2232" s="135">
        <v>1210000</v>
      </c>
      <c r="Y2232" s="157" t="str">
        <f t="shared" ref="Y2232:Y2245" si="658">IF(W2232="RMB","1.13", "1")</f>
        <v>1.13</v>
      </c>
      <c r="Z2232" s="18">
        <f t="shared" si="655"/>
        <v>1210000</v>
      </c>
      <c r="AA2232" s="13">
        <v>1.2150000000000001</v>
      </c>
      <c r="AB2232" s="21">
        <f t="shared" si="657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1"/>
        <v>54700260.692079648</v>
      </c>
      <c r="AJ2232" s="19">
        <f t="shared" si="642"/>
        <v>7482899.5749188727</v>
      </c>
      <c r="AK2232" s="20">
        <f t="shared" si="649"/>
        <v>0.13679824337660537</v>
      </c>
      <c r="AL2232" s="17"/>
      <c r="AM2232" s="17"/>
      <c r="AN2232" s="17"/>
      <c r="AO2232" s="17"/>
      <c r="AP2232" s="28" t="str">
        <f t="shared" si="650"/>
        <v>20216</v>
      </c>
      <c r="AQ2232" s="28" t="str">
        <f t="shared" si="651"/>
        <v>20216RMB</v>
      </c>
      <c r="AR2232" s="206" t="str">
        <f t="shared" si="652"/>
        <v>YAMAHA_Mounter</v>
      </c>
      <c r="AS2232" s="22">
        <f t="shared" si="653"/>
        <v>3</v>
      </c>
      <c r="AT2232" s="24" t="str">
        <f t="shared" si="654"/>
        <v>0-3 months</v>
      </c>
      <c r="AU2232" s="22" t="s">
        <v>3751</v>
      </c>
    </row>
    <row r="2233" spans="1:47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53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1807</v>
      </c>
      <c r="K2233" s="155" t="s">
        <v>1214</v>
      </c>
      <c r="L2233" s="17" t="s">
        <v>92</v>
      </c>
      <c r="M2233" s="13" t="s">
        <v>60</v>
      </c>
      <c r="N2233" s="13">
        <v>1</v>
      </c>
      <c r="O2233" s="13"/>
      <c r="P2233" s="33" t="str">
        <f t="shared" si="646"/>
        <v>MAIN UNIT</v>
      </c>
      <c r="Q2233" s="13" t="s">
        <v>61</v>
      </c>
      <c r="R2233" s="13" t="s">
        <v>62</v>
      </c>
      <c r="S2233" s="13" t="s">
        <v>49</v>
      </c>
      <c r="T2233" s="13" t="s">
        <v>78</v>
      </c>
      <c r="U2233" s="13" t="s">
        <v>79</v>
      </c>
      <c r="V2233" s="13" t="s">
        <v>131</v>
      </c>
      <c r="W2233" s="13" t="s">
        <v>64</v>
      </c>
      <c r="X2233" s="135">
        <v>1210000</v>
      </c>
      <c r="Y2233" s="157" t="str">
        <f t="shared" si="658"/>
        <v>1.13</v>
      </c>
      <c r="Z2233" s="18">
        <f t="shared" si="655"/>
        <v>1210000</v>
      </c>
      <c r="AA2233" s="13">
        <v>1.2150000000000001</v>
      </c>
      <c r="AB2233" s="21">
        <f t="shared" si="657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1"/>
        <v>54700260.692079648</v>
      </c>
      <c r="AJ2233" s="19">
        <f t="shared" si="642"/>
        <v>7482899.5749188727</v>
      </c>
      <c r="AK2233" s="20">
        <f t="shared" si="649"/>
        <v>0.13679824337660537</v>
      </c>
      <c r="AL2233" s="17"/>
      <c r="AM2233" s="17"/>
      <c r="AN2233" s="17"/>
      <c r="AO2233" s="17"/>
      <c r="AP2233" s="28" t="str">
        <f t="shared" si="650"/>
        <v>20216</v>
      </c>
      <c r="AQ2233" s="28" t="str">
        <f t="shared" si="651"/>
        <v>20216RMB</v>
      </c>
      <c r="AR2233" s="206" t="str">
        <f t="shared" si="652"/>
        <v>YAMAHA_Mounter</v>
      </c>
      <c r="AS2233" s="22">
        <f t="shared" si="653"/>
        <v>3</v>
      </c>
      <c r="AT2233" s="24" t="str">
        <f t="shared" si="654"/>
        <v>0-3 months</v>
      </c>
      <c r="AU2233" s="22" t="s">
        <v>3751</v>
      </c>
    </row>
    <row r="2234" spans="1:47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55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2276</v>
      </c>
      <c r="K2234" s="155" t="s">
        <v>1214</v>
      </c>
      <c r="L2234" s="17" t="s">
        <v>67</v>
      </c>
      <c r="M2234" s="13" t="s">
        <v>60</v>
      </c>
      <c r="N2234" s="13">
        <v>1</v>
      </c>
      <c r="O2234" s="13"/>
      <c r="P2234" s="33" t="str">
        <f t="shared" si="646"/>
        <v>MAIN UNIT</v>
      </c>
      <c r="Q2234" s="13" t="s">
        <v>61</v>
      </c>
      <c r="R2234" s="13" t="s">
        <v>62</v>
      </c>
      <c r="S2234" s="13" t="s">
        <v>49</v>
      </c>
      <c r="T2234" s="13" t="s">
        <v>78</v>
      </c>
      <c r="U2234" s="13" t="s">
        <v>79</v>
      </c>
      <c r="V2234" s="13" t="s">
        <v>134</v>
      </c>
      <c r="W2234" s="13" t="s">
        <v>64</v>
      </c>
      <c r="X2234" s="135">
        <v>447500</v>
      </c>
      <c r="Y2234" s="157" t="str">
        <f t="shared" si="658"/>
        <v>1.13</v>
      </c>
      <c r="Z2234" s="18">
        <f t="shared" si="655"/>
        <v>447500</v>
      </c>
      <c r="AA2234" s="13">
        <v>1.1399999999999999</v>
      </c>
      <c r="AB2234" s="21">
        <f t="shared" si="657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1"/>
        <v>30573205.452778768</v>
      </c>
      <c r="AJ2234" s="19">
        <f t="shared" si="642"/>
        <v>3790930.1683151261</v>
      </c>
      <c r="AK2234" s="20">
        <f t="shared" si="649"/>
        <v>0.12399518179964254</v>
      </c>
      <c r="AL2234" s="17"/>
      <c r="AM2234" s="17"/>
      <c r="AN2234" s="17"/>
      <c r="AO2234" s="17"/>
      <c r="AP2234" s="28" t="str">
        <f t="shared" si="650"/>
        <v>20234</v>
      </c>
      <c r="AQ2234" s="28" t="str">
        <f t="shared" si="651"/>
        <v>20234RMB</v>
      </c>
      <c r="AR2234" s="206" t="str">
        <f t="shared" si="652"/>
        <v>YAMAHA_Mounter</v>
      </c>
      <c r="AS2234" s="22">
        <f t="shared" si="653"/>
        <v>4</v>
      </c>
      <c r="AT2234" s="24" t="str">
        <f t="shared" si="654"/>
        <v>4-6 months</v>
      </c>
      <c r="AU2234" s="22" t="s">
        <v>3240</v>
      </c>
    </row>
    <row r="2235" spans="1:47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55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2276</v>
      </c>
      <c r="K2235" s="155" t="s">
        <v>1214</v>
      </c>
      <c r="L2235" s="17" t="s">
        <v>67</v>
      </c>
      <c r="M2235" s="13" t="s">
        <v>60</v>
      </c>
      <c r="N2235" s="13">
        <v>1</v>
      </c>
      <c r="O2235" s="13"/>
      <c r="P2235" s="33" t="str">
        <f t="shared" si="646"/>
        <v>MAIN UNIT</v>
      </c>
      <c r="Q2235" s="13" t="s">
        <v>61</v>
      </c>
      <c r="R2235" s="13" t="s">
        <v>62</v>
      </c>
      <c r="S2235" s="13" t="s">
        <v>49</v>
      </c>
      <c r="T2235" s="13" t="s">
        <v>78</v>
      </c>
      <c r="U2235" s="13" t="s">
        <v>79</v>
      </c>
      <c r="V2235" s="13" t="s">
        <v>134</v>
      </c>
      <c r="W2235" s="13" t="s">
        <v>64</v>
      </c>
      <c r="X2235" s="135">
        <v>447500</v>
      </c>
      <c r="Y2235" s="157" t="str">
        <f t="shared" si="658"/>
        <v>1.13</v>
      </c>
      <c r="Z2235" s="18">
        <f t="shared" si="655"/>
        <v>447500</v>
      </c>
      <c r="AA2235" s="13">
        <v>1.1399999999999999</v>
      </c>
      <c r="AB2235" s="21">
        <f t="shared" si="657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1"/>
        <v>30573205.452778768</v>
      </c>
      <c r="AJ2235" s="19">
        <f t="shared" si="642"/>
        <v>3790930.1683151261</v>
      </c>
      <c r="AK2235" s="20">
        <f t="shared" si="649"/>
        <v>0.12399518179964254</v>
      </c>
      <c r="AL2235" s="17"/>
      <c r="AM2235" s="17"/>
      <c r="AN2235" s="17"/>
      <c r="AO2235" s="17"/>
      <c r="AP2235" s="28" t="str">
        <f t="shared" si="650"/>
        <v>20234</v>
      </c>
      <c r="AQ2235" s="28" t="str">
        <f t="shared" si="651"/>
        <v>20234RMB</v>
      </c>
      <c r="AR2235" s="206" t="str">
        <f t="shared" si="652"/>
        <v>YAMAHA_Mounter</v>
      </c>
      <c r="AS2235" s="22">
        <f t="shared" si="653"/>
        <v>4</v>
      </c>
      <c r="AT2235" s="24" t="str">
        <f t="shared" si="654"/>
        <v>4-6 months</v>
      </c>
      <c r="AU2235" s="22" t="s">
        <v>3240</v>
      </c>
    </row>
    <row r="2236" spans="1:47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55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2276</v>
      </c>
      <c r="K2236" s="155" t="s">
        <v>1214</v>
      </c>
      <c r="L2236" s="17" t="s">
        <v>67</v>
      </c>
      <c r="M2236" s="13" t="s">
        <v>60</v>
      </c>
      <c r="N2236" s="13">
        <v>1</v>
      </c>
      <c r="O2236" s="13"/>
      <c r="P2236" s="33" t="str">
        <f t="shared" si="646"/>
        <v>MAIN UNIT</v>
      </c>
      <c r="Q2236" s="13" t="s">
        <v>61</v>
      </c>
      <c r="R2236" s="13" t="s">
        <v>62</v>
      </c>
      <c r="S2236" s="13" t="s">
        <v>49</v>
      </c>
      <c r="T2236" s="13" t="s">
        <v>78</v>
      </c>
      <c r="U2236" s="13" t="s">
        <v>79</v>
      </c>
      <c r="V2236" s="13" t="s">
        <v>134</v>
      </c>
      <c r="W2236" s="13" t="s">
        <v>64</v>
      </c>
      <c r="X2236" s="135">
        <v>447500</v>
      </c>
      <c r="Y2236" s="157" t="str">
        <f t="shared" si="658"/>
        <v>1.13</v>
      </c>
      <c r="Z2236" s="18">
        <f t="shared" si="655"/>
        <v>447500</v>
      </c>
      <c r="AA2236" s="13">
        <v>1.1399999999999999</v>
      </c>
      <c r="AB2236" s="21">
        <f t="shared" si="657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1"/>
        <v>30573205.452778768</v>
      </c>
      <c r="AJ2236" s="19">
        <f t="shared" si="642"/>
        <v>3790930.1683151261</v>
      </c>
      <c r="AK2236" s="20">
        <f t="shared" si="649"/>
        <v>0.12399518179964254</v>
      </c>
      <c r="AL2236" s="17"/>
      <c r="AM2236" s="17"/>
      <c r="AN2236" s="17"/>
      <c r="AO2236" s="17"/>
      <c r="AP2236" s="28" t="str">
        <f t="shared" si="650"/>
        <v>20234</v>
      </c>
      <c r="AQ2236" s="28" t="str">
        <f t="shared" si="651"/>
        <v>20234RMB</v>
      </c>
      <c r="AR2236" s="206" t="str">
        <f t="shared" si="652"/>
        <v>YAMAHA_Mounter</v>
      </c>
      <c r="AS2236" s="22">
        <f t="shared" si="653"/>
        <v>4</v>
      </c>
      <c r="AT2236" s="24" t="str">
        <f t="shared" si="654"/>
        <v>4-6 months</v>
      </c>
      <c r="AU2236" s="22" t="s">
        <v>3240</v>
      </c>
    </row>
    <row r="2237" spans="1:47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55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2276</v>
      </c>
      <c r="K2237" s="155" t="s">
        <v>1214</v>
      </c>
      <c r="L2237" s="17" t="s">
        <v>67</v>
      </c>
      <c r="M2237" s="13" t="s">
        <v>60</v>
      </c>
      <c r="N2237" s="13">
        <v>1</v>
      </c>
      <c r="O2237" s="13"/>
      <c r="P2237" s="33" t="str">
        <f t="shared" si="646"/>
        <v>MAIN UNIT</v>
      </c>
      <c r="Q2237" s="13" t="s">
        <v>61</v>
      </c>
      <c r="R2237" s="13" t="s">
        <v>62</v>
      </c>
      <c r="S2237" s="13" t="s">
        <v>49</v>
      </c>
      <c r="T2237" s="13" t="s">
        <v>78</v>
      </c>
      <c r="U2237" s="13" t="s">
        <v>79</v>
      </c>
      <c r="V2237" s="13" t="s">
        <v>134</v>
      </c>
      <c r="W2237" s="13" t="s">
        <v>64</v>
      </c>
      <c r="X2237" s="135">
        <v>447500</v>
      </c>
      <c r="Y2237" s="157" t="str">
        <f t="shared" si="658"/>
        <v>1.13</v>
      </c>
      <c r="Z2237" s="18">
        <f t="shared" si="655"/>
        <v>447500</v>
      </c>
      <c r="AA2237" s="13">
        <v>1.1399999999999999</v>
      </c>
      <c r="AB2237" s="21">
        <f t="shared" si="657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1"/>
        <v>30573205.452778768</v>
      </c>
      <c r="AJ2237" s="19">
        <f t="shared" si="642"/>
        <v>3790930.1683151261</v>
      </c>
      <c r="AK2237" s="20">
        <f t="shared" si="649"/>
        <v>0.12399518179964254</v>
      </c>
      <c r="AL2237" s="17"/>
      <c r="AM2237" s="17"/>
      <c r="AN2237" s="17"/>
      <c r="AO2237" s="17"/>
      <c r="AP2237" s="28" t="str">
        <f t="shared" si="650"/>
        <v>20234</v>
      </c>
      <c r="AQ2237" s="28" t="str">
        <f t="shared" si="651"/>
        <v>20234RMB</v>
      </c>
      <c r="AR2237" s="206" t="str">
        <f t="shared" si="652"/>
        <v>YAMAHA_Mounter</v>
      </c>
      <c r="AS2237" s="22">
        <f t="shared" si="653"/>
        <v>4</v>
      </c>
      <c r="AT2237" s="24" t="str">
        <f t="shared" si="654"/>
        <v>4-6 months</v>
      </c>
      <c r="AU2237" s="22" t="s">
        <v>3240</v>
      </c>
    </row>
    <row r="2238" spans="1:47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55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2276</v>
      </c>
      <c r="K2238" s="155" t="s">
        <v>1214</v>
      </c>
      <c r="L2238" s="17" t="s">
        <v>67</v>
      </c>
      <c r="M2238" s="13" t="s">
        <v>60</v>
      </c>
      <c r="N2238" s="13">
        <v>1</v>
      </c>
      <c r="O2238" s="13"/>
      <c r="P2238" s="33" t="str">
        <f t="shared" si="646"/>
        <v>MAIN UNIT</v>
      </c>
      <c r="Q2238" s="13" t="s">
        <v>61</v>
      </c>
      <c r="R2238" s="13" t="s">
        <v>62</v>
      </c>
      <c r="S2238" s="13" t="s">
        <v>49</v>
      </c>
      <c r="T2238" s="13" t="s">
        <v>78</v>
      </c>
      <c r="U2238" s="13" t="s">
        <v>79</v>
      </c>
      <c r="V2238" s="13" t="s">
        <v>134</v>
      </c>
      <c r="W2238" s="13" t="s">
        <v>64</v>
      </c>
      <c r="X2238" s="135">
        <v>447500</v>
      </c>
      <c r="Y2238" s="157" t="str">
        <f t="shared" si="658"/>
        <v>1.13</v>
      </c>
      <c r="Z2238" s="18">
        <f t="shared" si="655"/>
        <v>447500</v>
      </c>
      <c r="AA2238" s="13">
        <v>1.1399999999999999</v>
      </c>
      <c r="AB2238" s="21">
        <f t="shared" si="657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1"/>
        <v>30573205.452778768</v>
      </c>
      <c r="AJ2238" s="19">
        <f t="shared" si="642"/>
        <v>3790930.1683151261</v>
      </c>
      <c r="AK2238" s="20">
        <f t="shared" si="649"/>
        <v>0.12399518179964254</v>
      </c>
      <c r="AL2238" s="17"/>
      <c r="AM2238" s="17"/>
      <c r="AN2238" s="17"/>
      <c r="AO2238" s="17"/>
      <c r="AP2238" s="28" t="str">
        <f t="shared" si="650"/>
        <v>20234</v>
      </c>
      <c r="AQ2238" s="28" t="str">
        <f t="shared" si="651"/>
        <v>20234RMB</v>
      </c>
      <c r="AR2238" s="206" t="str">
        <f t="shared" si="652"/>
        <v>YAMAHA_Mounter</v>
      </c>
      <c r="AS2238" s="22">
        <f t="shared" si="653"/>
        <v>4</v>
      </c>
      <c r="AT2238" s="24" t="str">
        <f t="shared" si="654"/>
        <v>4-6 months</v>
      </c>
      <c r="AU2238" s="22" t="s">
        <v>3240</v>
      </c>
    </row>
    <row r="2239" spans="1:47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55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2276</v>
      </c>
      <c r="K2239" s="155" t="s">
        <v>1214</v>
      </c>
      <c r="L2239" s="17" t="s">
        <v>67</v>
      </c>
      <c r="M2239" s="13" t="s">
        <v>60</v>
      </c>
      <c r="N2239" s="13">
        <v>1</v>
      </c>
      <c r="O2239" s="13"/>
      <c r="P2239" s="33" t="str">
        <f t="shared" si="646"/>
        <v>MAIN UNIT</v>
      </c>
      <c r="Q2239" s="13" t="s">
        <v>61</v>
      </c>
      <c r="R2239" s="13" t="s">
        <v>62</v>
      </c>
      <c r="S2239" s="13" t="s">
        <v>49</v>
      </c>
      <c r="T2239" s="13" t="s">
        <v>78</v>
      </c>
      <c r="U2239" s="13" t="s">
        <v>79</v>
      </c>
      <c r="V2239" s="13" t="s">
        <v>134</v>
      </c>
      <c r="W2239" s="13" t="s">
        <v>64</v>
      </c>
      <c r="X2239" s="135">
        <v>447500</v>
      </c>
      <c r="Y2239" s="157" t="str">
        <f t="shared" si="658"/>
        <v>1.13</v>
      </c>
      <c r="Z2239" s="18">
        <f t="shared" si="655"/>
        <v>447500</v>
      </c>
      <c r="AA2239" s="13">
        <v>1.1399999999999999</v>
      </c>
      <c r="AB2239" s="21">
        <f t="shared" si="657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1"/>
        <v>30573205.452778768</v>
      </c>
      <c r="AJ2239" s="19">
        <f t="shared" si="642"/>
        <v>3790930.1683151261</v>
      </c>
      <c r="AK2239" s="20">
        <f t="shared" si="649"/>
        <v>0.12399518179964254</v>
      </c>
      <c r="AL2239" s="17"/>
      <c r="AM2239" s="17"/>
      <c r="AN2239" s="17"/>
      <c r="AO2239" s="17"/>
      <c r="AP2239" s="28" t="str">
        <f t="shared" si="650"/>
        <v>20234</v>
      </c>
      <c r="AQ2239" s="28" t="str">
        <f t="shared" si="651"/>
        <v>20234RMB</v>
      </c>
      <c r="AR2239" s="206" t="str">
        <f t="shared" si="652"/>
        <v>YAMAHA_Mounter</v>
      </c>
      <c r="AS2239" s="22">
        <f t="shared" si="653"/>
        <v>4</v>
      </c>
      <c r="AT2239" s="24" t="str">
        <f t="shared" si="654"/>
        <v>4-6 months</v>
      </c>
      <c r="AU2239" s="22" t="s">
        <v>3240</v>
      </c>
    </row>
    <row r="2240" spans="1:47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48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2907</v>
      </c>
      <c r="K2240" s="155" t="s">
        <v>1214</v>
      </c>
      <c r="L2240" s="17" t="s">
        <v>2780</v>
      </c>
      <c r="M2240" s="13" t="s">
        <v>60</v>
      </c>
      <c r="N2240" s="13">
        <v>1</v>
      </c>
      <c r="O2240" s="13"/>
      <c r="P2240" s="33" t="str">
        <f t="shared" si="646"/>
        <v>MAIN UNIT</v>
      </c>
      <c r="Q2240" s="13" t="s">
        <v>61</v>
      </c>
      <c r="R2240" s="13" t="s">
        <v>2055</v>
      </c>
      <c r="S2240" s="13" t="s">
        <v>49</v>
      </c>
      <c r="T2240" s="13" t="s">
        <v>78</v>
      </c>
      <c r="U2240" s="13" t="s">
        <v>79</v>
      </c>
      <c r="V2240" s="13" t="s">
        <v>2779</v>
      </c>
      <c r="W2240" s="13" t="s">
        <v>64</v>
      </c>
      <c r="X2240" s="135">
        <v>431000</v>
      </c>
      <c r="Y2240" s="157" t="str">
        <f t="shared" si="658"/>
        <v>1.13</v>
      </c>
      <c r="Z2240" s="18">
        <f t="shared" si="655"/>
        <v>431000</v>
      </c>
      <c r="AA2240" s="13">
        <v>1.089</v>
      </c>
      <c r="AB2240" s="21">
        <f t="shared" si="657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1"/>
        <v>29183109.05575221</v>
      </c>
      <c r="AJ2240" s="19">
        <f t="shared" si="642"/>
        <v>3741266.5648721238</v>
      </c>
      <c r="AK2240" s="20">
        <f t="shared" si="649"/>
        <v>0.12819972531798121</v>
      </c>
      <c r="AL2240" s="17"/>
      <c r="AM2240" s="17"/>
      <c r="AN2240" s="17"/>
      <c r="AO2240" s="17"/>
      <c r="AP2240" s="28" t="str">
        <f t="shared" si="650"/>
        <v>20206</v>
      </c>
      <c r="AQ2240" s="28" t="str">
        <f t="shared" si="651"/>
        <v>20206RMB</v>
      </c>
      <c r="AR2240" s="206" t="str">
        <f t="shared" si="652"/>
        <v>YAMAHA_Non_Mounter</v>
      </c>
      <c r="AS2240" s="22">
        <f t="shared" si="653"/>
        <v>2</v>
      </c>
      <c r="AT2240" s="24" t="str">
        <f t="shared" si="654"/>
        <v>0-3 months</v>
      </c>
      <c r="AU2240" s="22" t="s">
        <v>3744</v>
      </c>
    </row>
    <row r="2241" spans="1:47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48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2908</v>
      </c>
      <c r="K2241" s="155" t="s">
        <v>1214</v>
      </c>
      <c r="L2241" s="17" t="s">
        <v>2831</v>
      </c>
      <c r="M2241" s="13" t="s">
        <v>2832</v>
      </c>
      <c r="N2241" s="13">
        <v>1</v>
      </c>
      <c r="O2241" s="13"/>
      <c r="P2241" s="33" t="str">
        <f t="shared" si="646"/>
        <v>MAIN UNIT</v>
      </c>
      <c r="Q2241" s="13" t="s">
        <v>61</v>
      </c>
      <c r="R2241" s="13" t="s">
        <v>2055</v>
      </c>
      <c r="S2241" s="13" t="s">
        <v>49</v>
      </c>
      <c r="T2241" s="13" t="s">
        <v>78</v>
      </c>
      <c r="U2241" s="13" t="s">
        <v>79</v>
      </c>
      <c r="V2241" s="13" t="s">
        <v>2779</v>
      </c>
      <c r="W2241" s="13" t="s">
        <v>64</v>
      </c>
      <c r="X2241" s="135">
        <v>407100</v>
      </c>
      <c r="Y2241" s="157" t="str">
        <f t="shared" si="658"/>
        <v>1.13</v>
      </c>
      <c r="Z2241" s="18">
        <f t="shared" si="655"/>
        <v>407100</v>
      </c>
      <c r="AA2241" s="13">
        <v>1.089</v>
      </c>
      <c r="AB2241" s="21">
        <f t="shared" si="657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1"/>
        <v>29183109.05575221</v>
      </c>
      <c r="AJ2241" s="19">
        <f t="shared" si="642"/>
        <v>3741266.5648721238</v>
      </c>
      <c r="AK2241" s="20">
        <f t="shared" si="649"/>
        <v>0.12819972531798121</v>
      </c>
      <c r="AL2241" s="17"/>
      <c r="AM2241" s="17"/>
      <c r="AN2241" s="17"/>
      <c r="AO2241" s="17"/>
      <c r="AP2241" s="28" t="str">
        <f t="shared" si="650"/>
        <v>20206</v>
      </c>
      <c r="AQ2241" s="28" t="str">
        <f t="shared" si="651"/>
        <v>20206RMB</v>
      </c>
      <c r="AR2241" s="206" t="str">
        <f t="shared" si="652"/>
        <v>PEMTRON</v>
      </c>
      <c r="AS2241" s="22">
        <f t="shared" si="653"/>
        <v>2</v>
      </c>
      <c r="AT2241" s="24" t="str">
        <f t="shared" si="654"/>
        <v>0-3 months</v>
      </c>
      <c r="AU2241" s="22" t="s">
        <v>3744</v>
      </c>
    </row>
    <row r="2242" spans="1:47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48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2912</v>
      </c>
      <c r="K2242" s="155" t="s">
        <v>1214</v>
      </c>
      <c r="L2242" s="17" t="s">
        <v>2778</v>
      </c>
      <c r="M2242" s="13" t="s">
        <v>2607</v>
      </c>
      <c r="N2242" s="13">
        <v>1</v>
      </c>
      <c r="O2242" s="13"/>
      <c r="P2242" s="33" t="str">
        <f t="shared" si="646"/>
        <v>MAIN UNIT</v>
      </c>
      <c r="Q2242" s="13" t="s">
        <v>61</v>
      </c>
      <c r="R2242" s="13" t="s">
        <v>2055</v>
      </c>
      <c r="S2242" s="13" t="s">
        <v>49</v>
      </c>
      <c r="T2242" s="13" t="s">
        <v>78</v>
      </c>
      <c r="U2242" s="13" t="s">
        <v>79</v>
      </c>
      <c r="V2242" s="13" t="s">
        <v>2779</v>
      </c>
      <c r="W2242" s="13" t="s">
        <v>64</v>
      </c>
      <c r="X2242" s="135">
        <v>505600</v>
      </c>
      <c r="Y2242" s="157" t="str">
        <f t="shared" si="658"/>
        <v>1.13</v>
      </c>
      <c r="Z2242" s="18">
        <f t="shared" si="655"/>
        <v>505600</v>
      </c>
      <c r="AA2242" s="13">
        <v>1.095</v>
      </c>
      <c r="AB2242" s="21">
        <f t="shared" si="657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ref="AI2242:AI2305" si="659">IF(P2242="C66 SERVICE","",SUMIFS(AB:AB,F:F,F2242,G:G,G2242,E:E,E2242))</f>
        <v>28065694.408805311</v>
      </c>
      <c r="AJ2242" s="19">
        <f t="shared" ref="AJ2242:AJ2305" si="660">IF(P2242="C66 SERVICE","",SUMIFS(AC:AC,F:F,F2242,G:G,G2242,E:E,E2242))</f>
        <v>4157433.2906989697</v>
      </c>
      <c r="AK2242" s="20">
        <f t="shared" si="649"/>
        <v>0.14813220831602228</v>
      </c>
      <c r="AL2242" s="17"/>
      <c r="AM2242" s="17"/>
      <c r="AN2242" s="17"/>
      <c r="AO2242" s="17"/>
      <c r="AP2242" s="28" t="str">
        <f t="shared" si="650"/>
        <v>20205</v>
      </c>
      <c r="AQ2242" s="28" t="str">
        <f t="shared" si="651"/>
        <v>20205RMB</v>
      </c>
      <c r="AR2242" s="206" t="str">
        <f t="shared" si="652"/>
        <v>HELLER</v>
      </c>
      <c r="AS2242" s="22">
        <f t="shared" si="653"/>
        <v>1</v>
      </c>
      <c r="AT2242" s="24" t="str">
        <f t="shared" si="654"/>
        <v>0-3 months</v>
      </c>
      <c r="AU2242" s="22" t="s">
        <v>3744</v>
      </c>
    </row>
    <row r="2243" spans="1:47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48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2921</v>
      </c>
      <c r="K2243" s="155" t="s">
        <v>1390</v>
      </c>
      <c r="L2243" s="17" t="s">
        <v>2780</v>
      </c>
      <c r="M2243" s="13" t="s">
        <v>60</v>
      </c>
      <c r="N2243" s="13">
        <v>1</v>
      </c>
      <c r="O2243" s="13"/>
      <c r="P2243" s="33" t="str">
        <f t="shared" si="646"/>
        <v>MAIN UNIT</v>
      </c>
      <c r="Q2243" s="13" t="s">
        <v>61</v>
      </c>
      <c r="R2243" s="13" t="s">
        <v>2055</v>
      </c>
      <c r="S2243" s="13" t="s">
        <v>49</v>
      </c>
      <c r="T2243" s="13" t="s">
        <v>78</v>
      </c>
      <c r="U2243" s="13" t="s">
        <v>79</v>
      </c>
      <c r="V2243" s="13" t="s">
        <v>2856</v>
      </c>
      <c r="W2243" s="13" t="s">
        <v>64</v>
      </c>
      <c r="X2243" s="135">
        <v>462900</v>
      </c>
      <c r="Y2243" s="157" t="str">
        <f t="shared" si="658"/>
        <v>1.13</v>
      </c>
      <c r="Z2243" s="18">
        <f t="shared" si="655"/>
        <v>462900</v>
      </c>
      <c r="AA2243" s="13">
        <v>1.135</v>
      </c>
      <c r="AB2243" s="21">
        <f t="shared" si="657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59"/>
        <v>28011162.254106201</v>
      </c>
      <c r="AJ2243" s="19">
        <f t="shared" si="660"/>
        <v>3401347.1124888416</v>
      </c>
      <c r="AK2243" s="20">
        <f t="shared" si="649"/>
        <v>0.12142827497242578</v>
      </c>
      <c r="AL2243" s="17"/>
      <c r="AM2243" s="17"/>
      <c r="AN2243" s="17"/>
      <c r="AO2243" s="17"/>
      <c r="AP2243" s="28" t="str">
        <f t="shared" si="650"/>
        <v>202010</v>
      </c>
      <c r="AQ2243" s="28" t="str">
        <f t="shared" si="651"/>
        <v>202010RMB</v>
      </c>
      <c r="AR2243" s="206" t="str">
        <f t="shared" si="652"/>
        <v>YAMAHA_Non_Mounter</v>
      </c>
      <c r="AS2243" s="22">
        <f t="shared" si="653"/>
        <v>2</v>
      </c>
      <c r="AT2243" s="24" t="str">
        <f t="shared" si="654"/>
        <v>0-3 months</v>
      </c>
      <c r="AU2243" s="22" t="s">
        <v>3744</v>
      </c>
    </row>
    <row r="2244" spans="1:47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48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2922</v>
      </c>
      <c r="K2244" s="155" t="s">
        <v>1390</v>
      </c>
      <c r="L2244" s="17" t="s">
        <v>2778</v>
      </c>
      <c r="M2244" s="13" t="s">
        <v>2607</v>
      </c>
      <c r="N2244" s="13">
        <v>1</v>
      </c>
      <c r="O2244" s="13"/>
      <c r="P2244" s="33" t="str">
        <f t="shared" si="646"/>
        <v>MAIN UNIT</v>
      </c>
      <c r="Q2244" s="13" t="s">
        <v>61</v>
      </c>
      <c r="R2244" s="13" t="s">
        <v>2055</v>
      </c>
      <c r="S2244" s="13" t="s">
        <v>49</v>
      </c>
      <c r="T2244" s="13" t="s">
        <v>78</v>
      </c>
      <c r="U2244" s="13" t="s">
        <v>79</v>
      </c>
      <c r="V2244" s="13" t="s">
        <v>2856</v>
      </c>
      <c r="W2244" s="13" t="s">
        <v>64</v>
      </c>
      <c r="X2244" s="135">
        <v>503780</v>
      </c>
      <c r="Y2244" s="157" t="str">
        <f t="shared" si="658"/>
        <v>1.13</v>
      </c>
      <c r="Z2244" s="18">
        <f t="shared" si="655"/>
        <v>503780</v>
      </c>
      <c r="AA2244" s="13">
        <v>1.1299999999999999</v>
      </c>
      <c r="AB2244" s="21">
        <f t="shared" si="657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59"/>
        <v>47907808.356810622</v>
      </c>
      <c r="AJ2244" s="19">
        <f t="shared" si="660"/>
        <v>6027384.8806384448</v>
      </c>
      <c r="AK2244" s="20">
        <f t="shared" si="649"/>
        <v>0.12581216063459488</v>
      </c>
      <c r="AL2244" s="17"/>
      <c r="AM2244" s="17"/>
      <c r="AN2244" s="17"/>
      <c r="AO2244" s="17"/>
      <c r="AP2244" s="28" t="str">
        <f t="shared" si="650"/>
        <v>20209</v>
      </c>
      <c r="AQ2244" s="28" t="str">
        <f t="shared" si="651"/>
        <v>20209RMB</v>
      </c>
      <c r="AR2244" s="206" t="str">
        <f t="shared" si="652"/>
        <v>HELLER</v>
      </c>
      <c r="AS2244" s="22">
        <f t="shared" si="653"/>
        <v>1</v>
      </c>
      <c r="AT2244" s="24" t="str">
        <f t="shared" si="654"/>
        <v>0-3 months</v>
      </c>
      <c r="AU2244" s="22" t="s">
        <v>3744</v>
      </c>
    </row>
    <row r="2245" spans="1:47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53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2957</v>
      </c>
      <c r="K2245" s="155" t="s">
        <v>1214</v>
      </c>
      <c r="L2245" s="17" t="s">
        <v>2778</v>
      </c>
      <c r="M2245" s="13" t="s">
        <v>2607</v>
      </c>
      <c r="N2245" s="13">
        <v>1</v>
      </c>
      <c r="O2245" s="13"/>
      <c r="P2245" s="33" t="str">
        <f t="shared" si="646"/>
        <v>MAIN UNIT</v>
      </c>
      <c r="Q2245" s="13" t="s">
        <v>61</v>
      </c>
      <c r="R2245" s="13" t="s">
        <v>2055</v>
      </c>
      <c r="S2245" s="13" t="s">
        <v>49</v>
      </c>
      <c r="T2245" s="13" t="s">
        <v>78</v>
      </c>
      <c r="U2245" s="13" t="s">
        <v>79</v>
      </c>
      <c r="V2245" s="13" t="s">
        <v>2856</v>
      </c>
      <c r="W2245" s="13" t="s">
        <v>64</v>
      </c>
      <c r="X2245" s="135">
        <v>472375</v>
      </c>
      <c r="Y2245" s="157" t="str">
        <f t="shared" si="658"/>
        <v>1.13</v>
      </c>
      <c r="Z2245" s="18">
        <f t="shared" si="655"/>
        <v>472375</v>
      </c>
      <c r="AA2245" s="13">
        <v>1.2</v>
      </c>
      <c r="AB2245" s="21">
        <f t="shared" si="657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59"/>
        <v>41443303.53761062</v>
      </c>
      <c r="AJ2245" s="19">
        <f t="shared" si="660"/>
        <v>6194988.76643031</v>
      </c>
      <c r="AK2245" s="20">
        <f t="shared" si="649"/>
        <v>0.1494810557466355</v>
      </c>
      <c r="AL2245" s="17"/>
      <c r="AM2245" s="17"/>
      <c r="AN2245" s="17"/>
      <c r="AO2245" s="17"/>
      <c r="AP2245" s="28" t="str">
        <f t="shared" si="650"/>
        <v>20217</v>
      </c>
      <c r="AQ2245" s="28" t="str">
        <f t="shared" si="651"/>
        <v>20217RMB</v>
      </c>
      <c r="AR2245" s="206" t="str">
        <f t="shared" si="652"/>
        <v>HELLER</v>
      </c>
      <c r="AS2245" s="22">
        <f t="shared" si="653"/>
        <v>2</v>
      </c>
      <c r="AT2245" s="24" t="str">
        <f t="shared" si="654"/>
        <v>0-3 months</v>
      </c>
      <c r="AU2245" s="22" t="s">
        <v>3744</v>
      </c>
    </row>
    <row r="2246" spans="1:47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3172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3451</v>
      </c>
      <c r="K2246" s="29" t="s">
        <v>2264</v>
      </c>
      <c r="L2246" s="17" t="s">
        <v>92</v>
      </c>
      <c r="M2246" s="22" t="s">
        <v>60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61</v>
      </c>
      <c r="R2246" s="22" t="s">
        <v>62</v>
      </c>
      <c r="S2246" s="22" t="s">
        <v>50</v>
      </c>
      <c r="T2246" s="22" t="s">
        <v>88</v>
      </c>
      <c r="U2246" s="22" t="s">
        <v>70</v>
      </c>
      <c r="V2246" s="22" t="s">
        <v>102</v>
      </c>
      <c r="W2246" s="22" t="s">
        <v>64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5"/>
        <v>785000</v>
      </c>
      <c r="AA2246" s="22">
        <v>1.08</v>
      </c>
      <c r="AB2246" s="197">
        <f t="shared" si="657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si="659"/>
        <v>27308925.887079656</v>
      </c>
      <c r="AJ2246" s="200">
        <f t="shared" si="660"/>
        <v>3319273.860338124</v>
      </c>
      <c r="AK2246" s="201">
        <f t="shared" ref="AK2246:AK2309" si="668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69">IF(F2246="","",F2246&amp;G2246)</f>
        <v>20246</v>
      </c>
      <c r="AQ2246" s="28" t="str">
        <f t="shared" ref="AQ2246:AQ2309" si="670">IF(W2246="","",F2246&amp;G2246&amp;W2246)</f>
        <v>20246RMB</v>
      </c>
      <c r="AR2246" s="206" t="str">
        <f t="shared" ref="AR2246:AR2309" si="671">IFERROR(IF(AND(M2246="YAMAHA", R2246="C28"), "YAMAHA_Non_Mounter", IF(AND(M2246="YAMAHA", R2246="C49"), "YAMAHA_Mounter", M2246)),"")</f>
        <v>YAMAHA_Mounter</v>
      </c>
      <c r="AS2246" s="22">
        <f t="shared" ref="AS2246:AS2309" si="672">IFERROR(IF(OR(G2246="TBA", G2246=""), "", DATEDIF(DATE(B2246, C2246, 1), DATE(F2246, G2246, 1), "M")),"")</f>
        <v>1</v>
      </c>
      <c r="AT2246" s="24" t="str">
        <f t="shared" ref="AT2246:AT2309" si="673">IF(ISNUMBER(AS2246), IF(AS2246&gt;=0, IF(AS2246&lt;=3, "0-3 months", IF(AS2246&lt;=6, "4-6 months", "&gt; 6 months"))), "")</f>
        <v>0-3 months</v>
      </c>
      <c r="AU2246" s="22" t="s">
        <v>3240</v>
      </c>
    </row>
    <row r="2247" spans="1:47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3172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3451</v>
      </c>
      <c r="K2247" s="29" t="s">
        <v>2264</v>
      </c>
      <c r="L2247" s="17" t="s">
        <v>67</v>
      </c>
      <c r="M2247" s="22" t="s">
        <v>60</v>
      </c>
      <c r="N2247" s="22">
        <v>1</v>
      </c>
      <c r="O2247" s="22"/>
      <c r="P2247" s="33" t="str">
        <f t="shared" si="664"/>
        <v>MAIN UNIT</v>
      </c>
      <c r="Q2247" s="22" t="s">
        <v>61</v>
      </c>
      <c r="R2247" s="22" t="s">
        <v>62</v>
      </c>
      <c r="S2247" s="22" t="s">
        <v>50</v>
      </c>
      <c r="T2247" s="22" t="s">
        <v>88</v>
      </c>
      <c r="U2247" s="22" t="s">
        <v>70</v>
      </c>
      <c r="V2247" s="22" t="s">
        <v>102</v>
      </c>
      <c r="W2247" s="22" t="s">
        <v>64</v>
      </c>
      <c r="X2247" s="104">
        <v>890000</v>
      </c>
      <c r="Y2247" s="195" t="str">
        <f t="shared" si="665"/>
        <v>1.13</v>
      </c>
      <c r="Z2247" s="196">
        <f t="shared" si="655"/>
        <v>890000</v>
      </c>
      <c r="AA2247" s="22">
        <v>1.08</v>
      </c>
      <c r="AB2247" s="197">
        <f t="shared" si="657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59"/>
        <v>27308925.887079656</v>
      </c>
      <c r="AJ2247" s="200">
        <f t="shared" si="660"/>
        <v>3319273.860338124</v>
      </c>
      <c r="AK2247" s="201">
        <f t="shared" si="668"/>
        <v>0.12154538314919709</v>
      </c>
      <c r="AL2247" s="24"/>
      <c r="AM2247" s="24"/>
      <c r="AN2247" s="24"/>
      <c r="AO2247" s="24"/>
      <c r="AP2247" s="105" t="str">
        <f t="shared" si="669"/>
        <v>20246</v>
      </c>
      <c r="AQ2247" s="28" t="str">
        <f t="shared" si="670"/>
        <v>20246RMB</v>
      </c>
      <c r="AR2247" s="206" t="str">
        <f t="shared" si="671"/>
        <v>YAMAHA_Mounter</v>
      </c>
      <c r="AS2247" s="22">
        <f t="shared" si="672"/>
        <v>1</v>
      </c>
      <c r="AT2247" s="24" t="str">
        <f t="shared" si="673"/>
        <v>0-3 months</v>
      </c>
      <c r="AU2247" s="22" t="s">
        <v>3240</v>
      </c>
    </row>
    <row r="2248" spans="1:47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3378</v>
      </c>
      <c r="K2248" s="29" t="s">
        <v>646</v>
      </c>
      <c r="L2248" s="17" t="s">
        <v>92</v>
      </c>
      <c r="M2248" s="22" t="s">
        <v>60</v>
      </c>
      <c r="N2248" s="22">
        <v>1</v>
      </c>
      <c r="O2248" s="22"/>
      <c r="P2248" s="33" t="str">
        <f t="shared" si="664"/>
        <v>MAIN UNIT</v>
      </c>
      <c r="Q2248" s="13" t="s">
        <v>61</v>
      </c>
      <c r="R2248" s="22" t="s">
        <v>62</v>
      </c>
      <c r="S2248" s="22" t="s">
        <v>49</v>
      </c>
      <c r="T2248" s="22" t="s">
        <v>78</v>
      </c>
      <c r="U2248" s="22" t="s">
        <v>78</v>
      </c>
      <c r="V2248" s="22" t="s">
        <v>311</v>
      </c>
      <c r="W2248" s="22" t="s">
        <v>109</v>
      </c>
      <c r="X2248" s="30">
        <v>11500000</v>
      </c>
      <c r="Y2248" s="31" t="str">
        <f t="shared" si="665"/>
        <v>1</v>
      </c>
      <c r="Z2248" s="18">
        <f t="shared" si="655"/>
        <v>11500000</v>
      </c>
      <c r="AA2248" s="22">
        <v>5.0999999999999997E-2</v>
      </c>
      <c r="AB2248" s="21">
        <f t="shared" si="657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59"/>
        <v>27308925.887079656</v>
      </c>
      <c r="AJ2248" s="27">
        <f t="shared" si="660"/>
        <v>3319273.860338124</v>
      </c>
      <c r="AK2248" s="28">
        <f t="shared" si="668"/>
        <v>0.12154538314919709</v>
      </c>
      <c r="AL2248" s="24"/>
      <c r="AM2248" s="24"/>
      <c r="AN2248" s="24"/>
      <c r="AO2248" s="24"/>
      <c r="AP2248" s="28" t="str">
        <f t="shared" si="669"/>
        <v>20246</v>
      </c>
      <c r="AQ2248" s="28" t="str">
        <f t="shared" si="670"/>
        <v>20246JPY</v>
      </c>
      <c r="AR2248" s="206" t="str">
        <f t="shared" si="671"/>
        <v>YAMAHA_Mounter</v>
      </c>
      <c r="AS2248" s="22">
        <f t="shared" si="672"/>
        <v>2</v>
      </c>
      <c r="AT2248" s="24" t="str">
        <f t="shared" si="673"/>
        <v>0-3 months</v>
      </c>
      <c r="AU2248" s="22" t="s">
        <v>3745</v>
      </c>
    </row>
    <row r="2249" spans="1:47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3378</v>
      </c>
      <c r="K2249" s="29" t="s">
        <v>646</v>
      </c>
      <c r="L2249" s="17" t="s">
        <v>67</v>
      </c>
      <c r="M2249" s="22" t="s">
        <v>60</v>
      </c>
      <c r="N2249" s="22">
        <v>1</v>
      </c>
      <c r="O2249" s="22"/>
      <c r="P2249" s="33" t="str">
        <f t="shared" si="664"/>
        <v>MAIN UNIT</v>
      </c>
      <c r="Q2249" s="13" t="s">
        <v>61</v>
      </c>
      <c r="R2249" s="22" t="s">
        <v>62</v>
      </c>
      <c r="S2249" s="22" t="s">
        <v>49</v>
      </c>
      <c r="T2249" s="22" t="s">
        <v>78</v>
      </c>
      <c r="U2249" s="22" t="s">
        <v>78</v>
      </c>
      <c r="V2249" s="22" t="s">
        <v>311</v>
      </c>
      <c r="W2249" s="22" t="s">
        <v>109</v>
      </c>
      <c r="X2249" s="30">
        <v>7000000</v>
      </c>
      <c r="Y2249" s="31" t="str">
        <f t="shared" si="665"/>
        <v>1</v>
      </c>
      <c r="Z2249" s="18">
        <f t="shared" si="655"/>
        <v>7000000</v>
      </c>
      <c r="AA2249" s="22">
        <v>5.0999999999999997E-2</v>
      </c>
      <c r="AB2249" s="21">
        <f t="shared" si="657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59"/>
        <v>27308925.887079656</v>
      </c>
      <c r="AJ2249" s="27">
        <f t="shared" si="660"/>
        <v>3319273.860338124</v>
      </c>
      <c r="AK2249" s="28">
        <f t="shared" si="668"/>
        <v>0.12154538314919709</v>
      </c>
      <c r="AL2249" s="24"/>
      <c r="AM2249" s="24"/>
      <c r="AN2249" s="24"/>
      <c r="AO2249" s="24"/>
      <c r="AP2249" s="28" t="str">
        <f t="shared" si="669"/>
        <v>20246</v>
      </c>
      <c r="AQ2249" s="28" t="str">
        <f t="shared" si="670"/>
        <v>20246JPY</v>
      </c>
      <c r="AR2249" s="206" t="str">
        <f t="shared" si="671"/>
        <v>YAMAHA_Mounter</v>
      </c>
      <c r="AS2249" s="22">
        <f t="shared" si="672"/>
        <v>2</v>
      </c>
      <c r="AT2249" s="24" t="str">
        <f t="shared" si="673"/>
        <v>0-3 months</v>
      </c>
      <c r="AU2249" s="22" t="s">
        <v>3745</v>
      </c>
    </row>
    <row r="2250" spans="1:47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3479</v>
      </c>
      <c r="K2250" s="29" t="s">
        <v>3481</v>
      </c>
      <c r="L2250" s="17" t="s">
        <v>92</v>
      </c>
      <c r="M2250" s="13" t="s">
        <v>60</v>
      </c>
      <c r="N2250" s="13">
        <v>1</v>
      </c>
      <c r="O2250" s="22"/>
      <c r="P2250" s="33" t="str">
        <f t="shared" si="664"/>
        <v>MAIN UNIT</v>
      </c>
      <c r="Q2250" s="22" t="s">
        <v>68</v>
      </c>
      <c r="R2250" s="22" t="s">
        <v>62</v>
      </c>
      <c r="S2250" s="22" t="s">
        <v>50</v>
      </c>
      <c r="T2250" s="22" t="s">
        <v>444</v>
      </c>
      <c r="U2250" s="22" t="s">
        <v>70</v>
      </c>
      <c r="V2250" s="22" t="s">
        <v>1400</v>
      </c>
      <c r="W2250" s="22" t="s">
        <v>64</v>
      </c>
      <c r="X2250" s="104">
        <v>690000</v>
      </c>
      <c r="Y2250" s="195" t="str">
        <f t="shared" si="665"/>
        <v>1.13</v>
      </c>
      <c r="Z2250" s="196">
        <f t="shared" ref="Z2250:Z2313" si="674">IF(X2250="","",X2250*MAX(O2250,N2250))</f>
        <v>690000</v>
      </c>
      <c r="AA2250" s="22">
        <v>1.08</v>
      </c>
      <c r="AB2250" s="197">
        <f t="shared" si="657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59"/>
        <v>27308925.887079656</v>
      </c>
      <c r="AJ2250" s="200">
        <f t="shared" si="660"/>
        <v>3319273.860338124</v>
      </c>
      <c r="AK2250" s="201">
        <f t="shared" si="668"/>
        <v>0.12154538314919709</v>
      </c>
      <c r="AL2250" s="24"/>
      <c r="AM2250" s="24"/>
      <c r="AN2250" s="24"/>
      <c r="AO2250" s="24"/>
      <c r="AP2250" s="105" t="str">
        <f t="shared" si="669"/>
        <v>20246</v>
      </c>
      <c r="AQ2250" s="28" t="str">
        <f t="shared" si="670"/>
        <v>20246RMB</v>
      </c>
      <c r="AR2250" s="206" t="str">
        <f t="shared" si="671"/>
        <v>YAMAHA_Mounter</v>
      </c>
      <c r="AS2250" s="22">
        <f t="shared" si="672"/>
        <v>0</v>
      </c>
      <c r="AT2250" s="24" t="str">
        <f t="shared" si="673"/>
        <v>0-3 months</v>
      </c>
      <c r="AU2250" s="22" t="s">
        <v>3240</v>
      </c>
    </row>
    <row r="2251" spans="1:47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3479</v>
      </c>
      <c r="K2251" s="29" t="s">
        <v>3481</v>
      </c>
      <c r="L2251" s="17" t="s">
        <v>67</v>
      </c>
      <c r="M2251" s="13" t="s">
        <v>60</v>
      </c>
      <c r="N2251" s="13">
        <v>1</v>
      </c>
      <c r="O2251" s="22"/>
      <c r="P2251" s="33" t="str">
        <f t="shared" si="664"/>
        <v>MAIN UNIT</v>
      </c>
      <c r="Q2251" s="22" t="s">
        <v>68</v>
      </c>
      <c r="R2251" s="22" t="s">
        <v>62</v>
      </c>
      <c r="S2251" s="22" t="s">
        <v>50</v>
      </c>
      <c r="T2251" s="22" t="s">
        <v>444</v>
      </c>
      <c r="U2251" s="22" t="s">
        <v>70</v>
      </c>
      <c r="V2251" s="22" t="s">
        <v>1400</v>
      </c>
      <c r="W2251" s="22" t="s">
        <v>64</v>
      </c>
      <c r="X2251" s="104">
        <v>450000</v>
      </c>
      <c r="Y2251" s="195" t="str">
        <f t="shared" si="665"/>
        <v>1.13</v>
      </c>
      <c r="Z2251" s="196">
        <f t="shared" si="674"/>
        <v>450000</v>
      </c>
      <c r="AA2251" s="22">
        <v>1.08</v>
      </c>
      <c r="AB2251" s="197">
        <f t="shared" si="657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59"/>
        <v>27308925.887079656</v>
      </c>
      <c r="AJ2251" s="200">
        <f t="shared" si="660"/>
        <v>3319273.860338124</v>
      </c>
      <c r="AK2251" s="201">
        <f t="shared" si="668"/>
        <v>0.12154538314919709</v>
      </c>
      <c r="AL2251" s="24"/>
      <c r="AM2251" s="24"/>
      <c r="AN2251" s="24"/>
      <c r="AO2251" s="24"/>
      <c r="AP2251" s="105" t="str">
        <f t="shared" si="669"/>
        <v>20246</v>
      </c>
      <c r="AQ2251" s="28" t="str">
        <f t="shared" si="670"/>
        <v>20246RMB</v>
      </c>
      <c r="AR2251" s="206" t="str">
        <f t="shared" si="671"/>
        <v>YAMAHA_Mounter</v>
      </c>
      <c r="AS2251" s="22">
        <f t="shared" si="672"/>
        <v>0</v>
      </c>
      <c r="AT2251" s="24" t="str">
        <f t="shared" si="673"/>
        <v>0-3 months</v>
      </c>
      <c r="AU2251" s="22" t="s">
        <v>3240</v>
      </c>
    </row>
    <row r="2252" spans="1:47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3172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43</v>
      </c>
      <c r="M2252" s="22" t="s">
        <v>43</v>
      </c>
      <c r="N2252" s="22">
        <v>0</v>
      </c>
      <c r="O2252" s="22"/>
      <c r="P2252" s="202"/>
      <c r="Q2252" s="22" t="s">
        <v>45</v>
      </c>
      <c r="R2252" s="22" t="s">
        <v>45</v>
      </c>
      <c r="S2252" s="22" t="s">
        <v>52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4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59"/>
        <v>27308925.887079656</v>
      </c>
      <c r="AJ2252" s="200">
        <f t="shared" si="660"/>
        <v>3319273.860338124</v>
      </c>
      <c r="AK2252" s="201">
        <f t="shared" si="668"/>
        <v>0.12154538314919709</v>
      </c>
      <c r="AL2252" s="24"/>
      <c r="AM2252" s="24"/>
      <c r="AN2252" s="24"/>
      <c r="AO2252" s="24"/>
      <c r="AP2252" s="105" t="str">
        <f t="shared" si="669"/>
        <v>20246</v>
      </c>
      <c r="AQ2252" s="28" t="str">
        <f t="shared" si="670"/>
        <v/>
      </c>
      <c r="AR2252" s="206" t="str">
        <f t="shared" si="671"/>
        <v>C66 SERVICE</v>
      </c>
      <c r="AS2252" s="22" t="str">
        <f t="shared" si="672"/>
        <v/>
      </c>
      <c r="AT2252" s="24" t="str">
        <f t="shared" si="673"/>
        <v/>
      </c>
      <c r="AU2252" s="22">
        <v>0</v>
      </c>
    </row>
    <row r="2253" spans="1:47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3172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43</v>
      </c>
      <c r="M2253" s="22" t="s">
        <v>43</v>
      </c>
      <c r="N2253" s="22">
        <v>0</v>
      </c>
      <c r="O2253" s="22"/>
      <c r="P2253" s="202"/>
      <c r="Q2253" s="22" t="s">
        <v>45</v>
      </c>
      <c r="R2253" s="22" t="s">
        <v>45</v>
      </c>
      <c r="S2253" s="22" t="s">
        <v>51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4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59"/>
        <v>27308925.887079656</v>
      </c>
      <c r="AJ2253" s="200">
        <f t="shared" si="660"/>
        <v>3319273.860338124</v>
      </c>
      <c r="AK2253" s="201">
        <f t="shared" si="668"/>
        <v>0.12154538314919709</v>
      </c>
      <c r="AL2253" s="24"/>
      <c r="AM2253" s="24"/>
      <c r="AN2253" s="24"/>
      <c r="AO2253" s="24"/>
      <c r="AP2253" s="105" t="str">
        <f t="shared" si="669"/>
        <v>20246</v>
      </c>
      <c r="AQ2253" s="28" t="str">
        <f t="shared" si="670"/>
        <v/>
      </c>
      <c r="AR2253" s="206" t="str">
        <f t="shared" si="671"/>
        <v>C66 SERVICE</v>
      </c>
      <c r="AS2253" s="22" t="str">
        <f t="shared" si="672"/>
        <v/>
      </c>
      <c r="AT2253" s="24" t="str">
        <f t="shared" si="673"/>
        <v/>
      </c>
      <c r="AU2253" s="22">
        <v>0</v>
      </c>
    </row>
    <row r="2254" spans="1:47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5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3162</v>
      </c>
      <c r="K2254" s="155" t="s">
        <v>3163</v>
      </c>
      <c r="L2254" s="17" t="s">
        <v>67</v>
      </c>
      <c r="M2254" s="13" t="s">
        <v>60</v>
      </c>
      <c r="N2254" s="13">
        <v>1</v>
      </c>
      <c r="O2254" s="13"/>
      <c r="P2254" s="33" t="str">
        <f t="shared" ref="P2254:P2259" si="676">IF(M2254="","",IF(AND(N2254&gt;0,L2254&lt;&gt;""),"MAIN UNIT",IF(AND(O2254&gt;0,L2254&lt;&gt;""),"SERVICE/ PARTS","C66 SERVICE/OTHERS")))</f>
        <v>MAIN UNIT</v>
      </c>
      <c r="Q2254" s="13" t="s">
        <v>68</v>
      </c>
      <c r="R2254" s="13" t="s">
        <v>62</v>
      </c>
      <c r="S2254" s="13" t="s">
        <v>49</v>
      </c>
      <c r="T2254" s="13" t="s">
        <v>78</v>
      </c>
      <c r="U2254" s="13" t="s">
        <v>2533</v>
      </c>
      <c r="V2254" s="13" t="s">
        <v>126</v>
      </c>
      <c r="W2254" s="13" t="s">
        <v>109</v>
      </c>
      <c r="X2254" s="135">
        <v>7960000</v>
      </c>
      <c r="Y2254" s="157" t="str">
        <f t="shared" ref="Y2254:Y2259" si="677">IF(W2254="RMB","1.13", "1")</f>
        <v>1</v>
      </c>
      <c r="Z2254" s="18">
        <f t="shared" si="674"/>
        <v>7960000</v>
      </c>
      <c r="AA2254" s="13">
        <v>5.3100000000000001E-2</v>
      </c>
      <c r="AB2254" s="21">
        <f t="shared" ref="AB2254:AB2259" si="678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59"/>
        <v>21241742.157380536</v>
      </c>
      <c r="AJ2254" s="19">
        <f t="shared" si="660"/>
        <v>2987081.1613773629</v>
      </c>
      <c r="AK2254" s="20">
        <f t="shared" si="668"/>
        <v>0.14062317201884914</v>
      </c>
      <c r="AL2254" s="17"/>
      <c r="AM2254" s="17"/>
      <c r="AN2254" s="17"/>
      <c r="AO2254" s="17"/>
      <c r="AP2254" s="28" t="str">
        <f t="shared" si="669"/>
        <v>20243</v>
      </c>
      <c r="AQ2254" s="28" t="str">
        <f t="shared" si="670"/>
        <v>20243JPY</v>
      </c>
      <c r="AR2254" s="206" t="str">
        <f t="shared" si="671"/>
        <v>YAMAHA_Mounter</v>
      </c>
      <c r="AS2254" s="22">
        <f t="shared" si="672"/>
        <v>9</v>
      </c>
      <c r="AT2254" s="24" t="str">
        <f t="shared" si="673"/>
        <v>&gt; 6 months</v>
      </c>
      <c r="AU2254" s="22" t="s">
        <v>3745</v>
      </c>
    </row>
    <row r="2255" spans="1:47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5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3162</v>
      </c>
      <c r="K2255" s="155" t="s">
        <v>3163</v>
      </c>
      <c r="L2255" s="17" t="s">
        <v>67</v>
      </c>
      <c r="M2255" s="13" t="s">
        <v>60</v>
      </c>
      <c r="N2255" s="13">
        <v>1</v>
      </c>
      <c r="O2255" s="13"/>
      <c r="P2255" s="33" t="str">
        <f t="shared" si="676"/>
        <v>MAIN UNIT</v>
      </c>
      <c r="Q2255" s="13" t="s">
        <v>68</v>
      </c>
      <c r="R2255" s="13" t="s">
        <v>62</v>
      </c>
      <c r="S2255" s="13" t="s">
        <v>49</v>
      </c>
      <c r="T2255" s="13" t="s">
        <v>78</v>
      </c>
      <c r="U2255" s="13" t="s">
        <v>2533</v>
      </c>
      <c r="V2255" s="13" t="s">
        <v>126</v>
      </c>
      <c r="W2255" s="13" t="s">
        <v>109</v>
      </c>
      <c r="X2255" s="135">
        <v>7960000</v>
      </c>
      <c r="Y2255" s="157" t="str">
        <f t="shared" si="677"/>
        <v>1</v>
      </c>
      <c r="Z2255" s="18">
        <f t="shared" si="674"/>
        <v>7960000</v>
      </c>
      <c r="AA2255" s="13">
        <v>5.3100000000000001E-2</v>
      </c>
      <c r="AB2255" s="21">
        <f t="shared" si="678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59"/>
        <v>21241742.157380536</v>
      </c>
      <c r="AJ2255" s="19">
        <f t="shared" si="660"/>
        <v>2987081.1613773629</v>
      </c>
      <c r="AK2255" s="20">
        <f t="shared" si="668"/>
        <v>0.14062317201884914</v>
      </c>
      <c r="AL2255" s="17"/>
      <c r="AM2255" s="17"/>
      <c r="AN2255" s="17"/>
      <c r="AO2255" s="17"/>
      <c r="AP2255" s="28" t="str">
        <f t="shared" si="669"/>
        <v>20243</v>
      </c>
      <c r="AQ2255" s="28" t="str">
        <f t="shared" si="670"/>
        <v>20243JPY</v>
      </c>
      <c r="AR2255" s="206" t="str">
        <f t="shared" si="671"/>
        <v>YAMAHA_Mounter</v>
      </c>
      <c r="AS2255" s="22">
        <f t="shared" si="672"/>
        <v>9</v>
      </c>
      <c r="AT2255" s="24" t="str">
        <f t="shared" si="673"/>
        <v>&gt; 6 months</v>
      </c>
      <c r="AU2255" s="22" t="s">
        <v>3745</v>
      </c>
    </row>
    <row r="2256" spans="1:47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5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3162</v>
      </c>
      <c r="K2256" s="155" t="s">
        <v>3163</v>
      </c>
      <c r="L2256" s="17" t="s">
        <v>67</v>
      </c>
      <c r="M2256" s="13" t="s">
        <v>60</v>
      </c>
      <c r="N2256" s="13">
        <v>1</v>
      </c>
      <c r="O2256" s="13"/>
      <c r="P2256" s="33" t="str">
        <f t="shared" si="676"/>
        <v>MAIN UNIT</v>
      </c>
      <c r="Q2256" s="13" t="s">
        <v>68</v>
      </c>
      <c r="R2256" s="13" t="s">
        <v>62</v>
      </c>
      <c r="S2256" s="13" t="s">
        <v>49</v>
      </c>
      <c r="T2256" s="13" t="s">
        <v>78</v>
      </c>
      <c r="U2256" s="13" t="s">
        <v>2533</v>
      </c>
      <c r="V2256" s="13" t="s">
        <v>126</v>
      </c>
      <c r="W2256" s="13" t="s">
        <v>109</v>
      </c>
      <c r="X2256" s="135">
        <v>7960000</v>
      </c>
      <c r="Y2256" s="157" t="str">
        <f t="shared" si="677"/>
        <v>1</v>
      </c>
      <c r="Z2256" s="18">
        <f t="shared" si="674"/>
        <v>7960000</v>
      </c>
      <c r="AA2256" s="13">
        <v>5.3100000000000001E-2</v>
      </c>
      <c r="AB2256" s="21">
        <f t="shared" si="678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59"/>
        <v>21241742.157380536</v>
      </c>
      <c r="AJ2256" s="19">
        <f t="shared" si="660"/>
        <v>2987081.1613773629</v>
      </c>
      <c r="AK2256" s="20">
        <f t="shared" si="668"/>
        <v>0.14062317201884914</v>
      </c>
      <c r="AL2256" s="17"/>
      <c r="AM2256" s="17"/>
      <c r="AN2256" s="17"/>
      <c r="AO2256" s="17"/>
      <c r="AP2256" s="28" t="str">
        <f t="shared" si="669"/>
        <v>20243</v>
      </c>
      <c r="AQ2256" s="28" t="str">
        <f t="shared" si="670"/>
        <v>20243JPY</v>
      </c>
      <c r="AR2256" s="206" t="str">
        <f t="shared" si="671"/>
        <v>YAMAHA_Mounter</v>
      </c>
      <c r="AS2256" s="22">
        <f t="shared" si="672"/>
        <v>9</v>
      </c>
      <c r="AT2256" s="24" t="str">
        <f t="shared" si="673"/>
        <v>&gt; 6 months</v>
      </c>
      <c r="AU2256" s="22" t="s">
        <v>3745</v>
      </c>
    </row>
    <row r="2257" spans="1:47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5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3162</v>
      </c>
      <c r="K2257" s="155" t="s">
        <v>3163</v>
      </c>
      <c r="L2257" s="17" t="s">
        <v>67</v>
      </c>
      <c r="M2257" s="13" t="s">
        <v>60</v>
      </c>
      <c r="N2257" s="13">
        <v>1</v>
      </c>
      <c r="O2257" s="13"/>
      <c r="P2257" s="33" t="str">
        <f t="shared" si="676"/>
        <v>MAIN UNIT</v>
      </c>
      <c r="Q2257" s="13" t="s">
        <v>68</v>
      </c>
      <c r="R2257" s="13" t="s">
        <v>62</v>
      </c>
      <c r="S2257" s="13" t="s">
        <v>49</v>
      </c>
      <c r="T2257" s="13" t="s">
        <v>78</v>
      </c>
      <c r="U2257" s="13" t="s">
        <v>2533</v>
      </c>
      <c r="V2257" s="13" t="s">
        <v>126</v>
      </c>
      <c r="W2257" s="13" t="s">
        <v>109</v>
      </c>
      <c r="X2257" s="135">
        <v>7960000</v>
      </c>
      <c r="Y2257" s="157" t="str">
        <f t="shared" si="677"/>
        <v>1</v>
      </c>
      <c r="Z2257" s="18">
        <f t="shared" si="674"/>
        <v>7960000</v>
      </c>
      <c r="AA2257" s="13">
        <v>5.3100000000000001E-2</v>
      </c>
      <c r="AB2257" s="21">
        <f t="shared" si="678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59"/>
        <v>21241742.157380536</v>
      </c>
      <c r="AJ2257" s="19">
        <f t="shared" si="660"/>
        <v>2987081.1613773629</v>
      </c>
      <c r="AK2257" s="20">
        <f t="shared" si="668"/>
        <v>0.14062317201884914</v>
      </c>
      <c r="AL2257" s="17"/>
      <c r="AM2257" s="17"/>
      <c r="AN2257" s="17"/>
      <c r="AO2257" s="17"/>
      <c r="AP2257" s="28" t="str">
        <f t="shared" si="669"/>
        <v>20243</v>
      </c>
      <c r="AQ2257" s="28" t="str">
        <f t="shared" si="670"/>
        <v>20243JPY</v>
      </c>
      <c r="AR2257" s="206" t="str">
        <f t="shared" si="671"/>
        <v>YAMAHA_Mounter</v>
      </c>
      <c r="AS2257" s="22">
        <f t="shared" si="672"/>
        <v>9</v>
      </c>
      <c r="AT2257" s="24" t="str">
        <f t="shared" si="673"/>
        <v>&gt; 6 months</v>
      </c>
      <c r="AU2257" s="22" t="s">
        <v>3745</v>
      </c>
    </row>
    <row r="2258" spans="1:47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5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3162</v>
      </c>
      <c r="K2258" s="155" t="s">
        <v>3163</v>
      </c>
      <c r="L2258" s="17" t="s">
        <v>67</v>
      </c>
      <c r="M2258" s="13" t="s">
        <v>60</v>
      </c>
      <c r="N2258" s="13">
        <v>1</v>
      </c>
      <c r="O2258" s="13"/>
      <c r="P2258" s="33" t="str">
        <f t="shared" si="676"/>
        <v>MAIN UNIT</v>
      </c>
      <c r="Q2258" s="13" t="s">
        <v>68</v>
      </c>
      <c r="R2258" s="13" t="s">
        <v>62</v>
      </c>
      <c r="S2258" s="13" t="s">
        <v>49</v>
      </c>
      <c r="T2258" s="13" t="s">
        <v>78</v>
      </c>
      <c r="U2258" s="13" t="s">
        <v>2533</v>
      </c>
      <c r="V2258" s="13" t="s">
        <v>126</v>
      </c>
      <c r="W2258" s="13" t="s">
        <v>109</v>
      </c>
      <c r="X2258" s="135">
        <v>7960000</v>
      </c>
      <c r="Y2258" s="157" t="str">
        <f t="shared" si="677"/>
        <v>1</v>
      </c>
      <c r="Z2258" s="18">
        <f t="shared" si="674"/>
        <v>7960000</v>
      </c>
      <c r="AA2258" s="13">
        <v>5.3100000000000001E-2</v>
      </c>
      <c r="AB2258" s="21">
        <f t="shared" si="678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59"/>
        <v>21241742.157380536</v>
      </c>
      <c r="AJ2258" s="19">
        <f t="shared" si="660"/>
        <v>2987081.1613773629</v>
      </c>
      <c r="AK2258" s="20">
        <f t="shared" si="668"/>
        <v>0.14062317201884914</v>
      </c>
      <c r="AL2258" s="17"/>
      <c r="AM2258" s="17"/>
      <c r="AN2258" s="17"/>
      <c r="AO2258" s="17"/>
      <c r="AP2258" s="28" t="str">
        <f t="shared" si="669"/>
        <v>20243</v>
      </c>
      <c r="AQ2258" s="28" t="str">
        <f t="shared" si="670"/>
        <v>20243JPY</v>
      </c>
      <c r="AR2258" s="206" t="str">
        <f t="shared" si="671"/>
        <v>YAMAHA_Mounter</v>
      </c>
      <c r="AS2258" s="22">
        <f t="shared" si="672"/>
        <v>9</v>
      </c>
      <c r="AT2258" s="24" t="str">
        <f t="shared" si="673"/>
        <v>&gt; 6 months</v>
      </c>
      <c r="AU2258" s="22" t="s">
        <v>3745</v>
      </c>
    </row>
    <row r="2259" spans="1:47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5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3162</v>
      </c>
      <c r="K2259" s="155" t="s">
        <v>3163</v>
      </c>
      <c r="L2259" s="17" t="s">
        <v>67</v>
      </c>
      <c r="M2259" s="13" t="s">
        <v>60</v>
      </c>
      <c r="N2259" s="13">
        <v>1</v>
      </c>
      <c r="O2259" s="13"/>
      <c r="P2259" s="33" t="str">
        <f t="shared" si="676"/>
        <v>MAIN UNIT</v>
      </c>
      <c r="Q2259" s="13" t="s">
        <v>68</v>
      </c>
      <c r="R2259" s="13" t="s">
        <v>62</v>
      </c>
      <c r="S2259" s="13" t="s">
        <v>49</v>
      </c>
      <c r="T2259" s="13" t="s">
        <v>78</v>
      </c>
      <c r="U2259" s="13" t="s">
        <v>2533</v>
      </c>
      <c r="V2259" s="13" t="s">
        <v>126</v>
      </c>
      <c r="W2259" s="13" t="s">
        <v>109</v>
      </c>
      <c r="X2259" s="135">
        <v>7960000</v>
      </c>
      <c r="Y2259" s="157" t="str">
        <f t="shared" si="677"/>
        <v>1</v>
      </c>
      <c r="Z2259" s="18">
        <f t="shared" si="674"/>
        <v>7960000</v>
      </c>
      <c r="AA2259" s="13">
        <v>5.3100000000000001E-2</v>
      </c>
      <c r="AB2259" s="21">
        <f t="shared" si="678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59"/>
        <v>21241742.157380536</v>
      </c>
      <c r="AJ2259" s="19">
        <f t="shared" si="660"/>
        <v>2987081.1613773629</v>
      </c>
      <c r="AK2259" s="20">
        <f t="shared" si="668"/>
        <v>0.14062317201884914</v>
      </c>
      <c r="AL2259" s="17"/>
      <c r="AM2259" s="17"/>
      <c r="AN2259" s="17"/>
      <c r="AO2259" s="17"/>
      <c r="AP2259" s="28" t="str">
        <f t="shared" si="669"/>
        <v>20243</v>
      </c>
      <c r="AQ2259" s="28" t="str">
        <f t="shared" si="670"/>
        <v>20243JPY</v>
      </c>
      <c r="AR2259" s="206" t="str">
        <f t="shared" si="671"/>
        <v>YAMAHA_Mounter</v>
      </c>
      <c r="AS2259" s="22">
        <f t="shared" si="672"/>
        <v>9</v>
      </c>
      <c r="AT2259" s="24" t="str">
        <f t="shared" si="673"/>
        <v>&gt; 6 months</v>
      </c>
      <c r="AU2259" s="22" t="s">
        <v>3745</v>
      </c>
    </row>
    <row r="2260" spans="1:47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3172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43</v>
      </c>
      <c r="M2260" s="22" t="s">
        <v>43</v>
      </c>
      <c r="N2260" s="22">
        <v>0</v>
      </c>
      <c r="O2260" s="22"/>
      <c r="P2260" s="202"/>
      <c r="Q2260" s="22" t="s">
        <v>45</v>
      </c>
      <c r="R2260" s="22" t="s">
        <v>45</v>
      </c>
      <c r="S2260" s="22" t="s">
        <v>50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4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59"/>
        <v>27308925.887079656</v>
      </c>
      <c r="AJ2260" s="200">
        <f t="shared" si="660"/>
        <v>3319273.860338124</v>
      </c>
      <c r="AK2260" s="201">
        <f t="shared" si="668"/>
        <v>0.12154538314919709</v>
      </c>
      <c r="AL2260" s="24"/>
      <c r="AM2260" s="24"/>
      <c r="AN2260" s="24"/>
      <c r="AO2260" s="24"/>
      <c r="AP2260" s="105" t="str">
        <f t="shared" si="669"/>
        <v>20246</v>
      </c>
      <c r="AQ2260" s="28" t="str">
        <f t="shared" si="670"/>
        <v/>
      </c>
      <c r="AR2260" s="206" t="str">
        <f t="shared" si="671"/>
        <v>C66 SERVICE</v>
      </c>
      <c r="AS2260" s="22" t="str">
        <f t="shared" si="672"/>
        <v/>
      </c>
      <c r="AT2260" s="24" t="str">
        <f t="shared" si="673"/>
        <v/>
      </c>
      <c r="AU2260" s="22">
        <v>0</v>
      </c>
    </row>
    <row r="2261" spans="1:47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3172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43</v>
      </c>
      <c r="M2261" s="22" t="s">
        <v>43</v>
      </c>
      <c r="N2261" s="22">
        <v>0</v>
      </c>
      <c r="O2261" s="22"/>
      <c r="P2261" s="202"/>
      <c r="Q2261" s="22" t="s">
        <v>45</v>
      </c>
      <c r="R2261" s="22" t="s">
        <v>45</v>
      </c>
      <c r="S2261" s="22" t="s">
        <v>49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4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59"/>
        <v>27308925.887079656</v>
      </c>
      <c r="AJ2261" s="200">
        <f t="shared" si="660"/>
        <v>3319273.860338124</v>
      </c>
      <c r="AK2261" s="201">
        <f t="shared" si="668"/>
        <v>0.12154538314919709</v>
      </c>
      <c r="AL2261" s="24"/>
      <c r="AM2261" s="24"/>
      <c r="AN2261" s="24"/>
      <c r="AO2261" s="24"/>
      <c r="AP2261" s="105" t="str">
        <f t="shared" si="669"/>
        <v>20246</v>
      </c>
      <c r="AQ2261" s="28" t="str">
        <f t="shared" si="670"/>
        <v/>
      </c>
      <c r="AR2261" s="206" t="str">
        <f t="shared" si="671"/>
        <v>C66 SERVICE</v>
      </c>
      <c r="AS2261" s="22" t="str">
        <f t="shared" si="672"/>
        <v/>
      </c>
      <c r="AT2261" s="24" t="str">
        <f t="shared" si="673"/>
        <v/>
      </c>
      <c r="AU2261" s="22">
        <v>0</v>
      </c>
    </row>
    <row r="2262" spans="1:47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21" t="s">
        <v>3392</v>
      </c>
      <c r="K2262" s="29" t="s">
        <v>501</v>
      </c>
      <c r="L2262" s="24" t="s">
        <v>3698</v>
      </c>
      <c r="M2262" s="22" t="s">
        <v>60</v>
      </c>
      <c r="N2262" s="22">
        <v>1</v>
      </c>
      <c r="O2262" s="22"/>
      <c r="P2262" s="33" t="str">
        <f t="shared" ref="P2262:P2325" si="679">IF(M2262="","",IF(AND(N2262&gt;0,L2262&lt;&gt;""),"MAIN UNIT",IF(AND(O2262&gt;0,L2262&lt;&gt;""),"SERVICE/ PARTS","C66 SERVICE/OTHERS")))</f>
        <v>MAIN UNIT</v>
      </c>
      <c r="Q2262" s="13" t="s">
        <v>61</v>
      </c>
      <c r="R2262" s="22" t="s">
        <v>62</v>
      </c>
      <c r="S2262" s="22" t="s">
        <v>49</v>
      </c>
      <c r="T2262" s="22" t="s">
        <v>78</v>
      </c>
      <c r="U2262" s="22" t="s">
        <v>78</v>
      </c>
      <c r="V2262" s="22" t="s">
        <v>311</v>
      </c>
      <c r="W2262" s="22" t="s">
        <v>109</v>
      </c>
      <c r="X2262" s="30">
        <v>21300000</v>
      </c>
      <c r="Y2262" s="31" t="str">
        <f>IF(W2262="","",IF(W2262="RMB","1.13", "1"))</f>
        <v>1</v>
      </c>
      <c r="Z2262" s="18">
        <f t="shared" si="674"/>
        <v>21300000</v>
      </c>
      <c r="AA2262" s="22">
        <v>4.9500000000000002E-2</v>
      </c>
      <c r="AB2262" s="21">
        <f t="shared" ref="AB2262:AB2325" si="680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59"/>
        <v>25458266.694690265</v>
      </c>
      <c r="AJ2262" s="27">
        <f t="shared" si="660"/>
        <v>4116526.778578762</v>
      </c>
      <c r="AK2262" s="28">
        <f t="shared" si="668"/>
        <v>0.16169705612508689</v>
      </c>
      <c r="AL2262" s="24"/>
      <c r="AM2262" s="24"/>
      <c r="AN2262" s="24"/>
      <c r="AO2262" s="24"/>
      <c r="AP2262" s="28" t="str">
        <f t="shared" si="669"/>
        <v>20247</v>
      </c>
      <c r="AQ2262" s="28" t="str">
        <f t="shared" si="670"/>
        <v>20247JPY</v>
      </c>
      <c r="AR2262" s="206" t="str">
        <f t="shared" si="671"/>
        <v>YAMAHA_Mounter</v>
      </c>
      <c r="AS2262" s="22">
        <f t="shared" si="672"/>
        <v>3</v>
      </c>
      <c r="AT2262" s="24" t="str">
        <f t="shared" si="673"/>
        <v>0-3 months</v>
      </c>
      <c r="AU2262" s="22" t="s">
        <v>3745</v>
      </c>
    </row>
    <row r="2263" spans="1:47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22" t="s">
        <v>3183</v>
      </c>
      <c r="K2263" s="155" t="s">
        <v>3184</v>
      </c>
      <c r="L2263" s="17" t="s">
        <v>3185</v>
      </c>
      <c r="M2263" s="13" t="s">
        <v>60</v>
      </c>
      <c r="N2263" s="13">
        <v>1</v>
      </c>
      <c r="O2263" s="13"/>
      <c r="P2263" s="33" t="str">
        <f t="shared" si="679"/>
        <v>MAIN UNIT</v>
      </c>
      <c r="Q2263" s="13" t="s">
        <v>61</v>
      </c>
      <c r="R2263" s="13" t="s">
        <v>62</v>
      </c>
      <c r="S2263" s="13" t="s">
        <v>52</v>
      </c>
      <c r="T2263" s="13" t="s">
        <v>2338</v>
      </c>
      <c r="U2263" s="13" t="s">
        <v>2339</v>
      </c>
      <c r="V2263" s="13" t="s">
        <v>80</v>
      </c>
      <c r="W2263" s="13" t="s">
        <v>64</v>
      </c>
      <c r="X2263" s="135">
        <v>740000</v>
      </c>
      <c r="Y2263" s="157" t="str">
        <f t="shared" ref="Y2263:Y2269" si="681">IF(W2263="RMB","1.13", "1")</f>
        <v>1.13</v>
      </c>
      <c r="Z2263" s="18">
        <f t="shared" si="674"/>
        <v>740000</v>
      </c>
      <c r="AA2263" s="22">
        <v>1.075</v>
      </c>
      <c r="AB2263" s="21">
        <f t="shared" si="680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59"/>
        <v>25458266.694690265</v>
      </c>
      <c r="AJ2263" s="19">
        <f t="shared" si="660"/>
        <v>4116526.778578762</v>
      </c>
      <c r="AK2263" s="20">
        <f t="shared" si="668"/>
        <v>0.16169705612508689</v>
      </c>
      <c r="AL2263" s="17"/>
      <c r="AM2263" s="17"/>
      <c r="AN2263" s="17"/>
      <c r="AO2263" s="17"/>
      <c r="AP2263" s="28" t="str">
        <f t="shared" si="669"/>
        <v>20247</v>
      </c>
      <c r="AQ2263" s="28" t="str">
        <f t="shared" si="670"/>
        <v>20247RMB</v>
      </c>
      <c r="AR2263" s="206" t="str">
        <f t="shared" si="671"/>
        <v>YAMAHA_Mounter</v>
      </c>
      <c r="AS2263" s="22">
        <f t="shared" si="672"/>
        <v>11</v>
      </c>
      <c r="AT2263" s="24" t="str">
        <f t="shared" si="673"/>
        <v>&gt; 6 months</v>
      </c>
      <c r="AU2263" s="22" t="s">
        <v>3751</v>
      </c>
    </row>
    <row r="2264" spans="1:47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48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1587</v>
      </c>
      <c r="K2264" s="155" t="s">
        <v>1588</v>
      </c>
      <c r="L2264" s="17" t="s">
        <v>67</v>
      </c>
      <c r="M2264" s="13" t="s">
        <v>60</v>
      </c>
      <c r="N2264" s="13">
        <v>1</v>
      </c>
      <c r="O2264" s="13"/>
      <c r="P2264" s="33" t="str">
        <f t="shared" si="679"/>
        <v>MAIN UNIT</v>
      </c>
      <c r="Q2264" s="13" t="s">
        <v>61</v>
      </c>
      <c r="R2264" s="13" t="s">
        <v>62</v>
      </c>
      <c r="S2264" s="13" t="s">
        <v>49</v>
      </c>
      <c r="T2264" s="13" t="s">
        <v>78</v>
      </c>
      <c r="U2264" s="13" t="s">
        <v>79</v>
      </c>
      <c r="V2264" s="13" t="s">
        <v>126</v>
      </c>
      <c r="W2264" s="13" t="s">
        <v>109</v>
      </c>
      <c r="X2264" s="135">
        <v>7587500</v>
      </c>
      <c r="Y2264" s="157" t="str">
        <f t="shared" si="681"/>
        <v>1</v>
      </c>
      <c r="Z2264" s="18">
        <f t="shared" si="674"/>
        <v>7587500</v>
      </c>
      <c r="AA2264" s="13">
        <v>7.4499999999999997E-2</v>
      </c>
      <c r="AB2264" s="21">
        <f t="shared" si="680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59"/>
        <v>57778307.282035396</v>
      </c>
      <c r="AJ2264" s="19">
        <f t="shared" si="660"/>
        <v>7259860.7225420559</v>
      </c>
      <c r="AK2264" s="20">
        <f t="shared" si="668"/>
        <v>0.12565028406083667</v>
      </c>
      <c r="AL2264" s="17"/>
      <c r="AM2264" s="17"/>
      <c r="AN2264" s="17"/>
      <c r="AO2264" s="17"/>
      <c r="AP2264" s="28" t="str">
        <f t="shared" si="669"/>
        <v>20213</v>
      </c>
      <c r="AQ2264" s="28" t="str">
        <f t="shared" si="670"/>
        <v>20213JPY</v>
      </c>
      <c r="AR2264" s="206" t="str">
        <f t="shared" si="671"/>
        <v>YAMAHA_Mounter</v>
      </c>
      <c r="AS2264" s="22">
        <f t="shared" si="672"/>
        <v>3</v>
      </c>
      <c r="AT2264" s="24" t="str">
        <f t="shared" si="673"/>
        <v>0-3 months</v>
      </c>
      <c r="AU2264" s="22" t="s">
        <v>3746</v>
      </c>
    </row>
    <row r="2265" spans="1:47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48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1587</v>
      </c>
      <c r="K2265" s="155" t="s">
        <v>1588</v>
      </c>
      <c r="L2265" s="17" t="s">
        <v>67</v>
      </c>
      <c r="M2265" s="13" t="s">
        <v>60</v>
      </c>
      <c r="N2265" s="13">
        <v>1</v>
      </c>
      <c r="O2265" s="13"/>
      <c r="P2265" s="33" t="str">
        <f t="shared" si="679"/>
        <v>MAIN UNIT</v>
      </c>
      <c r="Q2265" s="13" t="s">
        <v>61</v>
      </c>
      <c r="R2265" s="13" t="s">
        <v>62</v>
      </c>
      <c r="S2265" s="13" t="s">
        <v>49</v>
      </c>
      <c r="T2265" s="13" t="s">
        <v>78</v>
      </c>
      <c r="U2265" s="13" t="s">
        <v>79</v>
      </c>
      <c r="V2265" s="13" t="s">
        <v>126</v>
      </c>
      <c r="W2265" s="13" t="s">
        <v>109</v>
      </c>
      <c r="X2265" s="135">
        <v>7587500</v>
      </c>
      <c r="Y2265" s="157" t="str">
        <f t="shared" si="681"/>
        <v>1</v>
      </c>
      <c r="Z2265" s="18">
        <f t="shared" si="674"/>
        <v>7587500</v>
      </c>
      <c r="AA2265" s="13">
        <v>7.4499999999999997E-2</v>
      </c>
      <c r="AB2265" s="21">
        <f t="shared" si="680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59"/>
        <v>57778307.282035396</v>
      </c>
      <c r="AJ2265" s="19">
        <f t="shared" si="660"/>
        <v>7259860.7225420559</v>
      </c>
      <c r="AK2265" s="20">
        <f t="shared" si="668"/>
        <v>0.12565028406083667</v>
      </c>
      <c r="AL2265" s="17"/>
      <c r="AM2265" s="17"/>
      <c r="AN2265" s="17"/>
      <c r="AO2265" s="17"/>
      <c r="AP2265" s="28" t="str">
        <f t="shared" si="669"/>
        <v>20213</v>
      </c>
      <c r="AQ2265" s="28" t="str">
        <f t="shared" si="670"/>
        <v>20213JPY</v>
      </c>
      <c r="AR2265" s="206" t="str">
        <f t="shared" si="671"/>
        <v>YAMAHA_Mounter</v>
      </c>
      <c r="AS2265" s="22">
        <f t="shared" si="672"/>
        <v>3</v>
      </c>
      <c r="AT2265" s="24" t="str">
        <f t="shared" si="673"/>
        <v>0-3 months</v>
      </c>
      <c r="AU2265" s="22" t="s">
        <v>3746</v>
      </c>
    </row>
    <row r="2266" spans="1:47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48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1587</v>
      </c>
      <c r="K2266" s="155" t="s">
        <v>1588</v>
      </c>
      <c r="L2266" s="17" t="s">
        <v>67</v>
      </c>
      <c r="M2266" s="13" t="s">
        <v>60</v>
      </c>
      <c r="N2266" s="13">
        <v>1</v>
      </c>
      <c r="O2266" s="13"/>
      <c r="P2266" s="33" t="str">
        <f t="shared" si="679"/>
        <v>MAIN UNIT</v>
      </c>
      <c r="Q2266" s="13" t="s">
        <v>61</v>
      </c>
      <c r="R2266" s="13" t="s">
        <v>62</v>
      </c>
      <c r="S2266" s="13" t="s">
        <v>49</v>
      </c>
      <c r="T2266" s="13" t="s">
        <v>78</v>
      </c>
      <c r="U2266" s="13" t="s">
        <v>79</v>
      </c>
      <c r="V2266" s="13" t="s">
        <v>126</v>
      </c>
      <c r="W2266" s="13" t="s">
        <v>109</v>
      </c>
      <c r="X2266" s="135">
        <v>7587500</v>
      </c>
      <c r="Y2266" s="157" t="str">
        <f t="shared" si="681"/>
        <v>1</v>
      </c>
      <c r="Z2266" s="18">
        <f t="shared" si="674"/>
        <v>7587500</v>
      </c>
      <c r="AA2266" s="13">
        <v>7.4499999999999997E-2</v>
      </c>
      <c r="AB2266" s="21">
        <f t="shared" si="680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59"/>
        <v>57778307.282035396</v>
      </c>
      <c r="AJ2266" s="19">
        <f t="shared" si="660"/>
        <v>7259860.7225420559</v>
      </c>
      <c r="AK2266" s="20">
        <f t="shared" si="668"/>
        <v>0.12565028406083667</v>
      </c>
      <c r="AL2266" s="17"/>
      <c r="AM2266" s="17"/>
      <c r="AN2266" s="17"/>
      <c r="AO2266" s="17"/>
      <c r="AP2266" s="28" t="str">
        <f t="shared" si="669"/>
        <v>20213</v>
      </c>
      <c r="AQ2266" s="28" t="str">
        <f t="shared" si="670"/>
        <v>20213JPY</v>
      </c>
      <c r="AR2266" s="206" t="str">
        <f t="shared" si="671"/>
        <v>YAMAHA_Mounter</v>
      </c>
      <c r="AS2266" s="22">
        <f t="shared" si="672"/>
        <v>3</v>
      </c>
      <c r="AT2266" s="24" t="str">
        <f t="shared" si="673"/>
        <v>0-3 months</v>
      </c>
      <c r="AU2266" s="22" t="s">
        <v>3746</v>
      </c>
    </row>
    <row r="2267" spans="1:47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48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1587</v>
      </c>
      <c r="K2267" s="155" t="s">
        <v>1588</v>
      </c>
      <c r="L2267" s="17" t="s">
        <v>67</v>
      </c>
      <c r="M2267" s="13" t="s">
        <v>60</v>
      </c>
      <c r="N2267" s="13">
        <v>1</v>
      </c>
      <c r="O2267" s="13"/>
      <c r="P2267" s="33" t="str">
        <f t="shared" si="679"/>
        <v>MAIN UNIT</v>
      </c>
      <c r="Q2267" s="13" t="s">
        <v>61</v>
      </c>
      <c r="R2267" s="13" t="s">
        <v>62</v>
      </c>
      <c r="S2267" s="13" t="s">
        <v>49</v>
      </c>
      <c r="T2267" s="13" t="s">
        <v>78</v>
      </c>
      <c r="U2267" s="13" t="s">
        <v>79</v>
      </c>
      <c r="V2267" s="13" t="s">
        <v>126</v>
      </c>
      <c r="W2267" s="13" t="s">
        <v>109</v>
      </c>
      <c r="X2267" s="135">
        <v>7587500</v>
      </c>
      <c r="Y2267" s="157" t="str">
        <f t="shared" si="681"/>
        <v>1</v>
      </c>
      <c r="Z2267" s="18">
        <f t="shared" si="674"/>
        <v>7587500</v>
      </c>
      <c r="AA2267" s="13">
        <v>7.4499999999999997E-2</v>
      </c>
      <c r="AB2267" s="21">
        <f t="shared" si="680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59"/>
        <v>57778307.282035396</v>
      </c>
      <c r="AJ2267" s="19">
        <f t="shared" si="660"/>
        <v>7259860.7225420559</v>
      </c>
      <c r="AK2267" s="20">
        <f t="shared" si="668"/>
        <v>0.12565028406083667</v>
      </c>
      <c r="AL2267" s="17"/>
      <c r="AM2267" s="17"/>
      <c r="AN2267" s="17"/>
      <c r="AO2267" s="17"/>
      <c r="AP2267" s="28" t="str">
        <f t="shared" si="669"/>
        <v>20213</v>
      </c>
      <c r="AQ2267" s="28" t="str">
        <f t="shared" si="670"/>
        <v>20213JPY</v>
      </c>
      <c r="AR2267" s="206" t="str">
        <f t="shared" si="671"/>
        <v>YAMAHA_Mounter</v>
      </c>
      <c r="AS2267" s="22">
        <f t="shared" si="672"/>
        <v>3</v>
      </c>
      <c r="AT2267" s="24" t="str">
        <f t="shared" si="673"/>
        <v>0-3 months</v>
      </c>
      <c r="AU2267" s="22" t="s">
        <v>3746</v>
      </c>
    </row>
    <row r="2268" spans="1:47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54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2019</v>
      </c>
      <c r="K2268" s="155" t="s">
        <v>2020</v>
      </c>
      <c r="L2268" s="17" t="s">
        <v>67</v>
      </c>
      <c r="M2268" s="13" t="s">
        <v>60</v>
      </c>
      <c r="N2268" s="13">
        <v>1</v>
      </c>
      <c r="O2268" s="13"/>
      <c r="P2268" s="33" t="str">
        <f t="shared" si="679"/>
        <v>MAIN UNIT</v>
      </c>
      <c r="Q2268" s="13" t="s">
        <v>61</v>
      </c>
      <c r="R2268" s="13" t="s">
        <v>62</v>
      </c>
      <c r="S2268" s="13" t="s">
        <v>49</v>
      </c>
      <c r="T2268" s="13" t="s">
        <v>78</v>
      </c>
      <c r="U2268" s="13" t="s">
        <v>79</v>
      </c>
      <c r="V2268" s="13" t="s">
        <v>126</v>
      </c>
      <c r="W2268" s="13" t="s">
        <v>109</v>
      </c>
      <c r="X2268" s="135">
        <v>8100000</v>
      </c>
      <c r="Y2268" s="157" t="str">
        <f t="shared" si="681"/>
        <v>1</v>
      </c>
      <c r="Z2268" s="18">
        <f t="shared" si="674"/>
        <v>8100000</v>
      </c>
      <c r="AA2268" s="13">
        <v>6.2799999999999995E-2</v>
      </c>
      <c r="AB2268" s="21">
        <f t="shared" si="680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59"/>
        <v>44014086.982070789</v>
      </c>
      <c r="AJ2268" s="19">
        <f t="shared" si="660"/>
        <v>6419974.0221889298</v>
      </c>
      <c r="AK2268" s="20">
        <f t="shared" si="668"/>
        <v>0.14586180158193709</v>
      </c>
      <c r="AL2268" s="17"/>
      <c r="AM2268" s="17"/>
      <c r="AN2268" s="17"/>
      <c r="AO2268" s="17"/>
      <c r="AP2268" s="28" t="str">
        <f t="shared" si="669"/>
        <v>20225</v>
      </c>
      <c r="AQ2268" s="28" t="str">
        <f t="shared" si="670"/>
        <v>20225JPY</v>
      </c>
      <c r="AR2268" s="206" t="str">
        <f t="shared" si="671"/>
        <v>YAMAHA_Mounter</v>
      </c>
      <c r="AS2268" s="22">
        <f t="shared" si="672"/>
        <v>6</v>
      </c>
      <c r="AT2268" s="24" t="str">
        <f t="shared" si="673"/>
        <v>4-6 months</v>
      </c>
      <c r="AU2268" s="22" t="s">
        <v>3746</v>
      </c>
    </row>
    <row r="2269" spans="1:47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54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2019</v>
      </c>
      <c r="K2269" s="155" t="s">
        <v>2020</v>
      </c>
      <c r="L2269" s="17" t="s">
        <v>67</v>
      </c>
      <c r="M2269" s="13" t="s">
        <v>60</v>
      </c>
      <c r="N2269" s="13">
        <v>1</v>
      </c>
      <c r="O2269" s="13"/>
      <c r="P2269" s="33" t="str">
        <f t="shared" si="679"/>
        <v>MAIN UNIT</v>
      </c>
      <c r="Q2269" s="13" t="s">
        <v>61</v>
      </c>
      <c r="R2269" s="13" t="s">
        <v>62</v>
      </c>
      <c r="S2269" s="13" t="s">
        <v>49</v>
      </c>
      <c r="T2269" s="13" t="s">
        <v>78</v>
      </c>
      <c r="U2269" s="13" t="s">
        <v>79</v>
      </c>
      <c r="V2269" s="13" t="s">
        <v>126</v>
      </c>
      <c r="W2269" s="13" t="s">
        <v>109</v>
      </c>
      <c r="X2269" s="135">
        <v>8100000</v>
      </c>
      <c r="Y2269" s="157" t="str">
        <f t="shared" si="681"/>
        <v>1</v>
      </c>
      <c r="Z2269" s="18">
        <f t="shared" si="674"/>
        <v>8100000</v>
      </c>
      <c r="AA2269" s="13">
        <v>6.2799999999999995E-2</v>
      </c>
      <c r="AB2269" s="21">
        <f t="shared" si="680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59"/>
        <v>44014086.982070789</v>
      </c>
      <c r="AJ2269" s="19">
        <f t="shared" si="660"/>
        <v>6419974.0221889298</v>
      </c>
      <c r="AK2269" s="20">
        <f t="shared" si="668"/>
        <v>0.14586180158193709</v>
      </c>
      <c r="AL2269" s="17"/>
      <c r="AM2269" s="17"/>
      <c r="AN2269" s="17"/>
      <c r="AO2269" s="17"/>
      <c r="AP2269" s="28" t="str">
        <f t="shared" si="669"/>
        <v>20225</v>
      </c>
      <c r="AQ2269" s="28" t="str">
        <f t="shared" si="670"/>
        <v>20225JPY</v>
      </c>
      <c r="AR2269" s="206" t="str">
        <f t="shared" si="671"/>
        <v>YAMAHA_Mounter</v>
      </c>
      <c r="AS2269" s="22">
        <f t="shared" si="672"/>
        <v>6</v>
      </c>
      <c r="AT2269" s="24" t="str">
        <f t="shared" si="673"/>
        <v>4-6 months</v>
      </c>
      <c r="AU2269" s="22" t="s">
        <v>3746</v>
      </c>
    </row>
    <row r="2270" spans="1:47" s="12" customFormat="1">
      <c r="A2270" s="33" t="str">
        <f t="shared" si="661"/>
        <v>cancel</v>
      </c>
      <c r="B2270" s="152"/>
      <c r="C2270" s="152" t="s">
        <v>185</v>
      </c>
      <c r="D2270" s="33" t="str">
        <f t="shared" si="662"/>
        <v/>
      </c>
      <c r="E2270" s="33" t="s">
        <v>185</v>
      </c>
      <c r="F2270" s="13" t="s">
        <v>185</v>
      </c>
      <c r="G2270" s="152" t="s">
        <v>185</v>
      </c>
      <c r="H2270" s="155"/>
      <c r="I2270" s="33" t="str">
        <f t="shared" si="663"/>
        <v>Cancel</v>
      </c>
      <c r="J2270" s="186" t="s">
        <v>2676</v>
      </c>
      <c r="K2270" s="155" t="s">
        <v>2677</v>
      </c>
      <c r="L2270" s="17" t="s">
        <v>67</v>
      </c>
      <c r="M2270" s="13" t="s">
        <v>60</v>
      </c>
      <c r="N2270" s="13">
        <v>1</v>
      </c>
      <c r="O2270" s="13"/>
      <c r="P2270" s="33" t="str">
        <f t="shared" si="679"/>
        <v>MAIN UNIT</v>
      </c>
      <c r="Q2270" s="13" t="s">
        <v>61</v>
      </c>
      <c r="R2270" s="13" t="s">
        <v>260</v>
      </c>
      <c r="S2270" s="13" t="s">
        <v>261</v>
      </c>
      <c r="T2270" s="13" t="s">
        <v>2678</v>
      </c>
      <c r="U2270" s="13" t="s">
        <v>79</v>
      </c>
      <c r="V2270" s="13" t="s">
        <v>285</v>
      </c>
      <c r="W2270" s="13" t="s">
        <v>693</v>
      </c>
      <c r="X2270" s="135">
        <v>9100000</v>
      </c>
      <c r="Y2270" s="156">
        <v>1</v>
      </c>
      <c r="Z2270" s="18">
        <f t="shared" si="674"/>
        <v>9100000</v>
      </c>
      <c r="AA2270" s="13">
        <v>7.5200000000000003E-2</v>
      </c>
      <c r="AB2270" s="21">
        <f t="shared" si="680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59"/>
        <v>499582152.5142017</v>
      </c>
      <c r="AJ2270" s="19">
        <f t="shared" si="660"/>
        <v>59520528.679470733</v>
      </c>
      <c r="AK2270" s="20">
        <f t="shared" si="668"/>
        <v>0.11914062257814291</v>
      </c>
      <c r="AL2270" s="17"/>
      <c r="AM2270" s="17"/>
      <c r="AN2270" s="17"/>
      <c r="AO2270" s="17"/>
      <c r="AP2270" s="28" t="str">
        <f t="shared" si="669"/>
        <v>CancelCancel</v>
      </c>
      <c r="AQ2270" s="28" t="str">
        <f t="shared" si="670"/>
        <v>CancelCancelJPY</v>
      </c>
      <c r="AR2270" s="206" t="str">
        <f t="shared" si="671"/>
        <v>YAMAHA_Mounter</v>
      </c>
      <c r="AS2270" s="22" t="str">
        <f t="shared" si="672"/>
        <v/>
      </c>
      <c r="AT2270" s="24" t="str">
        <f t="shared" si="673"/>
        <v/>
      </c>
      <c r="AU2270" s="22" t="s">
        <v>3240</v>
      </c>
    </row>
    <row r="2271" spans="1:47" s="12" customFormat="1">
      <c r="A2271" s="33" t="str">
        <f t="shared" si="661"/>
        <v>cancel</v>
      </c>
      <c r="B2271" s="152"/>
      <c r="C2271" s="152" t="s">
        <v>185</v>
      </c>
      <c r="D2271" s="33" t="str">
        <f t="shared" si="662"/>
        <v/>
      </c>
      <c r="E2271" s="33" t="s">
        <v>185</v>
      </c>
      <c r="F2271" s="13" t="s">
        <v>185</v>
      </c>
      <c r="G2271" s="152" t="s">
        <v>185</v>
      </c>
      <c r="H2271" s="155"/>
      <c r="I2271" s="33" t="str">
        <f t="shared" si="663"/>
        <v>Cancel</v>
      </c>
      <c r="J2271" s="186" t="s">
        <v>2679</v>
      </c>
      <c r="K2271" s="155" t="s">
        <v>2677</v>
      </c>
      <c r="L2271" s="17" t="s">
        <v>67</v>
      </c>
      <c r="M2271" s="13" t="s">
        <v>60</v>
      </c>
      <c r="N2271" s="13">
        <v>1</v>
      </c>
      <c r="O2271" s="13"/>
      <c r="P2271" s="33" t="str">
        <f t="shared" si="679"/>
        <v>MAIN UNIT</v>
      </c>
      <c r="Q2271" s="13" t="s">
        <v>61</v>
      </c>
      <c r="R2271" s="13" t="s">
        <v>260</v>
      </c>
      <c r="S2271" s="13" t="s">
        <v>261</v>
      </c>
      <c r="T2271" s="13" t="s">
        <v>2678</v>
      </c>
      <c r="U2271" s="13" t="s">
        <v>79</v>
      </c>
      <c r="V2271" s="13" t="s">
        <v>285</v>
      </c>
      <c r="W2271" s="13" t="s">
        <v>693</v>
      </c>
      <c r="X2271" s="135">
        <v>9100000</v>
      </c>
      <c r="Y2271" s="156">
        <v>1</v>
      </c>
      <c r="Z2271" s="18">
        <f t="shared" si="674"/>
        <v>9100000</v>
      </c>
      <c r="AA2271" s="13">
        <v>7.5200000000000003E-2</v>
      </c>
      <c r="AB2271" s="21">
        <f t="shared" si="680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59"/>
        <v>499582152.5142017</v>
      </c>
      <c r="AJ2271" s="19">
        <f t="shared" si="660"/>
        <v>59520528.679470733</v>
      </c>
      <c r="AK2271" s="20">
        <f t="shared" si="668"/>
        <v>0.11914062257814291</v>
      </c>
      <c r="AL2271" s="17"/>
      <c r="AM2271" s="17"/>
      <c r="AN2271" s="17"/>
      <c r="AO2271" s="17"/>
      <c r="AP2271" s="28" t="str">
        <f t="shared" si="669"/>
        <v>CancelCancel</v>
      </c>
      <c r="AQ2271" s="28" t="str">
        <f t="shared" si="670"/>
        <v>CancelCancelJPY</v>
      </c>
      <c r="AR2271" s="206" t="str">
        <f t="shared" si="671"/>
        <v>YAMAHA_Mounter</v>
      </c>
      <c r="AS2271" s="22" t="str">
        <f t="shared" si="672"/>
        <v/>
      </c>
      <c r="AT2271" s="24" t="str">
        <f t="shared" si="673"/>
        <v/>
      </c>
      <c r="AU2271" s="22" t="s">
        <v>3240</v>
      </c>
    </row>
    <row r="2272" spans="1:47" s="12" customFormat="1">
      <c r="A2272" s="33" t="str">
        <f t="shared" si="661"/>
        <v>cancel</v>
      </c>
      <c r="B2272" s="152"/>
      <c r="C2272" s="152" t="s">
        <v>185</v>
      </c>
      <c r="D2272" s="33" t="str">
        <f t="shared" si="662"/>
        <v/>
      </c>
      <c r="E2272" s="33" t="s">
        <v>185</v>
      </c>
      <c r="F2272" s="13" t="s">
        <v>185</v>
      </c>
      <c r="G2272" s="152" t="s">
        <v>185</v>
      </c>
      <c r="H2272" s="155"/>
      <c r="I2272" s="33" t="str">
        <f t="shared" si="663"/>
        <v>Cancel</v>
      </c>
      <c r="J2272" s="186" t="s">
        <v>2676</v>
      </c>
      <c r="K2272" s="155" t="s">
        <v>2677</v>
      </c>
      <c r="L2272" s="17" t="s">
        <v>67</v>
      </c>
      <c r="M2272" s="13" t="s">
        <v>60</v>
      </c>
      <c r="N2272" s="13">
        <v>1</v>
      </c>
      <c r="O2272" s="13"/>
      <c r="P2272" s="33" t="str">
        <f t="shared" si="679"/>
        <v>MAIN UNIT</v>
      </c>
      <c r="Q2272" s="13" t="s">
        <v>61</v>
      </c>
      <c r="R2272" s="13" t="s">
        <v>260</v>
      </c>
      <c r="S2272" s="13" t="s">
        <v>261</v>
      </c>
      <c r="T2272" s="13" t="s">
        <v>2678</v>
      </c>
      <c r="U2272" s="13" t="s">
        <v>79</v>
      </c>
      <c r="V2272" s="13" t="s">
        <v>285</v>
      </c>
      <c r="W2272" s="13" t="s">
        <v>693</v>
      </c>
      <c r="X2272" s="135">
        <v>9100000</v>
      </c>
      <c r="Y2272" s="156">
        <v>1</v>
      </c>
      <c r="Z2272" s="18">
        <f t="shared" si="674"/>
        <v>9100000</v>
      </c>
      <c r="AA2272" s="13">
        <v>7.5200000000000003E-2</v>
      </c>
      <c r="AB2272" s="21">
        <f t="shared" si="680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59"/>
        <v>499582152.5142017</v>
      </c>
      <c r="AJ2272" s="19">
        <f t="shared" si="660"/>
        <v>59520528.679470733</v>
      </c>
      <c r="AK2272" s="20">
        <f t="shared" si="668"/>
        <v>0.11914062257814291</v>
      </c>
      <c r="AL2272" s="17"/>
      <c r="AM2272" s="17"/>
      <c r="AN2272" s="17"/>
      <c r="AO2272" s="17"/>
      <c r="AP2272" s="28" t="str">
        <f t="shared" si="669"/>
        <v>CancelCancel</v>
      </c>
      <c r="AQ2272" s="28" t="str">
        <f t="shared" si="670"/>
        <v>CancelCancelJPY</v>
      </c>
      <c r="AR2272" s="206" t="str">
        <f t="shared" si="671"/>
        <v>YAMAHA_Mounter</v>
      </c>
      <c r="AS2272" s="22" t="str">
        <f t="shared" si="672"/>
        <v/>
      </c>
      <c r="AT2272" s="24" t="str">
        <f t="shared" si="673"/>
        <v/>
      </c>
      <c r="AU2272" s="22" t="s">
        <v>3240</v>
      </c>
    </row>
    <row r="2273" spans="1:47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3169</v>
      </c>
      <c r="K2273" s="29" t="s">
        <v>1419</v>
      </c>
      <c r="L2273" s="17" t="s">
        <v>92</v>
      </c>
      <c r="M2273" s="22" t="s">
        <v>60</v>
      </c>
      <c r="N2273" s="22">
        <v>1</v>
      </c>
      <c r="O2273" s="22"/>
      <c r="P2273" s="33" t="str">
        <f t="shared" si="679"/>
        <v>MAIN UNIT</v>
      </c>
      <c r="Q2273" s="13" t="s">
        <v>61</v>
      </c>
      <c r="R2273" s="22" t="s">
        <v>62</v>
      </c>
      <c r="S2273" s="22" t="s">
        <v>49</v>
      </c>
      <c r="T2273" s="22" t="s">
        <v>78</v>
      </c>
      <c r="U2273" s="22" t="s">
        <v>78</v>
      </c>
      <c r="V2273" s="22" t="s">
        <v>80</v>
      </c>
      <c r="W2273" s="22" t="s">
        <v>64</v>
      </c>
      <c r="X2273" s="30">
        <v>635000</v>
      </c>
      <c r="Y2273" s="31" t="str">
        <f>IF(W2273="","",IF(W2273="RMB","1.13", "1"))</f>
        <v>1.13</v>
      </c>
      <c r="Z2273" s="18">
        <f t="shared" si="674"/>
        <v>635000</v>
      </c>
      <c r="AA2273" s="22">
        <v>1.075</v>
      </c>
      <c r="AB2273" s="21">
        <f t="shared" si="680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59"/>
        <v>25458266.694690265</v>
      </c>
      <c r="AJ2273" s="27">
        <f t="shared" si="660"/>
        <v>4116526.778578762</v>
      </c>
      <c r="AK2273" s="28">
        <f t="shared" si="668"/>
        <v>0.16169705612508689</v>
      </c>
      <c r="AL2273" s="24"/>
      <c r="AM2273" s="24"/>
      <c r="AN2273" s="24"/>
      <c r="AO2273" s="24"/>
      <c r="AP2273" s="28" t="str">
        <f t="shared" si="669"/>
        <v>20247</v>
      </c>
      <c r="AQ2273" s="28" t="str">
        <f t="shared" si="670"/>
        <v>20247RMB</v>
      </c>
      <c r="AR2273" s="206" t="str">
        <f t="shared" si="671"/>
        <v>YAMAHA_Mounter</v>
      </c>
      <c r="AS2273" s="22">
        <f t="shared" si="672"/>
        <v>5</v>
      </c>
      <c r="AT2273" s="24" t="str">
        <f t="shared" si="673"/>
        <v>4-6 months</v>
      </c>
      <c r="AU2273" s="22" t="s">
        <v>3751</v>
      </c>
    </row>
    <row r="2274" spans="1:47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53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1822</v>
      </c>
      <c r="K2274" s="155" t="s">
        <v>1823</v>
      </c>
      <c r="L2274" s="17" t="s">
        <v>92</v>
      </c>
      <c r="M2274" s="13" t="s">
        <v>60</v>
      </c>
      <c r="N2274" s="13">
        <v>1</v>
      </c>
      <c r="O2274" s="13"/>
      <c r="P2274" s="33" t="str">
        <f t="shared" si="679"/>
        <v>MAIN UNIT</v>
      </c>
      <c r="Q2274" s="13" t="s">
        <v>68</v>
      </c>
      <c r="R2274" s="13" t="s">
        <v>62</v>
      </c>
      <c r="S2274" s="13" t="s">
        <v>49</v>
      </c>
      <c r="T2274" s="13" t="s">
        <v>78</v>
      </c>
      <c r="U2274" s="13" t="s">
        <v>79</v>
      </c>
      <c r="V2274" s="13" t="s">
        <v>112</v>
      </c>
      <c r="W2274" s="13" t="s">
        <v>109</v>
      </c>
      <c r="X2274" s="135">
        <v>12400000</v>
      </c>
      <c r="Y2274" s="157" t="str">
        <f>IF(W2274="RMB","1.13", "1")</f>
        <v>1</v>
      </c>
      <c r="Z2274" s="18">
        <f t="shared" si="674"/>
        <v>12400000</v>
      </c>
      <c r="AA2274" s="13">
        <v>7.17E-2</v>
      </c>
      <c r="AB2274" s="21">
        <f t="shared" si="680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59"/>
        <v>41443303.53761062</v>
      </c>
      <c r="AJ2274" s="19">
        <f t="shared" si="660"/>
        <v>6194988.76643031</v>
      </c>
      <c r="AK2274" s="20">
        <f t="shared" si="668"/>
        <v>0.1494810557466355</v>
      </c>
      <c r="AL2274" s="17"/>
      <c r="AM2274" s="17"/>
      <c r="AN2274" s="17"/>
      <c r="AO2274" s="17"/>
      <c r="AP2274" s="28" t="str">
        <f t="shared" si="669"/>
        <v>20217</v>
      </c>
      <c r="AQ2274" s="28" t="str">
        <f t="shared" si="670"/>
        <v>20217JPY</v>
      </c>
      <c r="AR2274" s="206" t="str">
        <f t="shared" si="671"/>
        <v>YAMAHA_Mounter</v>
      </c>
      <c r="AS2274" s="22">
        <f t="shared" si="672"/>
        <v>4</v>
      </c>
      <c r="AT2274" s="24" t="str">
        <f t="shared" si="673"/>
        <v>4-6 months</v>
      </c>
      <c r="AU2274" s="22" t="s">
        <v>3745</v>
      </c>
    </row>
    <row r="2275" spans="1:47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48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1270</v>
      </c>
      <c r="K2275" s="155" t="s">
        <v>1271</v>
      </c>
      <c r="L2275" s="17" t="s">
        <v>92</v>
      </c>
      <c r="M2275" s="13" t="s">
        <v>60</v>
      </c>
      <c r="N2275" s="13">
        <v>1</v>
      </c>
      <c r="O2275" s="13"/>
      <c r="P2275" s="33" t="str">
        <f t="shared" si="679"/>
        <v>MAIN UNIT</v>
      </c>
      <c r="Q2275" s="13" t="s">
        <v>61</v>
      </c>
      <c r="R2275" s="13" t="s">
        <v>62</v>
      </c>
      <c r="S2275" s="13" t="s">
        <v>49</v>
      </c>
      <c r="T2275" s="13" t="s">
        <v>839</v>
      </c>
      <c r="U2275" s="13" t="s">
        <v>79</v>
      </c>
      <c r="V2275" s="13" t="s">
        <v>126</v>
      </c>
      <c r="W2275" s="13" t="s">
        <v>64</v>
      </c>
      <c r="X2275" s="135">
        <v>1031822</v>
      </c>
      <c r="Y2275" s="156">
        <v>1.1299999999999999</v>
      </c>
      <c r="Z2275" s="18">
        <f t="shared" si="674"/>
        <v>1031822</v>
      </c>
      <c r="AA2275" s="13">
        <v>1.095</v>
      </c>
      <c r="AB2275" s="21">
        <f t="shared" si="680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59"/>
        <v>28065694.408805311</v>
      </c>
      <c r="AJ2275" s="19">
        <f t="shared" si="660"/>
        <v>4157433.2906989697</v>
      </c>
      <c r="AK2275" s="20">
        <f t="shared" si="668"/>
        <v>0.14813220831602228</v>
      </c>
      <c r="AL2275" s="17"/>
      <c r="AM2275" s="17"/>
      <c r="AN2275" s="17"/>
      <c r="AO2275" s="17"/>
      <c r="AP2275" s="28" t="str">
        <f t="shared" si="669"/>
        <v>20205</v>
      </c>
      <c r="AQ2275" s="28" t="str">
        <f t="shared" si="670"/>
        <v>20205RMB</v>
      </c>
      <c r="AR2275" s="206" t="str">
        <f t="shared" si="671"/>
        <v>YAMAHA_Mounter</v>
      </c>
      <c r="AS2275" s="22">
        <f t="shared" si="672"/>
        <v>2</v>
      </c>
      <c r="AT2275" s="24" t="str">
        <f t="shared" si="673"/>
        <v>0-3 months</v>
      </c>
      <c r="AU2275" s="22" t="s">
        <v>3744</v>
      </c>
    </row>
    <row r="2276" spans="1:47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3382</v>
      </c>
      <c r="K2276" s="29" t="s">
        <v>2420</v>
      </c>
      <c r="L2276" s="17" t="s">
        <v>92</v>
      </c>
      <c r="M2276" s="22" t="s">
        <v>60</v>
      </c>
      <c r="N2276" s="22">
        <v>1</v>
      </c>
      <c r="O2276" s="22"/>
      <c r="P2276" s="33" t="str">
        <f t="shared" si="679"/>
        <v>MAIN UNIT</v>
      </c>
      <c r="Q2276" s="13" t="s">
        <v>61</v>
      </c>
      <c r="R2276" s="22" t="s">
        <v>62</v>
      </c>
      <c r="S2276" s="22" t="s">
        <v>49</v>
      </c>
      <c r="T2276" s="22" t="s">
        <v>78</v>
      </c>
      <c r="U2276" s="22" t="s">
        <v>839</v>
      </c>
      <c r="V2276" s="22" t="s">
        <v>112</v>
      </c>
      <c r="W2276" s="22" t="s">
        <v>64</v>
      </c>
      <c r="X2276" s="30">
        <v>1075000</v>
      </c>
      <c r="Y2276" s="31" t="str">
        <f t="shared" ref="Y2276:Y2303" si="682">IF(W2276="","",IF(W2276="RMB","1.13", "1"))</f>
        <v>1.13</v>
      </c>
      <c r="Z2276" s="18">
        <f t="shared" si="674"/>
        <v>1075000</v>
      </c>
      <c r="AA2276" s="22">
        <v>1.075</v>
      </c>
      <c r="AB2276" s="21">
        <f t="shared" si="680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59"/>
        <v>25458266.694690265</v>
      </c>
      <c r="AJ2276" s="27">
        <f t="shared" si="660"/>
        <v>4116526.778578762</v>
      </c>
      <c r="AK2276" s="28">
        <f t="shared" si="668"/>
        <v>0.16169705612508689</v>
      </c>
      <c r="AL2276" s="24"/>
      <c r="AM2276" s="24"/>
      <c r="AN2276" s="24"/>
      <c r="AO2276" s="24"/>
      <c r="AP2276" s="28" t="str">
        <f t="shared" si="669"/>
        <v>20247</v>
      </c>
      <c r="AQ2276" s="28" t="str">
        <f t="shared" si="670"/>
        <v>20247RMB</v>
      </c>
      <c r="AR2276" s="206" t="str">
        <f t="shared" si="671"/>
        <v>YAMAHA_Mounter</v>
      </c>
      <c r="AS2276" s="22">
        <f t="shared" si="672"/>
        <v>3</v>
      </c>
      <c r="AT2276" s="24" t="str">
        <f t="shared" si="673"/>
        <v>0-3 months</v>
      </c>
      <c r="AU2276" s="22" t="s">
        <v>3751</v>
      </c>
    </row>
    <row r="2277" spans="1:47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3382</v>
      </c>
      <c r="K2277" s="29" t="s">
        <v>2420</v>
      </c>
      <c r="L2277" s="17" t="s">
        <v>92</v>
      </c>
      <c r="M2277" s="22" t="s">
        <v>60</v>
      </c>
      <c r="N2277" s="22">
        <v>1</v>
      </c>
      <c r="O2277" s="22"/>
      <c r="P2277" s="33" t="str">
        <f t="shared" si="679"/>
        <v>MAIN UNIT</v>
      </c>
      <c r="Q2277" s="13" t="s">
        <v>61</v>
      </c>
      <c r="R2277" s="22" t="s">
        <v>62</v>
      </c>
      <c r="S2277" s="22" t="s">
        <v>49</v>
      </c>
      <c r="T2277" s="22" t="s">
        <v>78</v>
      </c>
      <c r="U2277" s="22" t="s">
        <v>839</v>
      </c>
      <c r="V2277" s="22" t="s">
        <v>112</v>
      </c>
      <c r="W2277" s="22" t="s">
        <v>64</v>
      </c>
      <c r="X2277" s="30">
        <v>1075000</v>
      </c>
      <c r="Y2277" s="31" t="str">
        <f t="shared" si="682"/>
        <v>1.13</v>
      </c>
      <c r="Z2277" s="18">
        <f t="shared" si="674"/>
        <v>1075000</v>
      </c>
      <c r="AA2277" s="22">
        <v>1.075</v>
      </c>
      <c r="AB2277" s="21">
        <f t="shared" si="680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59"/>
        <v>25458266.694690265</v>
      </c>
      <c r="AJ2277" s="27">
        <f t="shared" si="660"/>
        <v>4116526.778578762</v>
      </c>
      <c r="AK2277" s="28">
        <f t="shared" si="668"/>
        <v>0.16169705612508689</v>
      </c>
      <c r="AL2277" s="24"/>
      <c r="AM2277" s="24"/>
      <c r="AN2277" s="24"/>
      <c r="AO2277" s="24"/>
      <c r="AP2277" s="28" t="str">
        <f t="shared" si="669"/>
        <v>20247</v>
      </c>
      <c r="AQ2277" s="28" t="str">
        <f t="shared" si="670"/>
        <v>20247RMB</v>
      </c>
      <c r="AR2277" s="206" t="str">
        <f t="shared" si="671"/>
        <v>YAMAHA_Mounter</v>
      </c>
      <c r="AS2277" s="22">
        <f t="shared" si="672"/>
        <v>3</v>
      </c>
      <c r="AT2277" s="24" t="str">
        <f t="shared" si="673"/>
        <v>0-3 months</v>
      </c>
      <c r="AU2277" s="22" t="s">
        <v>3751</v>
      </c>
    </row>
    <row r="2278" spans="1:47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3382</v>
      </c>
      <c r="K2278" s="29" t="s">
        <v>2420</v>
      </c>
      <c r="L2278" s="17" t="s">
        <v>92</v>
      </c>
      <c r="M2278" s="22" t="s">
        <v>60</v>
      </c>
      <c r="N2278" s="22">
        <v>1</v>
      </c>
      <c r="O2278" s="22"/>
      <c r="P2278" s="33" t="str">
        <f t="shared" si="679"/>
        <v>MAIN UNIT</v>
      </c>
      <c r="Q2278" s="13" t="s">
        <v>61</v>
      </c>
      <c r="R2278" s="22" t="s">
        <v>62</v>
      </c>
      <c r="S2278" s="22" t="s">
        <v>49</v>
      </c>
      <c r="T2278" s="22" t="s">
        <v>78</v>
      </c>
      <c r="U2278" s="22" t="s">
        <v>839</v>
      </c>
      <c r="V2278" s="22" t="s">
        <v>112</v>
      </c>
      <c r="W2278" s="22" t="s">
        <v>64</v>
      </c>
      <c r="X2278" s="30">
        <v>1075000</v>
      </c>
      <c r="Y2278" s="31" t="str">
        <f t="shared" si="682"/>
        <v>1.13</v>
      </c>
      <c r="Z2278" s="18">
        <f t="shared" si="674"/>
        <v>1075000</v>
      </c>
      <c r="AA2278" s="22">
        <v>1.075</v>
      </c>
      <c r="AB2278" s="21">
        <f t="shared" si="680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59"/>
        <v>25458266.694690265</v>
      </c>
      <c r="AJ2278" s="27">
        <f t="shared" si="660"/>
        <v>4116526.778578762</v>
      </c>
      <c r="AK2278" s="28">
        <f t="shared" si="668"/>
        <v>0.16169705612508689</v>
      </c>
      <c r="AL2278" s="24"/>
      <c r="AM2278" s="24"/>
      <c r="AN2278" s="24"/>
      <c r="AO2278" s="24"/>
      <c r="AP2278" s="28" t="str">
        <f t="shared" si="669"/>
        <v>20247</v>
      </c>
      <c r="AQ2278" s="28" t="str">
        <f t="shared" si="670"/>
        <v>20247RMB</v>
      </c>
      <c r="AR2278" s="206" t="str">
        <f t="shared" si="671"/>
        <v>YAMAHA_Mounter</v>
      </c>
      <c r="AS2278" s="22">
        <f t="shared" si="672"/>
        <v>3</v>
      </c>
      <c r="AT2278" s="24" t="str">
        <f t="shared" si="673"/>
        <v>0-3 months</v>
      </c>
      <c r="AU2278" s="22" t="s">
        <v>3751</v>
      </c>
    </row>
    <row r="2279" spans="1:47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3382</v>
      </c>
      <c r="K2279" s="29" t="s">
        <v>2420</v>
      </c>
      <c r="L2279" s="17" t="s">
        <v>92</v>
      </c>
      <c r="M2279" s="22" t="s">
        <v>60</v>
      </c>
      <c r="N2279" s="22">
        <v>1</v>
      </c>
      <c r="O2279" s="22"/>
      <c r="P2279" s="33" t="str">
        <f t="shared" si="679"/>
        <v>MAIN UNIT</v>
      </c>
      <c r="Q2279" s="13" t="s">
        <v>61</v>
      </c>
      <c r="R2279" s="22" t="s">
        <v>62</v>
      </c>
      <c r="S2279" s="22" t="s">
        <v>49</v>
      </c>
      <c r="T2279" s="22" t="s">
        <v>78</v>
      </c>
      <c r="U2279" s="22" t="s">
        <v>839</v>
      </c>
      <c r="V2279" s="22" t="s">
        <v>112</v>
      </c>
      <c r="W2279" s="22" t="s">
        <v>64</v>
      </c>
      <c r="X2279" s="30">
        <v>1075000</v>
      </c>
      <c r="Y2279" s="31" t="str">
        <f t="shared" si="682"/>
        <v>1.13</v>
      </c>
      <c r="Z2279" s="18">
        <f t="shared" si="674"/>
        <v>1075000</v>
      </c>
      <c r="AA2279" s="22">
        <v>1.075</v>
      </c>
      <c r="AB2279" s="21">
        <f t="shared" si="680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59"/>
        <v>25458266.694690265</v>
      </c>
      <c r="AJ2279" s="27">
        <f t="shared" si="660"/>
        <v>4116526.778578762</v>
      </c>
      <c r="AK2279" s="28">
        <f t="shared" si="668"/>
        <v>0.16169705612508689</v>
      </c>
      <c r="AL2279" s="24"/>
      <c r="AM2279" s="24"/>
      <c r="AN2279" s="24"/>
      <c r="AO2279" s="24"/>
      <c r="AP2279" s="28" t="str">
        <f t="shared" si="669"/>
        <v>20247</v>
      </c>
      <c r="AQ2279" s="28" t="str">
        <f t="shared" si="670"/>
        <v>20247RMB</v>
      </c>
      <c r="AR2279" s="206" t="str">
        <f t="shared" si="671"/>
        <v>YAMAHA_Mounter</v>
      </c>
      <c r="AS2279" s="22">
        <f t="shared" si="672"/>
        <v>3</v>
      </c>
      <c r="AT2279" s="24" t="str">
        <f t="shared" si="673"/>
        <v>0-3 months</v>
      </c>
      <c r="AU2279" s="22" t="s">
        <v>3751</v>
      </c>
    </row>
    <row r="2280" spans="1:47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3172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3383</v>
      </c>
      <c r="K2280" s="29" t="s">
        <v>3384</v>
      </c>
      <c r="L2280" s="17" t="s">
        <v>67</v>
      </c>
      <c r="M2280" s="22" t="s">
        <v>60</v>
      </c>
      <c r="N2280" s="22">
        <v>1</v>
      </c>
      <c r="O2280" s="22"/>
      <c r="P2280" s="33" t="str">
        <f t="shared" si="679"/>
        <v>MAIN UNIT</v>
      </c>
      <c r="Q2280" s="13" t="s">
        <v>68</v>
      </c>
      <c r="R2280" s="22" t="s">
        <v>62</v>
      </c>
      <c r="S2280" s="22" t="s">
        <v>49</v>
      </c>
      <c r="T2280" s="22" t="s">
        <v>78</v>
      </c>
      <c r="U2280" s="22" t="s">
        <v>78</v>
      </c>
      <c r="V2280" s="22" t="s">
        <v>311</v>
      </c>
      <c r="W2280" s="22" t="s">
        <v>109</v>
      </c>
      <c r="X2280" s="225">
        <v>9403500</v>
      </c>
      <c r="Y2280" s="31" t="str">
        <f t="shared" si="682"/>
        <v>1</v>
      </c>
      <c r="Z2280" s="18">
        <f t="shared" si="674"/>
        <v>9403500</v>
      </c>
      <c r="AA2280" s="22">
        <v>4.9500000000000002E-2</v>
      </c>
      <c r="AB2280" s="21">
        <f t="shared" si="680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59"/>
        <v>25458266.694690265</v>
      </c>
      <c r="AJ2280" s="27">
        <f t="shared" si="660"/>
        <v>4116526.778578762</v>
      </c>
      <c r="AK2280" s="28">
        <f t="shared" si="668"/>
        <v>0.16169705612508689</v>
      </c>
      <c r="AL2280" s="24"/>
      <c r="AM2280" s="24"/>
      <c r="AN2280" s="24"/>
      <c r="AO2280" s="24"/>
      <c r="AP2280" s="28" t="str">
        <f t="shared" si="669"/>
        <v>20247</v>
      </c>
      <c r="AQ2280" s="28" t="str">
        <f t="shared" si="670"/>
        <v>20247JPY</v>
      </c>
      <c r="AR2280" s="206" t="str">
        <f t="shared" si="671"/>
        <v>YAMAHA_Mounter</v>
      </c>
      <c r="AS2280" s="22">
        <f t="shared" si="672"/>
        <v>3</v>
      </c>
      <c r="AT2280" s="24" t="str">
        <f t="shared" si="673"/>
        <v>0-3 months</v>
      </c>
      <c r="AU2280" s="22" t="s">
        <v>3745</v>
      </c>
    </row>
    <row r="2281" spans="1:47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3172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3383</v>
      </c>
      <c r="K2281" s="29" t="s">
        <v>3384</v>
      </c>
      <c r="L2281" s="17" t="s">
        <v>67</v>
      </c>
      <c r="M2281" s="22" t="s">
        <v>60</v>
      </c>
      <c r="N2281" s="22">
        <v>1</v>
      </c>
      <c r="O2281" s="22"/>
      <c r="P2281" s="33" t="str">
        <f t="shared" si="679"/>
        <v>MAIN UNIT</v>
      </c>
      <c r="Q2281" s="13" t="s">
        <v>68</v>
      </c>
      <c r="R2281" s="22" t="s">
        <v>62</v>
      </c>
      <c r="S2281" s="22" t="s">
        <v>49</v>
      </c>
      <c r="T2281" s="22" t="s">
        <v>78</v>
      </c>
      <c r="U2281" s="22" t="s">
        <v>78</v>
      </c>
      <c r="V2281" s="22" t="s">
        <v>311</v>
      </c>
      <c r="W2281" s="22" t="s">
        <v>109</v>
      </c>
      <c r="X2281" s="225">
        <v>9403500</v>
      </c>
      <c r="Y2281" s="31" t="str">
        <f t="shared" si="682"/>
        <v>1</v>
      </c>
      <c r="Z2281" s="18">
        <f t="shared" si="674"/>
        <v>9403500</v>
      </c>
      <c r="AA2281" s="22">
        <v>4.9500000000000002E-2</v>
      </c>
      <c r="AB2281" s="21">
        <f t="shared" si="680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59"/>
        <v>25458266.694690265</v>
      </c>
      <c r="AJ2281" s="27">
        <f t="shared" si="660"/>
        <v>4116526.778578762</v>
      </c>
      <c r="AK2281" s="28">
        <f t="shared" si="668"/>
        <v>0.16169705612508689</v>
      </c>
      <c r="AL2281" s="24"/>
      <c r="AM2281" s="24"/>
      <c r="AN2281" s="24"/>
      <c r="AO2281" s="24"/>
      <c r="AP2281" s="28" t="str">
        <f t="shared" si="669"/>
        <v>20247</v>
      </c>
      <c r="AQ2281" s="28" t="str">
        <f t="shared" si="670"/>
        <v>20247JPY</v>
      </c>
      <c r="AR2281" s="206" t="str">
        <f t="shared" si="671"/>
        <v>YAMAHA_Mounter</v>
      </c>
      <c r="AS2281" s="22">
        <f t="shared" si="672"/>
        <v>3</v>
      </c>
      <c r="AT2281" s="24" t="str">
        <f t="shared" si="673"/>
        <v>0-3 months</v>
      </c>
      <c r="AU2281" s="22" t="s">
        <v>3745</v>
      </c>
    </row>
    <row r="2282" spans="1:47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3520</v>
      </c>
      <c r="K2282" s="29" t="s">
        <v>2442</v>
      </c>
      <c r="L2282" s="17" t="s">
        <v>92</v>
      </c>
      <c r="M2282" s="22" t="s">
        <v>60</v>
      </c>
      <c r="N2282" s="22">
        <v>1</v>
      </c>
      <c r="O2282" s="22"/>
      <c r="P2282" s="33" t="str">
        <f t="shared" si="679"/>
        <v>MAIN UNIT</v>
      </c>
      <c r="Q2282" s="13" t="s">
        <v>61</v>
      </c>
      <c r="R2282" s="22" t="s">
        <v>62</v>
      </c>
      <c r="S2282" s="22" t="s">
        <v>50</v>
      </c>
      <c r="T2282" s="22" t="s">
        <v>93</v>
      </c>
      <c r="U2282" s="22" t="s">
        <v>70</v>
      </c>
      <c r="V2282" s="22" t="s">
        <v>71</v>
      </c>
      <c r="W2282" s="22" t="s">
        <v>64</v>
      </c>
      <c r="X2282" s="30">
        <v>742000</v>
      </c>
      <c r="Y2282" s="31" t="str">
        <f t="shared" si="682"/>
        <v>1.13</v>
      </c>
      <c r="Z2282" s="18">
        <f t="shared" si="674"/>
        <v>742000</v>
      </c>
      <c r="AA2282" s="22">
        <v>1.075</v>
      </c>
      <c r="AB2282" s="21">
        <f t="shared" si="680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59"/>
        <v>25458266.694690265</v>
      </c>
      <c r="AJ2282" s="27">
        <f t="shared" si="660"/>
        <v>4116526.778578762</v>
      </c>
      <c r="AK2282" s="28">
        <f t="shared" si="668"/>
        <v>0.16169705612508689</v>
      </c>
      <c r="AL2282" s="24"/>
      <c r="AM2282" s="24"/>
      <c r="AN2282" s="24"/>
      <c r="AO2282" s="24"/>
      <c r="AP2282" s="28" t="str">
        <f t="shared" si="669"/>
        <v>20247</v>
      </c>
      <c r="AQ2282" s="28" t="str">
        <f t="shared" si="670"/>
        <v>20247RMB</v>
      </c>
      <c r="AR2282" s="206" t="str">
        <f t="shared" si="671"/>
        <v>YAMAHA_Mounter</v>
      </c>
      <c r="AS2282" s="22">
        <f t="shared" si="672"/>
        <v>3</v>
      </c>
      <c r="AT2282" s="24" t="str">
        <f t="shared" si="673"/>
        <v>0-3 months</v>
      </c>
      <c r="AU2282" s="22" t="s">
        <v>3240</v>
      </c>
    </row>
    <row r="2283" spans="1:47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3374</v>
      </c>
      <c r="K2283" s="29" t="s">
        <v>3375</v>
      </c>
      <c r="L2283" s="17" t="s">
        <v>67</v>
      </c>
      <c r="M2283" s="22" t="s">
        <v>60</v>
      </c>
      <c r="N2283" s="22">
        <v>1</v>
      </c>
      <c r="O2283" s="22"/>
      <c r="P2283" s="33" t="str">
        <f t="shared" si="679"/>
        <v>MAIN UNIT</v>
      </c>
      <c r="Q2283" s="13" t="s">
        <v>61</v>
      </c>
      <c r="R2283" s="22" t="s">
        <v>62</v>
      </c>
      <c r="S2283" s="22" t="s">
        <v>49</v>
      </c>
      <c r="T2283" s="22" t="s">
        <v>78</v>
      </c>
      <c r="U2283" s="22" t="s">
        <v>78</v>
      </c>
      <c r="V2283" s="22" t="s">
        <v>112</v>
      </c>
      <c r="W2283" s="22" t="s">
        <v>109</v>
      </c>
      <c r="X2283" s="30">
        <v>8430000</v>
      </c>
      <c r="Y2283" s="31" t="str">
        <f t="shared" si="682"/>
        <v>1</v>
      </c>
      <c r="Z2283" s="18">
        <f t="shared" si="674"/>
        <v>8430000</v>
      </c>
      <c r="AA2283" s="13">
        <v>4.9500000000000002E-2</v>
      </c>
      <c r="AB2283" s="21">
        <f t="shared" si="680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59"/>
        <v>25458266.694690265</v>
      </c>
      <c r="AJ2283" s="27">
        <f t="shared" si="660"/>
        <v>4116526.778578762</v>
      </c>
      <c r="AK2283" s="28">
        <f t="shared" si="668"/>
        <v>0.16169705612508689</v>
      </c>
      <c r="AL2283" s="24"/>
      <c r="AM2283" s="24"/>
      <c r="AN2283" s="24"/>
      <c r="AO2283" s="24"/>
      <c r="AP2283" s="28" t="str">
        <f t="shared" si="669"/>
        <v>20247</v>
      </c>
      <c r="AQ2283" s="28" t="str">
        <f t="shared" si="670"/>
        <v>20247JPY</v>
      </c>
      <c r="AR2283" s="206" t="str">
        <f t="shared" si="671"/>
        <v>YAMAHA_Mounter</v>
      </c>
      <c r="AS2283" s="22">
        <f t="shared" si="672"/>
        <v>3</v>
      </c>
      <c r="AT2283" s="24" t="str">
        <f t="shared" si="673"/>
        <v>0-3 months</v>
      </c>
      <c r="AU2283" s="22" t="s">
        <v>3745</v>
      </c>
    </row>
    <row r="2284" spans="1:47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3374</v>
      </c>
      <c r="K2284" s="29" t="s">
        <v>3375</v>
      </c>
      <c r="L2284" s="17" t="s">
        <v>67</v>
      </c>
      <c r="M2284" s="22" t="s">
        <v>60</v>
      </c>
      <c r="N2284" s="22">
        <v>1</v>
      </c>
      <c r="O2284" s="22"/>
      <c r="P2284" s="33" t="str">
        <f t="shared" si="679"/>
        <v>MAIN UNIT</v>
      </c>
      <c r="Q2284" s="13" t="s">
        <v>61</v>
      </c>
      <c r="R2284" s="22" t="s">
        <v>62</v>
      </c>
      <c r="S2284" s="22" t="s">
        <v>49</v>
      </c>
      <c r="T2284" s="22" t="s">
        <v>78</v>
      </c>
      <c r="U2284" s="22" t="s">
        <v>78</v>
      </c>
      <c r="V2284" s="22" t="s">
        <v>112</v>
      </c>
      <c r="W2284" s="22" t="s">
        <v>109</v>
      </c>
      <c r="X2284" s="30">
        <v>8430000</v>
      </c>
      <c r="Y2284" s="31" t="str">
        <f t="shared" si="682"/>
        <v>1</v>
      </c>
      <c r="Z2284" s="18">
        <f t="shared" si="674"/>
        <v>8430000</v>
      </c>
      <c r="AA2284" s="13">
        <v>4.9500000000000002E-2</v>
      </c>
      <c r="AB2284" s="21">
        <f t="shared" si="680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59"/>
        <v>25458266.694690265</v>
      </c>
      <c r="AJ2284" s="27">
        <f t="shared" si="660"/>
        <v>4116526.778578762</v>
      </c>
      <c r="AK2284" s="28">
        <f t="shared" si="668"/>
        <v>0.16169705612508689</v>
      </c>
      <c r="AL2284" s="24"/>
      <c r="AM2284" s="24"/>
      <c r="AN2284" s="24"/>
      <c r="AO2284" s="24"/>
      <c r="AP2284" s="28" t="str">
        <f t="shared" si="669"/>
        <v>20247</v>
      </c>
      <c r="AQ2284" s="28" t="str">
        <f t="shared" si="670"/>
        <v>20247JPY</v>
      </c>
      <c r="AR2284" s="206" t="str">
        <f t="shared" si="671"/>
        <v>YAMAHA_Mounter</v>
      </c>
      <c r="AS2284" s="22">
        <f t="shared" si="672"/>
        <v>3</v>
      </c>
      <c r="AT2284" s="24" t="str">
        <f t="shared" si="673"/>
        <v>0-3 months</v>
      </c>
      <c r="AU2284" s="22" t="s">
        <v>3745</v>
      </c>
    </row>
    <row r="2285" spans="1:47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3172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3460</v>
      </c>
      <c r="K2285" s="29" t="s">
        <v>1758</v>
      </c>
      <c r="L2285" s="17" t="s">
        <v>2620</v>
      </c>
      <c r="M2285" s="22" t="s">
        <v>60</v>
      </c>
      <c r="N2285" s="22">
        <v>1</v>
      </c>
      <c r="O2285" s="22"/>
      <c r="P2285" s="33" t="str">
        <f t="shared" si="679"/>
        <v>MAIN UNIT</v>
      </c>
      <c r="Q2285" s="22" t="s">
        <v>61</v>
      </c>
      <c r="R2285" s="22" t="s">
        <v>2055</v>
      </c>
      <c r="S2285" s="22" t="s">
        <v>50</v>
      </c>
      <c r="T2285" s="22" t="s">
        <v>101</v>
      </c>
      <c r="U2285" s="22" t="s">
        <v>70</v>
      </c>
      <c r="V2285" s="22" t="s">
        <v>102</v>
      </c>
      <c r="W2285" s="22" t="s">
        <v>64</v>
      </c>
      <c r="X2285" s="104">
        <v>330000</v>
      </c>
      <c r="Y2285" s="195" t="str">
        <f t="shared" si="682"/>
        <v>1.13</v>
      </c>
      <c r="Z2285" s="196">
        <f t="shared" si="674"/>
        <v>330000</v>
      </c>
      <c r="AA2285" s="22">
        <v>1.075</v>
      </c>
      <c r="AB2285" s="197">
        <f t="shared" si="680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59"/>
        <v>25458266.694690265</v>
      </c>
      <c r="AJ2285" s="200">
        <f t="shared" si="660"/>
        <v>4116526.778578762</v>
      </c>
      <c r="AK2285" s="201">
        <f t="shared" si="668"/>
        <v>0.16169705612508689</v>
      </c>
      <c r="AL2285" s="24"/>
      <c r="AM2285" s="24"/>
      <c r="AN2285" s="24"/>
      <c r="AO2285" s="24"/>
      <c r="AP2285" s="105" t="str">
        <f t="shared" si="669"/>
        <v>20247</v>
      </c>
      <c r="AQ2285" s="28" t="str">
        <f t="shared" si="670"/>
        <v>20247RMB</v>
      </c>
      <c r="AR2285" s="206" t="str">
        <f t="shared" si="671"/>
        <v>YAMAHA_Non_Mounter</v>
      </c>
      <c r="AS2285" s="22">
        <f t="shared" si="672"/>
        <v>2</v>
      </c>
      <c r="AT2285" s="24" t="str">
        <f t="shared" si="673"/>
        <v>0-3 months</v>
      </c>
      <c r="AU2285" s="22" t="s">
        <v>3240</v>
      </c>
    </row>
    <row r="2286" spans="1:47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3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3411</v>
      </c>
      <c r="K2286" s="29" t="s">
        <v>1830</v>
      </c>
      <c r="L2286" s="17" t="s">
        <v>92</v>
      </c>
      <c r="M2286" s="22" t="s">
        <v>60</v>
      </c>
      <c r="N2286" s="22">
        <v>1</v>
      </c>
      <c r="O2286" s="22"/>
      <c r="P2286" s="33" t="str">
        <f t="shared" si="679"/>
        <v>MAIN UNIT</v>
      </c>
      <c r="Q2286" s="13" t="s">
        <v>61</v>
      </c>
      <c r="R2286" s="22" t="s">
        <v>62</v>
      </c>
      <c r="S2286" s="22" t="s">
        <v>50</v>
      </c>
      <c r="T2286" s="22" t="s">
        <v>93</v>
      </c>
      <c r="U2286" s="22" t="s">
        <v>70</v>
      </c>
      <c r="V2286" s="22" t="s">
        <v>102</v>
      </c>
      <c r="W2286" s="22" t="s">
        <v>64</v>
      </c>
      <c r="X2286" s="30">
        <v>800000</v>
      </c>
      <c r="Y2286" s="31" t="str">
        <f t="shared" si="682"/>
        <v>1.13</v>
      </c>
      <c r="Z2286" s="18">
        <f t="shared" si="674"/>
        <v>800000</v>
      </c>
      <c r="AA2286" s="22">
        <v>1.075</v>
      </c>
      <c r="AB2286" s="21">
        <f t="shared" si="680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59"/>
        <v>25458266.694690265</v>
      </c>
      <c r="AJ2286" s="27">
        <f t="shared" si="660"/>
        <v>4116526.778578762</v>
      </c>
      <c r="AK2286" s="28">
        <f t="shared" si="668"/>
        <v>0.16169705612508689</v>
      </c>
      <c r="AL2286" s="24"/>
      <c r="AM2286" s="24"/>
      <c r="AN2286" s="24"/>
      <c r="AO2286" s="24"/>
      <c r="AP2286" s="28" t="str">
        <f t="shared" si="669"/>
        <v>20247</v>
      </c>
      <c r="AQ2286" s="28" t="str">
        <f t="shared" si="670"/>
        <v>20247RMB</v>
      </c>
      <c r="AR2286" s="206" t="str">
        <f t="shared" si="671"/>
        <v>YAMAHA_Mounter</v>
      </c>
      <c r="AS2286" s="22">
        <f t="shared" si="672"/>
        <v>3</v>
      </c>
      <c r="AT2286" s="24" t="str">
        <f t="shared" si="673"/>
        <v>0-3 months</v>
      </c>
      <c r="AU2286" s="22" t="s">
        <v>3240</v>
      </c>
    </row>
    <row r="2287" spans="1:47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3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3411</v>
      </c>
      <c r="K2287" s="29" t="s">
        <v>1830</v>
      </c>
      <c r="L2287" s="17" t="s">
        <v>92</v>
      </c>
      <c r="M2287" s="22" t="s">
        <v>60</v>
      </c>
      <c r="N2287" s="22">
        <v>1</v>
      </c>
      <c r="O2287" s="22"/>
      <c r="P2287" s="33" t="str">
        <f t="shared" si="679"/>
        <v>MAIN UNIT</v>
      </c>
      <c r="Q2287" s="13" t="s">
        <v>61</v>
      </c>
      <c r="R2287" s="22" t="s">
        <v>62</v>
      </c>
      <c r="S2287" s="22" t="s">
        <v>50</v>
      </c>
      <c r="T2287" s="22" t="s">
        <v>93</v>
      </c>
      <c r="U2287" s="22" t="s">
        <v>70</v>
      </c>
      <c r="V2287" s="22" t="s">
        <v>102</v>
      </c>
      <c r="W2287" s="22" t="s">
        <v>64</v>
      </c>
      <c r="X2287" s="30">
        <v>800000</v>
      </c>
      <c r="Y2287" s="31" t="str">
        <f t="shared" si="682"/>
        <v>1.13</v>
      </c>
      <c r="Z2287" s="18">
        <f t="shared" si="674"/>
        <v>800000</v>
      </c>
      <c r="AA2287" s="22">
        <v>1.075</v>
      </c>
      <c r="AB2287" s="21">
        <f t="shared" si="680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59"/>
        <v>25458266.694690265</v>
      </c>
      <c r="AJ2287" s="27">
        <f t="shared" si="660"/>
        <v>4116526.778578762</v>
      </c>
      <c r="AK2287" s="28">
        <f t="shared" si="668"/>
        <v>0.16169705612508689</v>
      </c>
      <c r="AL2287" s="24"/>
      <c r="AM2287" s="24"/>
      <c r="AN2287" s="24"/>
      <c r="AO2287" s="24"/>
      <c r="AP2287" s="28" t="str">
        <f t="shared" si="669"/>
        <v>20247</v>
      </c>
      <c r="AQ2287" s="28" t="str">
        <f t="shared" si="670"/>
        <v>20247RMB</v>
      </c>
      <c r="AR2287" s="206" t="str">
        <f t="shared" si="671"/>
        <v>YAMAHA_Mounter</v>
      </c>
      <c r="AS2287" s="22">
        <f t="shared" si="672"/>
        <v>3</v>
      </c>
      <c r="AT2287" s="24" t="str">
        <f t="shared" si="673"/>
        <v>0-3 months</v>
      </c>
      <c r="AU2287" s="22" t="s">
        <v>3240</v>
      </c>
    </row>
    <row r="2288" spans="1:47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3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3411</v>
      </c>
      <c r="K2288" s="29" t="s">
        <v>1830</v>
      </c>
      <c r="L2288" s="17" t="s">
        <v>92</v>
      </c>
      <c r="M2288" s="22" t="s">
        <v>60</v>
      </c>
      <c r="N2288" s="22">
        <v>1</v>
      </c>
      <c r="O2288" s="22"/>
      <c r="P2288" s="33" t="str">
        <f t="shared" si="679"/>
        <v>MAIN UNIT</v>
      </c>
      <c r="Q2288" s="13" t="s">
        <v>61</v>
      </c>
      <c r="R2288" s="22" t="s">
        <v>62</v>
      </c>
      <c r="S2288" s="22" t="s">
        <v>50</v>
      </c>
      <c r="T2288" s="22" t="s">
        <v>93</v>
      </c>
      <c r="U2288" s="22" t="s">
        <v>70</v>
      </c>
      <c r="V2288" s="22" t="s">
        <v>102</v>
      </c>
      <c r="W2288" s="22" t="s">
        <v>64</v>
      </c>
      <c r="X2288" s="30">
        <v>800000</v>
      </c>
      <c r="Y2288" s="31" t="str">
        <f t="shared" si="682"/>
        <v>1.13</v>
      </c>
      <c r="Z2288" s="18">
        <f t="shared" si="674"/>
        <v>800000</v>
      </c>
      <c r="AA2288" s="22">
        <v>1.075</v>
      </c>
      <c r="AB2288" s="21">
        <f t="shared" si="680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59"/>
        <v>25458266.694690265</v>
      </c>
      <c r="AJ2288" s="27">
        <f t="shared" si="660"/>
        <v>4116526.778578762</v>
      </c>
      <c r="AK2288" s="28">
        <f t="shared" si="668"/>
        <v>0.16169705612508689</v>
      </c>
      <c r="AL2288" s="24"/>
      <c r="AM2288" s="24"/>
      <c r="AN2288" s="24"/>
      <c r="AO2288" s="24"/>
      <c r="AP2288" s="28" t="str">
        <f t="shared" si="669"/>
        <v>20247</v>
      </c>
      <c r="AQ2288" s="28" t="str">
        <f t="shared" si="670"/>
        <v>20247RMB</v>
      </c>
      <c r="AR2288" s="206" t="str">
        <f t="shared" si="671"/>
        <v>YAMAHA_Mounter</v>
      </c>
      <c r="AS2288" s="22">
        <f t="shared" si="672"/>
        <v>3</v>
      </c>
      <c r="AT2288" s="24" t="str">
        <f t="shared" si="673"/>
        <v>0-3 months</v>
      </c>
      <c r="AU2288" s="22" t="s">
        <v>3240</v>
      </c>
    </row>
    <row r="2289" spans="1:47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3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3411</v>
      </c>
      <c r="K2289" s="29" t="s">
        <v>1830</v>
      </c>
      <c r="L2289" s="17" t="s">
        <v>67</v>
      </c>
      <c r="M2289" s="22" t="s">
        <v>60</v>
      </c>
      <c r="N2289" s="22">
        <v>1</v>
      </c>
      <c r="O2289" s="22"/>
      <c r="P2289" s="33" t="str">
        <f t="shared" si="679"/>
        <v>MAIN UNIT</v>
      </c>
      <c r="Q2289" s="13" t="s">
        <v>61</v>
      </c>
      <c r="R2289" s="22" t="s">
        <v>62</v>
      </c>
      <c r="S2289" s="22" t="s">
        <v>50</v>
      </c>
      <c r="T2289" s="22" t="s">
        <v>93</v>
      </c>
      <c r="U2289" s="22" t="s">
        <v>70</v>
      </c>
      <c r="V2289" s="22" t="s">
        <v>102</v>
      </c>
      <c r="W2289" s="22" t="s">
        <v>64</v>
      </c>
      <c r="X2289" s="30">
        <v>700000</v>
      </c>
      <c r="Y2289" s="31" t="str">
        <f t="shared" si="682"/>
        <v>1.13</v>
      </c>
      <c r="Z2289" s="18">
        <f t="shared" si="674"/>
        <v>700000</v>
      </c>
      <c r="AA2289" s="22">
        <v>1.075</v>
      </c>
      <c r="AB2289" s="21">
        <f t="shared" si="680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59"/>
        <v>25458266.694690265</v>
      </c>
      <c r="AJ2289" s="27">
        <f t="shared" si="660"/>
        <v>4116526.778578762</v>
      </c>
      <c r="AK2289" s="28">
        <f t="shared" si="668"/>
        <v>0.16169705612508689</v>
      </c>
      <c r="AL2289" s="24"/>
      <c r="AM2289" s="24"/>
      <c r="AN2289" s="24"/>
      <c r="AO2289" s="24"/>
      <c r="AP2289" s="28" t="str">
        <f t="shared" si="669"/>
        <v>20247</v>
      </c>
      <c r="AQ2289" s="28" t="str">
        <f t="shared" si="670"/>
        <v>20247RMB</v>
      </c>
      <c r="AR2289" s="206" t="str">
        <f t="shared" si="671"/>
        <v>YAMAHA_Mounter</v>
      </c>
      <c r="AS2289" s="22">
        <f t="shared" si="672"/>
        <v>3</v>
      </c>
      <c r="AT2289" s="24" t="str">
        <f t="shared" si="673"/>
        <v>0-3 months</v>
      </c>
      <c r="AU2289" s="22" t="s">
        <v>3240</v>
      </c>
    </row>
    <row r="2290" spans="1:47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3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3411</v>
      </c>
      <c r="K2290" s="29" t="s">
        <v>1830</v>
      </c>
      <c r="L2290" s="17" t="s">
        <v>67</v>
      </c>
      <c r="M2290" s="22" t="s">
        <v>60</v>
      </c>
      <c r="N2290" s="22">
        <v>1</v>
      </c>
      <c r="O2290" s="22"/>
      <c r="P2290" s="33" t="str">
        <f t="shared" si="679"/>
        <v>MAIN UNIT</v>
      </c>
      <c r="Q2290" s="13" t="s">
        <v>61</v>
      </c>
      <c r="R2290" s="22" t="s">
        <v>62</v>
      </c>
      <c r="S2290" s="22" t="s">
        <v>50</v>
      </c>
      <c r="T2290" s="22" t="s">
        <v>93</v>
      </c>
      <c r="U2290" s="22" t="s">
        <v>70</v>
      </c>
      <c r="V2290" s="22" t="s">
        <v>102</v>
      </c>
      <c r="W2290" s="22" t="s">
        <v>64</v>
      </c>
      <c r="X2290" s="30">
        <v>700000</v>
      </c>
      <c r="Y2290" s="31" t="str">
        <f t="shared" si="682"/>
        <v>1.13</v>
      </c>
      <c r="Z2290" s="18">
        <f t="shared" si="674"/>
        <v>700000</v>
      </c>
      <c r="AA2290" s="22">
        <v>1.075</v>
      </c>
      <c r="AB2290" s="21">
        <f t="shared" si="680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59"/>
        <v>25458266.694690265</v>
      </c>
      <c r="AJ2290" s="27">
        <f t="shared" si="660"/>
        <v>4116526.778578762</v>
      </c>
      <c r="AK2290" s="28">
        <f t="shared" si="668"/>
        <v>0.16169705612508689</v>
      </c>
      <c r="AL2290" s="24"/>
      <c r="AM2290" s="24"/>
      <c r="AN2290" s="24"/>
      <c r="AO2290" s="24"/>
      <c r="AP2290" s="28" t="str">
        <f t="shared" si="669"/>
        <v>20247</v>
      </c>
      <c r="AQ2290" s="28" t="str">
        <f t="shared" si="670"/>
        <v>20247RMB</v>
      </c>
      <c r="AR2290" s="206" t="str">
        <f t="shared" si="671"/>
        <v>YAMAHA_Mounter</v>
      </c>
      <c r="AS2290" s="22">
        <f t="shared" si="672"/>
        <v>3</v>
      </c>
      <c r="AT2290" s="24" t="str">
        <f t="shared" si="673"/>
        <v>0-3 months</v>
      </c>
      <c r="AU2290" s="22" t="s">
        <v>3240</v>
      </c>
    </row>
    <row r="2291" spans="1:47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3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3411</v>
      </c>
      <c r="K2291" s="29" t="s">
        <v>1830</v>
      </c>
      <c r="L2291" s="17" t="s">
        <v>67</v>
      </c>
      <c r="M2291" s="22" t="s">
        <v>60</v>
      </c>
      <c r="N2291" s="22">
        <v>1</v>
      </c>
      <c r="O2291" s="22"/>
      <c r="P2291" s="33" t="str">
        <f t="shared" si="679"/>
        <v>MAIN UNIT</v>
      </c>
      <c r="Q2291" s="13" t="s">
        <v>61</v>
      </c>
      <c r="R2291" s="22" t="s">
        <v>62</v>
      </c>
      <c r="S2291" s="22" t="s">
        <v>50</v>
      </c>
      <c r="T2291" s="22" t="s">
        <v>93</v>
      </c>
      <c r="U2291" s="22" t="s">
        <v>70</v>
      </c>
      <c r="V2291" s="22" t="s">
        <v>102</v>
      </c>
      <c r="W2291" s="22" t="s">
        <v>64</v>
      </c>
      <c r="X2291" s="30">
        <v>700000</v>
      </c>
      <c r="Y2291" s="31" t="str">
        <f t="shared" si="682"/>
        <v>1.13</v>
      </c>
      <c r="Z2291" s="18">
        <f t="shared" si="674"/>
        <v>700000</v>
      </c>
      <c r="AA2291" s="22">
        <v>1.075</v>
      </c>
      <c r="AB2291" s="21">
        <f t="shared" si="680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59"/>
        <v>25458266.694690265</v>
      </c>
      <c r="AJ2291" s="27">
        <f t="shared" si="660"/>
        <v>4116526.778578762</v>
      </c>
      <c r="AK2291" s="28">
        <f t="shared" si="668"/>
        <v>0.16169705612508689</v>
      </c>
      <c r="AL2291" s="24"/>
      <c r="AM2291" s="24"/>
      <c r="AN2291" s="24"/>
      <c r="AO2291" s="24"/>
      <c r="AP2291" s="28" t="str">
        <f t="shared" si="669"/>
        <v>20247</v>
      </c>
      <c r="AQ2291" s="28" t="str">
        <f t="shared" si="670"/>
        <v>20247RMB</v>
      </c>
      <c r="AR2291" s="206" t="str">
        <f t="shared" si="671"/>
        <v>YAMAHA_Mounter</v>
      </c>
      <c r="AS2291" s="22">
        <f t="shared" si="672"/>
        <v>3</v>
      </c>
      <c r="AT2291" s="24" t="str">
        <f t="shared" si="673"/>
        <v>0-3 months</v>
      </c>
      <c r="AU2291" s="22" t="s">
        <v>3240</v>
      </c>
    </row>
    <row r="2292" spans="1:47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3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3374</v>
      </c>
      <c r="K2292" s="29" t="s">
        <v>3375</v>
      </c>
      <c r="L2292" s="17" t="s">
        <v>2620</v>
      </c>
      <c r="M2292" s="22" t="s">
        <v>60</v>
      </c>
      <c r="N2292" s="22">
        <v>1</v>
      </c>
      <c r="O2292" s="22"/>
      <c r="P2292" s="33" t="str">
        <f t="shared" si="679"/>
        <v>MAIN UNIT</v>
      </c>
      <c r="Q2292" s="13" t="s">
        <v>61</v>
      </c>
      <c r="R2292" s="22" t="s">
        <v>2055</v>
      </c>
      <c r="S2292" s="22" t="s">
        <v>49</v>
      </c>
      <c r="T2292" s="22" t="s">
        <v>78</v>
      </c>
      <c r="U2292" s="22" t="s">
        <v>78</v>
      </c>
      <c r="V2292" s="22" t="s">
        <v>112</v>
      </c>
      <c r="W2292" s="22" t="s">
        <v>109</v>
      </c>
      <c r="X2292" s="30">
        <v>8976000</v>
      </c>
      <c r="Y2292" s="31" t="str">
        <f t="shared" si="682"/>
        <v>1</v>
      </c>
      <c r="Z2292" s="18">
        <f t="shared" si="674"/>
        <v>8976000</v>
      </c>
      <c r="AA2292" s="22">
        <v>4.9500000000000002E-2</v>
      </c>
      <c r="AB2292" s="21">
        <f t="shared" si="680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59"/>
        <v>25458266.694690265</v>
      </c>
      <c r="AJ2292" s="27">
        <f t="shared" si="660"/>
        <v>4116526.778578762</v>
      </c>
      <c r="AK2292" s="28">
        <f t="shared" si="668"/>
        <v>0.16169705612508689</v>
      </c>
      <c r="AL2292" s="24"/>
      <c r="AM2292" s="24"/>
      <c r="AN2292" s="24"/>
      <c r="AO2292" s="24"/>
      <c r="AP2292" s="28" t="str">
        <f t="shared" si="669"/>
        <v>20247</v>
      </c>
      <c r="AQ2292" s="28" t="str">
        <f t="shared" si="670"/>
        <v>20247JPY</v>
      </c>
      <c r="AR2292" s="206" t="str">
        <f t="shared" si="671"/>
        <v>YAMAHA_Non_Mounter</v>
      </c>
      <c r="AS2292" s="22">
        <f t="shared" si="672"/>
        <v>3</v>
      </c>
      <c r="AT2292" s="24" t="str">
        <f t="shared" si="673"/>
        <v>0-3 months</v>
      </c>
      <c r="AU2292" s="22" t="s">
        <v>3745</v>
      </c>
    </row>
    <row r="2293" spans="1:47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3172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3470</v>
      </c>
      <c r="K2293" s="29" t="s">
        <v>1973</v>
      </c>
      <c r="L2293" s="17" t="s">
        <v>2620</v>
      </c>
      <c r="M2293" s="22" t="s">
        <v>60</v>
      </c>
      <c r="N2293" s="22">
        <v>1</v>
      </c>
      <c r="O2293" s="22"/>
      <c r="P2293" s="33" t="str">
        <f t="shared" si="679"/>
        <v>MAIN UNIT</v>
      </c>
      <c r="Q2293" s="22" t="s">
        <v>61</v>
      </c>
      <c r="R2293" s="22" t="s">
        <v>2055</v>
      </c>
      <c r="S2293" s="22" t="s">
        <v>49</v>
      </c>
      <c r="T2293" s="22" t="s">
        <v>78</v>
      </c>
      <c r="U2293" s="22" t="s">
        <v>78</v>
      </c>
      <c r="V2293" s="22" t="s">
        <v>121</v>
      </c>
      <c r="W2293" s="22" t="s">
        <v>109</v>
      </c>
      <c r="X2293" s="104">
        <v>7800000</v>
      </c>
      <c r="Y2293" s="195" t="str">
        <f t="shared" si="682"/>
        <v>1</v>
      </c>
      <c r="Z2293" s="196">
        <f t="shared" si="674"/>
        <v>7800000</v>
      </c>
      <c r="AA2293" s="22">
        <v>4.9500000000000002E-2</v>
      </c>
      <c r="AB2293" s="197">
        <f t="shared" si="680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59"/>
        <v>25458266.694690265</v>
      </c>
      <c r="AJ2293" s="200">
        <f t="shared" si="660"/>
        <v>4116526.778578762</v>
      </c>
      <c r="AK2293" s="201">
        <f t="shared" si="668"/>
        <v>0.16169705612508689</v>
      </c>
      <c r="AL2293" s="24"/>
      <c r="AM2293" s="24"/>
      <c r="AN2293" s="24"/>
      <c r="AO2293" s="24"/>
      <c r="AP2293" s="105" t="str">
        <f t="shared" si="669"/>
        <v>20247</v>
      </c>
      <c r="AQ2293" s="28" t="str">
        <f t="shared" si="670"/>
        <v>20247JPY</v>
      </c>
      <c r="AR2293" s="206" t="str">
        <f t="shared" si="671"/>
        <v>YAMAHA_Non_Mounter</v>
      </c>
      <c r="AS2293" s="22">
        <f t="shared" si="672"/>
        <v>1</v>
      </c>
      <c r="AT2293" s="24" t="str">
        <f t="shared" si="673"/>
        <v>0-3 months</v>
      </c>
      <c r="AU2293" s="22" t="s">
        <v>3746</v>
      </c>
    </row>
    <row r="2294" spans="1:47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3172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3470</v>
      </c>
      <c r="K2294" s="29" t="s">
        <v>1973</v>
      </c>
      <c r="L2294" s="17" t="s">
        <v>2620</v>
      </c>
      <c r="M2294" s="22" t="s">
        <v>60</v>
      </c>
      <c r="N2294" s="22">
        <v>1</v>
      </c>
      <c r="O2294" s="22"/>
      <c r="P2294" s="33" t="str">
        <f t="shared" si="679"/>
        <v>MAIN UNIT</v>
      </c>
      <c r="Q2294" s="22" t="s">
        <v>61</v>
      </c>
      <c r="R2294" s="22" t="s">
        <v>2055</v>
      </c>
      <c r="S2294" s="22" t="s">
        <v>49</v>
      </c>
      <c r="T2294" s="22" t="s">
        <v>78</v>
      </c>
      <c r="U2294" s="22" t="s">
        <v>78</v>
      </c>
      <c r="V2294" s="22" t="s">
        <v>121</v>
      </c>
      <c r="W2294" s="22" t="s">
        <v>109</v>
      </c>
      <c r="X2294" s="104">
        <v>7800000</v>
      </c>
      <c r="Y2294" s="195" t="str">
        <f t="shared" si="682"/>
        <v>1</v>
      </c>
      <c r="Z2294" s="196">
        <f t="shared" si="674"/>
        <v>7800000</v>
      </c>
      <c r="AA2294" s="22">
        <v>4.9500000000000002E-2</v>
      </c>
      <c r="AB2294" s="197">
        <f t="shared" si="680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59"/>
        <v>25458266.694690265</v>
      </c>
      <c r="AJ2294" s="200">
        <f t="shared" si="660"/>
        <v>4116526.778578762</v>
      </c>
      <c r="AK2294" s="201">
        <f t="shared" si="668"/>
        <v>0.16169705612508689</v>
      </c>
      <c r="AL2294" s="24"/>
      <c r="AM2294" s="24"/>
      <c r="AN2294" s="24"/>
      <c r="AO2294" s="24"/>
      <c r="AP2294" s="105" t="str">
        <f t="shared" si="669"/>
        <v>20247</v>
      </c>
      <c r="AQ2294" s="28" t="str">
        <f t="shared" si="670"/>
        <v>20247JPY</v>
      </c>
      <c r="AR2294" s="206" t="str">
        <f t="shared" si="671"/>
        <v>YAMAHA_Non_Mounter</v>
      </c>
      <c r="AS2294" s="22">
        <f t="shared" si="672"/>
        <v>1</v>
      </c>
      <c r="AT2294" s="24" t="str">
        <f t="shared" si="673"/>
        <v>0-3 months</v>
      </c>
      <c r="AU2294" s="22" t="s">
        <v>3746</v>
      </c>
    </row>
    <row r="2295" spans="1:47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3172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3449</v>
      </c>
      <c r="K2295" s="29" t="s">
        <v>3455</v>
      </c>
      <c r="L2295" s="17" t="s">
        <v>92</v>
      </c>
      <c r="M2295" s="22" t="s">
        <v>60</v>
      </c>
      <c r="N2295" s="22">
        <v>1</v>
      </c>
      <c r="O2295" s="22"/>
      <c r="P2295" s="33" t="str">
        <f t="shared" si="679"/>
        <v>MAIN UNIT</v>
      </c>
      <c r="Q2295" s="22" t="s">
        <v>68</v>
      </c>
      <c r="R2295" s="22" t="s">
        <v>62</v>
      </c>
      <c r="S2295" s="22" t="s">
        <v>50</v>
      </c>
      <c r="T2295" s="22" t="s">
        <v>88</v>
      </c>
      <c r="U2295" s="22" t="s">
        <v>70</v>
      </c>
      <c r="V2295" s="22" t="s">
        <v>1400</v>
      </c>
      <c r="W2295" s="22" t="s">
        <v>64</v>
      </c>
      <c r="X2295" s="104">
        <v>643000</v>
      </c>
      <c r="Y2295" s="195" t="str">
        <f t="shared" si="682"/>
        <v>1.13</v>
      </c>
      <c r="Z2295" s="196">
        <f t="shared" si="674"/>
        <v>643000</v>
      </c>
      <c r="AA2295" s="22">
        <v>1.075</v>
      </c>
      <c r="AB2295" s="197">
        <f t="shared" si="680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59"/>
        <v>25458266.694690265</v>
      </c>
      <c r="AJ2295" s="200">
        <f t="shared" si="660"/>
        <v>4116526.778578762</v>
      </c>
      <c r="AK2295" s="201">
        <f t="shared" si="668"/>
        <v>0.16169705612508689</v>
      </c>
      <c r="AL2295" s="24"/>
      <c r="AM2295" s="24"/>
      <c r="AN2295" s="24"/>
      <c r="AO2295" s="24"/>
      <c r="AP2295" s="105" t="str">
        <f t="shared" si="669"/>
        <v>20247</v>
      </c>
      <c r="AQ2295" s="28" t="str">
        <f t="shared" si="670"/>
        <v>20247RMB</v>
      </c>
      <c r="AR2295" s="206" t="str">
        <f t="shared" si="671"/>
        <v>YAMAHA_Mounter</v>
      </c>
      <c r="AS2295" s="22">
        <f t="shared" si="672"/>
        <v>2</v>
      </c>
      <c r="AT2295" s="24" t="str">
        <f t="shared" si="673"/>
        <v>0-3 months</v>
      </c>
      <c r="AU2295" s="22" t="s">
        <v>3240</v>
      </c>
    </row>
    <row r="2296" spans="1:47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3172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3449</v>
      </c>
      <c r="K2296" s="29" t="s">
        <v>3455</v>
      </c>
      <c r="L2296" s="17" t="s">
        <v>67</v>
      </c>
      <c r="M2296" s="22" t="s">
        <v>60</v>
      </c>
      <c r="N2296" s="22">
        <v>1</v>
      </c>
      <c r="O2296" s="22"/>
      <c r="P2296" s="33" t="str">
        <f t="shared" si="679"/>
        <v>MAIN UNIT</v>
      </c>
      <c r="Q2296" s="22" t="s">
        <v>68</v>
      </c>
      <c r="R2296" s="22" t="s">
        <v>62</v>
      </c>
      <c r="S2296" s="22" t="s">
        <v>50</v>
      </c>
      <c r="T2296" s="22" t="s">
        <v>88</v>
      </c>
      <c r="U2296" s="22" t="s">
        <v>70</v>
      </c>
      <c r="V2296" s="22" t="s">
        <v>1400</v>
      </c>
      <c r="W2296" s="22" t="s">
        <v>64</v>
      </c>
      <c r="X2296" s="104">
        <v>643000</v>
      </c>
      <c r="Y2296" s="195" t="str">
        <f t="shared" si="682"/>
        <v>1.13</v>
      </c>
      <c r="Z2296" s="196">
        <f t="shared" si="674"/>
        <v>643000</v>
      </c>
      <c r="AA2296" s="22">
        <v>1.075</v>
      </c>
      <c r="AB2296" s="197">
        <f t="shared" si="680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59"/>
        <v>25458266.694690265</v>
      </c>
      <c r="AJ2296" s="200">
        <f t="shared" si="660"/>
        <v>4116526.778578762</v>
      </c>
      <c r="AK2296" s="201">
        <f t="shared" si="668"/>
        <v>0.16169705612508689</v>
      </c>
      <c r="AL2296" s="24"/>
      <c r="AM2296" s="24"/>
      <c r="AN2296" s="24"/>
      <c r="AO2296" s="24"/>
      <c r="AP2296" s="105" t="str">
        <f t="shared" si="669"/>
        <v>20247</v>
      </c>
      <c r="AQ2296" s="28" t="str">
        <f t="shared" si="670"/>
        <v>20247RMB</v>
      </c>
      <c r="AR2296" s="206" t="str">
        <f t="shared" si="671"/>
        <v>YAMAHA_Mounter</v>
      </c>
      <c r="AS2296" s="22">
        <f t="shared" si="672"/>
        <v>2</v>
      </c>
      <c r="AT2296" s="24" t="str">
        <f t="shared" si="673"/>
        <v>0-3 months</v>
      </c>
      <c r="AU2296" s="22" t="s">
        <v>3240</v>
      </c>
    </row>
    <row r="2297" spans="1:47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3172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3450</v>
      </c>
      <c r="K2297" s="29" t="s">
        <v>1692</v>
      </c>
      <c r="L2297" s="17" t="s">
        <v>92</v>
      </c>
      <c r="M2297" s="22" t="s">
        <v>60</v>
      </c>
      <c r="N2297" s="22">
        <v>1</v>
      </c>
      <c r="O2297" s="22"/>
      <c r="P2297" s="33" t="str">
        <f t="shared" si="679"/>
        <v>MAIN UNIT</v>
      </c>
      <c r="Q2297" s="22" t="s">
        <v>61</v>
      </c>
      <c r="R2297" s="22" t="s">
        <v>62</v>
      </c>
      <c r="S2297" s="22" t="s">
        <v>50</v>
      </c>
      <c r="T2297" s="22" t="s">
        <v>194</v>
      </c>
      <c r="U2297" s="22" t="s">
        <v>70</v>
      </c>
      <c r="V2297" s="22" t="s">
        <v>94</v>
      </c>
      <c r="W2297" s="22" t="s">
        <v>64</v>
      </c>
      <c r="X2297" s="104">
        <v>630000</v>
      </c>
      <c r="Y2297" s="195" t="str">
        <f t="shared" si="682"/>
        <v>1.13</v>
      </c>
      <c r="Z2297" s="196">
        <f t="shared" si="674"/>
        <v>630000</v>
      </c>
      <c r="AA2297" s="22">
        <v>1.075</v>
      </c>
      <c r="AB2297" s="197">
        <f t="shared" si="680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59"/>
        <v>25458266.694690265</v>
      </c>
      <c r="AJ2297" s="200">
        <f t="shared" si="660"/>
        <v>4116526.778578762</v>
      </c>
      <c r="AK2297" s="201">
        <f t="shared" si="668"/>
        <v>0.16169705612508689</v>
      </c>
      <c r="AL2297" s="24"/>
      <c r="AM2297" s="24"/>
      <c r="AN2297" s="24"/>
      <c r="AO2297" s="24"/>
      <c r="AP2297" s="105" t="str">
        <f t="shared" si="669"/>
        <v>20247</v>
      </c>
      <c r="AQ2297" s="28" t="str">
        <f t="shared" si="670"/>
        <v>20247RMB</v>
      </c>
      <c r="AR2297" s="206" t="str">
        <f t="shared" si="671"/>
        <v>YAMAHA_Mounter</v>
      </c>
      <c r="AS2297" s="22">
        <f t="shared" si="672"/>
        <v>2</v>
      </c>
      <c r="AT2297" s="24" t="str">
        <f t="shared" si="673"/>
        <v>0-3 months</v>
      </c>
      <c r="AU2297" s="22" t="s">
        <v>3240</v>
      </c>
    </row>
    <row r="2298" spans="1:47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3172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3452</v>
      </c>
      <c r="K2298" s="29" t="s">
        <v>3511</v>
      </c>
      <c r="L2298" s="17" t="s">
        <v>3453</v>
      </c>
      <c r="M2298" s="22" t="s">
        <v>2607</v>
      </c>
      <c r="N2298" s="22">
        <v>1</v>
      </c>
      <c r="O2298" s="22"/>
      <c r="P2298" s="33" t="str">
        <f t="shared" si="679"/>
        <v>MAIN UNIT</v>
      </c>
      <c r="Q2298" s="22" t="s">
        <v>61</v>
      </c>
      <c r="R2298" s="22" t="s">
        <v>2055</v>
      </c>
      <c r="S2298" s="22" t="s">
        <v>50</v>
      </c>
      <c r="T2298" s="22" t="s">
        <v>88</v>
      </c>
      <c r="U2298" s="22" t="s">
        <v>70</v>
      </c>
      <c r="V2298" s="22" t="s">
        <v>102</v>
      </c>
      <c r="W2298" s="22" t="s">
        <v>64</v>
      </c>
      <c r="X2298" s="104">
        <v>335000</v>
      </c>
      <c r="Y2298" s="195" t="str">
        <f t="shared" si="682"/>
        <v>1.13</v>
      </c>
      <c r="Z2298" s="196">
        <f t="shared" si="674"/>
        <v>335000</v>
      </c>
      <c r="AA2298" s="22">
        <v>1.075</v>
      </c>
      <c r="AB2298" s="197">
        <f t="shared" si="680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59"/>
        <v>25458266.694690265</v>
      </c>
      <c r="AJ2298" s="200">
        <f t="shared" si="660"/>
        <v>4116526.778578762</v>
      </c>
      <c r="AK2298" s="201">
        <f t="shared" si="668"/>
        <v>0.16169705612508689</v>
      </c>
      <c r="AL2298" s="24"/>
      <c r="AM2298" s="24"/>
      <c r="AN2298" s="24"/>
      <c r="AO2298" s="24"/>
      <c r="AP2298" s="105" t="str">
        <f t="shared" si="669"/>
        <v>20247</v>
      </c>
      <c r="AQ2298" s="28" t="str">
        <f t="shared" si="670"/>
        <v>20247RMB</v>
      </c>
      <c r="AR2298" s="206" t="str">
        <f t="shared" si="671"/>
        <v>HELLER</v>
      </c>
      <c r="AS2298" s="22">
        <f t="shared" si="672"/>
        <v>2</v>
      </c>
      <c r="AT2298" s="24" t="str">
        <f t="shared" si="673"/>
        <v>0-3 months</v>
      </c>
      <c r="AU2298" s="22" t="s">
        <v>3240</v>
      </c>
    </row>
    <row r="2299" spans="1:47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3324</v>
      </c>
      <c r="K2299" s="29" t="s">
        <v>3163</v>
      </c>
      <c r="L2299" s="17" t="s">
        <v>2620</v>
      </c>
      <c r="M2299" s="22" t="s">
        <v>60</v>
      </c>
      <c r="N2299" s="22">
        <v>1</v>
      </c>
      <c r="O2299" s="22"/>
      <c r="P2299" s="33" t="str">
        <f t="shared" si="679"/>
        <v>MAIN UNIT</v>
      </c>
      <c r="Q2299" s="13" t="s">
        <v>61</v>
      </c>
      <c r="R2299" s="22" t="s">
        <v>2055</v>
      </c>
      <c r="S2299" s="22" t="s">
        <v>49</v>
      </c>
      <c r="T2299" s="22" t="s">
        <v>78</v>
      </c>
      <c r="U2299" s="22" t="s">
        <v>2533</v>
      </c>
      <c r="V2299" s="22" t="s">
        <v>126</v>
      </c>
      <c r="W2299" s="22" t="s">
        <v>109</v>
      </c>
      <c r="X2299" s="30">
        <v>7800000</v>
      </c>
      <c r="Y2299" s="31" t="str">
        <f t="shared" si="682"/>
        <v>1</v>
      </c>
      <c r="Z2299" s="18">
        <f t="shared" si="674"/>
        <v>7800000</v>
      </c>
      <c r="AA2299" s="13">
        <v>5.5599999999999997E-2</v>
      </c>
      <c r="AB2299" s="21">
        <f t="shared" si="680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59"/>
        <v>22758096.38940867</v>
      </c>
      <c r="AJ2299" s="27">
        <f t="shared" si="660"/>
        <v>2469357.2298956565</v>
      </c>
      <c r="AK2299" s="28">
        <f t="shared" si="668"/>
        <v>0.10850455976822666</v>
      </c>
      <c r="AL2299" s="24"/>
      <c r="AM2299" s="24"/>
      <c r="AN2299" s="24"/>
      <c r="AO2299" s="24"/>
      <c r="AP2299" s="28" t="str">
        <f t="shared" si="669"/>
        <v>202410</v>
      </c>
      <c r="AQ2299" s="28" t="str">
        <f t="shared" si="670"/>
        <v>202410JPY</v>
      </c>
      <c r="AR2299" s="206" t="str">
        <f t="shared" si="671"/>
        <v>YAMAHA_Non_Mounter</v>
      </c>
      <c r="AS2299" s="22">
        <f t="shared" si="672"/>
        <v>7</v>
      </c>
      <c r="AT2299" s="24" t="str">
        <f t="shared" si="673"/>
        <v>&gt; 6 months</v>
      </c>
      <c r="AU2299" s="22" t="s">
        <v>3745</v>
      </c>
    </row>
    <row r="2300" spans="1:47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3324</v>
      </c>
      <c r="K2300" s="29" t="s">
        <v>3163</v>
      </c>
      <c r="L2300" s="17" t="s">
        <v>2620</v>
      </c>
      <c r="M2300" s="22" t="s">
        <v>60</v>
      </c>
      <c r="N2300" s="22">
        <v>1</v>
      </c>
      <c r="O2300" s="22"/>
      <c r="P2300" s="33" t="str">
        <f t="shared" si="679"/>
        <v>MAIN UNIT</v>
      </c>
      <c r="Q2300" s="13" t="s">
        <v>61</v>
      </c>
      <c r="R2300" s="22" t="s">
        <v>2055</v>
      </c>
      <c r="S2300" s="22" t="s">
        <v>49</v>
      </c>
      <c r="T2300" s="22" t="s">
        <v>78</v>
      </c>
      <c r="U2300" s="22" t="s">
        <v>2533</v>
      </c>
      <c r="V2300" s="22" t="s">
        <v>126</v>
      </c>
      <c r="W2300" s="22" t="s">
        <v>109</v>
      </c>
      <c r="X2300" s="30">
        <v>7800000</v>
      </c>
      <c r="Y2300" s="31" t="str">
        <f t="shared" si="682"/>
        <v>1</v>
      </c>
      <c r="Z2300" s="18">
        <f t="shared" si="674"/>
        <v>7800000</v>
      </c>
      <c r="AA2300" s="13">
        <v>5.5599999999999997E-2</v>
      </c>
      <c r="AB2300" s="21">
        <f t="shared" si="680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59"/>
        <v>22758096.38940867</v>
      </c>
      <c r="AJ2300" s="27">
        <f t="shared" si="660"/>
        <v>2469357.2298956565</v>
      </c>
      <c r="AK2300" s="28">
        <f t="shared" si="668"/>
        <v>0.10850455976822666</v>
      </c>
      <c r="AL2300" s="24"/>
      <c r="AM2300" s="24"/>
      <c r="AN2300" s="24"/>
      <c r="AO2300" s="24"/>
      <c r="AP2300" s="28" t="str">
        <f t="shared" si="669"/>
        <v>202410</v>
      </c>
      <c r="AQ2300" s="28" t="str">
        <f t="shared" si="670"/>
        <v>202410JPY</v>
      </c>
      <c r="AR2300" s="206" t="str">
        <f t="shared" si="671"/>
        <v>YAMAHA_Non_Mounter</v>
      </c>
      <c r="AS2300" s="22">
        <f t="shared" si="672"/>
        <v>7</v>
      </c>
      <c r="AT2300" s="24" t="str">
        <f t="shared" si="673"/>
        <v>&gt; 6 months</v>
      </c>
      <c r="AU2300" s="22" t="s">
        <v>3745</v>
      </c>
    </row>
    <row r="2301" spans="1:47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3172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3445</v>
      </c>
      <c r="K2301" s="29" t="s">
        <v>1634</v>
      </c>
      <c r="L2301" s="17" t="s">
        <v>67</v>
      </c>
      <c r="M2301" s="22" t="s">
        <v>60</v>
      </c>
      <c r="N2301" s="22">
        <v>1</v>
      </c>
      <c r="O2301" s="22"/>
      <c r="P2301" s="33" t="str">
        <f t="shared" si="679"/>
        <v>MAIN UNIT</v>
      </c>
      <c r="Q2301" s="22" t="s">
        <v>61</v>
      </c>
      <c r="R2301" s="22" t="s">
        <v>62</v>
      </c>
      <c r="S2301" s="22" t="s">
        <v>49</v>
      </c>
      <c r="T2301" s="22" t="s">
        <v>78</v>
      </c>
      <c r="U2301" s="22" t="s">
        <v>78</v>
      </c>
      <c r="V2301" s="22" t="s">
        <v>126</v>
      </c>
      <c r="W2301" s="22" t="s">
        <v>109</v>
      </c>
      <c r="X2301" s="104">
        <v>7250000</v>
      </c>
      <c r="Y2301" s="195" t="str">
        <f t="shared" si="682"/>
        <v>1</v>
      </c>
      <c r="Z2301" s="196">
        <f t="shared" si="674"/>
        <v>7250000</v>
      </c>
      <c r="AA2301" s="22">
        <v>4.9500000000000002E-2</v>
      </c>
      <c r="AB2301" s="197">
        <f t="shared" si="680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59"/>
        <v>25458266.694690265</v>
      </c>
      <c r="AJ2301" s="200">
        <f t="shared" si="660"/>
        <v>4116526.778578762</v>
      </c>
      <c r="AK2301" s="201">
        <f t="shared" si="668"/>
        <v>0.16169705612508689</v>
      </c>
      <c r="AL2301" s="24"/>
      <c r="AM2301" s="24"/>
      <c r="AN2301" s="24"/>
      <c r="AO2301" s="24"/>
      <c r="AP2301" s="105" t="str">
        <f t="shared" si="669"/>
        <v>20247</v>
      </c>
      <c r="AQ2301" s="28" t="str">
        <f t="shared" si="670"/>
        <v>20247JPY</v>
      </c>
      <c r="AR2301" s="206" t="str">
        <f t="shared" si="671"/>
        <v>YAMAHA_Mounter</v>
      </c>
      <c r="AS2301" s="22">
        <f t="shared" si="672"/>
        <v>2</v>
      </c>
      <c r="AT2301" s="24" t="str">
        <f t="shared" si="673"/>
        <v>0-3 months</v>
      </c>
      <c r="AU2301" s="22" t="s">
        <v>3746</v>
      </c>
    </row>
    <row r="2302" spans="1:47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3172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3445</v>
      </c>
      <c r="K2302" s="29" t="s">
        <v>1634</v>
      </c>
      <c r="L2302" s="17" t="s">
        <v>67</v>
      </c>
      <c r="M2302" s="22" t="s">
        <v>60</v>
      </c>
      <c r="N2302" s="22">
        <v>1</v>
      </c>
      <c r="O2302" s="22"/>
      <c r="P2302" s="33" t="str">
        <f t="shared" si="679"/>
        <v>MAIN UNIT</v>
      </c>
      <c r="Q2302" s="22" t="s">
        <v>61</v>
      </c>
      <c r="R2302" s="22" t="s">
        <v>62</v>
      </c>
      <c r="S2302" s="22" t="s">
        <v>49</v>
      </c>
      <c r="T2302" s="22" t="s">
        <v>78</v>
      </c>
      <c r="U2302" s="22" t="s">
        <v>78</v>
      </c>
      <c r="V2302" s="22" t="s">
        <v>126</v>
      </c>
      <c r="W2302" s="22" t="s">
        <v>109</v>
      </c>
      <c r="X2302" s="104">
        <v>7250000</v>
      </c>
      <c r="Y2302" s="195" t="str">
        <f t="shared" si="682"/>
        <v>1</v>
      </c>
      <c r="Z2302" s="196">
        <f t="shared" si="674"/>
        <v>7250000</v>
      </c>
      <c r="AA2302" s="22">
        <v>4.9500000000000002E-2</v>
      </c>
      <c r="AB2302" s="197">
        <f t="shared" si="680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59"/>
        <v>25458266.694690265</v>
      </c>
      <c r="AJ2302" s="200">
        <f t="shared" si="660"/>
        <v>4116526.778578762</v>
      </c>
      <c r="AK2302" s="201">
        <f t="shared" si="668"/>
        <v>0.16169705612508689</v>
      </c>
      <c r="AL2302" s="24"/>
      <c r="AM2302" s="24"/>
      <c r="AN2302" s="24"/>
      <c r="AO2302" s="24"/>
      <c r="AP2302" s="105" t="str">
        <f t="shared" si="669"/>
        <v>20247</v>
      </c>
      <c r="AQ2302" s="28" t="str">
        <f t="shared" si="670"/>
        <v>20247JPY</v>
      </c>
      <c r="AR2302" s="206" t="str">
        <f t="shared" si="671"/>
        <v>YAMAHA_Mounter</v>
      </c>
      <c r="AS2302" s="22">
        <f t="shared" si="672"/>
        <v>2</v>
      </c>
      <c r="AT2302" s="24" t="str">
        <f t="shared" si="673"/>
        <v>0-3 months</v>
      </c>
      <c r="AU2302" s="22" t="s">
        <v>3746</v>
      </c>
    </row>
    <row r="2303" spans="1:47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3172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3445</v>
      </c>
      <c r="K2303" s="29" t="s">
        <v>1634</v>
      </c>
      <c r="L2303" s="17" t="s">
        <v>67</v>
      </c>
      <c r="M2303" s="22" t="s">
        <v>60</v>
      </c>
      <c r="N2303" s="22">
        <v>1</v>
      </c>
      <c r="O2303" s="22"/>
      <c r="P2303" s="33" t="str">
        <f t="shared" si="679"/>
        <v>MAIN UNIT</v>
      </c>
      <c r="Q2303" s="22" t="s">
        <v>61</v>
      </c>
      <c r="R2303" s="22" t="s">
        <v>62</v>
      </c>
      <c r="S2303" s="22" t="s">
        <v>49</v>
      </c>
      <c r="T2303" s="22" t="s">
        <v>78</v>
      </c>
      <c r="U2303" s="22" t="s">
        <v>78</v>
      </c>
      <c r="V2303" s="22" t="s">
        <v>126</v>
      </c>
      <c r="W2303" s="22" t="s">
        <v>109</v>
      </c>
      <c r="X2303" s="104">
        <v>7250000</v>
      </c>
      <c r="Y2303" s="195" t="str">
        <f t="shared" si="682"/>
        <v>1</v>
      </c>
      <c r="Z2303" s="196">
        <f t="shared" si="674"/>
        <v>7250000</v>
      </c>
      <c r="AA2303" s="22">
        <v>4.9500000000000002E-2</v>
      </c>
      <c r="AB2303" s="197">
        <f t="shared" si="680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59"/>
        <v>25458266.694690265</v>
      </c>
      <c r="AJ2303" s="200">
        <f t="shared" si="660"/>
        <v>4116526.778578762</v>
      </c>
      <c r="AK2303" s="201">
        <f t="shared" si="668"/>
        <v>0.16169705612508689</v>
      </c>
      <c r="AL2303" s="24"/>
      <c r="AM2303" s="24"/>
      <c r="AN2303" s="24"/>
      <c r="AO2303" s="24"/>
      <c r="AP2303" s="105" t="str">
        <f t="shared" si="669"/>
        <v>20247</v>
      </c>
      <c r="AQ2303" s="28" t="str">
        <f t="shared" si="670"/>
        <v>20247JPY</v>
      </c>
      <c r="AR2303" s="206" t="str">
        <f t="shared" si="671"/>
        <v>YAMAHA_Mounter</v>
      </c>
      <c r="AS2303" s="22">
        <f t="shared" si="672"/>
        <v>2</v>
      </c>
      <c r="AT2303" s="24" t="str">
        <f t="shared" si="673"/>
        <v>0-3 months</v>
      </c>
      <c r="AU2303" s="22" t="s">
        <v>3746</v>
      </c>
    </row>
    <row r="2304" spans="1:47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48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1403</v>
      </c>
      <c r="K2304" s="155" t="s">
        <v>1404</v>
      </c>
      <c r="L2304" s="17" t="s">
        <v>92</v>
      </c>
      <c r="M2304" s="13" t="s">
        <v>60</v>
      </c>
      <c r="N2304" s="13">
        <v>1</v>
      </c>
      <c r="O2304" s="13"/>
      <c r="P2304" s="33" t="str">
        <f t="shared" si="679"/>
        <v>MAIN UNIT</v>
      </c>
      <c r="Q2304" s="13" t="s">
        <v>68</v>
      </c>
      <c r="R2304" s="13" t="s">
        <v>62</v>
      </c>
      <c r="S2304" s="13" t="s">
        <v>49</v>
      </c>
      <c r="T2304" s="13" t="s">
        <v>78</v>
      </c>
      <c r="U2304" s="13" t="s">
        <v>79</v>
      </c>
      <c r="V2304" s="13" t="s">
        <v>311</v>
      </c>
      <c r="W2304" s="13" t="s">
        <v>1341</v>
      </c>
      <c r="X2304" s="135">
        <v>11687500</v>
      </c>
      <c r="Y2304" s="157" t="str">
        <f t="shared" ref="Y2304:Y2339" si="684">IF(W2304="RMB","1.13", "1")</f>
        <v>1</v>
      </c>
      <c r="Z2304" s="18">
        <f t="shared" si="674"/>
        <v>11687500</v>
      </c>
      <c r="AA2304" s="13">
        <v>7.6100000000000001E-2</v>
      </c>
      <c r="AB2304" s="21">
        <f t="shared" si="680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59"/>
        <v>44078731.611185849</v>
      </c>
      <c r="AJ2304" s="19">
        <f t="shared" si="660"/>
        <v>5508173.2163771465</v>
      </c>
      <c r="AK2304" s="20">
        <f t="shared" si="668"/>
        <v>0.12496215328889679</v>
      </c>
      <c r="AL2304" s="17"/>
      <c r="AM2304" s="17"/>
      <c r="AN2304" s="17"/>
      <c r="AO2304" s="17"/>
      <c r="AP2304" s="28" t="str">
        <f t="shared" si="669"/>
        <v>202011</v>
      </c>
      <c r="AQ2304" s="28" t="str">
        <f t="shared" si="670"/>
        <v>202011JPY</v>
      </c>
      <c r="AR2304" s="206" t="str">
        <f t="shared" si="671"/>
        <v>YAMAHA_Mounter</v>
      </c>
      <c r="AS2304" s="22">
        <f t="shared" si="672"/>
        <v>2</v>
      </c>
      <c r="AT2304" s="24" t="str">
        <f t="shared" si="673"/>
        <v>0-3 months</v>
      </c>
      <c r="AU2304" s="22" t="s">
        <v>3745</v>
      </c>
    </row>
    <row r="2305" spans="1:47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48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1403</v>
      </c>
      <c r="K2305" s="155" t="s">
        <v>1404</v>
      </c>
      <c r="L2305" s="17" t="s">
        <v>92</v>
      </c>
      <c r="M2305" s="13" t="s">
        <v>60</v>
      </c>
      <c r="N2305" s="13">
        <v>1</v>
      </c>
      <c r="O2305" s="13"/>
      <c r="P2305" s="33" t="str">
        <f t="shared" si="679"/>
        <v>MAIN UNIT</v>
      </c>
      <c r="Q2305" s="13" t="s">
        <v>68</v>
      </c>
      <c r="R2305" s="13" t="s">
        <v>62</v>
      </c>
      <c r="S2305" s="13" t="s">
        <v>49</v>
      </c>
      <c r="T2305" s="13" t="s">
        <v>78</v>
      </c>
      <c r="U2305" s="13" t="s">
        <v>79</v>
      </c>
      <c r="V2305" s="13" t="s">
        <v>311</v>
      </c>
      <c r="W2305" s="13" t="s">
        <v>1341</v>
      </c>
      <c r="X2305" s="135">
        <v>11687500</v>
      </c>
      <c r="Y2305" s="157" t="str">
        <f t="shared" si="684"/>
        <v>1</v>
      </c>
      <c r="Z2305" s="18">
        <f t="shared" si="674"/>
        <v>11687500</v>
      </c>
      <c r="AA2305" s="13">
        <v>7.6100000000000001E-2</v>
      </c>
      <c r="AB2305" s="21">
        <f t="shared" si="680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59"/>
        <v>44078731.611185849</v>
      </c>
      <c r="AJ2305" s="19">
        <f t="shared" si="660"/>
        <v>5508173.2163771465</v>
      </c>
      <c r="AK2305" s="20">
        <f t="shared" si="668"/>
        <v>0.12496215328889679</v>
      </c>
      <c r="AL2305" s="17"/>
      <c r="AM2305" s="17"/>
      <c r="AN2305" s="17"/>
      <c r="AO2305" s="17"/>
      <c r="AP2305" s="28" t="str">
        <f t="shared" si="669"/>
        <v>202011</v>
      </c>
      <c r="AQ2305" s="28" t="str">
        <f t="shared" si="670"/>
        <v>202011JPY</v>
      </c>
      <c r="AR2305" s="206" t="str">
        <f t="shared" si="671"/>
        <v>YAMAHA_Mounter</v>
      </c>
      <c r="AS2305" s="22">
        <f t="shared" si="672"/>
        <v>2</v>
      </c>
      <c r="AT2305" s="24" t="str">
        <f t="shared" si="673"/>
        <v>0-3 months</v>
      </c>
      <c r="AU2305" s="22" t="s">
        <v>3745</v>
      </c>
    </row>
    <row r="2306" spans="1:47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48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1403</v>
      </c>
      <c r="K2306" s="155" t="s">
        <v>1404</v>
      </c>
      <c r="L2306" s="17" t="s">
        <v>92</v>
      </c>
      <c r="M2306" s="13" t="s">
        <v>60</v>
      </c>
      <c r="N2306" s="13">
        <v>1</v>
      </c>
      <c r="O2306" s="13"/>
      <c r="P2306" s="33" t="str">
        <f t="shared" si="679"/>
        <v>MAIN UNIT</v>
      </c>
      <c r="Q2306" s="13" t="s">
        <v>68</v>
      </c>
      <c r="R2306" s="13" t="s">
        <v>62</v>
      </c>
      <c r="S2306" s="13" t="s">
        <v>49</v>
      </c>
      <c r="T2306" s="13" t="s">
        <v>78</v>
      </c>
      <c r="U2306" s="13" t="s">
        <v>79</v>
      </c>
      <c r="V2306" s="13" t="s">
        <v>311</v>
      </c>
      <c r="W2306" s="13" t="s">
        <v>1341</v>
      </c>
      <c r="X2306" s="135">
        <v>11687500</v>
      </c>
      <c r="Y2306" s="157" t="str">
        <f t="shared" si="684"/>
        <v>1</v>
      </c>
      <c r="Z2306" s="18">
        <f t="shared" si="674"/>
        <v>11687500</v>
      </c>
      <c r="AA2306" s="13">
        <v>7.6100000000000001E-2</v>
      </c>
      <c r="AB2306" s="21">
        <f t="shared" si="680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ref="AI2306:AI2369" si="685">IF(P2306="C66 SERVICE","",SUMIFS(AB:AB,F:F,F2306,G:G,G2306,E:E,E2306))</f>
        <v>44078731.611185849</v>
      </c>
      <c r="AJ2306" s="19">
        <f t="shared" ref="AJ2306:AJ2369" si="686">IF(P2306="C66 SERVICE","",SUMIFS(AC:AC,F:F,F2306,G:G,G2306,E:E,E2306))</f>
        <v>5508173.2163771465</v>
      </c>
      <c r="AK2306" s="20">
        <f t="shared" si="668"/>
        <v>0.12496215328889679</v>
      </c>
      <c r="AL2306" s="17"/>
      <c r="AM2306" s="17"/>
      <c r="AN2306" s="17"/>
      <c r="AO2306" s="17"/>
      <c r="AP2306" s="28" t="str">
        <f t="shared" si="669"/>
        <v>202011</v>
      </c>
      <c r="AQ2306" s="28" t="str">
        <f t="shared" si="670"/>
        <v>202011JPY</v>
      </c>
      <c r="AR2306" s="206" t="str">
        <f t="shared" si="671"/>
        <v>YAMAHA_Mounter</v>
      </c>
      <c r="AS2306" s="22">
        <f t="shared" si="672"/>
        <v>2</v>
      </c>
      <c r="AT2306" s="24" t="str">
        <f t="shared" si="673"/>
        <v>0-3 months</v>
      </c>
      <c r="AU2306" s="22" t="s">
        <v>3745</v>
      </c>
    </row>
    <row r="2307" spans="1:47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48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1403</v>
      </c>
      <c r="K2307" s="155" t="s">
        <v>1404</v>
      </c>
      <c r="L2307" s="17" t="s">
        <v>92</v>
      </c>
      <c r="M2307" s="13" t="s">
        <v>60</v>
      </c>
      <c r="N2307" s="13">
        <v>1</v>
      </c>
      <c r="O2307" s="13"/>
      <c r="P2307" s="33" t="str">
        <f t="shared" si="679"/>
        <v>MAIN UNIT</v>
      </c>
      <c r="Q2307" s="13" t="s">
        <v>68</v>
      </c>
      <c r="R2307" s="13" t="s">
        <v>62</v>
      </c>
      <c r="S2307" s="13" t="s">
        <v>49</v>
      </c>
      <c r="T2307" s="13" t="s">
        <v>78</v>
      </c>
      <c r="U2307" s="13" t="s">
        <v>79</v>
      </c>
      <c r="V2307" s="13" t="s">
        <v>311</v>
      </c>
      <c r="W2307" s="13" t="s">
        <v>1341</v>
      </c>
      <c r="X2307" s="135">
        <v>11687500</v>
      </c>
      <c r="Y2307" s="157" t="str">
        <f t="shared" si="684"/>
        <v>1</v>
      </c>
      <c r="Z2307" s="18">
        <f t="shared" si="674"/>
        <v>11687500</v>
      </c>
      <c r="AA2307" s="13">
        <v>7.6100000000000001E-2</v>
      </c>
      <c r="AB2307" s="21">
        <f t="shared" si="680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85"/>
        <v>44078731.611185849</v>
      </c>
      <c r="AJ2307" s="19">
        <f t="shared" si="686"/>
        <v>5508173.2163771465</v>
      </c>
      <c r="AK2307" s="20">
        <f t="shared" si="668"/>
        <v>0.12496215328889679</v>
      </c>
      <c r="AL2307" s="17"/>
      <c r="AM2307" s="17"/>
      <c r="AN2307" s="17"/>
      <c r="AO2307" s="17"/>
      <c r="AP2307" s="28" t="str">
        <f t="shared" si="669"/>
        <v>202011</v>
      </c>
      <c r="AQ2307" s="28" t="str">
        <f t="shared" si="670"/>
        <v>202011JPY</v>
      </c>
      <c r="AR2307" s="206" t="str">
        <f t="shared" si="671"/>
        <v>YAMAHA_Mounter</v>
      </c>
      <c r="AS2307" s="22">
        <f t="shared" si="672"/>
        <v>2</v>
      </c>
      <c r="AT2307" s="24" t="str">
        <f t="shared" si="673"/>
        <v>0-3 months</v>
      </c>
      <c r="AU2307" s="22" t="s">
        <v>3745</v>
      </c>
    </row>
    <row r="2308" spans="1:47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48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1403</v>
      </c>
      <c r="K2308" s="155" t="s">
        <v>1404</v>
      </c>
      <c r="L2308" s="17" t="s">
        <v>92</v>
      </c>
      <c r="M2308" s="13" t="s">
        <v>60</v>
      </c>
      <c r="N2308" s="13">
        <v>1</v>
      </c>
      <c r="O2308" s="13"/>
      <c r="P2308" s="33" t="str">
        <f t="shared" si="679"/>
        <v>MAIN UNIT</v>
      </c>
      <c r="Q2308" s="13" t="s">
        <v>61</v>
      </c>
      <c r="R2308" s="13" t="s">
        <v>62</v>
      </c>
      <c r="S2308" s="13" t="s">
        <v>49</v>
      </c>
      <c r="T2308" s="13" t="s">
        <v>78</v>
      </c>
      <c r="U2308" s="13" t="s">
        <v>79</v>
      </c>
      <c r="V2308" s="13" t="s">
        <v>311</v>
      </c>
      <c r="W2308" s="13" t="s">
        <v>1341</v>
      </c>
      <c r="X2308" s="135">
        <v>11687500</v>
      </c>
      <c r="Y2308" s="157" t="str">
        <f t="shared" si="684"/>
        <v>1</v>
      </c>
      <c r="Z2308" s="18">
        <f t="shared" si="674"/>
        <v>11687500</v>
      </c>
      <c r="AA2308" s="13">
        <v>7.6100000000000001E-2</v>
      </c>
      <c r="AB2308" s="21">
        <f t="shared" si="680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85"/>
        <v>48763143.537654862</v>
      </c>
      <c r="AJ2308" s="19">
        <f t="shared" si="686"/>
        <v>5924029.9702154724</v>
      </c>
      <c r="AK2308" s="20">
        <f t="shared" si="668"/>
        <v>0.1214858095774925</v>
      </c>
      <c r="AL2308" s="17"/>
      <c r="AM2308" s="17"/>
      <c r="AN2308" s="17"/>
      <c r="AO2308" s="17"/>
      <c r="AP2308" s="28" t="str">
        <f t="shared" si="669"/>
        <v>202012</v>
      </c>
      <c r="AQ2308" s="28" t="str">
        <f t="shared" si="670"/>
        <v>202012JPY</v>
      </c>
      <c r="AR2308" s="206" t="str">
        <f t="shared" si="671"/>
        <v>YAMAHA_Mounter</v>
      </c>
      <c r="AS2308" s="22">
        <f t="shared" si="672"/>
        <v>3</v>
      </c>
      <c r="AT2308" s="24" t="str">
        <f t="shared" si="673"/>
        <v>0-3 months</v>
      </c>
      <c r="AU2308" s="22" t="s">
        <v>3745</v>
      </c>
    </row>
    <row r="2309" spans="1:47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48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1403</v>
      </c>
      <c r="K2309" s="155" t="s">
        <v>1404</v>
      </c>
      <c r="L2309" s="17" t="s">
        <v>92</v>
      </c>
      <c r="M2309" s="13" t="s">
        <v>60</v>
      </c>
      <c r="N2309" s="13">
        <v>1</v>
      </c>
      <c r="O2309" s="13"/>
      <c r="P2309" s="33" t="str">
        <f t="shared" si="679"/>
        <v>MAIN UNIT</v>
      </c>
      <c r="Q2309" s="13" t="s">
        <v>61</v>
      </c>
      <c r="R2309" s="13" t="s">
        <v>62</v>
      </c>
      <c r="S2309" s="13" t="s">
        <v>49</v>
      </c>
      <c r="T2309" s="13" t="s">
        <v>78</v>
      </c>
      <c r="U2309" s="13" t="s">
        <v>79</v>
      </c>
      <c r="V2309" s="13" t="s">
        <v>311</v>
      </c>
      <c r="W2309" s="13" t="s">
        <v>1341</v>
      </c>
      <c r="X2309" s="135">
        <v>11687500</v>
      </c>
      <c r="Y2309" s="157" t="str">
        <f t="shared" si="684"/>
        <v>1</v>
      </c>
      <c r="Z2309" s="18">
        <f t="shared" si="674"/>
        <v>11687500</v>
      </c>
      <c r="AA2309" s="13">
        <v>7.6100000000000001E-2</v>
      </c>
      <c r="AB2309" s="21">
        <f t="shared" si="680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85"/>
        <v>48763143.537654862</v>
      </c>
      <c r="AJ2309" s="19">
        <f t="shared" si="686"/>
        <v>5924029.9702154724</v>
      </c>
      <c r="AK2309" s="20">
        <f t="shared" si="668"/>
        <v>0.1214858095774925</v>
      </c>
      <c r="AL2309" s="17"/>
      <c r="AM2309" s="17"/>
      <c r="AN2309" s="17"/>
      <c r="AO2309" s="17"/>
      <c r="AP2309" s="28" t="str">
        <f t="shared" si="669"/>
        <v>202012</v>
      </c>
      <c r="AQ2309" s="28" t="str">
        <f t="shared" si="670"/>
        <v>202012JPY</v>
      </c>
      <c r="AR2309" s="206" t="str">
        <f t="shared" si="671"/>
        <v>YAMAHA_Mounter</v>
      </c>
      <c r="AS2309" s="22">
        <f t="shared" si="672"/>
        <v>3</v>
      </c>
      <c r="AT2309" s="24" t="str">
        <f t="shared" si="673"/>
        <v>0-3 months</v>
      </c>
      <c r="AU2309" s="22" t="s">
        <v>3745</v>
      </c>
    </row>
    <row r="2310" spans="1:47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48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1403</v>
      </c>
      <c r="K2310" s="155" t="s">
        <v>1404</v>
      </c>
      <c r="L2310" s="17" t="s">
        <v>92</v>
      </c>
      <c r="M2310" s="13" t="s">
        <v>60</v>
      </c>
      <c r="N2310" s="13">
        <v>1</v>
      </c>
      <c r="O2310" s="13"/>
      <c r="P2310" s="33" t="str">
        <f t="shared" si="679"/>
        <v>MAIN UNIT</v>
      </c>
      <c r="Q2310" s="13" t="s">
        <v>61</v>
      </c>
      <c r="R2310" s="13" t="s">
        <v>62</v>
      </c>
      <c r="S2310" s="13" t="s">
        <v>49</v>
      </c>
      <c r="T2310" s="13" t="s">
        <v>78</v>
      </c>
      <c r="U2310" s="13" t="s">
        <v>79</v>
      </c>
      <c r="V2310" s="13" t="s">
        <v>311</v>
      </c>
      <c r="W2310" s="13" t="s">
        <v>1341</v>
      </c>
      <c r="X2310" s="135">
        <v>11687500</v>
      </c>
      <c r="Y2310" s="157" t="str">
        <f t="shared" si="684"/>
        <v>1</v>
      </c>
      <c r="Z2310" s="18">
        <f t="shared" si="674"/>
        <v>11687500</v>
      </c>
      <c r="AA2310" s="13">
        <v>7.6100000000000001E-2</v>
      </c>
      <c r="AB2310" s="21">
        <f t="shared" si="680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si="685"/>
        <v>48763143.537654862</v>
      </c>
      <c r="AJ2310" s="19">
        <f t="shared" si="686"/>
        <v>5924029.9702154724</v>
      </c>
      <c r="AK2310" s="20">
        <f t="shared" ref="AK2310:AK2373" si="692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3">IF(F2310="","",F2310&amp;G2310)</f>
        <v>202012</v>
      </c>
      <c r="AQ2310" s="28" t="str">
        <f t="shared" ref="AQ2310:AQ2373" si="694">IF(W2310="","",F2310&amp;G2310&amp;W2310)</f>
        <v>202012JPY</v>
      </c>
      <c r="AR2310" s="206" t="str">
        <f t="shared" ref="AR2310:AR2373" si="695">IFERROR(IF(AND(M2310="YAMAHA", R2310="C28"), "YAMAHA_Non_Mounter", IF(AND(M2310="YAMAHA", R2310="C49"), "YAMAHA_Mounter", M2310)),"")</f>
        <v>YAMAHA_Mounter</v>
      </c>
      <c r="AS2310" s="22">
        <f t="shared" ref="AS2310:AS2373" si="696">IFERROR(IF(OR(G2310="TBA", G2310=""), "", DATEDIF(DATE(B2310, C2310, 1), DATE(F2310, G2310, 1), "M")),"")</f>
        <v>3</v>
      </c>
      <c r="AT2310" s="24" t="str">
        <f t="shared" ref="AT2310:AT2373" si="697">IF(ISNUMBER(AS2310), IF(AS2310&gt;=0, IF(AS2310&lt;=3, "0-3 months", IF(AS2310&lt;=6, "4-6 months", "&gt; 6 months"))), "")</f>
        <v>0-3 months</v>
      </c>
      <c r="AU2310" s="22" t="s">
        <v>3745</v>
      </c>
    </row>
    <row r="2311" spans="1:47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48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1403</v>
      </c>
      <c r="K2311" s="155" t="s">
        <v>1404</v>
      </c>
      <c r="L2311" s="17" t="s">
        <v>92</v>
      </c>
      <c r="M2311" s="13" t="s">
        <v>60</v>
      </c>
      <c r="N2311" s="13">
        <v>1</v>
      </c>
      <c r="O2311" s="13"/>
      <c r="P2311" s="33" t="str">
        <f t="shared" si="679"/>
        <v>MAIN UNIT</v>
      </c>
      <c r="Q2311" s="13" t="s">
        <v>61</v>
      </c>
      <c r="R2311" s="13" t="s">
        <v>62</v>
      </c>
      <c r="S2311" s="13" t="s">
        <v>49</v>
      </c>
      <c r="T2311" s="13" t="s">
        <v>78</v>
      </c>
      <c r="U2311" s="13" t="s">
        <v>79</v>
      </c>
      <c r="V2311" s="13" t="s">
        <v>311</v>
      </c>
      <c r="W2311" s="13" t="s">
        <v>1341</v>
      </c>
      <c r="X2311" s="135">
        <v>11687500</v>
      </c>
      <c r="Y2311" s="157" t="str">
        <f t="shared" si="684"/>
        <v>1</v>
      </c>
      <c r="Z2311" s="18">
        <f t="shared" si="674"/>
        <v>11687500</v>
      </c>
      <c r="AA2311" s="13">
        <v>7.6100000000000001E-2</v>
      </c>
      <c r="AB2311" s="21">
        <f t="shared" si="680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85"/>
        <v>48763143.537654862</v>
      </c>
      <c r="AJ2311" s="19">
        <f t="shared" si="686"/>
        <v>5924029.9702154724</v>
      </c>
      <c r="AK2311" s="20">
        <f t="shared" si="692"/>
        <v>0.1214858095774925</v>
      </c>
      <c r="AL2311" s="17"/>
      <c r="AM2311" s="17"/>
      <c r="AN2311" s="17"/>
      <c r="AO2311" s="17"/>
      <c r="AP2311" s="28" t="str">
        <f t="shared" si="693"/>
        <v>202012</v>
      </c>
      <c r="AQ2311" s="28" t="str">
        <f t="shared" si="694"/>
        <v>202012JPY</v>
      </c>
      <c r="AR2311" s="206" t="str">
        <f t="shared" si="695"/>
        <v>YAMAHA_Mounter</v>
      </c>
      <c r="AS2311" s="22">
        <f t="shared" si="696"/>
        <v>3</v>
      </c>
      <c r="AT2311" s="24" t="str">
        <f t="shared" si="697"/>
        <v>0-3 months</v>
      </c>
      <c r="AU2311" s="22" t="s">
        <v>3745</v>
      </c>
    </row>
    <row r="2312" spans="1:47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53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1925</v>
      </c>
      <c r="K2312" s="155" t="s">
        <v>1404</v>
      </c>
      <c r="L2312" s="17" t="s">
        <v>92</v>
      </c>
      <c r="M2312" s="13" t="s">
        <v>60</v>
      </c>
      <c r="N2312" s="13">
        <v>1</v>
      </c>
      <c r="O2312" s="13"/>
      <c r="P2312" s="33" t="str">
        <f t="shared" si="679"/>
        <v>MAIN UNIT</v>
      </c>
      <c r="Q2312" s="13" t="s">
        <v>61</v>
      </c>
      <c r="R2312" s="13" t="s">
        <v>62</v>
      </c>
      <c r="S2312" s="13" t="s">
        <v>49</v>
      </c>
      <c r="T2312" s="13" t="s">
        <v>78</v>
      </c>
      <c r="U2312" s="13" t="s">
        <v>79</v>
      </c>
      <c r="V2312" s="13" t="s">
        <v>112</v>
      </c>
      <c r="W2312" s="13" t="s">
        <v>109</v>
      </c>
      <c r="X2312" s="135">
        <v>12650000</v>
      </c>
      <c r="Y2312" s="157" t="str">
        <f t="shared" si="684"/>
        <v>1</v>
      </c>
      <c r="Z2312" s="18">
        <f t="shared" si="674"/>
        <v>12650000</v>
      </c>
      <c r="AA2312" s="13">
        <v>6.9199999999999998E-2</v>
      </c>
      <c r="AB2312" s="21">
        <f t="shared" si="680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85"/>
        <v>26407088.359292038</v>
      </c>
      <c r="AJ2312" s="19">
        <f t="shared" si="686"/>
        <v>3424510.6998470789</v>
      </c>
      <c r="AK2312" s="20">
        <f t="shared" si="692"/>
        <v>0.12968149510667554</v>
      </c>
      <c r="AL2312" s="17"/>
      <c r="AM2312" s="17"/>
      <c r="AN2312" s="17"/>
      <c r="AO2312" s="17"/>
      <c r="AP2312" s="28" t="str">
        <f t="shared" si="693"/>
        <v>20221</v>
      </c>
      <c r="AQ2312" s="28" t="str">
        <f t="shared" si="694"/>
        <v>20221JPY</v>
      </c>
      <c r="AR2312" s="206" t="str">
        <f t="shared" si="695"/>
        <v>YAMAHA_Mounter</v>
      </c>
      <c r="AS2312" s="22">
        <f t="shared" si="696"/>
        <v>12</v>
      </c>
      <c r="AT2312" s="24" t="str">
        <f t="shared" si="697"/>
        <v>&gt; 6 months</v>
      </c>
      <c r="AU2312" s="22" t="s">
        <v>3745</v>
      </c>
    </row>
    <row r="2313" spans="1:47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53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1925</v>
      </c>
      <c r="K2313" s="155" t="s">
        <v>1404</v>
      </c>
      <c r="L2313" s="17" t="s">
        <v>92</v>
      </c>
      <c r="M2313" s="13" t="s">
        <v>60</v>
      </c>
      <c r="N2313" s="13">
        <v>1</v>
      </c>
      <c r="O2313" s="13"/>
      <c r="P2313" s="33" t="str">
        <f t="shared" si="679"/>
        <v>MAIN UNIT</v>
      </c>
      <c r="Q2313" s="13" t="s">
        <v>61</v>
      </c>
      <c r="R2313" s="13" t="s">
        <v>62</v>
      </c>
      <c r="S2313" s="13" t="s">
        <v>49</v>
      </c>
      <c r="T2313" s="13" t="s">
        <v>78</v>
      </c>
      <c r="U2313" s="13" t="s">
        <v>79</v>
      </c>
      <c r="V2313" s="13" t="s">
        <v>112</v>
      </c>
      <c r="W2313" s="13" t="s">
        <v>109</v>
      </c>
      <c r="X2313" s="135">
        <v>12650000</v>
      </c>
      <c r="Y2313" s="157" t="str">
        <f t="shared" si="684"/>
        <v>1</v>
      </c>
      <c r="Z2313" s="18">
        <f t="shared" si="674"/>
        <v>12650000</v>
      </c>
      <c r="AA2313" s="13">
        <v>6.9199999999999998E-2</v>
      </c>
      <c r="AB2313" s="21">
        <f t="shared" si="680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85"/>
        <v>26407088.359292038</v>
      </c>
      <c r="AJ2313" s="19">
        <f t="shared" si="686"/>
        <v>3424510.6998470789</v>
      </c>
      <c r="AK2313" s="20">
        <f t="shared" si="692"/>
        <v>0.12968149510667554</v>
      </c>
      <c r="AL2313" s="17"/>
      <c r="AM2313" s="17"/>
      <c r="AN2313" s="17"/>
      <c r="AO2313" s="17"/>
      <c r="AP2313" s="28" t="str">
        <f t="shared" si="693"/>
        <v>20221</v>
      </c>
      <c r="AQ2313" s="28" t="str">
        <f t="shared" si="694"/>
        <v>20221JPY</v>
      </c>
      <c r="AR2313" s="206" t="str">
        <f t="shared" si="695"/>
        <v>YAMAHA_Mounter</v>
      </c>
      <c r="AS2313" s="22">
        <f t="shared" si="696"/>
        <v>12</v>
      </c>
      <c r="AT2313" s="24" t="str">
        <f t="shared" si="697"/>
        <v>&gt; 6 months</v>
      </c>
      <c r="AU2313" s="22" t="s">
        <v>3745</v>
      </c>
    </row>
    <row r="2314" spans="1:47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54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1925</v>
      </c>
      <c r="K2314" s="155" t="s">
        <v>1404</v>
      </c>
      <c r="L2314" s="17" t="s">
        <v>92</v>
      </c>
      <c r="M2314" s="13" t="s">
        <v>60</v>
      </c>
      <c r="N2314" s="13">
        <v>1</v>
      </c>
      <c r="O2314" s="13"/>
      <c r="P2314" s="33" t="str">
        <f t="shared" si="679"/>
        <v>MAIN UNIT</v>
      </c>
      <c r="Q2314" s="13" t="s">
        <v>61</v>
      </c>
      <c r="R2314" s="13" t="s">
        <v>62</v>
      </c>
      <c r="S2314" s="13" t="s">
        <v>49</v>
      </c>
      <c r="T2314" s="13" t="s">
        <v>78</v>
      </c>
      <c r="U2314" s="13" t="s">
        <v>79</v>
      </c>
      <c r="V2314" s="13" t="s">
        <v>112</v>
      </c>
      <c r="W2314" s="13" t="s">
        <v>109</v>
      </c>
      <c r="X2314" s="135">
        <v>12650000</v>
      </c>
      <c r="Y2314" s="157" t="str">
        <f t="shared" si="684"/>
        <v>1</v>
      </c>
      <c r="Z2314" s="18">
        <f t="shared" ref="Z2314:Z2377" si="698">IF(X2314="","",X2314*MAX(O2314,N2314))</f>
        <v>12650000</v>
      </c>
      <c r="AA2314" s="13">
        <v>6.54E-2</v>
      </c>
      <c r="AB2314" s="21">
        <f t="shared" si="680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85"/>
        <v>46600814.041769907</v>
      </c>
      <c r="AJ2314" s="19">
        <f t="shared" si="686"/>
        <v>5956366.3435927071</v>
      </c>
      <c r="AK2314" s="20">
        <f t="shared" si="692"/>
        <v>0.1278167874546958</v>
      </c>
      <c r="AL2314" s="17"/>
      <c r="AM2314" s="17"/>
      <c r="AN2314" s="17"/>
      <c r="AO2314" s="17"/>
      <c r="AP2314" s="28" t="str">
        <f t="shared" si="693"/>
        <v>20224</v>
      </c>
      <c r="AQ2314" s="28" t="str">
        <f t="shared" si="694"/>
        <v>20224JPY</v>
      </c>
      <c r="AR2314" s="206" t="str">
        <f t="shared" si="695"/>
        <v>YAMAHA_Mounter</v>
      </c>
      <c r="AS2314" s="22">
        <f t="shared" si="696"/>
        <v>15</v>
      </c>
      <c r="AT2314" s="24" t="str">
        <f t="shared" si="697"/>
        <v>&gt; 6 months</v>
      </c>
      <c r="AU2314" s="22" t="s">
        <v>3745</v>
      </c>
    </row>
    <row r="2315" spans="1:47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54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1925</v>
      </c>
      <c r="K2315" s="155" t="s">
        <v>1404</v>
      </c>
      <c r="L2315" s="17" t="s">
        <v>67</v>
      </c>
      <c r="M2315" s="13" t="s">
        <v>60</v>
      </c>
      <c r="N2315" s="13">
        <v>1</v>
      </c>
      <c r="O2315" s="13"/>
      <c r="P2315" s="33" t="str">
        <f t="shared" si="679"/>
        <v>MAIN UNIT</v>
      </c>
      <c r="Q2315" s="13" t="s">
        <v>61</v>
      </c>
      <c r="R2315" s="13" t="s">
        <v>62</v>
      </c>
      <c r="S2315" s="13" t="s">
        <v>49</v>
      </c>
      <c r="T2315" s="13" t="s">
        <v>78</v>
      </c>
      <c r="U2315" s="13" t="s">
        <v>79</v>
      </c>
      <c r="V2315" s="13" t="s">
        <v>112</v>
      </c>
      <c r="W2315" s="13" t="s">
        <v>109</v>
      </c>
      <c r="X2315" s="135">
        <v>7419600</v>
      </c>
      <c r="Y2315" s="157" t="str">
        <f t="shared" si="684"/>
        <v>1</v>
      </c>
      <c r="Z2315" s="18">
        <f t="shared" si="698"/>
        <v>7419600</v>
      </c>
      <c r="AA2315" s="13">
        <v>6.54E-2</v>
      </c>
      <c r="AB2315" s="21">
        <f t="shared" si="680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85"/>
        <v>46600814.041769907</v>
      </c>
      <c r="AJ2315" s="19">
        <f t="shared" si="686"/>
        <v>5956366.3435927071</v>
      </c>
      <c r="AK2315" s="20">
        <f t="shared" si="692"/>
        <v>0.1278167874546958</v>
      </c>
      <c r="AL2315" s="17"/>
      <c r="AM2315" s="17"/>
      <c r="AN2315" s="17"/>
      <c r="AO2315" s="17"/>
      <c r="AP2315" s="28" t="str">
        <f t="shared" si="693"/>
        <v>20224</v>
      </c>
      <c r="AQ2315" s="28" t="str">
        <f t="shared" si="694"/>
        <v>20224JPY</v>
      </c>
      <c r="AR2315" s="206" t="str">
        <f t="shared" si="695"/>
        <v>YAMAHA_Mounter</v>
      </c>
      <c r="AS2315" s="22">
        <f t="shared" si="696"/>
        <v>15</v>
      </c>
      <c r="AT2315" s="24" t="str">
        <f t="shared" si="697"/>
        <v>&gt; 6 months</v>
      </c>
      <c r="AU2315" s="22" t="s">
        <v>3745</v>
      </c>
    </row>
    <row r="2316" spans="1:47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54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2124</v>
      </c>
      <c r="K2316" s="155" t="s">
        <v>1404</v>
      </c>
      <c r="L2316" s="17" t="s">
        <v>67</v>
      </c>
      <c r="M2316" s="13" t="s">
        <v>60</v>
      </c>
      <c r="N2316" s="13">
        <v>1</v>
      </c>
      <c r="O2316" s="13"/>
      <c r="P2316" s="33" t="str">
        <f t="shared" si="679"/>
        <v>MAIN UNIT</v>
      </c>
      <c r="Q2316" s="13" t="s">
        <v>61</v>
      </c>
      <c r="R2316" s="13" t="s">
        <v>62</v>
      </c>
      <c r="S2316" s="13" t="s">
        <v>49</v>
      </c>
      <c r="T2316" s="13" t="s">
        <v>78</v>
      </c>
      <c r="U2316" s="13" t="s">
        <v>79</v>
      </c>
      <c r="V2316" s="13" t="s">
        <v>112</v>
      </c>
      <c r="W2316" s="13" t="s">
        <v>64</v>
      </c>
      <c r="X2316" s="135">
        <v>450000</v>
      </c>
      <c r="Y2316" s="157" t="str">
        <f t="shared" si="684"/>
        <v>1.13</v>
      </c>
      <c r="Z2316" s="18">
        <f t="shared" si="698"/>
        <v>450000</v>
      </c>
      <c r="AA2316" s="13">
        <v>1.1599999999999999</v>
      </c>
      <c r="AB2316" s="21">
        <f t="shared" si="680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85"/>
        <v>21045012.884955753</v>
      </c>
      <c r="AJ2316" s="19">
        <f t="shared" si="686"/>
        <v>2650260.9603327443</v>
      </c>
      <c r="AK2316" s="20">
        <f t="shared" si="692"/>
        <v>0.12593296924172048</v>
      </c>
      <c r="AL2316" s="17"/>
      <c r="AM2316" s="17"/>
      <c r="AN2316" s="17"/>
      <c r="AO2316" s="17"/>
      <c r="AP2316" s="28" t="str">
        <f t="shared" si="693"/>
        <v>20232</v>
      </c>
      <c r="AQ2316" s="28" t="str">
        <f t="shared" si="694"/>
        <v>20232RMB</v>
      </c>
      <c r="AR2316" s="206" t="str">
        <f t="shared" si="695"/>
        <v>YAMAHA_Mounter</v>
      </c>
      <c r="AS2316" s="22">
        <f t="shared" si="696"/>
        <v>2</v>
      </c>
      <c r="AT2316" s="24" t="str">
        <f t="shared" si="697"/>
        <v>0-3 months</v>
      </c>
      <c r="AU2316" s="22" t="s">
        <v>3751</v>
      </c>
    </row>
    <row r="2317" spans="1:47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54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2124</v>
      </c>
      <c r="K2317" s="155" t="s">
        <v>1404</v>
      </c>
      <c r="L2317" s="17" t="s">
        <v>67</v>
      </c>
      <c r="M2317" s="13" t="s">
        <v>60</v>
      </c>
      <c r="N2317" s="13">
        <v>1</v>
      </c>
      <c r="O2317" s="13"/>
      <c r="P2317" s="33" t="str">
        <f t="shared" si="679"/>
        <v>MAIN UNIT</v>
      </c>
      <c r="Q2317" s="13" t="s">
        <v>61</v>
      </c>
      <c r="R2317" s="13" t="s">
        <v>62</v>
      </c>
      <c r="S2317" s="13" t="s">
        <v>49</v>
      </c>
      <c r="T2317" s="13" t="s">
        <v>78</v>
      </c>
      <c r="U2317" s="13" t="s">
        <v>79</v>
      </c>
      <c r="V2317" s="13" t="s">
        <v>112</v>
      </c>
      <c r="W2317" s="13" t="s">
        <v>64</v>
      </c>
      <c r="X2317" s="135">
        <v>450000</v>
      </c>
      <c r="Y2317" s="157" t="str">
        <f t="shared" si="684"/>
        <v>1.13</v>
      </c>
      <c r="Z2317" s="18">
        <f t="shared" si="698"/>
        <v>450000</v>
      </c>
      <c r="AA2317" s="13">
        <v>1.1599999999999999</v>
      </c>
      <c r="AB2317" s="21">
        <f t="shared" si="680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85"/>
        <v>21045012.884955753</v>
      </c>
      <c r="AJ2317" s="19">
        <f t="shared" si="686"/>
        <v>2650260.9603327443</v>
      </c>
      <c r="AK2317" s="20">
        <f t="shared" si="692"/>
        <v>0.12593296924172048</v>
      </c>
      <c r="AL2317" s="17"/>
      <c r="AM2317" s="17"/>
      <c r="AN2317" s="17"/>
      <c r="AO2317" s="17"/>
      <c r="AP2317" s="28" t="str">
        <f t="shared" si="693"/>
        <v>20232</v>
      </c>
      <c r="AQ2317" s="28" t="str">
        <f t="shared" si="694"/>
        <v>20232RMB</v>
      </c>
      <c r="AR2317" s="206" t="str">
        <f t="shared" si="695"/>
        <v>YAMAHA_Mounter</v>
      </c>
      <c r="AS2317" s="22">
        <f t="shared" si="696"/>
        <v>2</v>
      </c>
      <c r="AT2317" s="24" t="str">
        <f t="shared" si="697"/>
        <v>0-3 months</v>
      </c>
      <c r="AU2317" s="22" t="s">
        <v>3751</v>
      </c>
    </row>
    <row r="2318" spans="1:47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54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2124</v>
      </c>
      <c r="K2318" s="155" t="s">
        <v>1404</v>
      </c>
      <c r="L2318" s="17" t="s">
        <v>67</v>
      </c>
      <c r="M2318" s="13" t="s">
        <v>60</v>
      </c>
      <c r="N2318" s="13">
        <v>1</v>
      </c>
      <c r="O2318" s="13"/>
      <c r="P2318" s="33" t="str">
        <f t="shared" si="679"/>
        <v>MAIN UNIT</v>
      </c>
      <c r="Q2318" s="13" t="s">
        <v>61</v>
      </c>
      <c r="R2318" s="13" t="s">
        <v>62</v>
      </c>
      <c r="S2318" s="13" t="s">
        <v>49</v>
      </c>
      <c r="T2318" s="13" t="s">
        <v>78</v>
      </c>
      <c r="U2318" s="13" t="s">
        <v>79</v>
      </c>
      <c r="V2318" s="13" t="s">
        <v>112</v>
      </c>
      <c r="W2318" s="13" t="s">
        <v>64</v>
      </c>
      <c r="X2318" s="135">
        <v>450000</v>
      </c>
      <c r="Y2318" s="157" t="str">
        <f t="shared" si="684"/>
        <v>1.13</v>
      </c>
      <c r="Z2318" s="18">
        <f t="shared" si="698"/>
        <v>450000</v>
      </c>
      <c r="AA2318" s="13">
        <v>1.1599999999999999</v>
      </c>
      <c r="AB2318" s="21">
        <f t="shared" si="680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85"/>
        <v>21045012.884955753</v>
      </c>
      <c r="AJ2318" s="19">
        <f t="shared" si="686"/>
        <v>2650260.9603327443</v>
      </c>
      <c r="AK2318" s="20">
        <f t="shared" si="692"/>
        <v>0.12593296924172048</v>
      </c>
      <c r="AL2318" s="17"/>
      <c r="AM2318" s="17"/>
      <c r="AN2318" s="17"/>
      <c r="AO2318" s="17"/>
      <c r="AP2318" s="28" t="str">
        <f t="shared" si="693"/>
        <v>20232</v>
      </c>
      <c r="AQ2318" s="28" t="str">
        <f t="shared" si="694"/>
        <v>20232RMB</v>
      </c>
      <c r="AR2318" s="206" t="str">
        <f t="shared" si="695"/>
        <v>YAMAHA_Mounter</v>
      </c>
      <c r="AS2318" s="22">
        <f t="shared" si="696"/>
        <v>2</v>
      </c>
      <c r="AT2318" s="24" t="str">
        <f t="shared" si="697"/>
        <v>0-3 months</v>
      </c>
      <c r="AU2318" s="22" t="s">
        <v>3751</v>
      </c>
    </row>
    <row r="2319" spans="1:47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54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2124</v>
      </c>
      <c r="K2319" s="155" t="s">
        <v>1404</v>
      </c>
      <c r="L2319" s="17" t="s">
        <v>67</v>
      </c>
      <c r="M2319" s="13" t="s">
        <v>60</v>
      </c>
      <c r="N2319" s="13">
        <v>1</v>
      </c>
      <c r="O2319" s="13"/>
      <c r="P2319" s="33" t="str">
        <f t="shared" si="679"/>
        <v>MAIN UNIT</v>
      </c>
      <c r="Q2319" s="13" t="s">
        <v>61</v>
      </c>
      <c r="R2319" s="13" t="s">
        <v>62</v>
      </c>
      <c r="S2319" s="13" t="s">
        <v>49</v>
      </c>
      <c r="T2319" s="13" t="s">
        <v>78</v>
      </c>
      <c r="U2319" s="13" t="s">
        <v>79</v>
      </c>
      <c r="V2319" s="13" t="s">
        <v>112</v>
      </c>
      <c r="W2319" s="13" t="s">
        <v>64</v>
      </c>
      <c r="X2319" s="135">
        <v>450000</v>
      </c>
      <c r="Y2319" s="157" t="str">
        <f t="shared" si="684"/>
        <v>1.13</v>
      </c>
      <c r="Z2319" s="18">
        <f t="shared" si="698"/>
        <v>450000</v>
      </c>
      <c r="AA2319" s="13">
        <v>1.1599999999999999</v>
      </c>
      <c r="AB2319" s="21">
        <f t="shared" si="680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85"/>
        <v>21045012.884955753</v>
      </c>
      <c r="AJ2319" s="19">
        <f t="shared" si="686"/>
        <v>2650260.9603327443</v>
      </c>
      <c r="AK2319" s="20">
        <f t="shared" si="692"/>
        <v>0.12593296924172048</v>
      </c>
      <c r="AL2319" s="17"/>
      <c r="AM2319" s="17"/>
      <c r="AN2319" s="17"/>
      <c r="AO2319" s="17"/>
      <c r="AP2319" s="28" t="str">
        <f t="shared" si="693"/>
        <v>20232</v>
      </c>
      <c r="AQ2319" s="28" t="str">
        <f t="shared" si="694"/>
        <v>20232RMB</v>
      </c>
      <c r="AR2319" s="206" t="str">
        <f t="shared" si="695"/>
        <v>YAMAHA_Mounter</v>
      </c>
      <c r="AS2319" s="22">
        <f t="shared" si="696"/>
        <v>2</v>
      </c>
      <c r="AT2319" s="24" t="str">
        <f t="shared" si="697"/>
        <v>0-3 months</v>
      </c>
      <c r="AU2319" s="22" t="s">
        <v>3751</v>
      </c>
    </row>
    <row r="2320" spans="1:47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54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2124</v>
      </c>
      <c r="K2320" s="155" t="s">
        <v>1404</v>
      </c>
      <c r="L2320" s="17" t="s">
        <v>67</v>
      </c>
      <c r="M2320" s="13" t="s">
        <v>60</v>
      </c>
      <c r="N2320" s="13">
        <v>1</v>
      </c>
      <c r="O2320" s="13"/>
      <c r="P2320" s="33" t="str">
        <f t="shared" si="679"/>
        <v>MAIN UNIT</v>
      </c>
      <c r="Q2320" s="13" t="s">
        <v>61</v>
      </c>
      <c r="R2320" s="13" t="s">
        <v>62</v>
      </c>
      <c r="S2320" s="13" t="s">
        <v>49</v>
      </c>
      <c r="T2320" s="13" t="s">
        <v>78</v>
      </c>
      <c r="U2320" s="13" t="s">
        <v>79</v>
      </c>
      <c r="V2320" s="13" t="s">
        <v>112</v>
      </c>
      <c r="W2320" s="13" t="s">
        <v>64</v>
      </c>
      <c r="X2320" s="135">
        <v>450000</v>
      </c>
      <c r="Y2320" s="157" t="str">
        <f t="shared" si="684"/>
        <v>1.13</v>
      </c>
      <c r="Z2320" s="18">
        <f t="shared" si="698"/>
        <v>450000</v>
      </c>
      <c r="AA2320" s="13">
        <v>1.1599999999999999</v>
      </c>
      <c r="AB2320" s="21">
        <f t="shared" si="680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85"/>
        <v>21045012.884955753</v>
      </c>
      <c r="AJ2320" s="19">
        <f t="shared" si="686"/>
        <v>2650260.9603327443</v>
      </c>
      <c r="AK2320" s="20">
        <f t="shared" si="692"/>
        <v>0.12593296924172048</v>
      </c>
      <c r="AL2320" s="17"/>
      <c r="AM2320" s="17"/>
      <c r="AN2320" s="17"/>
      <c r="AO2320" s="17"/>
      <c r="AP2320" s="28" t="str">
        <f t="shared" si="693"/>
        <v>20232</v>
      </c>
      <c r="AQ2320" s="28" t="str">
        <f t="shared" si="694"/>
        <v>20232RMB</v>
      </c>
      <c r="AR2320" s="206" t="str">
        <f t="shared" si="695"/>
        <v>YAMAHA_Mounter</v>
      </c>
      <c r="AS2320" s="22">
        <f t="shared" si="696"/>
        <v>2</v>
      </c>
      <c r="AT2320" s="24" t="str">
        <f t="shared" si="697"/>
        <v>0-3 months</v>
      </c>
      <c r="AU2320" s="22" t="s">
        <v>3751</v>
      </c>
    </row>
    <row r="2321" spans="1:47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54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2124</v>
      </c>
      <c r="K2321" s="155" t="s">
        <v>1404</v>
      </c>
      <c r="L2321" s="17" t="s">
        <v>92</v>
      </c>
      <c r="M2321" s="13" t="s">
        <v>60</v>
      </c>
      <c r="N2321" s="13">
        <v>1</v>
      </c>
      <c r="O2321" s="13"/>
      <c r="P2321" s="33" t="str">
        <f t="shared" si="679"/>
        <v>MAIN UNIT</v>
      </c>
      <c r="Q2321" s="13" t="s">
        <v>61</v>
      </c>
      <c r="R2321" s="13" t="s">
        <v>62</v>
      </c>
      <c r="S2321" s="13" t="s">
        <v>49</v>
      </c>
      <c r="T2321" s="13" t="s">
        <v>78</v>
      </c>
      <c r="U2321" s="13" t="s">
        <v>79</v>
      </c>
      <c r="V2321" s="13" t="s">
        <v>112</v>
      </c>
      <c r="W2321" s="13" t="s">
        <v>64</v>
      </c>
      <c r="X2321" s="135">
        <v>726000</v>
      </c>
      <c r="Y2321" s="157" t="str">
        <f t="shared" si="684"/>
        <v>1.13</v>
      </c>
      <c r="Z2321" s="18">
        <f t="shared" si="698"/>
        <v>726000</v>
      </c>
      <c r="AA2321" s="13">
        <v>1.1599999999999999</v>
      </c>
      <c r="AB2321" s="21">
        <f t="shared" si="680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85"/>
        <v>21045012.884955753</v>
      </c>
      <c r="AJ2321" s="19">
        <f t="shared" si="686"/>
        <v>2650260.9603327443</v>
      </c>
      <c r="AK2321" s="20">
        <f t="shared" si="692"/>
        <v>0.12593296924172048</v>
      </c>
      <c r="AL2321" s="17"/>
      <c r="AM2321" s="17"/>
      <c r="AN2321" s="17"/>
      <c r="AO2321" s="17"/>
      <c r="AP2321" s="28" t="str">
        <f t="shared" si="693"/>
        <v>20232</v>
      </c>
      <c r="AQ2321" s="28" t="str">
        <f t="shared" si="694"/>
        <v>20232RMB</v>
      </c>
      <c r="AR2321" s="206" t="str">
        <f t="shared" si="695"/>
        <v>YAMAHA_Mounter</v>
      </c>
      <c r="AS2321" s="22">
        <f t="shared" si="696"/>
        <v>2</v>
      </c>
      <c r="AT2321" s="24" t="str">
        <f t="shared" si="697"/>
        <v>0-3 months</v>
      </c>
      <c r="AU2321" s="22" t="s">
        <v>3751</v>
      </c>
    </row>
    <row r="2322" spans="1:47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54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2413</v>
      </c>
      <c r="K2322" s="155" t="s">
        <v>1404</v>
      </c>
      <c r="L2322" s="17" t="s">
        <v>67</v>
      </c>
      <c r="M2322" s="13" t="s">
        <v>60</v>
      </c>
      <c r="N2322" s="13">
        <v>1</v>
      </c>
      <c r="O2322" s="13"/>
      <c r="P2322" s="33" t="str">
        <f t="shared" si="679"/>
        <v>MAIN UNIT</v>
      </c>
      <c r="Q2322" s="13" t="s">
        <v>61</v>
      </c>
      <c r="R2322" s="13" t="s">
        <v>62</v>
      </c>
      <c r="S2322" s="13" t="s">
        <v>49</v>
      </c>
      <c r="T2322" s="13" t="s">
        <v>78</v>
      </c>
      <c r="U2322" s="13" t="s">
        <v>79</v>
      </c>
      <c r="V2322" s="13" t="s">
        <v>112</v>
      </c>
      <c r="W2322" s="13" t="s">
        <v>64</v>
      </c>
      <c r="X2322" s="135">
        <v>500000</v>
      </c>
      <c r="Y2322" s="157" t="str">
        <f t="shared" si="684"/>
        <v>1.13</v>
      </c>
      <c r="Z2322" s="18">
        <f t="shared" si="698"/>
        <v>500000</v>
      </c>
      <c r="AA2322" s="13">
        <v>1.1599999999999999</v>
      </c>
      <c r="AB2322" s="21">
        <f t="shared" si="680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85"/>
        <v>21045012.884955753</v>
      </c>
      <c r="AJ2322" s="19">
        <f t="shared" si="686"/>
        <v>2650260.9603327443</v>
      </c>
      <c r="AK2322" s="20">
        <f t="shared" si="692"/>
        <v>0.12593296924172048</v>
      </c>
      <c r="AL2322" s="17"/>
      <c r="AM2322" s="17"/>
      <c r="AN2322" s="17"/>
      <c r="AO2322" s="17"/>
      <c r="AP2322" s="28" t="str">
        <f t="shared" si="693"/>
        <v>20232</v>
      </c>
      <c r="AQ2322" s="28" t="str">
        <f t="shared" si="694"/>
        <v>20232RMB</v>
      </c>
      <c r="AR2322" s="206" t="str">
        <f t="shared" si="695"/>
        <v>YAMAHA_Mounter</v>
      </c>
      <c r="AS2322" s="22">
        <f t="shared" si="696"/>
        <v>0</v>
      </c>
      <c r="AT2322" s="24" t="str">
        <f t="shared" si="697"/>
        <v>0-3 months</v>
      </c>
      <c r="AU2322" s="22" t="s">
        <v>3240</v>
      </c>
    </row>
    <row r="2323" spans="1:47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54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2413</v>
      </c>
      <c r="K2323" s="155" t="s">
        <v>1404</v>
      </c>
      <c r="L2323" s="17" t="s">
        <v>67</v>
      </c>
      <c r="M2323" s="13" t="s">
        <v>60</v>
      </c>
      <c r="N2323" s="13">
        <v>1</v>
      </c>
      <c r="O2323" s="13"/>
      <c r="P2323" s="33" t="str">
        <f t="shared" si="679"/>
        <v>MAIN UNIT</v>
      </c>
      <c r="Q2323" s="13" t="s">
        <v>61</v>
      </c>
      <c r="R2323" s="13" t="s">
        <v>62</v>
      </c>
      <c r="S2323" s="13" t="s">
        <v>49</v>
      </c>
      <c r="T2323" s="13" t="s">
        <v>78</v>
      </c>
      <c r="U2323" s="13" t="s">
        <v>79</v>
      </c>
      <c r="V2323" s="13" t="s">
        <v>112</v>
      </c>
      <c r="W2323" s="13" t="s">
        <v>64</v>
      </c>
      <c r="X2323" s="135">
        <v>500000</v>
      </c>
      <c r="Y2323" s="157" t="str">
        <f t="shared" si="684"/>
        <v>1.13</v>
      </c>
      <c r="Z2323" s="18">
        <f t="shared" si="698"/>
        <v>500000</v>
      </c>
      <c r="AA2323" s="13">
        <v>1.1599999999999999</v>
      </c>
      <c r="AB2323" s="21">
        <f t="shared" si="680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85"/>
        <v>21045012.884955753</v>
      </c>
      <c r="AJ2323" s="19">
        <f t="shared" si="686"/>
        <v>2650260.9603327443</v>
      </c>
      <c r="AK2323" s="20">
        <f t="shared" si="692"/>
        <v>0.12593296924172048</v>
      </c>
      <c r="AL2323" s="17"/>
      <c r="AM2323" s="17"/>
      <c r="AN2323" s="17"/>
      <c r="AO2323" s="17"/>
      <c r="AP2323" s="28" t="str">
        <f t="shared" si="693"/>
        <v>20232</v>
      </c>
      <c r="AQ2323" s="28" t="str">
        <f t="shared" si="694"/>
        <v>20232RMB</v>
      </c>
      <c r="AR2323" s="206" t="str">
        <f t="shared" si="695"/>
        <v>YAMAHA_Mounter</v>
      </c>
      <c r="AS2323" s="22">
        <f t="shared" si="696"/>
        <v>0</v>
      </c>
      <c r="AT2323" s="24" t="str">
        <f t="shared" si="697"/>
        <v>0-3 months</v>
      </c>
      <c r="AU2323" s="22" t="s">
        <v>3240</v>
      </c>
    </row>
    <row r="2324" spans="1:47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54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2413</v>
      </c>
      <c r="K2324" s="155" t="s">
        <v>1404</v>
      </c>
      <c r="L2324" s="17" t="s">
        <v>92</v>
      </c>
      <c r="M2324" s="13" t="s">
        <v>60</v>
      </c>
      <c r="N2324" s="13">
        <v>1</v>
      </c>
      <c r="O2324" s="13"/>
      <c r="P2324" s="33" t="str">
        <f t="shared" si="679"/>
        <v>MAIN UNIT</v>
      </c>
      <c r="Q2324" s="13" t="s">
        <v>61</v>
      </c>
      <c r="R2324" s="13" t="s">
        <v>62</v>
      </c>
      <c r="S2324" s="13" t="s">
        <v>49</v>
      </c>
      <c r="T2324" s="13" t="s">
        <v>78</v>
      </c>
      <c r="U2324" s="13" t="s">
        <v>79</v>
      </c>
      <c r="V2324" s="13" t="s">
        <v>112</v>
      </c>
      <c r="W2324" s="13" t="s">
        <v>64</v>
      </c>
      <c r="X2324" s="135">
        <v>746812.5</v>
      </c>
      <c r="Y2324" s="157" t="str">
        <f t="shared" si="684"/>
        <v>1.13</v>
      </c>
      <c r="Z2324" s="18">
        <f t="shared" si="698"/>
        <v>746812.5</v>
      </c>
      <c r="AA2324" s="13">
        <v>1.1599999999999999</v>
      </c>
      <c r="AB2324" s="21">
        <f t="shared" si="680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85"/>
        <v>21045012.884955753</v>
      </c>
      <c r="AJ2324" s="19">
        <f t="shared" si="686"/>
        <v>2650260.9603327443</v>
      </c>
      <c r="AK2324" s="20">
        <f t="shared" si="692"/>
        <v>0.12593296924172048</v>
      </c>
      <c r="AL2324" s="17"/>
      <c r="AM2324" s="17"/>
      <c r="AN2324" s="17"/>
      <c r="AO2324" s="17"/>
      <c r="AP2324" s="28" t="str">
        <f t="shared" si="693"/>
        <v>20232</v>
      </c>
      <c r="AQ2324" s="28" t="str">
        <f t="shared" si="694"/>
        <v>20232RMB</v>
      </c>
      <c r="AR2324" s="206" t="str">
        <f t="shared" si="695"/>
        <v>YAMAHA_Mounter</v>
      </c>
      <c r="AS2324" s="22">
        <f t="shared" si="696"/>
        <v>0</v>
      </c>
      <c r="AT2324" s="24" t="str">
        <f t="shared" si="697"/>
        <v>0-3 months</v>
      </c>
      <c r="AU2324" s="22" t="s">
        <v>3240</v>
      </c>
    </row>
    <row r="2325" spans="1:47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54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2413</v>
      </c>
      <c r="K2325" s="155" t="s">
        <v>1404</v>
      </c>
      <c r="L2325" s="17" t="s">
        <v>92</v>
      </c>
      <c r="M2325" s="13" t="s">
        <v>60</v>
      </c>
      <c r="N2325" s="13">
        <v>1</v>
      </c>
      <c r="O2325" s="13"/>
      <c r="P2325" s="33" t="str">
        <f t="shared" si="679"/>
        <v>MAIN UNIT</v>
      </c>
      <c r="Q2325" s="13" t="s">
        <v>61</v>
      </c>
      <c r="R2325" s="13" t="s">
        <v>62</v>
      </c>
      <c r="S2325" s="13" t="s">
        <v>49</v>
      </c>
      <c r="T2325" s="13" t="s">
        <v>78</v>
      </c>
      <c r="U2325" s="13" t="s">
        <v>79</v>
      </c>
      <c r="V2325" s="13" t="s">
        <v>112</v>
      </c>
      <c r="W2325" s="13" t="s">
        <v>64</v>
      </c>
      <c r="X2325" s="135">
        <v>746812.5</v>
      </c>
      <c r="Y2325" s="157" t="str">
        <f t="shared" si="684"/>
        <v>1.13</v>
      </c>
      <c r="Z2325" s="18">
        <f t="shared" si="698"/>
        <v>746812.5</v>
      </c>
      <c r="AA2325" s="13">
        <v>1.1599999999999999</v>
      </c>
      <c r="AB2325" s="21">
        <f t="shared" si="680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85"/>
        <v>21045012.884955753</v>
      </c>
      <c r="AJ2325" s="19">
        <f t="shared" si="686"/>
        <v>2650260.9603327443</v>
      </c>
      <c r="AK2325" s="20">
        <f t="shared" si="692"/>
        <v>0.12593296924172048</v>
      </c>
      <c r="AL2325" s="17"/>
      <c r="AM2325" s="17"/>
      <c r="AN2325" s="17"/>
      <c r="AO2325" s="17"/>
      <c r="AP2325" s="28" t="str">
        <f t="shared" si="693"/>
        <v>20232</v>
      </c>
      <c r="AQ2325" s="28" t="str">
        <f t="shared" si="694"/>
        <v>20232RMB</v>
      </c>
      <c r="AR2325" s="206" t="str">
        <f t="shared" si="695"/>
        <v>YAMAHA_Mounter</v>
      </c>
      <c r="AS2325" s="22">
        <f t="shared" si="696"/>
        <v>0</v>
      </c>
      <c r="AT2325" s="24" t="str">
        <f t="shared" si="697"/>
        <v>0-3 months</v>
      </c>
      <c r="AU2325" s="22" t="s">
        <v>3240</v>
      </c>
    </row>
    <row r="2326" spans="1:47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54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2413</v>
      </c>
      <c r="K2326" s="155" t="s">
        <v>1404</v>
      </c>
      <c r="L2326" s="17" t="s">
        <v>92</v>
      </c>
      <c r="M2326" s="13" t="s">
        <v>60</v>
      </c>
      <c r="N2326" s="13">
        <v>1</v>
      </c>
      <c r="O2326" s="13"/>
      <c r="P2326" s="33" t="str">
        <f t="shared" ref="P2326:P2389" si="699">IF(M2326="","",IF(AND(N2326&gt;0,L2326&lt;&gt;""),"MAIN UNIT",IF(AND(O2326&gt;0,L2326&lt;&gt;""),"SERVICE/ PARTS","C66 SERVICE/OTHERS")))</f>
        <v>MAIN UNIT</v>
      </c>
      <c r="Q2326" s="13" t="s">
        <v>61</v>
      </c>
      <c r="R2326" s="13" t="s">
        <v>62</v>
      </c>
      <c r="S2326" s="13" t="s">
        <v>49</v>
      </c>
      <c r="T2326" s="13" t="s">
        <v>78</v>
      </c>
      <c r="U2326" s="13" t="s">
        <v>79</v>
      </c>
      <c r="V2326" s="13" t="s">
        <v>112</v>
      </c>
      <c r="W2326" s="13" t="s">
        <v>64</v>
      </c>
      <c r="X2326" s="135">
        <v>746812.5</v>
      </c>
      <c r="Y2326" s="157" t="str">
        <f t="shared" si="684"/>
        <v>1.13</v>
      </c>
      <c r="Z2326" s="18">
        <f t="shared" si="698"/>
        <v>746812.5</v>
      </c>
      <c r="AA2326" s="13">
        <v>1.1599999999999999</v>
      </c>
      <c r="AB2326" s="21">
        <f t="shared" ref="AB2326:AB2389" si="700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85"/>
        <v>21045012.884955753</v>
      </c>
      <c r="AJ2326" s="19">
        <f t="shared" si="686"/>
        <v>2650260.9603327443</v>
      </c>
      <c r="AK2326" s="20">
        <f t="shared" si="692"/>
        <v>0.12593296924172048</v>
      </c>
      <c r="AL2326" s="17"/>
      <c r="AM2326" s="17"/>
      <c r="AN2326" s="17"/>
      <c r="AO2326" s="17"/>
      <c r="AP2326" s="28" t="str">
        <f t="shared" si="693"/>
        <v>20232</v>
      </c>
      <c r="AQ2326" s="28" t="str">
        <f t="shared" si="694"/>
        <v>20232RMB</v>
      </c>
      <c r="AR2326" s="206" t="str">
        <f t="shared" si="695"/>
        <v>YAMAHA_Mounter</v>
      </c>
      <c r="AS2326" s="22">
        <f t="shared" si="696"/>
        <v>0</v>
      </c>
      <c r="AT2326" s="24" t="str">
        <f t="shared" si="697"/>
        <v>0-3 months</v>
      </c>
      <c r="AU2326" s="22" t="s">
        <v>3240</v>
      </c>
    </row>
    <row r="2327" spans="1:47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54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2413</v>
      </c>
      <c r="K2327" s="155" t="s">
        <v>1404</v>
      </c>
      <c r="L2327" s="17" t="s">
        <v>92</v>
      </c>
      <c r="M2327" s="13" t="s">
        <v>60</v>
      </c>
      <c r="N2327" s="13">
        <v>1</v>
      </c>
      <c r="O2327" s="13"/>
      <c r="P2327" s="33" t="str">
        <f t="shared" si="699"/>
        <v>MAIN UNIT</v>
      </c>
      <c r="Q2327" s="13" t="s">
        <v>61</v>
      </c>
      <c r="R2327" s="13" t="s">
        <v>62</v>
      </c>
      <c r="S2327" s="13" t="s">
        <v>49</v>
      </c>
      <c r="T2327" s="13" t="s">
        <v>78</v>
      </c>
      <c r="U2327" s="13" t="s">
        <v>79</v>
      </c>
      <c r="V2327" s="13" t="s">
        <v>112</v>
      </c>
      <c r="W2327" s="13" t="s">
        <v>64</v>
      </c>
      <c r="X2327" s="135">
        <v>746812.5</v>
      </c>
      <c r="Y2327" s="157" t="str">
        <f t="shared" si="684"/>
        <v>1.13</v>
      </c>
      <c r="Z2327" s="18">
        <f t="shared" si="698"/>
        <v>746812.5</v>
      </c>
      <c r="AA2327" s="13">
        <v>1.1599999999999999</v>
      </c>
      <c r="AB2327" s="21">
        <f t="shared" si="700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85"/>
        <v>21045012.884955753</v>
      </c>
      <c r="AJ2327" s="19">
        <f t="shared" si="686"/>
        <v>2650260.9603327443</v>
      </c>
      <c r="AK2327" s="20">
        <f t="shared" si="692"/>
        <v>0.12593296924172048</v>
      </c>
      <c r="AL2327" s="17"/>
      <c r="AM2327" s="17"/>
      <c r="AN2327" s="17"/>
      <c r="AO2327" s="17"/>
      <c r="AP2327" s="28" t="str">
        <f t="shared" si="693"/>
        <v>20232</v>
      </c>
      <c r="AQ2327" s="28" t="str">
        <f t="shared" si="694"/>
        <v>20232RMB</v>
      </c>
      <c r="AR2327" s="206" t="str">
        <f t="shared" si="695"/>
        <v>YAMAHA_Mounter</v>
      </c>
      <c r="AS2327" s="22">
        <f t="shared" si="696"/>
        <v>0</v>
      </c>
      <c r="AT2327" s="24" t="str">
        <f t="shared" si="697"/>
        <v>0-3 months</v>
      </c>
      <c r="AU2327" s="22" t="s">
        <v>3240</v>
      </c>
    </row>
    <row r="2328" spans="1:47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54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2413</v>
      </c>
      <c r="K2328" s="155" t="s">
        <v>1404</v>
      </c>
      <c r="L2328" s="17" t="s">
        <v>92</v>
      </c>
      <c r="M2328" s="13" t="s">
        <v>60</v>
      </c>
      <c r="N2328" s="13">
        <v>1</v>
      </c>
      <c r="O2328" s="13"/>
      <c r="P2328" s="33" t="str">
        <f t="shared" si="699"/>
        <v>MAIN UNIT</v>
      </c>
      <c r="Q2328" s="13" t="s">
        <v>61</v>
      </c>
      <c r="R2328" s="13" t="s">
        <v>62</v>
      </c>
      <c r="S2328" s="13" t="s">
        <v>49</v>
      </c>
      <c r="T2328" s="13" t="s">
        <v>78</v>
      </c>
      <c r="U2328" s="13" t="s">
        <v>79</v>
      </c>
      <c r="V2328" s="13" t="s">
        <v>112</v>
      </c>
      <c r="W2328" s="13" t="s">
        <v>64</v>
      </c>
      <c r="X2328" s="135">
        <v>746812.5</v>
      </c>
      <c r="Y2328" s="157" t="str">
        <f t="shared" si="684"/>
        <v>1.13</v>
      </c>
      <c r="Z2328" s="18">
        <f t="shared" si="698"/>
        <v>746812.5</v>
      </c>
      <c r="AA2328" s="13">
        <v>1.1599999999999999</v>
      </c>
      <c r="AB2328" s="21">
        <f t="shared" si="700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85"/>
        <v>21045012.884955753</v>
      </c>
      <c r="AJ2328" s="19">
        <f t="shared" si="686"/>
        <v>2650260.9603327443</v>
      </c>
      <c r="AK2328" s="20">
        <f t="shared" si="692"/>
        <v>0.12593296924172048</v>
      </c>
      <c r="AL2328" s="17"/>
      <c r="AM2328" s="17"/>
      <c r="AN2328" s="17"/>
      <c r="AO2328" s="17"/>
      <c r="AP2328" s="28" t="str">
        <f t="shared" si="693"/>
        <v>20232</v>
      </c>
      <c r="AQ2328" s="28" t="str">
        <f t="shared" si="694"/>
        <v>20232RMB</v>
      </c>
      <c r="AR2328" s="206" t="str">
        <f t="shared" si="695"/>
        <v>YAMAHA_Mounter</v>
      </c>
      <c r="AS2328" s="22">
        <f t="shared" si="696"/>
        <v>0</v>
      </c>
      <c r="AT2328" s="24" t="str">
        <f t="shared" si="697"/>
        <v>0-3 months</v>
      </c>
      <c r="AU2328" s="22" t="s">
        <v>3240</v>
      </c>
    </row>
    <row r="2329" spans="1:47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54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2413</v>
      </c>
      <c r="K2329" s="155" t="s">
        <v>1404</v>
      </c>
      <c r="L2329" s="17" t="s">
        <v>92</v>
      </c>
      <c r="M2329" s="13" t="s">
        <v>60</v>
      </c>
      <c r="N2329" s="13">
        <v>1</v>
      </c>
      <c r="O2329" s="13"/>
      <c r="P2329" s="33" t="str">
        <f t="shared" si="699"/>
        <v>MAIN UNIT</v>
      </c>
      <c r="Q2329" s="13" t="s">
        <v>61</v>
      </c>
      <c r="R2329" s="13" t="s">
        <v>62</v>
      </c>
      <c r="S2329" s="13" t="s">
        <v>49</v>
      </c>
      <c r="T2329" s="13" t="s">
        <v>78</v>
      </c>
      <c r="U2329" s="13" t="s">
        <v>79</v>
      </c>
      <c r="V2329" s="13" t="s">
        <v>112</v>
      </c>
      <c r="W2329" s="13" t="s">
        <v>64</v>
      </c>
      <c r="X2329" s="135">
        <v>746812.5</v>
      </c>
      <c r="Y2329" s="157" t="str">
        <f t="shared" si="684"/>
        <v>1.13</v>
      </c>
      <c r="Z2329" s="18">
        <f t="shared" si="698"/>
        <v>746812.5</v>
      </c>
      <c r="AA2329" s="13">
        <v>1.1599999999999999</v>
      </c>
      <c r="AB2329" s="21">
        <f t="shared" si="700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85"/>
        <v>21045012.884955753</v>
      </c>
      <c r="AJ2329" s="19">
        <f t="shared" si="686"/>
        <v>2650260.9603327443</v>
      </c>
      <c r="AK2329" s="20">
        <f t="shared" si="692"/>
        <v>0.12593296924172048</v>
      </c>
      <c r="AL2329" s="17"/>
      <c r="AM2329" s="17"/>
      <c r="AN2329" s="17"/>
      <c r="AO2329" s="17"/>
      <c r="AP2329" s="28" t="str">
        <f t="shared" si="693"/>
        <v>20232</v>
      </c>
      <c r="AQ2329" s="28" t="str">
        <f t="shared" si="694"/>
        <v>20232RMB</v>
      </c>
      <c r="AR2329" s="206" t="str">
        <f t="shared" si="695"/>
        <v>YAMAHA_Mounter</v>
      </c>
      <c r="AS2329" s="22">
        <f t="shared" si="696"/>
        <v>0</v>
      </c>
      <c r="AT2329" s="24" t="str">
        <f t="shared" si="697"/>
        <v>0-3 months</v>
      </c>
      <c r="AU2329" s="22" t="s">
        <v>3240</v>
      </c>
    </row>
    <row r="2330" spans="1:47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54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2413</v>
      </c>
      <c r="K2330" s="155" t="s">
        <v>1404</v>
      </c>
      <c r="L2330" s="17" t="s">
        <v>92</v>
      </c>
      <c r="M2330" s="13" t="s">
        <v>60</v>
      </c>
      <c r="N2330" s="13">
        <v>1</v>
      </c>
      <c r="O2330" s="13"/>
      <c r="P2330" s="33" t="str">
        <f t="shared" si="699"/>
        <v>MAIN UNIT</v>
      </c>
      <c r="Q2330" s="13" t="s">
        <v>61</v>
      </c>
      <c r="R2330" s="13" t="s">
        <v>62</v>
      </c>
      <c r="S2330" s="13" t="s">
        <v>49</v>
      </c>
      <c r="T2330" s="13" t="s">
        <v>78</v>
      </c>
      <c r="U2330" s="13" t="s">
        <v>79</v>
      </c>
      <c r="V2330" s="13" t="s">
        <v>112</v>
      </c>
      <c r="W2330" s="13" t="s">
        <v>64</v>
      </c>
      <c r="X2330" s="135">
        <v>746812.5</v>
      </c>
      <c r="Y2330" s="157" t="str">
        <f t="shared" si="684"/>
        <v>1.13</v>
      </c>
      <c r="Z2330" s="18">
        <f t="shared" si="698"/>
        <v>746812.5</v>
      </c>
      <c r="AA2330" s="13">
        <v>1.1599999999999999</v>
      </c>
      <c r="AB2330" s="21">
        <f t="shared" si="700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85"/>
        <v>21045012.884955753</v>
      </c>
      <c r="AJ2330" s="19">
        <f t="shared" si="686"/>
        <v>2650260.9603327443</v>
      </c>
      <c r="AK2330" s="20">
        <f t="shared" si="692"/>
        <v>0.12593296924172048</v>
      </c>
      <c r="AL2330" s="17"/>
      <c r="AM2330" s="17"/>
      <c r="AN2330" s="17"/>
      <c r="AO2330" s="17"/>
      <c r="AP2330" s="28" t="str">
        <f t="shared" si="693"/>
        <v>20232</v>
      </c>
      <c r="AQ2330" s="28" t="str">
        <f t="shared" si="694"/>
        <v>20232RMB</v>
      </c>
      <c r="AR2330" s="206" t="str">
        <f t="shared" si="695"/>
        <v>YAMAHA_Mounter</v>
      </c>
      <c r="AS2330" s="22">
        <f t="shared" si="696"/>
        <v>0</v>
      </c>
      <c r="AT2330" s="24" t="str">
        <f t="shared" si="697"/>
        <v>0-3 months</v>
      </c>
      <c r="AU2330" s="22" t="s">
        <v>3240</v>
      </c>
    </row>
    <row r="2331" spans="1:47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54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2413</v>
      </c>
      <c r="K2331" s="155" t="s">
        <v>1404</v>
      </c>
      <c r="L2331" s="17" t="s">
        <v>92</v>
      </c>
      <c r="M2331" s="13" t="s">
        <v>60</v>
      </c>
      <c r="N2331" s="13">
        <v>1</v>
      </c>
      <c r="O2331" s="13"/>
      <c r="P2331" s="33" t="str">
        <f t="shared" si="699"/>
        <v>MAIN UNIT</v>
      </c>
      <c r="Q2331" s="13" t="s">
        <v>61</v>
      </c>
      <c r="R2331" s="13" t="s">
        <v>62</v>
      </c>
      <c r="S2331" s="13" t="s">
        <v>49</v>
      </c>
      <c r="T2331" s="13" t="s">
        <v>78</v>
      </c>
      <c r="U2331" s="13" t="s">
        <v>79</v>
      </c>
      <c r="V2331" s="13" t="s">
        <v>112</v>
      </c>
      <c r="W2331" s="13" t="s">
        <v>64</v>
      </c>
      <c r="X2331" s="135">
        <v>746812.5</v>
      </c>
      <c r="Y2331" s="157" t="str">
        <f t="shared" si="684"/>
        <v>1.13</v>
      </c>
      <c r="Z2331" s="18">
        <f t="shared" si="698"/>
        <v>746812.5</v>
      </c>
      <c r="AA2331" s="13">
        <v>1.1599999999999999</v>
      </c>
      <c r="AB2331" s="21">
        <f t="shared" si="700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85"/>
        <v>21045012.884955753</v>
      </c>
      <c r="AJ2331" s="19">
        <f t="shared" si="686"/>
        <v>2650260.9603327443</v>
      </c>
      <c r="AK2331" s="20">
        <f t="shared" si="692"/>
        <v>0.12593296924172048</v>
      </c>
      <c r="AL2331" s="17"/>
      <c r="AM2331" s="17"/>
      <c r="AN2331" s="17"/>
      <c r="AO2331" s="17"/>
      <c r="AP2331" s="28" t="str">
        <f t="shared" si="693"/>
        <v>20232</v>
      </c>
      <c r="AQ2331" s="28" t="str">
        <f t="shared" si="694"/>
        <v>20232RMB</v>
      </c>
      <c r="AR2331" s="206" t="str">
        <f t="shared" si="695"/>
        <v>YAMAHA_Mounter</v>
      </c>
      <c r="AS2331" s="22">
        <f t="shared" si="696"/>
        <v>0</v>
      </c>
      <c r="AT2331" s="24" t="str">
        <f t="shared" si="697"/>
        <v>0-3 months</v>
      </c>
      <c r="AU2331" s="22" t="s">
        <v>3240</v>
      </c>
    </row>
    <row r="2332" spans="1:47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55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2566</v>
      </c>
      <c r="K2332" s="155" t="s">
        <v>1404</v>
      </c>
      <c r="L2332" s="17" t="s">
        <v>67</v>
      </c>
      <c r="M2332" s="13" t="s">
        <v>60</v>
      </c>
      <c r="N2332" s="13">
        <v>1</v>
      </c>
      <c r="O2332" s="13"/>
      <c r="P2332" s="33" t="str">
        <f t="shared" si="699"/>
        <v>MAIN UNIT</v>
      </c>
      <c r="Q2332" s="13" t="s">
        <v>61</v>
      </c>
      <c r="R2332" s="13" t="s">
        <v>62</v>
      </c>
      <c r="S2332" s="13" t="s">
        <v>49</v>
      </c>
      <c r="T2332" s="13" t="s">
        <v>78</v>
      </c>
      <c r="U2332" s="13" t="s">
        <v>79</v>
      </c>
      <c r="V2332" s="13" t="s">
        <v>112</v>
      </c>
      <c r="W2332" s="13" t="s">
        <v>64</v>
      </c>
      <c r="X2332" s="135">
        <v>460000</v>
      </c>
      <c r="Y2332" s="157" t="str">
        <f t="shared" si="684"/>
        <v>1.13</v>
      </c>
      <c r="Z2332" s="18">
        <f t="shared" si="698"/>
        <v>460000</v>
      </c>
      <c r="AA2332" s="13">
        <v>1.077</v>
      </c>
      <c r="AB2332" s="21">
        <f t="shared" si="700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85"/>
        <v>26078226.463097349</v>
      </c>
      <c r="AJ2332" s="19">
        <f t="shared" si="686"/>
        <v>3137870.4427774516</v>
      </c>
      <c r="AK2332" s="20">
        <f t="shared" si="692"/>
        <v>0.12032530077218917</v>
      </c>
      <c r="AL2332" s="17"/>
      <c r="AM2332" s="17"/>
      <c r="AN2332" s="17"/>
      <c r="AO2332" s="17"/>
      <c r="AP2332" s="28" t="str">
        <f t="shared" si="693"/>
        <v>20239</v>
      </c>
      <c r="AQ2332" s="28" t="str">
        <f t="shared" si="694"/>
        <v>20239RMB</v>
      </c>
      <c r="AR2332" s="206" t="str">
        <f t="shared" si="695"/>
        <v>YAMAHA_Mounter</v>
      </c>
      <c r="AS2332" s="22">
        <f t="shared" si="696"/>
        <v>2</v>
      </c>
      <c r="AT2332" s="24" t="str">
        <f t="shared" si="697"/>
        <v>0-3 months</v>
      </c>
      <c r="AU2332" s="22" t="s">
        <v>3751</v>
      </c>
    </row>
    <row r="2333" spans="1:47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55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2566</v>
      </c>
      <c r="K2333" s="155" t="s">
        <v>1404</v>
      </c>
      <c r="L2333" s="17" t="s">
        <v>67</v>
      </c>
      <c r="M2333" s="13" t="s">
        <v>60</v>
      </c>
      <c r="N2333" s="13">
        <v>1</v>
      </c>
      <c r="O2333" s="13"/>
      <c r="P2333" s="33" t="str">
        <f t="shared" si="699"/>
        <v>MAIN UNIT</v>
      </c>
      <c r="Q2333" s="13" t="s">
        <v>61</v>
      </c>
      <c r="R2333" s="13" t="s">
        <v>62</v>
      </c>
      <c r="S2333" s="13" t="s">
        <v>49</v>
      </c>
      <c r="T2333" s="13" t="s">
        <v>78</v>
      </c>
      <c r="U2333" s="13" t="s">
        <v>79</v>
      </c>
      <c r="V2333" s="13" t="s">
        <v>112</v>
      </c>
      <c r="W2333" s="13" t="s">
        <v>64</v>
      </c>
      <c r="X2333" s="135">
        <v>460000</v>
      </c>
      <c r="Y2333" s="157" t="str">
        <f t="shared" si="684"/>
        <v>1.13</v>
      </c>
      <c r="Z2333" s="18">
        <f t="shared" si="698"/>
        <v>460000</v>
      </c>
      <c r="AA2333" s="13">
        <v>1.077</v>
      </c>
      <c r="AB2333" s="21">
        <f t="shared" si="700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85"/>
        <v>26078226.463097349</v>
      </c>
      <c r="AJ2333" s="19">
        <f t="shared" si="686"/>
        <v>3137870.4427774516</v>
      </c>
      <c r="AK2333" s="20">
        <f t="shared" si="692"/>
        <v>0.12032530077218917</v>
      </c>
      <c r="AL2333" s="17"/>
      <c r="AM2333" s="17"/>
      <c r="AN2333" s="17"/>
      <c r="AO2333" s="17"/>
      <c r="AP2333" s="28" t="str">
        <f t="shared" si="693"/>
        <v>20239</v>
      </c>
      <c r="AQ2333" s="28" t="str">
        <f t="shared" si="694"/>
        <v>20239RMB</v>
      </c>
      <c r="AR2333" s="206" t="str">
        <f t="shared" si="695"/>
        <v>YAMAHA_Mounter</v>
      </c>
      <c r="AS2333" s="22">
        <f t="shared" si="696"/>
        <v>2</v>
      </c>
      <c r="AT2333" s="24" t="str">
        <f t="shared" si="697"/>
        <v>0-3 months</v>
      </c>
      <c r="AU2333" s="22" t="s">
        <v>3751</v>
      </c>
    </row>
    <row r="2334" spans="1:47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55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2566</v>
      </c>
      <c r="K2334" s="155" t="s">
        <v>1404</v>
      </c>
      <c r="L2334" s="17" t="s">
        <v>92</v>
      </c>
      <c r="M2334" s="13" t="s">
        <v>60</v>
      </c>
      <c r="N2334" s="13">
        <v>1</v>
      </c>
      <c r="O2334" s="13"/>
      <c r="P2334" s="33" t="str">
        <f t="shared" si="699"/>
        <v>MAIN UNIT</v>
      </c>
      <c r="Q2334" s="13" t="s">
        <v>61</v>
      </c>
      <c r="R2334" s="13" t="s">
        <v>62</v>
      </c>
      <c r="S2334" s="13" t="s">
        <v>49</v>
      </c>
      <c r="T2334" s="13" t="s">
        <v>78</v>
      </c>
      <c r="U2334" s="13" t="s">
        <v>79</v>
      </c>
      <c r="V2334" s="13" t="s">
        <v>112</v>
      </c>
      <c r="W2334" s="13" t="s">
        <v>64</v>
      </c>
      <c r="X2334" s="135">
        <v>771800</v>
      </c>
      <c r="Y2334" s="157" t="str">
        <f t="shared" si="684"/>
        <v>1.13</v>
      </c>
      <c r="Z2334" s="18">
        <f t="shared" si="698"/>
        <v>771800</v>
      </c>
      <c r="AA2334" s="13">
        <v>1.077</v>
      </c>
      <c r="AB2334" s="21">
        <f t="shared" si="700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85"/>
        <v>26078226.463097349</v>
      </c>
      <c r="AJ2334" s="19">
        <f t="shared" si="686"/>
        <v>3137870.4427774516</v>
      </c>
      <c r="AK2334" s="20">
        <f t="shared" si="692"/>
        <v>0.12032530077218917</v>
      </c>
      <c r="AL2334" s="17"/>
      <c r="AM2334" s="17"/>
      <c r="AN2334" s="17"/>
      <c r="AO2334" s="17"/>
      <c r="AP2334" s="28" t="str">
        <f t="shared" si="693"/>
        <v>20239</v>
      </c>
      <c r="AQ2334" s="28" t="str">
        <f t="shared" si="694"/>
        <v>20239RMB</v>
      </c>
      <c r="AR2334" s="206" t="str">
        <f t="shared" si="695"/>
        <v>YAMAHA_Mounter</v>
      </c>
      <c r="AS2334" s="22">
        <f t="shared" si="696"/>
        <v>2</v>
      </c>
      <c r="AT2334" s="24" t="str">
        <f t="shared" si="697"/>
        <v>0-3 months</v>
      </c>
      <c r="AU2334" s="22" t="s">
        <v>3751</v>
      </c>
    </row>
    <row r="2335" spans="1:47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55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2566</v>
      </c>
      <c r="K2335" s="155" t="s">
        <v>1404</v>
      </c>
      <c r="L2335" s="17" t="s">
        <v>92</v>
      </c>
      <c r="M2335" s="13" t="s">
        <v>60</v>
      </c>
      <c r="N2335" s="13">
        <v>1</v>
      </c>
      <c r="O2335" s="13"/>
      <c r="P2335" s="33" t="str">
        <f t="shared" si="699"/>
        <v>MAIN UNIT</v>
      </c>
      <c r="Q2335" s="13" t="s">
        <v>61</v>
      </c>
      <c r="R2335" s="13" t="s">
        <v>62</v>
      </c>
      <c r="S2335" s="13" t="s">
        <v>49</v>
      </c>
      <c r="T2335" s="13" t="s">
        <v>78</v>
      </c>
      <c r="U2335" s="13" t="s">
        <v>79</v>
      </c>
      <c r="V2335" s="13" t="s">
        <v>112</v>
      </c>
      <c r="W2335" s="13" t="s">
        <v>64</v>
      </c>
      <c r="X2335" s="135">
        <v>771800</v>
      </c>
      <c r="Y2335" s="157" t="str">
        <f t="shared" si="684"/>
        <v>1.13</v>
      </c>
      <c r="Z2335" s="18">
        <f t="shared" si="698"/>
        <v>771800</v>
      </c>
      <c r="AA2335" s="13">
        <v>1.077</v>
      </c>
      <c r="AB2335" s="21">
        <f t="shared" si="700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85"/>
        <v>26078226.463097349</v>
      </c>
      <c r="AJ2335" s="19">
        <f t="shared" si="686"/>
        <v>3137870.4427774516</v>
      </c>
      <c r="AK2335" s="20">
        <f t="shared" si="692"/>
        <v>0.12032530077218917</v>
      </c>
      <c r="AL2335" s="17"/>
      <c r="AM2335" s="17"/>
      <c r="AN2335" s="17"/>
      <c r="AO2335" s="17"/>
      <c r="AP2335" s="28" t="str">
        <f t="shared" si="693"/>
        <v>20239</v>
      </c>
      <c r="AQ2335" s="28" t="str">
        <f t="shared" si="694"/>
        <v>20239RMB</v>
      </c>
      <c r="AR2335" s="206" t="str">
        <f t="shared" si="695"/>
        <v>YAMAHA_Mounter</v>
      </c>
      <c r="AS2335" s="22">
        <f t="shared" si="696"/>
        <v>2</v>
      </c>
      <c r="AT2335" s="24" t="str">
        <f t="shared" si="697"/>
        <v>0-3 months</v>
      </c>
      <c r="AU2335" s="22" t="s">
        <v>3751</v>
      </c>
    </row>
    <row r="2336" spans="1:47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55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2566</v>
      </c>
      <c r="K2336" s="155" t="s">
        <v>1404</v>
      </c>
      <c r="L2336" s="17" t="s">
        <v>92</v>
      </c>
      <c r="M2336" s="13" t="s">
        <v>60</v>
      </c>
      <c r="N2336" s="13">
        <v>1</v>
      </c>
      <c r="O2336" s="13"/>
      <c r="P2336" s="33" t="str">
        <f t="shared" si="699"/>
        <v>MAIN UNIT</v>
      </c>
      <c r="Q2336" s="13" t="s">
        <v>61</v>
      </c>
      <c r="R2336" s="13" t="s">
        <v>62</v>
      </c>
      <c r="S2336" s="13" t="s">
        <v>49</v>
      </c>
      <c r="T2336" s="13" t="s">
        <v>78</v>
      </c>
      <c r="U2336" s="13" t="s">
        <v>79</v>
      </c>
      <c r="V2336" s="13" t="s">
        <v>112</v>
      </c>
      <c r="W2336" s="13" t="s">
        <v>64</v>
      </c>
      <c r="X2336" s="135">
        <v>771800</v>
      </c>
      <c r="Y2336" s="157" t="str">
        <f t="shared" si="684"/>
        <v>1.13</v>
      </c>
      <c r="Z2336" s="18">
        <f t="shared" si="698"/>
        <v>771800</v>
      </c>
      <c r="AA2336" s="13">
        <v>1.077</v>
      </c>
      <c r="AB2336" s="21">
        <f t="shared" si="700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85"/>
        <v>26078226.463097349</v>
      </c>
      <c r="AJ2336" s="19">
        <f t="shared" si="686"/>
        <v>3137870.4427774516</v>
      </c>
      <c r="AK2336" s="20">
        <f t="shared" si="692"/>
        <v>0.12032530077218917</v>
      </c>
      <c r="AL2336" s="17"/>
      <c r="AM2336" s="17"/>
      <c r="AN2336" s="17"/>
      <c r="AO2336" s="17"/>
      <c r="AP2336" s="28" t="str">
        <f t="shared" si="693"/>
        <v>20239</v>
      </c>
      <c r="AQ2336" s="28" t="str">
        <f t="shared" si="694"/>
        <v>20239RMB</v>
      </c>
      <c r="AR2336" s="206" t="str">
        <f t="shared" si="695"/>
        <v>YAMAHA_Mounter</v>
      </c>
      <c r="AS2336" s="22">
        <f t="shared" si="696"/>
        <v>2</v>
      </c>
      <c r="AT2336" s="24" t="str">
        <f t="shared" si="697"/>
        <v>0-3 months</v>
      </c>
      <c r="AU2336" s="22" t="s">
        <v>3751</v>
      </c>
    </row>
    <row r="2337" spans="1:47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55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2566</v>
      </c>
      <c r="K2337" s="155" t="s">
        <v>1404</v>
      </c>
      <c r="L2337" s="17" t="s">
        <v>92</v>
      </c>
      <c r="M2337" s="13" t="s">
        <v>60</v>
      </c>
      <c r="N2337" s="13">
        <v>1</v>
      </c>
      <c r="O2337" s="13"/>
      <c r="P2337" s="33" t="str">
        <f t="shared" si="699"/>
        <v>MAIN UNIT</v>
      </c>
      <c r="Q2337" s="13" t="s">
        <v>61</v>
      </c>
      <c r="R2337" s="13" t="s">
        <v>62</v>
      </c>
      <c r="S2337" s="13" t="s">
        <v>49</v>
      </c>
      <c r="T2337" s="13" t="s">
        <v>78</v>
      </c>
      <c r="U2337" s="13" t="s">
        <v>79</v>
      </c>
      <c r="V2337" s="13" t="s">
        <v>112</v>
      </c>
      <c r="W2337" s="13" t="s">
        <v>64</v>
      </c>
      <c r="X2337" s="135">
        <v>771800</v>
      </c>
      <c r="Y2337" s="157" t="str">
        <f t="shared" si="684"/>
        <v>1.13</v>
      </c>
      <c r="Z2337" s="18">
        <f t="shared" si="698"/>
        <v>771800</v>
      </c>
      <c r="AA2337" s="13">
        <v>1.077</v>
      </c>
      <c r="AB2337" s="21">
        <f t="shared" si="700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85"/>
        <v>26078226.463097349</v>
      </c>
      <c r="AJ2337" s="19">
        <f t="shared" si="686"/>
        <v>3137870.4427774516</v>
      </c>
      <c r="AK2337" s="20">
        <f t="shared" si="692"/>
        <v>0.12032530077218917</v>
      </c>
      <c r="AL2337" s="17"/>
      <c r="AM2337" s="17"/>
      <c r="AN2337" s="17"/>
      <c r="AO2337" s="17"/>
      <c r="AP2337" s="28" t="str">
        <f t="shared" si="693"/>
        <v>20239</v>
      </c>
      <c r="AQ2337" s="28" t="str">
        <f t="shared" si="694"/>
        <v>20239RMB</v>
      </c>
      <c r="AR2337" s="206" t="str">
        <f t="shared" si="695"/>
        <v>YAMAHA_Mounter</v>
      </c>
      <c r="AS2337" s="22">
        <f t="shared" si="696"/>
        <v>2</v>
      </c>
      <c r="AT2337" s="24" t="str">
        <f t="shared" si="697"/>
        <v>0-3 months</v>
      </c>
      <c r="AU2337" s="22" t="s">
        <v>3751</v>
      </c>
    </row>
    <row r="2338" spans="1:47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55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2566</v>
      </c>
      <c r="K2338" s="155" t="s">
        <v>1404</v>
      </c>
      <c r="L2338" s="17" t="s">
        <v>92</v>
      </c>
      <c r="M2338" s="13" t="s">
        <v>60</v>
      </c>
      <c r="N2338" s="13">
        <v>1</v>
      </c>
      <c r="O2338" s="13"/>
      <c r="P2338" s="33" t="str">
        <f t="shared" si="699"/>
        <v>MAIN UNIT</v>
      </c>
      <c r="Q2338" s="13" t="s">
        <v>61</v>
      </c>
      <c r="R2338" s="13" t="s">
        <v>62</v>
      </c>
      <c r="S2338" s="13" t="s">
        <v>49</v>
      </c>
      <c r="T2338" s="13" t="s">
        <v>78</v>
      </c>
      <c r="U2338" s="13" t="s">
        <v>79</v>
      </c>
      <c r="V2338" s="13" t="s">
        <v>112</v>
      </c>
      <c r="W2338" s="13" t="s">
        <v>64</v>
      </c>
      <c r="X2338" s="135">
        <v>771800</v>
      </c>
      <c r="Y2338" s="157" t="str">
        <f t="shared" si="684"/>
        <v>1.13</v>
      </c>
      <c r="Z2338" s="18">
        <f t="shared" si="698"/>
        <v>771800</v>
      </c>
      <c r="AA2338" s="13">
        <v>1.077</v>
      </c>
      <c r="AB2338" s="21">
        <f t="shared" si="700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85"/>
        <v>26078226.463097349</v>
      </c>
      <c r="AJ2338" s="19">
        <f t="shared" si="686"/>
        <v>3137870.4427774516</v>
      </c>
      <c r="AK2338" s="20">
        <f t="shared" si="692"/>
        <v>0.12032530077218917</v>
      </c>
      <c r="AL2338" s="17"/>
      <c r="AM2338" s="17"/>
      <c r="AN2338" s="17"/>
      <c r="AO2338" s="17"/>
      <c r="AP2338" s="28" t="str">
        <f t="shared" si="693"/>
        <v>20239</v>
      </c>
      <c r="AQ2338" s="28" t="str">
        <f t="shared" si="694"/>
        <v>20239RMB</v>
      </c>
      <c r="AR2338" s="206" t="str">
        <f t="shared" si="695"/>
        <v>YAMAHA_Mounter</v>
      </c>
      <c r="AS2338" s="22">
        <f t="shared" si="696"/>
        <v>2</v>
      </c>
      <c r="AT2338" s="24" t="str">
        <f t="shared" si="697"/>
        <v>0-3 months</v>
      </c>
      <c r="AU2338" s="22" t="s">
        <v>3751</v>
      </c>
    </row>
    <row r="2339" spans="1:47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55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2566</v>
      </c>
      <c r="K2339" s="155" t="s">
        <v>1404</v>
      </c>
      <c r="L2339" s="17" t="s">
        <v>92</v>
      </c>
      <c r="M2339" s="13" t="s">
        <v>60</v>
      </c>
      <c r="N2339" s="13">
        <v>1</v>
      </c>
      <c r="O2339" s="13"/>
      <c r="P2339" s="33" t="str">
        <f t="shared" si="699"/>
        <v>MAIN UNIT</v>
      </c>
      <c r="Q2339" s="13" t="s">
        <v>61</v>
      </c>
      <c r="R2339" s="13" t="s">
        <v>62</v>
      </c>
      <c r="S2339" s="13" t="s">
        <v>49</v>
      </c>
      <c r="T2339" s="13" t="s">
        <v>78</v>
      </c>
      <c r="U2339" s="13" t="s">
        <v>79</v>
      </c>
      <c r="V2339" s="13" t="s">
        <v>112</v>
      </c>
      <c r="W2339" s="13" t="s">
        <v>64</v>
      </c>
      <c r="X2339" s="135">
        <v>771800</v>
      </c>
      <c r="Y2339" s="157" t="str">
        <f t="shared" si="684"/>
        <v>1.13</v>
      </c>
      <c r="Z2339" s="18">
        <f t="shared" si="698"/>
        <v>771800</v>
      </c>
      <c r="AA2339" s="13">
        <v>1.077</v>
      </c>
      <c r="AB2339" s="21">
        <f t="shared" si="700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85"/>
        <v>26078226.463097349</v>
      </c>
      <c r="AJ2339" s="19">
        <f t="shared" si="686"/>
        <v>3137870.4427774516</v>
      </c>
      <c r="AK2339" s="20">
        <f t="shared" si="692"/>
        <v>0.12032530077218917</v>
      </c>
      <c r="AL2339" s="17"/>
      <c r="AM2339" s="17"/>
      <c r="AN2339" s="17"/>
      <c r="AO2339" s="17"/>
      <c r="AP2339" s="28" t="str">
        <f t="shared" si="693"/>
        <v>20239</v>
      </c>
      <c r="AQ2339" s="28" t="str">
        <f t="shared" si="694"/>
        <v>20239RMB</v>
      </c>
      <c r="AR2339" s="206" t="str">
        <f t="shared" si="695"/>
        <v>YAMAHA_Mounter</v>
      </c>
      <c r="AS2339" s="22">
        <f t="shared" si="696"/>
        <v>2</v>
      </c>
      <c r="AT2339" s="24" t="str">
        <f t="shared" si="697"/>
        <v>0-3 months</v>
      </c>
      <c r="AU2339" s="22" t="s">
        <v>3751</v>
      </c>
    </row>
    <row r="2340" spans="1:47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47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2875</v>
      </c>
      <c r="K2340" s="155" t="s">
        <v>2876</v>
      </c>
      <c r="L2340" s="17" t="s">
        <v>2877</v>
      </c>
      <c r="M2340" s="13" t="s">
        <v>2878</v>
      </c>
      <c r="N2340" s="13">
        <v>1</v>
      </c>
      <c r="O2340" s="13"/>
      <c r="P2340" s="33" t="str">
        <f t="shared" si="699"/>
        <v>MAIN UNIT</v>
      </c>
      <c r="Q2340" s="13" t="s">
        <v>68</v>
      </c>
      <c r="R2340" s="13" t="s">
        <v>2055</v>
      </c>
      <c r="S2340" s="13" t="s">
        <v>50</v>
      </c>
      <c r="T2340" s="13" t="s">
        <v>2879</v>
      </c>
      <c r="U2340" s="13" t="s">
        <v>89</v>
      </c>
      <c r="V2340" s="13" t="s">
        <v>2828</v>
      </c>
      <c r="W2340" s="13" t="s">
        <v>64</v>
      </c>
      <c r="X2340" s="135">
        <v>265000</v>
      </c>
      <c r="Y2340" s="156">
        <v>1.1299999999999999</v>
      </c>
      <c r="Z2340" s="18">
        <f t="shared" si="698"/>
        <v>265000</v>
      </c>
      <c r="AA2340" s="13">
        <v>1.095</v>
      </c>
      <c r="AB2340" s="21">
        <f t="shared" si="700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85"/>
        <v>28647263.974455759</v>
      </c>
      <c r="AJ2340" s="19">
        <f t="shared" si="686"/>
        <v>3219855.6912513468</v>
      </c>
      <c r="AK2340" s="20">
        <f t="shared" si="692"/>
        <v>0.11239662168514358</v>
      </c>
      <c r="AL2340" s="17"/>
      <c r="AM2340" s="17"/>
      <c r="AN2340" s="17"/>
      <c r="AO2340" s="17"/>
      <c r="AP2340" s="28" t="str">
        <f t="shared" si="693"/>
        <v>201910</v>
      </c>
      <c r="AQ2340" s="28" t="str">
        <f t="shared" si="694"/>
        <v>201910RMB</v>
      </c>
      <c r="AR2340" s="206" t="str">
        <f t="shared" si="695"/>
        <v>SAKI</v>
      </c>
      <c r="AS2340" s="22">
        <f t="shared" si="696"/>
        <v>3</v>
      </c>
      <c r="AT2340" s="24" t="str">
        <f t="shared" si="697"/>
        <v>0-3 months</v>
      </c>
      <c r="AU2340" s="22" t="s">
        <v>3744</v>
      </c>
    </row>
    <row r="2341" spans="1:47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48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1647</v>
      </c>
      <c r="K2341" s="155" t="s">
        <v>1648</v>
      </c>
      <c r="L2341" s="17" t="s">
        <v>67</v>
      </c>
      <c r="M2341" s="13" t="s">
        <v>60</v>
      </c>
      <c r="N2341" s="13">
        <v>1</v>
      </c>
      <c r="O2341" s="13"/>
      <c r="P2341" s="33" t="str">
        <f t="shared" si="699"/>
        <v>MAIN UNIT</v>
      </c>
      <c r="Q2341" s="13" t="s">
        <v>68</v>
      </c>
      <c r="R2341" s="13" t="s">
        <v>62</v>
      </c>
      <c r="S2341" s="13" t="s">
        <v>50</v>
      </c>
      <c r="T2341" s="13" t="s">
        <v>168</v>
      </c>
      <c r="U2341" s="13" t="s">
        <v>89</v>
      </c>
      <c r="V2341" s="13" t="s">
        <v>84</v>
      </c>
      <c r="W2341" s="13" t="s">
        <v>64</v>
      </c>
      <c r="X2341" s="135">
        <v>480000</v>
      </c>
      <c r="Y2341" s="157" t="str">
        <f>IF(W2341="RMB","1.13", "1")</f>
        <v>1.13</v>
      </c>
      <c r="Z2341" s="18">
        <f t="shared" si="698"/>
        <v>480000</v>
      </c>
      <c r="AA2341" s="13">
        <v>1.2</v>
      </c>
      <c r="AB2341" s="21">
        <f t="shared" si="700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85"/>
        <v>57778307.282035396</v>
      </c>
      <c r="AJ2341" s="19">
        <f t="shared" si="686"/>
        <v>7259860.7225420559</v>
      </c>
      <c r="AK2341" s="20">
        <f t="shared" si="692"/>
        <v>0.12565028406083667</v>
      </c>
      <c r="AL2341" s="17"/>
      <c r="AM2341" s="17"/>
      <c r="AN2341" s="17"/>
      <c r="AO2341" s="17"/>
      <c r="AP2341" s="28" t="str">
        <f t="shared" si="693"/>
        <v>20213</v>
      </c>
      <c r="AQ2341" s="28" t="str">
        <f t="shared" si="694"/>
        <v>20213RMB</v>
      </c>
      <c r="AR2341" s="206" t="str">
        <f t="shared" si="695"/>
        <v>YAMAHA_Mounter</v>
      </c>
      <c r="AS2341" s="22">
        <f t="shared" si="696"/>
        <v>2</v>
      </c>
      <c r="AT2341" s="24" t="str">
        <f t="shared" si="697"/>
        <v>0-3 months</v>
      </c>
      <c r="AU2341" s="22" t="s">
        <v>3240</v>
      </c>
    </row>
    <row r="2342" spans="1:47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48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1647</v>
      </c>
      <c r="K2342" s="155" t="s">
        <v>1648</v>
      </c>
      <c r="L2342" s="17" t="s">
        <v>67</v>
      </c>
      <c r="M2342" s="13" t="s">
        <v>60</v>
      </c>
      <c r="N2342" s="13">
        <v>1</v>
      </c>
      <c r="O2342" s="13"/>
      <c r="P2342" s="33" t="str">
        <f t="shared" si="699"/>
        <v>MAIN UNIT</v>
      </c>
      <c r="Q2342" s="13" t="s">
        <v>68</v>
      </c>
      <c r="R2342" s="13" t="s">
        <v>62</v>
      </c>
      <c r="S2342" s="13" t="s">
        <v>50</v>
      </c>
      <c r="T2342" s="13" t="s">
        <v>168</v>
      </c>
      <c r="U2342" s="13" t="s">
        <v>89</v>
      </c>
      <c r="V2342" s="13" t="s">
        <v>84</v>
      </c>
      <c r="W2342" s="13" t="s">
        <v>64</v>
      </c>
      <c r="X2342" s="135">
        <v>480000</v>
      </c>
      <c r="Y2342" s="157" t="str">
        <f>IF(W2342="RMB","1.13", "1")</f>
        <v>1.13</v>
      </c>
      <c r="Z2342" s="18">
        <f t="shared" si="698"/>
        <v>480000</v>
      </c>
      <c r="AA2342" s="13">
        <v>1.2</v>
      </c>
      <c r="AB2342" s="21">
        <f t="shared" si="700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85"/>
        <v>57778307.282035396</v>
      </c>
      <c r="AJ2342" s="19">
        <f t="shared" si="686"/>
        <v>7259860.7225420559</v>
      </c>
      <c r="AK2342" s="20">
        <f t="shared" si="692"/>
        <v>0.12565028406083667</v>
      </c>
      <c r="AL2342" s="17"/>
      <c r="AM2342" s="17"/>
      <c r="AN2342" s="17"/>
      <c r="AO2342" s="17"/>
      <c r="AP2342" s="28" t="str">
        <f t="shared" si="693"/>
        <v>20213</v>
      </c>
      <c r="AQ2342" s="28" t="str">
        <f t="shared" si="694"/>
        <v>20213RMB</v>
      </c>
      <c r="AR2342" s="206" t="str">
        <f t="shared" si="695"/>
        <v>YAMAHA_Mounter</v>
      </c>
      <c r="AS2342" s="22">
        <f t="shared" si="696"/>
        <v>2</v>
      </c>
      <c r="AT2342" s="24" t="str">
        <f t="shared" si="697"/>
        <v>0-3 months</v>
      </c>
      <c r="AU2342" s="22" t="s">
        <v>3240</v>
      </c>
    </row>
    <row r="2343" spans="1:47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48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1668</v>
      </c>
      <c r="K2343" s="155" t="s">
        <v>1648</v>
      </c>
      <c r="L2343" s="17" t="s">
        <v>67</v>
      </c>
      <c r="M2343" s="13" t="s">
        <v>60</v>
      </c>
      <c r="N2343" s="13">
        <v>1</v>
      </c>
      <c r="O2343" s="13"/>
      <c r="P2343" s="33" t="str">
        <f t="shared" si="699"/>
        <v>MAIN UNIT</v>
      </c>
      <c r="Q2343" s="13" t="s">
        <v>61</v>
      </c>
      <c r="R2343" s="13" t="s">
        <v>62</v>
      </c>
      <c r="S2343" s="13" t="s">
        <v>50</v>
      </c>
      <c r="T2343" s="13" t="s">
        <v>168</v>
      </c>
      <c r="U2343" s="13" t="s">
        <v>89</v>
      </c>
      <c r="V2343" s="13" t="s">
        <v>84</v>
      </c>
      <c r="W2343" s="13" t="s">
        <v>64</v>
      </c>
      <c r="X2343" s="135">
        <v>480000</v>
      </c>
      <c r="Y2343" s="157" t="str">
        <f>IF(W2343="RMB","1.13", "1")</f>
        <v>1.13</v>
      </c>
      <c r="Z2343" s="18">
        <f t="shared" si="698"/>
        <v>480000</v>
      </c>
      <c r="AA2343" s="13">
        <v>1.2</v>
      </c>
      <c r="AB2343" s="21">
        <f t="shared" si="700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85"/>
        <v>57778307.282035396</v>
      </c>
      <c r="AJ2343" s="19">
        <f t="shared" si="686"/>
        <v>7259860.7225420559</v>
      </c>
      <c r="AK2343" s="20">
        <f t="shared" si="692"/>
        <v>0.12565028406083667</v>
      </c>
      <c r="AL2343" s="17"/>
      <c r="AM2343" s="17"/>
      <c r="AN2343" s="17"/>
      <c r="AO2343" s="17"/>
      <c r="AP2343" s="28" t="str">
        <f t="shared" si="693"/>
        <v>20213</v>
      </c>
      <c r="AQ2343" s="28" t="str">
        <f t="shared" si="694"/>
        <v>20213RMB</v>
      </c>
      <c r="AR2343" s="206" t="str">
        <f t="shared" si="695"/>
        <v>YAMAHA_Mounter</v>
      </c>
      <c r="AS2343" s="22">
        <f t="shared" si="696"/>
        <v>2</v>
      </c>
      <c r="AT2343" s="24" t="str">
        <f t="shared" si="697"/>
        <v>0-3 months</v>
      </c>
      <c r="AU2343" s="22" t="s">
        <v>3240</v>
      </c>
    </row>
    <row r="2344" spans="1:47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185</v>
      </c>
      <c r="F2344" s="13" t="s">
        <v>185</v>
      </c>
      <c r="G2344" s="152" t="s">
        <v>1616</v>
      </c>
      <c r="H2344" s="155" t="s">
        <v>2074</v>
      </c>
      <c r="I2344" s="33" t="str">
        <f t="shared" si="689"/>
        <v>Cancel</v>
      </c>
      <c r="J2344" s="186" t="s">
        <v>2075</v>
      </c>
      <c r="K2344" s="155" t="s">
        <v>1648</v>
      </c>
      <c r="L2344" s="17" t="s">
        <v>67</v>
      </c>
      <c r="M2344" s="13" t="s">
        <v>60</v>
      </c>
      <c r="N2344" s="13">
        <v>1</v>
      </c>
      <c r="O2344" s="13"/>
      <c r="P2344" s="33" t="str">
        <f t="shared" si="699"/>
        <v>MAIN UNIT</v>
      </c>
      <c r="Q2344" s="13" t="s">
        <v>61</v>
      </c>
      <c r="R2344" s="13" t="s">
        <v>62</v>
      </c>
      <c r="S2344" s="13" t="s">
        <v>50</v>
      </c>
      <c r="T2344" s="13" t="s">
        <v>168</v>
      </c>
      <c r="U2344" s="13" t="s">
        <v>89</v>
      </c>
      <c r="V2344" s="13" t="s">
        <v>84</v>
      </c>
      <c r="W2344" s="13" t="s">
        <v>64</v>
      </c>
      <c r="X2344" s="135">
        <v>480000</v>
      </c>
      <c r="Y2344" s="157" t="str">
        <f>IF(W2344="RMB","1.13", "1")</f>
        <v>1.13</v>
      </c>
      <c r="Z2344" s="18">
        <f t="shared" si="698"/>
        <v>480000</v>
      </c>
      <c r="AA2344" s="13">
        <v>1.2</v>
      </c>
      <c r="AB2344" s="21">
        <f t="shared" si="700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85"/>
        <v>499582152.5142017</v>
      </c>
      <c r="AJ2344" s="19">
        <f t="shared" si="686"/>
        <v>59520528.679470733</v>
      </c>
      <c r="AK2344" s="20">
        <f t="shared" si="692"/>
        <v>0.11914062257814291</v>
      </c>
      <c r="AL2344" s="17"/>
      <c r="AM2344" s="17"/>
      <c r="AN2344" s="17"/>
      <c r="AO2344" s="17"/>
      <c r="AP2344" s="28" t="str">
        <f t="shared" si="693"/>
        <v>CancelCANCEL</v>
      </c>
      <c r="AQ2344" s="28" t="str">
        <f t="shared" si="694"/>
        <v>CancelCANCELRMB</v>
      </c>
      <c r="AR2344" s="206" t="str">
        <f t="shared" si="695"/>
        <v>YAMAHA_Mounter</v>
      </c>
      <c r="AS2344" s="22" t="str">
        <f t="shared" si="696"/>
        <v/>
      </c>
      <c r="AT2344" s="24" t="str">
        <f t="shared" si="697"/>
        <v/>
      </c>
      <c r="AU2344" s="22" t="s">
        <v>3240</v>
      </c>
    </row>
    <row r="2345" spans="1:47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3335</v>
      </c>
      <c r="K2345" s="164" t="s">
        <v>3337</v>
      </c>
      <c r="L2345" s="17" t="s">
        <v>67</v>
      </c>
      <c r="M2345" s="22" t="s">
        <v>60</v>
      </c>
      <c r="N2345" s="22">
        <v>1</v>
      </c>
      <c r="O2345" s="22"/>
      <c r="P2345" s="33" t="str">
        <f t="shared" si="699"/>
        <v>MAIN UNIT</v>
      </c>
      <c r="Q2345" s="13" t="s">
        <v>61</v>
      </c>
      <c r="R2345" s="22" t="s">
        <v>62</v>
      </c>
      <c r="S2345" s="22" t="s">
        <v>50</v>
      </c>
      <c r="T2345" s="22" t="s">
        <v>168</v>
      </c>
      <c r="U2345" s="22" t="s">
        <v>89</v>
      </c>
      <c r="V2345" s="22" t="s">
        <v>84</v>
      </c>
      <c r="W2345" s="22" t="s">
        <v>64</v>
      </c>
      <c r="X2345" s="30">
        <v>363000</v>
      </c>
      <c r="Y2345" s="31" t="str">
        <f>IF(W2345="","",IF(W2345="RMB","1.13", "1"))</f>
        <v>1.13</v>
      </c>
      <c r="Z2345" s="18">
        <f t="shared" si="698"/>
        <v>363000</v>
      </c>
      <c r="AA2345" s="22">
        <v>1.0900000000000001</v>
      </c>
      <c r="AB2345" s="21">
        <f t="shared" si="700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85"/>
        <v>21241742.157380536</v>
      </c>
      <c r="AJ2345" s="27">
        <f t="shared" si="686"/>
        <v>2987081.1613773629</v>
      </c>
      <c r="AK2345" s="28">
        <f t="shared" si="692"/>
        <v>0.14062317201884914</v>
      </c>
      <c r="AL2345" s="24"/>
      <c r="AM2345" s="24"/>
      <c r="AN2345" s="24"/>
      <c r="AO2345" s="24"/>
      <c r="AP2345" s="28" t="str">
        <f t="shared" si="693"/>
        <v>20243</v>
      </c>
      <c r="AQ2345" s="28" t="str">
        <f t="shared" si="694"/>
        <v>20243RMB</v>
      </c>
      <c r="AR2345" s="206" t="str">
        <f t="shared" si="695"/>
        <v>YAMAHA_Mounter</v>
      </c>
      <c r="AS2345" s="22">
        <f t="shared" si="696"/>
        <v>0</v>
      </c>
      <c r="AT2345" s="24" t="str">
        <f t="shared" si="697"/>
        <v>0-3 months</v>
      </c>
      <c r="AU2345" s="22" t="s">
        <v>3240</v>
      </c>
    </row>
    <row r="2346" spans="1:47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3335</v>
      </c>
      <c r="K2346" s="164" t="s">
        <v>3337</v>
      </c>
      <c r="L2346" s="17" t="s">
        <v>67</v>
      </c>
      <c r="M2346" s="22" t="s">
        <v>60</v>
      </c>
      <c r="N2346" s="22">
        <v>1</v>
      </c>
      <c r="O2346" s="22"/>
      <c r="P2346" s="33" t="str">
        <f t="shared" si="699"/>
        <v>MAIN UNIT</v>
      </c>
      <c r="Q2346" s="13" t="s">
        <v>61</v>
      </c>
      <c r="R2346" s="22" t="s">
        <v>62</v>
      </c>
      <c r="S2346" s="22" t="s">
        <v>50</v>
      </c>
      <c r="T2346" s="22" t="s">
        <v>168</v>
      </c>
      <c r="U2346" s="22" t="s">
        <v>89</v>
      </c>
      <c r="V2346" s="22" t="s">
        <v>84</v>
      </c>
      <c r="W2346" s="22" t="s">
        <v>64</v>
      </c>
      <c r="X2346" s="30">
        <v>363000</v>
      </c>
      <c r="Y2346" s="31" t="str">
        <f>IF(W2346="","",IF(W2346="RMB","1.13", "1"))</f>
        <v>1.13</v>
      </c>
      <c r="Z2346" s="18">
        <f t="shared" si="698"/>
        <v>363000</v>
      </c>
      <c r="AA2346" s="22">
        <v>1.0900000000000001</v>
      </c>
      <c r="AB2346" s="21">
        <f t="shared" si="700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85"/>
        <v>21241742.157380536</v>
      </c>
      <c r="AJ2346" s="27">
        <f t="shared" si="686"/>
        <v>2987081.1613773629</v>
      </c>
      <c r="AK2346" s="28">
        <f t="shared" si="692"/>
        <v>0.14062317201884914</v>
      </c>
      <c r="AL2346" s="24"/>
      <c r="AM2346" s="24"/>
      <c r="AN2346" s="24"/>
      <c r="AO2346" s="24"/>
      <c r="AP2346" s="28" t="str">
        <f t="shared" si="693"/>
        <v>20243</v>
      </c>
      <c r="AQ2346" s="28" t="str">
        <f t="shared" si="694"/>
        <v>20243RMB</v>
      </c>
      <c r="AR2346" s="206" t="str">
        <f t="shared" si="695"/>
        <v>YAMAHA_Mounter</v>
      </c>
      <c r="AS2346" s="22">
        <f t="shared" si="696"/>
        <v>0</v>
      </c>
      <c r="AT2346" s="24" t="str">
        <f t="shared" si="697"/>
        <v>0-3 months</v>
      </c>
      <c r="AU2346" s="22" t="s">
        <v>3240</v>
      </c>
    </row>
    <row r="2347" spans="1:47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185</v>
      </c>
      <c r="F2347" s="13" t="s">
        <v>185</v>
      </c>
      <c r="G2347" s="152" t="s">
        <v>1616</v>
      </c>
      <c r="H2347" s="155"/>
      <c r="I2347" s="33" t="str">
        <f t="shared" si="689"/>
        <v>Cancel</v>
      </c>
      <c r="J2347" s="186" t="s">
        <v>2084</v>
      </c>
      <c r="K2347" s="155" t="s">
        <v>2085</v>
      </c>
      <c r="L2347" s="17" t="s">
        <v>92</v>
      </c>
      <c r="M2347" s="13" t="s">
        <v>60</v>
      </c>
      <c r="N2347" s="13">
        <v>1</v>
      </c>
      <c r="O2347" s="13"/>
      <c r="P2347" s="33" t="str">
        <f t="shared" si="699"/>
        <v>MAIN UNIT</v>
      </c>
      <c r="Q2347" s="13" t="s">
        <v>61</v>
      </c>
      <c r="R2347" s="13" t="s">
        <v>62</v>
      </c>
      <c r="S2347" s="13" t="s">
        <v>50</v>
      </c>
      <c r="T2347" s="13" t="s">
        <v>168</v>
      </c>
      <c r="U2347" s="13" t="s">
        <v>89</v>
      </c>
      <c r="V2347" s="13" t="s">
        <v>84</v>
      </c>
      <c r="W2347" s="13" t="s">
        <v>64</v>
      </c>
      <c r="X2347" s="135">
        <v>780000</v>
      </c>
      <c r="Y2347" s="157" t="str">
        <f>IF(W2347="RMB","1.13", "1")</f>
        <v>1.13</v>
      </c>
      <c r="Z2347" s="18">
        <f t="shared" si="698"/>
        <v>780000</v>
      </c>
      <c r="AA2347" s="13">
        <v>1.175</v>
      </c>
      <c r="AB2347" s="21">
        <f t="shared" si="700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85"/>
        <v>499582152.5142017</v>
      </c>
      <c r="AJ2347" s="19">
        <f t="shared" si="686"/>
        <v>59520528.679470733</v>
      </c>
      <c r="AK2347" s="20">
        <f t="shared" si="692"/>
        <v>0.11914062257814291</v>
      </c>
      <c r="AL2347" s="17"/>
      <c r="AM2347" s="17"/>
      <c r="AN2347" s="17"/>
      <c r="AO2347" s="17"/>
      <c r="AP2347" s="28" t="str">
        <f t="shared" si="693"/>
        <v>CancelCANCEL</v>
      </c>
      <c r="AQ2347" s="28" t="str">
        <f t="shared" si="694"/>
        <v>CancelCANCELRMB</v>
      </c>
      <c r="AR2347" s="206" t="str">
        <f t="shared" si="695"/>
        <v>YAMAHA_Mounter</v>
      </c>
      <c r="AS2347" s="22" t="str">
        <f t="shared" si="696"/>
        <v/>
      </c>
      <c r="AT2347" s="24" t="str">
        <f t="shared" si="697"/>
        <v/>
      </c>
      <c r="AU2347" s="22" t="s">
        <v>3240</v>
      </c>
    </row>
    <row r="2348" spans="1:47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185</v>
      </c>
      <c r="F2348" s="13" t="s">
        <v>185</v>
      </c>
      <c r="G2348" s="152" t="s">
        <v>1616</v>
      </c>
      <c r="H2348" s="155"/>
      <c r="I2348" s="33" t="str">
        <f t="shared" si="689"/>
        <v>Cancel</v>
      </c>
      <c r="J2348" s="186" t="s">
        <v>2084</v>
      </c>
      <c r="K2348" s="155" t="s">
        <v>2085</v>
      </c>
      <c r="L2348" s="17" t="s">
        <v>92</v>
      </c>
      <c r="M2348" s="13" t="s">
        <v>60</v>
      </c>
      <c r="N2348" s="13">
        <v>1</v>
      </c>
      <c r="O2348" s="13"/>
      <c r="P2348" s="33" t="str">
        <f t="shared" si="699"/>
        <v>MAIN UNIT</v>
      </c>
      <c r="Q2348" s="13" t="s">
        <v>61</v>
      </c>
      <c r="R2348" s="13" t="s">
        <v>62</v>
      </c>
      <c r="S2348" s="13" t="s">
        <v>50</v>
      </c>
      <c r="T2348" s="13" t="s">
        <v>168</v>
      </c>
      <c r="U2348" s="13" t="s">
        <v>89</v>
      </c>
      <c r="V2348" s="13" t="s">
        <v>84</v>
      </c>
      <c r="W2348" s="13" t="s">
        <v>64</v>
      </c>
      <c r="X2348" s="135">
        <v>780000</v>
      </c>
      <c r="Y2348" s="157" t="str">
        <f>IF(W2348="RMB","1.13", "1")</f>
        <v>1.13</v>
      </c>
      <c r="Z2348" s="18">
        <f t="shared" si="698"/>
        <v>780000</v>
      </c>
      <c r="AA2348" s="13">
        <v>1.175</v>
      </c>
      <c r="AB2348" s="21">
        <f t="shared" si="700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85"/>
        <v>499582152.5142017</v>
      </c>
      <c r="AJ2348" s="19">
        <f t="shared" si="686"/>
        <v>59520528.679470733</v>
      </c>
      <c r="AK2348" s="20">
        <f t="shared" si="692"/>
        <v>0.11914062257814291</v>
      </c>
      <c r="AL2348" s="17"/>
      <c r="AM2348" s="17"/>
      <c r="AN2348" s="17"/>
      <c r="AO2348" s="17"/>
      <c r="AP2348" s="28" t="str">
        <f t="shared" si="693"/>
        <v>CancelCANCEL</v>
      </c>
      <c r="AQ2348" s="28" t="str">
        <f t="shared" si="694"/>
        <v>CancelCANCELRMB</v>
      </c>
      <c r="AR2348" s="206" t="str">
        <f t="shared" si="695"/>
        <v>YAMAHA_Mounter</v>
      </c>
      <c r="AS2348" s="22" t="str">
        <f t="shared" si="696"/>
        <v/>
      </c>
      <c r="AT2348" s="24" t="str">
        <f t="shared" si="697"/>
        <v/>
      </c>
      <c r="AU2348" s="22" t="s">
        <v>3240</v>
      </c>
    </row>
    <row r="2349" spans="1:47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47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1024</v>
      </c>
      <c r="K2349" s="155" t="s">
        <v>1025</v>
      </c>
      <c r="L2349" s="17" t="s">
        <v>293</v>
      </c>
      <c r="M2349" s="13" t="s">
        <v>60</v>
      </c>
      <c r="N2349" s="13">
        <v>1</v>
      </c>
      <c r="O2349" s="13"/>
      <c r="P2349" s="33" t="str">
        <f t="shared" si="699"/>
        <v>MAIN UNIT</v>
      </c>
      <c r="Q2349" s="13" t="s">
        <v>61</v>
      </c>
      <c r="R2349" s="13" t="s">
        <v>62</v>
      </c>
      <c r="S2349" s="13" t="s">
        <v>49</v>
      </c>
      <c r="T2349" s="13" t="s">
        <v>78</v>
      </c>
      <c r="U2349" s="13" t="s">
        <v>79</v>
      </c>
      <c r="V2349" s="13" t="s">
        <v>715</v>
      </c>
      <c r="W2349" s="13" t="s">
        <v>64</v>
      </c>
      <c r="X2349" s="135">
        <v>1550000</v>
      </c>
      <c r="Y2349" s="156">
        <v>1.1299999999999999</v>
      </c>
      <c r="Z2349" s="18">
        <f t="shared" si="698"/>
        <v>1550000</v>
      </c>
      <c r="AA2349" s="13">
        <v>1.1100000000000001</v>
      </c>
      <c r="AB2349" s="21">
        <f t="shared" si="700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85"/>
        <v>23168285.927433632</v>
      </c>
      <c r="AJ2349" s="19">
        <f t="shared" si="686"/>
        <v>2764878.916878053</v>
      </c>
      <c r="AK2349" s="20">
        <f t="shared" si="692"/>
        <v>0.11933895004309111</v>
      </c>
      <c r="AL2349" s="17"/>
      <c r="AM2349" s="17"/>
      <c r="AN2349" s="17"/>
      <c r="AO2349" s="17"/>
      <c r="AP2349" s="28" t="str">
        <f t="shared" si="693"/>
        <v>20203</v>
      </c>
      <c r="AQ2349" s="28" t="str">
        <f t="shared" si="694"/>
        <v>20203RMB</v>
      </c>
      <c r="AR2349" s="206" t="str">
        <f t="shared" si="695"/>
        <v>YAMAHA_Mounter</v>
      </c>
      <c r="AS2349" s="22">
        <f t="shared" si="696"/>
        <v>3</v>
      </c>
      <c r="AT2349" s="24" t="str">
        <f t="shared" si="697"/>
        <v>0-3 months</v>
      </c>
      <c r="AU2349" s="22" t="s">
        <v>3751</v>
      </c>
    </row>
    <row r="2350" spans="1:47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47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1024</v>
      </c>
      <c r="K2350" s="155" t="s">
        <v>1025</v>
      </c>
      <c r="L2350" s="17" t="s">
        <v>293</v>
      </c>
      <c r="M2350" s="13" t="s">
        <v>60</v>
      </c>
      <c r="N2350" s="13">
        <v>1</v>
      </c>
      <c r="O2350" s="13"/>
      <c r="P2350" s="33" t="str">
        <f t="shared" si="699"/>
        <v>MAIN UNIT</v>
      </c>
      <c r="Q2350" s="13" t="s">
        <v>61</v>
      </c>
      <c r="R2350" s="13" t="s">
        <v>62</v>
      </c>
      <c r="S2350" s="13" t="s">
        <v>49</v>
      </c>
      <c r="T2350" s="13" t="s">
        <v>78</v>
      </c>
      <c r="U2350" s="13" t="s">
        <v>79</v>
      </c>
      <c r="V2350" s="13" t="s">
        <v>715</v>
      </c>
      <c r="W2350" s="13" t="s">
        <v>64</v>
      </c>
      <c r="X2350" s="135">
        <v>1550000</v>
      </c>
      <c r="Y2350" s="156">
        <v>1.1299999999999999</v>
      </c>
      <c r="Z2350" s="18">
        <f t="shared" si="698"/>
        <v>1550000</v>
      </c>
      <c r="AA2350" s="13">
        <v>1.1100000000000001</v>
      </c>
      <c r="AB2350" s="21">
        <f t="shared" si="700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85"/>
        <v>23168285.927433632</v>
      </c>
      <c r="AJ2350" s="19">
        <f t="shared" si="686"/>
        <v>2764878.916878053</v>
      </c>
      <c r="AK2350" s="20">
        <f t="shared" si="692"/>
        <v>0.11933895004309111</v>
      </c>
      <c r="AL2350" s="17"/>
      <c r="AM2350" s="17"/>
      <c r="AN2350" s="17"/>
      <c r="AO2350" s="17"/>
      <c r="AP2350" s="28" t="str">
        <f t="shared" si="693"/>
        <v>20203</v>
      </c>
      <c r="AQ2350" s="28" t="str">
        <f t="shared" si="694"/>
        <v>20203RMB</v>
      </c>
      <c r="AR2350" s="206" t="str">
        <f t="shared" si="695"/>
        <v>YAMAHA_Mounter</v>
      </c>
      <c r="AS2350" s="22">
        <f t="shared" si="696"/>
        <v>3</v>
      </c>
      <c r="AT2350" s="24" t="str">
        <f t="shared" si="697"/>
        <v>0-3 months</v>
      </c>
      <c r="AU2350" s="22" t="s">
        <v>3751</v>
      </c>
    </row>
    <row r="2351" spans="1:47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48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1655</v>
      </c>
      <c r="K2351" s="155" t="s">
        <v>1656</v>
      </c>
      <c r="L2351" s="17" t="s">
        <v>92</v>
      </c>
      <c r="M2351" s="13" t="s">
        <v>60</v>
      </c>
      <c r="N2351" s="13">
        <v>1</v>
      </c>
      <c r="O2351" s="13"/>
      <c r="P2351" s="33" t="str">
        <f t="shared" si="699"/>
        <v>MAIN UNIT</v>
      </c>
      <c r="Q2351" s="13" t="s">
        <v>61</v>
      </c>
      <c r="R2351" s="13" t="s">
        <v>62</v>
      </c>
      <c r="S2351" s="13" t="s">
        <v>49</v>
      </c>
      <c r="T2351" s="13" t="s">
        <v>78</v>
      </c>
      <c r="U2351" s="13" t="s">
        <v>79</v>
      </c>
      <c r="V2351" s="13" t="s">
        <v>131</v>
      </c>
      <c r="W2351" s="13" t="s">
        <v>109</v>
      </c>
      <c r="X2351" s="135">
        <v>13700000</v>
      </c>
      <c r="Y2351" s="157" t="str">
        <f>IF(W2351="RMB","1.13", "1")</f>
        <v>1</v>
      </c>
      <c r="Z2351" s="18">
        <f t="shared" si="698"/>
        <v>13700000</v>
      </c>
      <c r="AA2351" s="13">
        <v>7.4499999999999997E-2</v>
      </c>
      <c r="AB2351" s="21">
        <f t="shared" si="700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85"/>
        <v>57778307.282035396</v>
      </c>
      <c r="AJ2351" s="19">
        <f t="shared" si="686"/>
        <v>7259860.7225420559</v>
      </c>
      <c r="AK2351" s="20">
        <f t="shared" si="692"/>
        <v>0.12565028406083667</v>
      </c>
      <c r="AL2351" s="17"/>
      <c r="AM2351" s="17"/>
      <c r="AN2351" s="17"/>
      <c r="AO2351" s="17" t="s">
        <v>1657</v>
      </c>
      <c r="AP2351" s="28" t="str">
        <f t="shared" si="693"/>
        <v>20213</v>
      </c>
      <c r="AQ2351" s="28" t="str">
        <f t="shared" si="694"/>
        <v>20213JPY</v>
      </c>
      <c r="AR2351" s="206" t="str">
        <f t="shared" si="695"/>
        <v>YAMAHA_Mounter</v>
      </c>
      <c r="AS2351" s="22">
        <f t="shared" si="696"/>
        <v>2</v>
      </c>
      <c r="AT2351" s="24" t="str">
        <f t="shared" si="697"/>
        <v>0-3 months</v>
      </c>
      <c r="AU2351" s="22" t="s">
        <v>3240</v>
      </c>
    </row>
    <row r="2352" spans="1:47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48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1655</v>
      </c>
      <c r="K2352" s="155" t="s">
        <v>1656</v>
      </c>
      <c r="L2352" s="17" t="s">
        <v>92</v>
      </c>
      <c r="M2352" s="13" t="s">
        <v>60</v>
      </c>
      <c r="N2352" s="13">
        <v>1</v>
      </c>
      <c r="O2352" s="13"/>
      <c r="P2352" s="33" t="str">
        <f t="shared" si="699"/>
        <v>MAIN UNIT</v>
      </c>
      <c r="Q2352" s="13" t="s">
        <v>61</v>
      </c>
      <c r="R2352" s="13" t="s">
        <v>62</v>
      </c>
      <c r="S2352" s="13" t="s">
        <v>49</v>
      </c>
      <c r="T2352" s="13" t="s">
        <v>78</v>
      </c>
      <c r="U2352" s="13" t="s">
        <v>79</v>
      </c>
      <c r="V2352" s="13" t="s">
        <v>126</v>
      </c>
      <c r="W2352" s="13" t="s">
        <v>109</v>
      </c>
      <c r="X2352" s="135">
        <v>13700000</v>
      </c>
      <c r="Y2352" s="157" t="str">
        <f>IF(W2352="RMB","1.13", "1")</f>
        <v>1</v>
      </c>
      <c r="Z2352" s="18">
        <f t="shared" si="698"/>
        <v>13700000</v>
      </c>
      <c r="AA2352" s="13">
        <v>7.4499999999999997E-2</v>
      </c>
      <c r="AB2352" s="21">
        <f t="shared" si="700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85"/>
        <v>57778307.282035396</v>
      </c>
      <c r="AJ2352" s="19">
        <f t="shared" si="686"/>
        <v>7259860.7225420559</v>
      </c>
      <c r="AK2352" s="20">
        <f t="shared" si="692"/>
        <v>0.12565028406083667</v>
      </c>
      <c r="AL2352" s="17"/>
      <c r="AM2352" s="17"/>
      <c r="AN2352" s="17"/>
      <c r="AO2352" s="17" t="s">
        <v>1657</v>
      </c>
      <c r="AP2352" s="28" t="str">
        <f t="shared" si="693"/>
        <v>20213</v>
      </c>
      <c r="AQ2352" s="28" t="str">
        <f t="shared" si="694"/>
        <v>20213JPY</v>
      </c>
      <c r="AR2352" s="206" t="str">
        <f t="shared" si="695"/>
        <v>YAMAHA_Mounter</v>
      </c>
      <c r="AS2352" s="22">
        <f t="shared" si="696"/>
        <v>2</v>
      </c>
      <c r="AT2352" s="24" t="str">
        <f t="shared" si="697"/>
        <v>0-3 months</v>
      </c>
      <c r="AU2352" s="22" t="s">
        <v>3240</v>
      </c>
    </row>
    <row r="2353" spans="1:47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48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1075</v>
      </c>
      <c r="K2353" s="155" t="s">
        <v>1076</v>
      </c>
      <c r="L2353" s="17" t="s">
        <v>67</v>
      </c>
      <c r="M2353" s="13" t="s">
        <v>60</v>
      </c>
      <c r="N2353" s="13">
        <v>1</v>
      </c>
      <c r="O2353" s="13"/>
      <c r="P2353" s="33" t="str">
        <f t="shared" si="699"/>
        <v>MAIN UNIT</v>
      </c>
      <c r="Q2353" s="13" t="s">
        <v>61</v>
      </c>
      <c r="R2353" s="13" t="s">
        <v>62</v>
      </c>
      <c r="S2353" s="13" t="s">
        <v>52</v>
      </c>
      <c r="T2353" s="13" t="s">
        <v>141</v>
      </c>
      <c r="U2353" s="13" t="s">
        <v>1077</v>
      </c>
      <c r="V2353" s="13" t="s">
        <v>143</v>
      </c>
      <c r="W2353" s="13" t="s">
        <v>64</v>
      </c>
      <c r="X2353" s="135">
        <v>507500</v>
      </c>
      <c r="Y2353" s="156" t="s">
        <v>1058</v>
      </c>
      <c r="Z2353" s="18">
        <f t="shared" si="698"/>
        <v>507500</v>
      </c>
      <c r="AA2353" s="13">
        <v>1.095</v>
      </c>
      <c r="AB2353" s="21">
        <f t="shared" si="700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85"/>
        <v>33477255.428389374</v>
      </c>
      <c r="AJ2353" s="19">
        <f t="shared" si="686"/>
        <v>4578663.362915583</v>
      </c>
      <c r="AK2353" s="20">
        <f t="shared" si="692"/>
        <v>0.13676937682988152</v>
      </c>
      <c r="AL2353" s="17"/>
      <c r="AM2353" s="17"/>
      <c r="AN2353" s="17"/>
      <c r="AO2353" s="17"/>
      <c r="AP2353" s="28" t="str">
        <f t="shared" si="693"/>
        <v>20204</v>
      </c>
      <c r="AQ2353" s="28" t="str">
        <f t="shared" si="694"/>
        <v>20204RMB</v>
      </c>
      <c r="AR2353" s="206" t="str">
        <f t="shared" si="695"/>
        <v>YAMAHA_Mounter</v>
      </c>
      <c r="AS2353" s="22">
        <f t="shared" si="696"/>
        <v>0</v>
      </c>
      <c r="AT2353" s="24" t="str">
        <f t="shared" si="697"/>
        <v>0-3 months</v>
      </c>
      <c r="AU2353" s="22" t="s">
        <v>3240</v>
      </c>
    </row>
    <row r="2354" spans="1:47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53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1855</v>
      </c>
      <c r="K2354" s="155" t="s">
        <v>1856</v>
      </c>
      <c r="L2354" s="17" t="s">
        <v>92</v>
      </c>
      <c r="M2354" s="13" t="s">
        <v>60</v>
      </c>
      <c r="N2354" s="13">
        <v>1</v>
      </c>
      <c r="O2354" s="13"/>
      <c r="P2354" s="33" t="str">
        <f t="shared" si="699"/>
        <v>MAIN UNIT</v>
      </c>
      <c r="Q2354" s="13" t="s">
        <v>61</v>
      </c>
      <c r="R2354" s="13" t="s">
        <v>62</v>
      </c>
      <c r="S2354" s="13" t="s">
        <v>50</v>
      </c>
      <c r="T2354" s="13" t="s">
        <v>168</v>
      </c>
      <c r="U2354" s="13" t="s">
        <v>89</v>
      </c>
      <c r="V2354" s="13" t="s">
        <v>84</v>
      </c>
      <c r="W2354" s="13" t="s">
        <v>64</v>
      </c>
      <c r="X2354" s="135">
        <v>1911428.6</v>
      </c>
      <c r="Y2354" s="157" t="str">
        <f t="shared" ref="Y2354:Y2363" si="701">IF(W2354="RMB","1.13", "1")</f>
        <v>1.13</v>
      </c>
      <c r="Z2354" s="18">
        <f t="shared" si="698"/>
        <v>1911428.6</v>
      </c>
      <c r="AA2354" s="13">
        <v>1.2</v>
      </c>
      <c r="AB2354" s="21">
        <f t="shared" si="700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85"/>
        <v>47458373.787610628</v>
      </c>
      <c r="AJ2354" s="19">
        <f t="shared" si="686"/>
        <v>7436880.1411522133</v>
      </c>
      <c r="AK2354" s="20">
        <f t="shared" si="692"/>
        <v>0.15670322321692506</v>
      </c>
      <c r="AL2354" s="17"/>
      <c r="AM2354" s="17"/>
      <c r="AN2354" s="17"/>
      <c r="AO2354" s="17"/>
      <c r="AP2354" s="28" t="str">
        <f t="shared" si="693"/>
        <v>20218</v>
      </c>
      <c r="AQ2354" s="28" t="str">
        <f t="shared" si="694"/>
        <v>20218RMB</v>
      </c>
      <c r="AR2354" s="206" t="str">
        <f t="shared" si="695"/>
        <v>YAMAHA_Mounter</v>
      </c>
      <c r="AS2354" s="22">
        <f t="shared" si="696"/>
        <v>3</v>
      </c>
      <c r="AT2354" s="24" t="str">
        <f t="shared" si="697"/>
        <v>0-3 months</v>
      </c>
      <c r="AU2354" s="22" t="s">
        <v>3240</v>
      </c>
    </row>
    <row r="2355" spans="1:47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53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1855</v>
      </c>
      <c r="K2355" s="155" t="s">
        <v>1856</v>
      </c>
      <c r="L2355" s="17" t="s">
        <v>92</v>
      </c>
      <c r="M2355" s="13" t="s">
        <v>60</v>
      </c>
      <c r="N2355" s="13">
        <v>1</v>
      </c>
      <c r="O2355" s="13"/>
      <c r="P2355" s="33" t="str">
        <f t="shared" si="699"/>
        <v>MAIN UNIT</v>
      </c>
      <c r="Q2355" s="13" t="s">
        <v>61</v>
      </c>
      <c r="R2355" s="13" t="s">
        <v>62</v>
      </c>
      <c r="S2355" s="13" t="s">
        <v>50</v>
      </c>
      <c r="T2355" s="13" t="s">
        <v>168</v>
      </c>
      <c r="U2355" s="13" t="s">
        <v>89</v>
      </c>
      <c r="V2355" s="13" t="s">
        <v>84</v>
      </c>
      <c r="W2355" s="13" t="s">
        <v>64</v>
      </c>
      <c r="X2355" s="135">
        <v>1911428.6</v>
      </c>
      <c r="Y2355" s="157" t="str">
        <f t="shared" si="701"/>
        <v>1.13</v>
      </c>
      <c r="Z2355" s="18">
        <f t="shared" si="698"/>
        <v>1911428.6</v>
      </c>
      <c r="AA2355" s="13">
        <v>1.2</v>
      </c>
      <c r="AB2355" s="21">
        <f t="shared" si="700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85"/>
        <v>47458373.787610628</v>
      </c>
      <c r="AJ2355" s="19">
        <f t="shared" si="686"/>
        <v>7436880.1411522133</v>
      </c>
      <c r="AK2355" s="20">
        <f t="shared" si="692"/>
        <v>0.15670322321692506</v>
      </c>
      <c r="AL2355" s="17"/>
      <c r="AM2355" s="17"/>
      <c r="AN2355" s="17"/>
      <c r="AO2355" s="17"/>
      <c r="AP2355" s="28" t="str">
        <f t="shared" si="693"/>
        <v>20218</v>
      </c>
      <c r="AQ2355" s="28" t="str">
        <f t="shared" si="694"/>
        <v>20218RMB</v>
      </c>
      <c r="AR2355" s="206" t="str">
        <f t="shared" si="695"/>
        <v>YAMAHA_Mounter</v>
      </c>
      <c r="AS2355" s="22">
        <f t="shared" si="696"/>
        <v>3</v>
      </c>
      <c r="AT2355" s="24" t="str">
        <f t="shared" si="697"/>
        <v>0-3 months</v>
      </c>
      <c r="AU2355" s="22" t="s">
        <v>3240</v>
      </c>
    </row>
    <row r="2356" spans="1:47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53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1855</v>
      </c>
      <c r="K2356" s="155" t="s">
        <v>1856</v>
      </c>
      <c r="L2356" s="17" t="s">
        <v>92</v>
      </c>
      <c r="M2356" s="13" t="s">
        <v>60</v>
      </c>
      <c r="N2356" s="13">
        <v>1</v>
      </c>
      <c r="O2356" s="13"/>
      <c r="P2356" s="33" t="str">
        <f t="shared" si="699"/>
        <v>MAIN UNIT</v>
      </c>
      <c r="Q2356" s="13" t="s">
        <v>61</v>
      </c>
      <c r="R2356" s="13" t="s">
        <v>62</v>
      </c>
      <c r="S2356" s="13" t="s">
        <v>50</v>
      </c>
      <c r="T2356" s="13" t="s">
        <v>168</v>
      </c>
      <c r="U2356" s="13" t="s">
        <v>89</v>
      </c>
      <c r="V2356" s="13" t="s">
        <v>84</v>
      </c>
      <c r="W2356" s="13" t="s">
        <v>64</v>
      </c>
      <c r="X2356" s="135">
        <v>1911428.6</v>
      </c>
      <c r="Y2356" s="157" t="str">
        <f t="shared" si="701"/>
        <v>1.13</v>
      </c>
      <c r="Z2356" s="18">
        <f t="shared" si="698"/>
        <v>1911428.6</v>
      </c>
      <c r="AA2356" s="13">
        <v>1.2</v>
      </c>
      <c r="AB2356" s="21">
        <f t="shared" si="700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85"/>
        <v>47458373.787610628</v>
      </c>
      <c r="AJ2356" s="19">
        <f t="shared" si="686"/>
        <v>7436880.1411522133</v>
      </c>
      <c r="AK2356" s="20">
        <f t="shared" si="692"/>
        <v>0.15670322321692506</v>
      </c>
      <c r="AL2356" s="17"/>
      <c r="AM2356" s="17"/>
      <c r="AN2356" s="17"/>
      <c r="AO2356" s="17"/>
      <c r="AP2356" s="28" t="str">
        <f t="shared" si="693"/>
        <v>20218</v>
      </c>
      <c r="AQ2356" s="28" t="str">
        <f t="shared" si="694"/>
        <v>20218RMB</v>
      </c>
      <c r="AR2356" s="206" t="str">
        <f t="shared" si="695"/>
        <v>YAMAHA_Mounter</v>
      </c>
      <c r="AS2356" s="22">
        <f t="shared" si="696"/>
        <v>3</v>
      </c>
      <c r="AT2356" s="24" t="str">
        <f t="shared" si="697"/>
        <v>0-3 months</v>
      </c>
      <c r="AU2356" s="22" t="s">
        <v>3240</v>
      </c>
    </row>
    <row r="2357" spans="1:47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53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1855</v>
      </c>
      <c r="K2357" s="155" t="s">
        <v>1856</v>
      </c>
      <c r="L2357" s="17" t="s">
        <v>92</v>
      </c>
      <c r="M2357" s="13" t="s">
        <v>60</v>
      </c>
      <c r="N2357" s="13">
        <v>1</v>
      </c>
      <c r="O2357" s="13"/>
      <c r="P2357" s="33" t="str">
        <f t="shared" si="699"/>
        <v>MAIN UNIT</v>
      </c>
      <c r="Q2357" s="13" t="s">
        <v>61</v>
      </c>
      <c r="R2357" s="13" t="s">
        <v>62</v>
      </c>
      <c r="S2357" s="13" t="s">
        <v>50</v>
      </c>
      <c r="T2357" s="13" t="s">
        <v>168</v>
      </c>
      <c r="U2357" s="13" t="s">
        <v>89</v>
      </c>
      <c r="V2357" s="13" t="s">
        <v>84</v>
      </c>
      <c r="W2357" s="13" t="s">
        <v>64</v>
      </c>
      <c r="X2357" s="135">
        <v>1911428.6</v>
      </c>
      <c r="Y2357" s="157" t="str">
        <f t="shared" si="701"/>
        <v>1.13</v>
      </c>
      <c r="Z2357" s="18">
        <f t="shared" si="698"/>
        <v>1911428.6</v>
      </c>
      <c r="AA2357" s="13">
        <v>1.2</v>
      </c>
      <c r="AB2357" s="21">
        <f t="shared" si="700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85"/>
        <v>47458373.787610628</v>
      </c>
      <c r="AJ2357" s="19">
        <f t="shared" si="686"/>
        <v>7436880.1411522133</v>
      </c>
      <c r="AK2357" s="20">
        <f t="shared" si="692"/>
        <v>0.15670322321692506</v>
      </c>
      <c r="AL2357" s="17"/>
      <c r="AM2357" s="17"/>
      <c r="AN2357" s="17"/>
      <c r="AO2357" s="17"/>
      <c r="AP2357" s="28" t="str">
        <f t="shared" si="693"/>
        <v>20218</v>
      </c>
      <c r="AQ2357" s="28" t="str">
        <f t="shared" si="694"/>
        <v>20218RMB</v>
      </c>
      <c r="AR2357" s="206" t="str">
        <f t="shared" si="695"/>
        <v>YAMAHA_Mounter</v>
      </c>
      <c r="AS2357" s="22">
        <f t="shared" si="696"/>
        <v>3</v>
      </c>
      <c r="AT2357" s="24" t="str">
        <f t="shared" si="697"/>
        <v>0-3 months</v>
      </c>
      <c r="AU2357" s="22" t="s">
        <v>3240</v>
      </c>
    </row>
    <row r="2358" spans="1:47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53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1855</v>
      </c>
      <c r="K2358" s="155" t="s">
        <v>1856</v>
      </c>
      <c r="L2358" s="17" t="s">
        <v>92</v>
      </c>
      <c r="M2358" s="13" t="s">
        <v>60</v>
      </c>
      <c r="N2358" s="13">
        <v>1</v>
      </c>
      <c r="O2358" s="13"/>
      <c r="P2358" s="33" t="str">
        <f t="shared" si="699"/>
        <v>MAIN UNIT</v>
      </c>
      <c r="Q2358" s="13" t="s">
        <v>61</v>
      </c>
      <c r="R2358" s="13" t="s">
        <v>62</v>
      </c>
      <c r="S2358" s="13" t="s">
        <v>50</v>
      </c>
      <c r="T2358" s="13" t="s">
        <v>168</v>
      </c>
      <c r="U2358" s="13" t="s">
        <v>89</v>
      </c>
      <c r="V2358" s="13" t="s">
        <v>84</v>
      </c>
      <c r="W2358" s="13" t="s">
        <v>64</v>
      </c>
      <c r="X2358" s="135">
        <v>1911428.6</v>
      </c>
      <c r="Y2358" s="157" t="str">
        <f t="shared" si="701"/>
        <v>1.13</v>
      </c>
      <c r="Z2358" s="18">
        <f t="shared" si="698"/>
        <v>1911428.6</v>
      </c>
      <c r="AA2358" s="13">
        <v>1.2</v>
      </c>
      <c r="AB2358" s="21">
        <f t="shared" si="700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85"/>
        <v>47458373.787610628</v>
      </c>
      <c r="AJ2358" s="19">
        <f t="shared" si="686"/>
        <v>7436880.1411522133</v>
      </c>
      <c r="AK2358" s="20">
        <f t="shared" si="692"/>
        <v>0.15670322321692506</v>
      </c>
      <c r="AL2358" s="17"/>
      <c r="AM2358" s="17"/>
      <c r="AN2358" s="17"/>
      <c r="AO2358" s="17"/>
      <c r="AP2358" s="28" t="str">
        <f t="shared" si="693"/>
        <v>20218</v>
      </c>
      <c r="AQ2358" s="28" t="str">
        <f t="shared" si="694"/>
        <v>20218RMB</v>
      </c>
      <c r="AR2358" s="206" t="str">
        <f t="shared" si="695"/>
        <v>YAMAHA_Mounter</v>
      </c>
      <c r="AS2358" s="22">
        <f t="shared" si="696"/>
        <v>3</v>
      </c>
      <c r="AT2358" s="24" t="str">
        <f t="shared" si="697"/>
        <v>0-3 months</v>
      </c>
      <c r="AU2358" s="22" t="s">
        <v>3240</v>
      </c>
    </row>
    <row r="2359" spans="1:47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53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1855</v>
      </c>
      <c r="K2359" s="155" t="s">
        <v>1856</v>
      </c>
      <c r="L2359" s="17" t="s">
        <v>92</v>
      </c>
      <c r="M2359" s="13" t="s">
        <v>60</v>
      </c>
      <c r="N2359" s="13">
        <v>1</v>
      </c>
      <c r="O2359" s="13"/>
      <c r="P2359" s="33" t="str">
        <f t="shared" si="699"/>
        <v>MAIN UNIT</v>
      </c>
      <c r="Q2359" s="13" t="s">
        <v>61</v>
      </c>
      <c r="R2359" s="13" t="s">
        <v>62</v>
      </c>
      <c r="S2359" s="13" t="s">
        <v>50</v>
      </c>
      <c r="T2359" s="13" t="s">
        <v>168</v>
      </c>
      <c r="U2359" s="13" t="s">
        <v>89</v>
      </c>
      <c r="V2359" s="13" t="s">
        <v>84</v>
      </c>
      <c r="W2359" s="13" t="s">
        <v>64</v>
      </c>
      <c r="X2359" s="135">
        <v>1911428.6</v>
      </c>
      <c r="Y2359" s="157" t="str">
        <f t="shared" si="701"/>
        <v>1.13</v>
      </c>
      <c r="Z2359" s="18">
        <f t="shared" si="698"/>
        <v>1911428.6</v>
      </c>
      <c r="AA2359" s="13">
        <v>1.2</v>
      </c>
      <c r="AB2359" s="21">
        <f t="shared" si="700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85"/>
        <v>47458373.787610628</v>
      </c>
      <c r="AJ2359" s="19">
        <f t="shared" si="686"/>
        <v>7436880.1411522133</v>
      </c>
      <c r="AK2359" s="20">
        <f t="shared" si="692"/>
        <v>0.15670322321692506</v>
      </c>
      <c r="AL2359" s="17"/>
      <c r="AM2359" s="17"/>
      <c r="AN2359" s="17"/>
      <c r="AO2359" s="17"/>
      <c r="AP2359" s="28" t="str">
        <f t="shared" si="693"/>
        <v>20218</v>
      </c>
      <c r="AQ2359" s="28" t="str">
        <f t="shared" si="694"/>
        <v>20218RMB</v>
      </c>
      <c r="AR2359" s="206" t="str">
        <f t="shared" si="695"/>
        <v>YAMAHA_Mounter</v>
      </c>
      <c r="AS2359" s="22">
        <f t="shared" si="696"/>
        <v>3</v>
      </c>
      <c r="AT2359" s="24" t="str">
        <f t="shared" si="697"/>
        <v>0-3 months</v>
      </c>
      <c r="AU2359" s="22" t="s">
        <v>3240</v>
      </c>
    </row>
    <row r="2360" spans="1:47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53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1855</v>
      </c>
      <c r="K2360" s="155" t="s">
        <v>1856</v>
      </c>
      <c r="L2360" s="17" t="s">
        <v>92</v>
      </c>
      <c r="M2360" s="13" t="s">
        <v>60</v>
      </c>
      <c r="N2360" s="13">
        <v>1</v>
      </c>
      <c r="O2360" s="13"/>
      <c r="P2360" s="33" t="str">
        <f t="shared" si="699"/>
        <v>MAIN UNIT</v>
      </c>
      <c r="Q2360" s="13" t="s">
        <v>61</v>
      </c>
      <c r="R2360" s="13" t="s">
        <v>62</v>
      </c>
      <c r="S2360" s="13" t="s">
        <v>50</v>
      </c>
      <c r="T2360" s="13" t="s">
        <v>168</v>
      </c>
      <c r="U2360" s="13" t="s">
        <v>89</v>
      </c>
      <c r="V2360" s="13" t="s">
        <v>84</v>
      </c>
      <c r="W2360" s="13" t="s">
        <v>64</v>
      </c>
      <c r="X2360" s="135">
        <v>1911428.6</v>
      </c>
      <c r="Y2360" s="157" t="str">
        <f t="shared" si="701"/>
        <v>1.13</v>
      </c>
      <c r="Z2360" s="18">
        <f t="shared" si="698"/>
        <v>1911428.6</v>
      </c>
      <c r="AA2360" s="13">
        <v>1.2</v>
      </c>
      <c r="AB2360" s="21">
        <f t="shared" si="700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85"/>
        <v>15533177.71460177</v>
      </c>
      <c r="AJ2360" s="19">
        <f t="shared" si="686"/>
        <v>1819298.5437526547</v>
      </c>
      <c r="AK2360" s="20">
        <f t="shared" si="692"/>
        <v>0.11712339723265033</v>
      </c>
      <c r="AL2360" s="17"/>
      <c r="AM2360" s="17"/>
      <c r="AN2360" s="17"/>
      <c r="AO2360" s="17"/>
      <c r="AP2360" s="28" t="str">
        <f t="shared" si="693"/>
        <v>202110</v>
      </c>
      <c r="AQ2360" s="28" t="str">
        <f t="shared" si="694"/>
        <v>202110RMB</v>
      </c>
      <c r="AR2360" s="206" t="str">
        <f t="shared" si="695"/>
        <v>YAMAHA_Mounter</v>
      </c>
      <c r="AS2360" s="22">
        <f t="shared" si="696"/>
        <v>5</v>
      </c>
      <c r="AT2360" s="24" t="str">
        <f t="shared" si="697"/>
        <v>4-6 months</v>
      </c>
      <c r="AU2360" s="22" t="s">
        <v>3240</v>
      </c>
    </row>
    <row r="2361" spans="1:47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55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2564</v>
      </c>
      <c r="K2361" s="155" t="s">
        <v>1856</v>
      </c>
      <c r="L2361" s="17" t="s">
        <v>92</v>
      </c>
      <c r="M2361" s="13" t="s">
        <v>60</v>
      </c>
      <c r="N2361" s="13">
        <v>1</v>
      </c>
      <c r="O2361" s="13"/>
      <c r="P2361" s="33" t="str">
        <f t="shared" si="699"/>
        <v>MAIN UNIT</v>
      </c>
      <c r="Q2361" s="13" t="s">
        <v>61</v>
      </c>
      <c r="R2361" s="13" t="s">
        <v>62</v>
      </c>
      <c r="S2361" s="13" t="s">
        <v>50</v>
      </c>
      <c r="T2361" s="13" t="s">
        <v>168</v>
      </c>
      <c r="U2361" s="13" t="s">
        <v>89</v>
      </c>
      <c r="V2361" s="13" t="s">
        <v>84</v>
      </c>
      <c r="W2361" s="13" t="s">
        <v>64</v>
      </c>
      <c r="X2361" s="135">
        <v>1716155.3</v>
      </c>
      <c r="Y2361" s="157" t="str">
        <f t="shared" si="701"/>
        <v>1.13</v>
      </c>
      <c r="Z2361" s="18">
        <f t="shared" si="698"/>
        <v>1716155.3</v>
      </c>
      <c r="AA2361" s="13">
        <v>1.077</v>
      </c>
      <c r="AB2361" s="21">
        <f t="shared" si="700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85"/>
        <v>26078226.463097349</v>
      </c>
      <c r="AJ2361" s="19">
        <f t="shared" si="686"/>
        <v>3137870.4427774516</v>
      </c>
      <c r="AK2361" s="20">
        <f t="shared" si="692"/>
        <v>0.12032530077218917</v>
      </c>
      <c r="AL2361" s="17"/>
      <c r="AM2361" s="17"/>
      <c r="AN2361" s="17"/>
      <c r="AO2361" s="17"/>
      <c r="AP2361" s="28" t="str">
        <f t="shared" si="693"/>
        <v>20239</v>
      </c>
      <c r="AQ2361" s="28" t="str">
        <f t="shared" si="694"/>
        <v>20239RMB</v>
      </c>
      <c r="AR2361" s="206" t="str">
        <f t="shared" si="695"/>
        <v>YAMAHA_Mounter</v>
      </c>
      <c r="AS2361" s="22">
        <f t="shared" si="696"/>
        <v>3</v>
      </c>
      <c r="AT2361" s="24" t="str">
        <f t="shared" si="697"/>
        <v>0-3 months</v>
      </c>
      <c r="AU2361" s="22" t="s">
        <v>3240</v>
      </c>
    </row>
    <row r="2362" spans="1:47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55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2564</v>
      </c>
      <c r="K2362" s="155" t="s">
        <v>1856</v>
      </c>
      <c r="L2362" s="17" t="s">
        <v>92</v>
      </c>
      <c r="M2362" s="13" t="s">
        <v>60</v>
      </c>
      <c r="N2362" s="13">
        <v>1</v>
      </c>
      <c r="O2362" s="13"/>
      <c r="P2362" s="33" t="str">
        <f t="shared" si="699"/>
        <v>MAIN UNIT</v>
      </c>
      <c r="Q2362" s="13" t="s">
        <v>61</v>
      </c>
      <c r="R2362" s="13" t="s">
        <v>62</v>
      </c>
      <c r="S2362" s="13" t="s">
        <v>50</v>
      </c>
      <c r="T2362" s="13" t="s">
        <v>168</v>
      </c>
      <c r="U2362" s="13" t="s">
        <v>89</v>
      </c>
      <c r="V2362" s="13" t="s">
        <v>84</v>
      </c>
      <c r="W2362" s="13" t="s">
        <v>64</v>
      </c>
      <c r="X2362" s="135">
        <v>1716155.3</v>
      </c>
      <c r="Y2362" s="157" t="str">
        <f t="shared" si="701"/>
        <v>1.13</v>
      </c>
      <c r="Z2362" s="18">
        <f t="shared" si="698"/>
        <v>1716155.3</v>
      </c>
      <c r="AA2362" s="13">
        <v>1.077</v>
      </c>
      <c r="AB2362" s="21">
        <f t="shared" si="700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85"/>
        <v>26078226.463097349</v>
      </c>
      <c r="AJ2362" s="19">
        <f t="shared" si="686"/>
        <v>3137870.4427774516</v>
      </c>
      <c r="AK2362" s="20">
        <f t="shared" si="692"/>
        <v>0.12032530077218917</v>
      </c>
      <c r="AL2362" s="17"/>
      <c r="AM2362" s="17"/>
      <c r="AN2362" s="17"/>
      <c r="AO2362" s="17"/>
      <c r="AP2362" s="28" t="str">
        <f t="shared" si="693"/>
        <v>20239</v>
      </c>
      <c r="AQ2362" s="28" t="str">
        <f t="shared" si="694"/>
        <v>20239RMB</v>
      </c>
      <c r="AR2362" s="206" t="str">
        <f t="shared" si="695"/>
        <v>YAMAHA_Mounter</v>
      </c>
      <c r="AS2362" s="22">
        <f t="shared" si="696"/>
        <v>3</v>
      </c>
      <c r="AT2362" s="24" t="str">
        <f t="shared" si="697"/>
        <v>0-3 months</v>
      </c>
      <c r="AU2362" s="22" t="s">
        <v>3240</v>
      </c>
    </row>
    <row r="2363" spans="1:47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55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2564</v>
      </c>
      <c r="K2363" s="155" t="s">
        <v>1856</v>
      </c>
      <c r="L2363" s="17" t="s">
        <v>92</v>
      </c>
      <c r="M2363" s="13" t="s">
        <v>60</v>
      </c>
      <c r="N2363" s="13">
        <v>1</v>
      </c>
      <c r="O2363" s="13"/>
      <c r="P2363" s="33" t="str">
        <f t="shared" si="699"/>
        <v>MAIN UNIT</v>
      </c>
      <c r="Q2363" s="13" t="s">
        <v>61</v>
      </c>
      <c r="R2363" s="13" t="s">
        <v>62</v>
      </c>
      <c r="S2363" s="13" t="s">
        <v>50</v>
      </c>
      <c r="T2363" s="13" t="s">
        <v>168</v>
      </c>
      <c r="U2363" s="13" t="s">
        <v>89</v>
      </c>
      <c r="V2363" s="13" t="s">
        <v>84</v>
      </c>
      <c r="W2363" s="13" t="s">
        <v>64</v>
      </c>
      <c r="X2363" s="135">
        <v>1716155.3</v>
      </c>
      <c r="Y2363" s="157" t="str">
        <f t="shared" si="701"/>
        <v>1.13</v>
      </c>
      <c r="Z2363" s="18">
        <f t="shared" si="698"/>
        <v>1716155.3</v>
      </c>
      <c r="AA2363" s="13">
        <v>1.077</v>
      </c>
      <c r="AB2363" s="21">
        <f t="shared" si="700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85"/>
        <v>26078226.463097349</v>
      </c>
      <c r="AJ2363" s="19">
        <f t="shared" si="686"/>
        <v>3137870.4427774516</v>
      </c>
      <c r="AK2363" s="20">
        <f t="shared" si="692"/>
        <v>0.12032530077218917</v>
      </c>
      <c r="AL2363" s="17"/>
      <c r="AM2363" s="17"/>
      <c r="AN2363" s="17"/>
      <c r="AO2363" s="17"/>
      <c r="AP2363" s="28" t="str">
        <f t="shared" si="693"/>
        <v>20239</v>
      </c>
      <c r="AQ2363" s="28" t="str">
        <f t="shared" si="694"/>
        <v>20239RMB</v>
      </c>
      <c r="AR2363" s="206" t="str">
        <f t="shared" si="695"/>
        <v>YAMAHA_Mounter</v>
      </c>
      <c r="AS2363" s="22">
        <f t="shared" si="696"/>
        <v>3</v>
      </c>
      <c r="AT2363" s="24" t="str">
        <f t="shared" si="697"/>
        <v>0-3 months</v>
      </c>
      <c r="AU2363" s="22" t="s">
        <v>3240</v>
      </c>
    </row>
    <row r="2364" spans="1:47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41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580</v>
      </c>
      <c r="K2364" s="155" t="s">
        <v>581</v>
      </c>
      <c r="L2364" s="17" t="s">
        <v>92</v>
      </c>
      <c r="M2364" s="13" t="s">
        <v>60</v>
      </c>
      <c r="N2364" s="13">
        <v>9</v>
      </c>
      <c r="O2364" s="13"/>
      <c r="P2364" s="33" t="str">
        <f t="shared" si="699"/>
        <v>MAIN UNIT</v>
      </c>
      <c r="Q2364" s="13" t="s">
        <v>68</v>
      </c>
      <c r="R2364" s="13" t="s">
        <v>62</v>
      </c>
      <c r="S2364" s="13" t="s">
        <v>50</v>
      </c>
      <c r="T2364" s="13" t="s">
        <v>101</v>
      </c>
      <c r="U2364" s="13" t="s">
        <v>89</v>
      </c>
      <c r="V2364" s="13" t="s">
        <v>84</v>
      </c>
      <c r="W2364" s="13" t="s">
        <v>109</v>
      </c>
      <c r="X2364" s="135">
        <v>22530000</v>
      </c>
      <c r="Y2364" s="156">
        <v>1</v>
      </c>
      <c r="Z2364" s="18">
        <f t="shared" si="698"/>
        <v>202770000</v>
      </c>
      <c r="AA2364" s="13">
        <v>7.2300000000000003E-2</v>
      </c>
      <c r="AB2364" s="21">
        <f t="shared" si="700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85"/>
        <v>23237072.69172414</v>
      </c>
      <c r="AJ2364" s="19">
        <f t="shared" si="686"/>
        <v>2402195.7372206897</v>
      </c>
      <c r="AK2364" s="20">
        <f t="shared" si="692"/>
        <v>0.10337772614862238</v>
      </c>
      <c r="AL2364" s="17"/>
      <c r="AM2364" s="17"/>
      <c r="AN2364" s="17"/>
      <c r="AO2364" s="17"/>
      <c r="AP2364" s="28" t="str">
        <f t="shared" si="693"/>
        <v>20191</v>
      </c>
      <c r="AQ2364" s="28" t="str">
        <f t="shared" si="694"/>
        <v>20191JPY</v>
      </c>
      <c r="AR2364" s="206" t="str">
        <f t="shared" si="695"/>
        <v>YAMAHA_Mounter</v>
      </c>
      <c r="AS2364" s="22">
        <f t="shared" si="696"/>
        <v>4</v>
      </c>
      <c r="AT2364" s="24" t="str">
        <f t="shared" si="697"/>
        <v>4-6 months</v>
      </c>
      <c r="AU2364" s="22" t="s">
        <v>3240</v>
      </c>
    </row>
    <row r="2365" spans="1:47" s="12" customFormat="1">
      <c r="A2365" s="33" t="str">
        <f t="shared" si="687"/>
        <v>cancel</v>
      </c>
      <c r="B2365" s="152"/>
      <c r="C2365" s="152" t="s">
        <v>185</v>
      </c>
      <c r="D2365" s="33" t="str">
        <f t="shared" si="688"/>
        <v/>
      </c>
      <c r="E2365" s="33" t="s">
        <v>185</v>
      </c>
      <c r="F2365" s="13" t="s">
        <v>185</v>
      </c>
      <c r="G2365" s="152" t="s">
        <v>185</v>
      </c>
      <c r="H2365" s="155"/>
      <c r="I2365" s="33" t="str">
        <f t="shared" si="689"/>
        <v>Cancel</v>
      </c>
      <c r="J2365" s="186" t="s">
        <v>2633</v>
      </c>
      <c r="K2365" s="155" t="s">
        <v>581</v>
      </c>
      <c r="L2365" s="17" t="s">
        <v>59</v>
      </c>
      <c r="M2365" s="13" t="s">
        <v>60</v>
      </c>
      <c r="N2365" s="13">
        <v>1</v>
      </c>
      <c r="O2365" s="13"/>
      <c r="P2365" s="33" t="str">
        <f t="shared" si="699"/>
        <v>MAIN UNIT</v>
      </c>
      <c r="Q2365" s="13" t="s">
        <v>61</v>
      </c>
      <c r="R2365" s="13" t="s">
        <v>62</v>
      </c>
      <c r="S2365" s="13" t="s">
        <v>50</v>
      </c>
      <c r="T2365" s="13" t="s">
        <v>168</v>
      </c>
      <c r="U2365" s="13" t="s">
        <v>89</v>
      </c>
      <c r="V2365" s="13" t="s">
        <v>2634</v>
      </c>
      <c r="W2365" s="13" t="s">
        <v>64</v>
      </c>
      <c r="X2365" s="135">
        <v>660000</v>
      </c>
      <c r="Y2365" s="156">
        <v>1.17</v>
      </c>
      <c r="Z2365" s="18">
        <f t="shared" si="698"/>
        <v>660000</v>
      </c>
      <c r="AA2365" s="13">
        <v>1.123</v>
      </c>
      <c r="AB2365" s="21">
        <f t="shared" si="700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85"/>
        <v>499582152.5142017</v>
      </c>
      <c r="AJ2365" s="19">
        <f t="shared" si="686"/>
        <v>59520528.679470733</v>
      </c>
      <c r="AK2365" s="20">
        <f t="shared" si="692"/>
        <v>0.11914062257814291</v>
      </c>
      <c r="AL2365" s="17"/>
      <c r="AM2365" s="17"/>
      <c r="AN2365" s="17"/>
      <c r="AO2365" s="17"/>
      <c r="AP2365" s="28" t="str">
        <f t="shared" si="693"/>
        <v>CancelCancel</v>
      </c>
      <c r="AQ2365" s="28" t="str">
        <f t="shared" si="694"/>
        <v>CancelCancelRMB</v>
      </c>
      <c r="AR2365" s="206" t="str">
        <f t="shared" si="695"/>
        <v>YAMAHA_Mounter</v>
      </c>
      <c r="AS2365" s="22" t="str">
        <f t="shared" si="696"/>
        <v/>
      </c>
      <c r="AT2365" s="24" t="str">
        <f t="shared" si="697"/>
        <v/>
      </c>
      <c r="AU2365" s="22" t="s">
        <v>3240</v>
      </c>
    </row>
    <row r="2366" spans="1:47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48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1662</v>
      </c>
      <c r="K2366" s="155" t="s">
        <v>1663</v>
      </c>
      <c r="L2366" s="17" t="s">
        <v>92</v>
      </c>
      <c r="M2366" s="13" t="s">
        <v>60</v>
      </c>
      <c r="N2366" s="13">
        <v>1</v>
      </c>
      <c r="O2366" s="13"/>
      <c r="P2366" s="33" t="str">
        <f t="shared" si="699"/>
        <v>MAIN UNIT</v>
      </c>
      <c r="Q2366" s="13" t="s">
        <v>68</v>
      </c>
      <c r="R2366" s="13" t="s">
        <v>62</v>
      </c>
      <c r="S2366" s="13" t="s">
        <v>50</v>
      </c>
      <c r="T2366" s="13" t="s">
        <v>168</v>
      </c>
      <c r="U2366" s="13" t="s">
        <v>70</v>
      </c>
      <c r="V2366" s="13" t="s">
        <v>102</v>
      </c>
      <c r="W2366" s="13" t="s">
        <v>64</v>
      </c>
      <c r="X2366" s="135">
        <v>977164</v>
      </c>
      <c r="Y2366" s="157" t="str">
        <f t="shared" ref="Y2366:Y2372" si="702">IF(W2366="RMB","1.13", "1")</f>
        <v>1.13</v>
      </c>
      <c r="Z2366" s="18">
        <f t="shared" si="698"/>
        <v>977164</v>
      </c>
      <c r="AA2366" s="13">
        <v>1.2</v>
      </c>
      <c r="AB2366" s="21">
        <f t="shared" si="700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85"/>
        <v>57778307.282035396</v>
      </c>
      <c r="AJ2366" s="19">
        <f t="shared" si="686"/>
        <v>7259860.7225420559</v>
      </c>
      <c r="AK2366" s="20">
        <f t="shared" si="692"/>
        <v>0.12565028406083667</v>
      </c>
      <c r="AL2366" s="17"/>
      <c r="AM2366" s="17"/>
      <c r="AN2366" s="17"/>
      <c r="AO2366" s="17"/>
      <c r="AP2366" s="28" t="str">
        <f t="shared" si="693"/>
        <v>20213</v>
      </c>
      <c r="AQ2366" s="28" t="str">
        <f t="shared" si="694"/>
        <v>20213RMB</v>
      </c>
      <c r="AR2366" s="206" t="str">
        <f t="shared" si="695"/>
        <v>YAMAHA_Mounter</v>
      </c>
      <c r="AS2366" s="22">
        <f t="shared" si="696"/>
        <v>1</v>
      </c>
      <c r="AT2366" s="24" t="str">
        <f t="shared" si="697"/>
        <v>0-3 months</v>
      </c>
      <c r="AU2366" s="22" t="s">
        <v>3240</v>
      </c>
    </row>
    <row r="2367" spans="1:47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53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1662</v>
      </c>
      <c r="K2367" s="155" t="s">
        <v>1663</v>
      </c>
      <c r="L2367" s="17" t="s">
        <v>67</v>
      </c>
      <c r="M2367" s="13" t="s">
        <v>60</v>
      </c>
      <c r="N2367" s="13">
        <v>1</v>
      </c>
      <c r="O2367" s="13"/>
      <c r="P2367" s="33" t="str">
        <f t="shared" si="699"/>
        <v>MAIN UNIT</v>
      </c>
      <c r="Q2367" s="13" t="s">
        <v>61</v>
      </c>
      <c r="R2367" s="13" t="s">
        <v>62</v>
      </c>
      <c r="S2367" s="13" t="s">
        <v>50</v>
      </c>
      <c r="T2367" s="13" t="s">
        <v>168</v>
      </c>
      <c r="U2367" s="13" t="s">
        <v>70</v>
      </c>
      <c r="V2367" s="13" t="s">
        <v>102</v>
      </c>
      <c r="W2367" s="13" t="s">
        <v>64</v>
      </c>
      <c r="X2367" s="135">
        <v>483600</v>
      </c>
      <c r="Y2367" s="157" t="str">
        <f t="shared" si="702"/>
        <v>1.13</v>
      </c>
      <c r="Z2367" s="18">
        <f t="shared" si="698"/>
        <v>483600</v>
      </c>
      <c r="AA2367" s="13">
        <v>1.18</v>
      </c>
      <c r="AB2367" s="21">
        <f t="shared" si="700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85"/>
        <v>43684091.636631854</v>
      </c>
      <c r="AJ2367" s="19">
        <f t="shared" si="686"/>
        <v>6483951.8242071122</v>
      </c>
      <c r="AK2367" s="20">
        <f t="shared" si="692"/>
        <v>0.14842821680123736</v>
      </c>
      <c r="AL2367" s="17"/>
      <c r="AM2367" s="17"/>
      <c r="AN2367" s="17"/>
      <c r="AO2367" s="17"/>
      <c r="AP2367" s="28" t="str">
        <f t="shared" si="693"/>
        <v>20214</v>
      </c>
      <c r="AQ2367" s="28" t="str">
        <f t="shared" si="694"/>
        <v>20214RMB</v>
      </c>
      <c r="AR2367" s="206" t="str">
        <f t="shared" si="695"/>
        <v>YAMAHA_Mounter</v>
      </c>
      <c r="AS2367" s="22">
        <f t="shared" si="696"/>
        <v>2</v>
      </c>
      <c r="AT2367" s="24" t="str">
        <f t="shared" si="697"/>
        <v>0-3 months</v>
      </c>
      <c r="AU2367" s="22" t="s">
        <v>3240</v>
      </c>
    </row>
    <row r="2368" spans="1:47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53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1662</v>
      </c>
      <c r="K2368" s="155" t="s">
        <v>1663</v>
      </c>
      <c r="L2368" s="17" t="s">
        <v>67</v>
      </c>
      <c r="M2368" s="13" t="s">
        <v>60</v>
      </c>
      <c r="N2368" s="13">
        <v>1</v>
      </c>
      <c r="O2368" s="13"/>
      <c r="P2368" s="33" t="str">
        <f t="shared" si="699"/>
        <v>MAIN UNIT</v>
      </c>
      <c r="Q2368" s="13" t="s">
        <v>61</v>
      </c>
      <c r="R2368" s="13" t="s">
        <v>62</v>
      </c>
      <c r="S2368" s="13" t="s">
        <v>50</v>
      </c>
      <c r="T2368" s="13" t="s">
        <v>168</v>
      </c>
      <c r="U2368" s="13" t="s">
        <v>70</v>
      </c>
      <c r="V2368" s="13" t="s">
        <v>102</v>
      </c>
      <c r="W2368" s="13" t="s">
        <v>64</v>
      </c>
      <c r="X2368" s="135">
        <v>483600</v>
      </c>
      <c r="Y2368" s="157" t="str">
        <f t="shared" si="702"/>
        <v>1.13</v>
      </c>
      <c r="Z2368" s="18">
        <f t="shared" si="698"/>
        <v>483600</v>
      </c>
      <c r="AA2368" s="13">
        <v>1.18</v>
      </c>
      <c r="AB2368" s="21">
        <f t="shared" si="700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85"/>
        <v>43684091.636631854</v>
      </c>
      <c r="AJ2368" s="19">
        <f t="shared" si="686"/>
        <v>6483951.8242071122</v>
      </c>
      <c r="AK2368" s="20">
        <f t="shared" si="692"/>
        <v>0.14842821680123736</v>
      </c>
      <c r="AL2368" s="17"/>
      <c r="AM2368" s="17"/>
      <c r="AN2368" s="17"/>
      <c r="AO2368" s="17"/>
      <c r="AP2368" s="28" t="str">
        <f t="shared" si="693"/>
        <v>20214</v>
      </c>
      <c r="AQ2368" s="28" t="str">
        <f t="shared" si="694"/>
        <v>20214RMB</v>
      </c>
      <c r="AR2368" s="206" t="str">
        <f t="shared" si="695"/>
        <v>YAMAHA_Mounter</v>
      </c>
      <c r="AS2368" s="22">
        <f t="shared" si="696"/>
        <v>2</v>
      </c>
      <c r="AT2368" s="24" t="str">
        <f t="shared" si="697"/>
        <v>0-3 months</v>
      </c>
      <c r="AU2368" s="22" t="s">
        <v>3240</v>
      </c>
    </row>
    <row r="2369" spans="1:47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53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1662</v>
      </c>
      <c r="K2369" s="155" t="s">
        <v>1663</v>
      </c>
      <c r="L2369" s="17" t="s">
        <v>67</v>
      </c>
      <c r="M2369" s="13" t="s">
        <v>60</v>
      </c>
      <c r="N2369" s="13">
        <v>1</v>
      </c>
      <c r="O2369" s="13"/>
      <c r="P2369" s="33" t="str">
        <f t="shared" si="699"/>
        <v>MAIN UNIT</v>
      </c>
      <c r="Q2369" s="13" t="s">
        <v>61</v>
      </c>
      <c r="R2369" s="13" t="s">
        <v>62</v>
      </c>
      <c r="S2369" s="13" t="s">
        <v>50</v>
      </c>
      <c r="T2369" s="13" t="s">
        <v>168</v>
      </c>
      <c r="U2369" s="13" t="s">
        <v>70</v>
      </c>
      <c r="V2369" s="13" t="s">
        <v>102</v>
      </c>
      <c r="W2369" s="13" t="s">
        <v>64</v>
      </c>
      <c r="X2369" s="135">
        <v>483600</v>
      </c>
      <c r="Y2369" s="157" t="str">
        <f t="shared" si="702"/>
        <v>1.13</v>
      </c>
      <c r="Z2369" s="18">
        <f t="shared" si="698"/>
        <v>483600</v>
      </c>
      <c r="AA2369" s="13">
        <v>1.18</v>
      </c>
      <c r="AB2369" s="21">
        <f t="shared" si="700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85"/>
        <v>43684091.636631854</v>
      </c>
      <c r="AJ2369" s="19">
        <f t="shared" si="686"/>
        <v>6483951.8242071122</v>
      </c>
      <c r="AK2369" s="20">
        <f t="shared" si="692"/>
        <v>0.14842821680123736</v>
      </c>
      <c r="AL2369" s="17"/>
      <c r="AM2369" s="17"/>
      <c r="AN2369" s="17"/>
      <c r="AO2369" s="17"/>
      <c r="AP2369" s="28" t="str">
        <f t="shared" si="693"/>
        <v>20214</v>
      </c>
      <c r="AQ2369" s="28" t="str">
        <f t="shared" si="694"/>
        <v>20214RMB</v>
      </c>
      <c r="AR2369" s="206" t="str">
        <f t="shared" si="695"/>
        <v>YAMAHA_Mounter</v>
      </c>
      <c r="AS2369" s="22">
        <f t="shared" si="696"/>
        <v>2</v>
      </c>
      <c r="AT2369" s="24" t="str">
        <f t="shared" si="697"/>
        <v>0-3 months</v>
      </c>
      <c r="AU2369" s="22" t="s">
        <v>3240</v>
      </c>
    </row>
    <row r="2370" spans="1:47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54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2249</v>
      </c>
      <c r="K2370" s="155" t="s">
        <v>2250</v>
      </c>
      <c r="L2370" s="17" t="s">
        <v>67</v>
      </c>
      <c r="M2370" s="13" t="s">
        <v>60</v>
      </c>
      <c r="N2370" s="13">
        <v>1</v>
      </c>
      <c r="O2370" s="13"/>
      <c r="P2370" s="33" t="str">
        <f t="shared" si="699"/>
        <v>MAIN UNIT</v>
      </c>
      <c r="Q2370" s="13" t="s">
        <v>61</v>
      </c>
      <c r="R2370" s="13" t="s">
        <v>62</v>
      </c>
      <c r="S2370" s="13" t="s">
        <v>50</v>
      </c>
      <c r="T2370" s="13" t="s">
        <v>168</v>
      </c>
      <c r="U2370" s="13" t="s">
        <v>89</v>
      </c>
      <c r="V2370" s="13" t="s">
        <v>84</v>
      </c>
      <c r="W2370" s="13" t="s">
        <v>64</v>
      </c>
      <c r="X2370" s="135">
        <v>460000</v>
      </c>
      <c r="Y2370" s="157" t="str">
        <f t="shared" si="702"/>
        <v>1.13</v>
      </c>
      <c r="Z2370" s="18">
        <f t="shared" si="698"/>
        <v>460000</v>
      </c>
      <c r="AA2370" s="13">
        <v>1.163</v>
      </c>
      <c r="AB2370" s="21">
        <f t="shared" si="700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ref="AI2370:AI2433" si="703">IF(P2370="C66 SERVICE","",SUMIFS(AB:AB,F:F,F2370,G:G,G2370,E:E,E2370))</f>
        <v>35073581.838938057</v>
      </c>
      <c r="AJ2370" s="19">
        <f t="shared" ref="AJ2370:AJ2433" si="704">IF(P2370="C66 SERVICE","",SUMIFS(AC:AC,F:F,F2370,G:G,G2370,E:E,E2370))</f>
        <v>5034113.9728989396</v>
      </c>
      <c r="AK2370" s="20">
        <f t="shared" si="692"/>
        <v>0.14353007902118958</v>
      </c>
      <c r="AL2370" s="17"/>
      <c r="AM2370" s="17"/>
      <c r="AN2370" s="17"/>
      <c r="AO2370" s="17"/>
      <c r="AP2370" s="28" t="str">
        <f t="shared" si="693"/>
        <v>20228</v>
      </c>
      <c r="AQ2370" s="28" t="str">
        <f t="shared" si="694"/>
        <v>20228RMB</v>
      </c>
      <c r="AR2370" s="206" t="str">
        <f t="shared" si="695"/>
        <v>YAMAHA_Mounter</v>
      </c>
      <c r="AS2370" s="22">
        <f t="shared" si="696"/>
        <v>2</v>
      </c>
      <c r="AT2370" s="24" t="str">
        <f t="shared" si="697"/>
        <v>0-3 months</v>
      </c>
      <c r="AU2370" s="22" t="s">
        <v>3240</v>
      </c>
    </row>
    <row r="2371" spans="1:47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54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2436</v>
      </c>
      <c r="K2371" s="155" t="s">
        <v>2250</v>
      </c>
      <c r="L2371" s="17" t="s">
        <v>67</v>
      </c>
      <c r="M2371" s="13" t="s">
        <v>60</v>
      </c>
      <c r="N2371" s="13">
        <v>1</v>
      </c>
      <c r="O2371" s="13"/>
      <c r="P2371" s="33" t="str">
        <f t="shared" si="699"/>
        <v>MAIN UNIT</v>
      </c>
      <c r="Q2371" s="13" t="s">
        <v>61</v>
      </c>
      <c r="R2371" s="13" t="s">
        <v>62</v>
      </c>
      <c r="S2371" s="13" t="s">
        <v>50</v>
      </c>
      <c r="T2371" s="13" t="s">
        <v>168</v>
      </c>
      <c r="U2371" s="13" t="s">
        <v>89</v>
      </c>
      <c r="V2371" s="13" t="s">
        <v>84</v>
      </c>
      <c r="W2371" s="13" t="s">
        <v>64</v>
      </c>
      <c r="X2371" s="135">
        <v>550000</v>
      </c>
      <c r="Y2371" s="157" t="str">
        <f t="shared" si="702"/>
        <v>1.13</v>
      </c>
      <c r="Z2371" s="18">
        <f t="shared" si="698"/>
        <v>550000</v>
      </c>
      <c r="AA2371" s="13">
        <v>1.1299999999999999</v>
      </c>
      <c r="AB2371" s="21">
        <f t="shared" si="700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703"/>
        <v>33543315.897345133</v>
      </c>
      <c r="AJ2371" s="19">
        <f t="shared" si="704"/>
        <v>4706169.3252984071</v>
      </c>
      <c r="AK2371" s="20">
        <f t="shared" si="692"/>
        <v>0.14030125523967318</v>
      </c>
      <c r="AL2371" s="17"/>
      <c r="AM2371" s="17"/>
      <c r="AN2371" s="17"/>
      <c r="AO2371" s="17"/>
      <c r="AP2371" s="28" t="str">
        <f t="shared" si="693"/>
        <v>20233</v>
      </c>
      <c r="AQ2371" s="28" t="str">
        <f t="shared" si="694"/>
        <v>20233RMB</v>
      </c>
      <c r="AR2371" s="206" t="str">
        <f t="shared" si="695"/>
        <v>YAMAHA_Mounter</v>
      </c>
      <c r="AS2371" s="22">
        <f t="shared" si="696"/>
        <v>1</v>
      </c>
      <c r="AT2371" s="24" t="str">
        <f t="shared" si="697"/>
        <v>0-3 months</v>
      </c>
      <c r="AU2371" s="22" t="s">
        <v>3240</v>
      </c>
    </row>
    <row r="2372" spans="1:47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54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2436</v>
      </c>
      <c r="K2372" s="155" t="s">
        <v>2250</v>
      </c>
      <c r="L2372" s="17" t="s">
        <v>92</v>
      </c>
      <c r="M2372" s="13" t="s">
        <v>60</v>
      </c>
      <c r="N2372" s="13">
        <v>1</v>
      </c>
      <c r="O2372" s="13"/>
      <c r="P2372" s="33" t="str">
        <f t="shared" si="699"/>
        <v>MAIN UNIT</v>
      </c>
      <c r="Q2372" s="13" t="s">
        <v>61</v>
      </c>
      <c r="R2372" s="13" t="s">
        <v>62</v>
      </c>
      <c r="S2372" s="13" t="s">
        <v>50</v>
      </c>
      <c r="T2372" s="13" t="s">
        <v>168</v>
      </c>
      <c r="U2372" s="13" t="s">
        <v>89</v>
      </c>
      <c r="V2372" s="13" t="s">
        <v>84</v>
      </c>
      <c r="W2372" s="13" t="s">
        <v>64</v>
      </c>
      <c r="X2372" s="135">
        <v>800000</v>
      </c>
      <c r="Y2372" s="157" t="str">
        <f t="shared" si="702"/>
        <v>1.13</v>
      </c>
      <c r="Z2372" s="18">
        <f t="shared" si="698"/>
        <v>800000</v>
      </c>
      <c r="AA2372" s="13">
        <v>1.1299999999999999</v>
      </c>
      <c r="AB2372" s="21">
        <f t="shared" si="700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703"/>
        <v>33543315.897345133</v>
      </c>
      <c r="AJ2372" s="19">
        <f t="shared" si="704"/>
        <v>4706169.3252984071</v>
      </c>
      <c r="AK2372" s="20">
        <f t="shared" si="692"/>
        <v>0.14030125523967318</v>
      </c>
      <c r="AL2372" s="17"/>
      <c r="AM2372" s="17"/>
      <c r="AN2372" s="17"/>
      <c r="AO2372" s="17"/>
      <c r="AP2372" s="28" t="str">
        <f t="shared" si="693"/>
        <v>20233</v>
      </c>
      <c r="AQ2372" s="28" t="str">
        <f t="shared" si="694"/>
        <v>20233RMB</v>
      </c>
      <c r="AR2372" s="206" t="str">
        <f t="shared" si="695"/>
        <v>YAMAHA_Mounter</v>
      </c>
      <c r="AS2372" s="22">
        <f t="shared" si="696"/>
        <v>1</v>
      </c>
      <c r="AT2372" s="24" t="str">
        <f t="shared" si="697"/>
        <v>0-3 months</v>
      </c>
      <c r="AU2372" s="22" t="s">
        <v>3240</v>
      </c>
    </row>
    <row r="2373" spans="1:47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185</v>
      </c>
      <c r="G2373" s="152" t="s">
        <v>185</v>
      </c>
      <c r="H2373" s="155"/>
      <c r="I2373" s="33" t="str">
        <f t="shared" si="689"/>
        <v>Cancel</v>
      </c>
      <c r="J2373" s="186" t="s">
        <v>3161</v>
      </c>
      <c r="K2373" s="155" t="s">
        <v>2250</v>
      </c>
      <c r="L2373" s="17" t="s">
        <v>67</v>
      </c>
      <c r="M2373" s="13" t="s">
        <v>60</v>
      </c>
      <c r="N2373" s="13">
        <v>1</v>
      </c>
      <c r="O2373" s="13"/>
      <c r="P2373" s="33" t="str">
        <f t="shared" si="699"/>
        <v>MAIN UNIT</v>
      </c>
      <c r="Q2373" s="13" t="s">
        <v>61</v>
      </c>
      <c r="R2373" s="13" t="s">
        <v>62</v>
      </c>
      <c r="S2373" s="13" t="s">
        <v>50</v>
      </c>
      <c r="T2373" s="13" t="s">
        <v>168</v>
      </c>
      <c r="U2373" s="13" t="s">
        <v>89</v>
      </c>
      <c r="V2373" s="13" t="s">
        <v>84</v>
      </c>
      <c r="W2373" s="13" t="s">
        <v>64</v>
      </c>
      <c r="X2373" s="135">
        <v>430000</v>
      </c>
      <c r="Y2373" s="157" t="str">
        <f>IF(W2373="","",IF(W2373="RMB","1.13", "1"))</f>
        <v>1.13</v>
      </c>
      <c r="Z2373" s="18">
        <f t="shared" si="698"/>
        <v>430000</v>
      </c>
      <c r="AA2373" s="22">
        <v>1.083</v>
      </c>
      <c r="AB2373" s="21">
        <f t="shared" si="700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703"/>
        <v>499582152.5142017</v>
      </c>
      <c r="AJ2373" s="19">
        <f t="shared" si="704"/>
        <v>59520528.679470733</v>
      </c>
      <c r="AK2373" s="20">
        <f t="shared" si="692"/>
        <v>0.11914062257814291</v>
      </c>
      <c r="AL2373" s="17"/>
      <c r="AM2373" s="17"/>
      <c r="AN2373" s="17"/>
      <c r="AO2373" s="17"/>
      <c r="AP2373" s="28" t="str">
        <f t="shared" si="693"/>
        <v>CancelCancel</v>
      </c>
      <c r="AQ2373" s="28" t="str">
        <f t="shared" si="694"/>
        <v>CancelCancelRMB</v>
      </c>
      <c r="AR2373" s="206" t="str">
        <f t="shared" si="695"/>
        <v>YAMAHA_Mounter</v>
      </c>
      <c r="AS2373" s="22" t="str">
        <f t="shared" si="696"/>
        <v/>
      </c>
      <c r="AT2373" s="24" t="str">
        <f t="shared" si="697"/>
        <v/>
      </c>
      <c r="AU2373" s="22" t="s">
        <v>3240</v>
      </c>
    </row>
    <row r="2374" spans="1:47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53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1698</v>
      </c>
      <c r="K2374" s="155" t="s">
        <v>1699</v>
      </c>
      <c r="L2374" s="17" t="s">
        <v>67</v>
      </c>
      <c r="M2374" s="13" t="s">
        <v>60</v>
      </c>
      <c r="N2374" s="13">
        <v>1</v>
      </c>
      <c r="O2374" s="13"/>
      <c r="P2374" s="33" t="str">
        <f t="shared" si="699"/>
        <v>MAIN UNIT</v>
      </c>
      <c r="Q2374" s="13" t="s">
        <v>68</v>
      </c>
      <c r="R2374" s="13" t="s">
        <v>62</v>
      </c>
      <c r="S2374" s="13" t="s">
        <v>50</v>
      </c>
      <c r="T2374" s="13" t="s">
        <v>168</v>
      </c>
      <c r="U2374" s="13" t="s">
        <v>89</v>
      </c>
      <c r="V2374" s="13" t="s">
        <v>84</v>
      </c>
      <c r="W2374" s="13" t="s">
        <v>64</v>
      </c>
      <c r="X2374" s="135">
        <v>500000</v>
      </c>
      <c r="Y2374" s="157" t="str">
        <f t="shared" ref="Y2374:Y2380" si="708">IF(W2374="RMB","1.13", "1")</f>
        <v>1.13</v>
      </c>
      <c r="Z2374" s="18">
        <f t="shared" si="698"/>
        <v>500000</v>
      </c>
      <c r="AA2374" s="13">
        <v>1.18</v>
      </c>
      <c r="AB2374" s="21">
        <f t="shared" si="700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si="703"/>
        <v>43684091.636631854</v>
      </c>
      <c r="AJ2374" s="19">
        <f t="shared" si="704"/>
        <v>6483951.8242071122</v>
      </c>
      <c r="AK2374" s="20">
        <f t="shared" ref="AK2374:AK2437" si="711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2">IF(F2374="","",F2374&amp;G2374)</f>
        <v>20214</v>
      </c>
      <c r="AQ2374" s="28" t="str">
        <f t="shared" ref="AQ2374:AQ2437" si="713">IF(W2374="","",F2374&amp;G2374&amp;W2374)</f>
        <v>20214RMB</v>
      </c>
      <c r="AR2374" s="206" t="str">
        <f t="shared" ref="AR2374:AR2437" si="714">IFERROR(IF(AND(M2374="YAMAHA", R2374="C28"), "YAMAHA_Non_Mounter", IF(AND(M2374="YAMAHA", R2374="C49"), "YAMAHA_Mounter", M2374)),"")</f>
        <v>YAMAHA_Mounter</v>
      </c>
      <c r="AS2374" s="22">
        <f t="shared" ref="AS2374:AS2437" si="715">IFERROR(IF(OR(G2374="TBA", G2374=""), "", DATEDIF(DATE(B2374, C2374, 1), DATE(F2374, G2374, 1), "M")),"")</f>
        <v>0</v>
      </c>
      <c r="AT2374" s="24" t="str">
        <f t="shared" ref="AT2374:AT2437" si="716">IF(ISNUMBER(AS2374), IF(AS2374&gt;=0, IF(AS2374&lt;=3, "0-3 months", IF(AS2374&lt;=6, "4-6 months", "&gt; 6 months"))), "")</f>
        <v>0-3 months</v>
      </c>
      <c r="AU2374" s="22" t="s">
        <v>3240</v>
      </c>
    </row>
    <row r="2375" spans="1:47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185</v>
      </c>
      <c r="F2375" s="13" t="s">
        <v>185</v>
      </c>
      <c r="G2375" s="152" t="s">
        <v>185</v>
      </c>
      <c r="H2375" s="155"/>
      <c r="I2375" s="33" t="str">
        <f t="shared" si="707"/>
        <v>Cancel</v>
      </c>
      <c r="J2375" s="186" t="s">
        <v>2078</v>
      </c>
      <c r="K2375" s="155" t="s">
        <v>1699</v>
      </c>
      <c r="L2375" s="17" t="s">
        <v>67</v>
      </c>
      <c r="M2375" s="13" t="s">
        <v>60</v>
      </c>
      <c r="N2375" s="13">
        <v>1</v>
      </c>
      <c r="O2375" s="13"/>
      <c r="P2375" s="33" t="str">
        <f t="shared" si="699"/>
        <v>MAIN UNIT</v>
      </c>
      <c r="Q2375" s="13" t="s">
        <v>61</v>
      </c>
      <c r="R2375" s="13" t="s">
        <v>62</v>
      </c>
      <c r="S2375" s="13" t="s">
        <v>50</v>
      </c>
      <c r="T2375" s="13" t="s">
        <v>168</v>
      </c>
      <c r="U2375" s="13" t="s">
        <v>89</v>
      </c>
      <c r="V2375" s="13" t="s">
        <v>84</v>
      </c>
      <c r="W2375" s="13" t="s">
        <v>64</v>
      </c>
      <c r="X2375" s="135">
        <v>500000</v>
      </c>
      <c r="Y2375" s="157" t="str">
        <f t="shared" si="708"/>
        <v>1.13</v>
      </c>
      <c r="Z2375" s="18">
        <f t="shared" si="698"/>
        <v>500000</v>
      </c>
      <c r="AA2375" s="13">
        <v>1.175</v>
      </c>
      <c r="AB2375" s="21">
        <f t="shared" si="700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03"/>
        <v>499582152.5142017</v>
      </c>
      <c r="AJ2375" s="19">
        <f t="shared" si="704"/>
        <v>59520528.679470733</v>
      </c>
      <c r="AK2375" s="20">
        <f t="shared" si="711"/>
        <v>0.11914062257814291</v>
      </c>
      <c r="AL2375" s="17"/>
      <c r="AM2375" s="17"/>
      <c r="AN2375" s="17"/>
      <c r="AO2375" s="17"/>
      <c r="AP2375" s="28" t="str">
        <f t="shared" si="712"/>
        <v>CancelCancel</v>
      </c>
      <c r="AQ2375" s="28" t="str">
        <f t="shared" si="713"/>
        <v>CancelCancelRMB</v>
      </c>
      <c r="AR2375" s="206" t="str">
        <f t="shared" si="714"/>
        <v>YAMAHA_Mounter</v>
      </c>
      <c r="AS2375" s="22" t="str">
        <f t="shared" si="715"/>
        <v/>
      </c>
      <c r="AT2375" s="24" t="str">
        <f t="shared" si="716"/>
        <v/>
      </c>
      <c r="AU2375" s="22" t="s">
        <v>3240</v>
      </c>
    </row>
    <row r="2376" spans="1:47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185</v>
      </c>
      <c r="F2376" s="13" t="s">
        <v>185</v>
      </c>
      <c r="G2376" s="152" t="s">
        <v>185</v>
      </c>
      <c r="H2376" s="155"/>
      <c r="I2376" s="33" t="str">
        <f t="shared" si="707"/>
        <v>Cancel</v>
      </c>
      <c r="J2376" s="186" t="s">
        <v>2078</v>
      </c>
      <c r="K2376" s="155" t="s">
        <v>1699</v>
      </c>
      <c r="L2376" s="17" t="s">
        <v>67</v>
      </c>
      <c r="M2376" s="13" t="s">
        <v>60</v>
      </c>
      <c r="N2376" s="13">
        <v>1</v>
      </c>
      <c r="O2376" s="13"/>
      <c r="P2376" s="33" t="str">
        <f t="shared" si="699"/>
        <v>MAIN UNIT</v>
      </c>
      <c r="Q2376" s="13" t="s">
        <v>61</v>
      </c>
      <c r="R2376" s="13" t="s">
        <v>62</v>
      </c>
      <c r="S2376" s="13" t="s">
        <v>50</v>
      </c>
      <c r="T2376" s="13" t="s">
        <v>168</v>
      </c>
      <c r="U2376" s="13" t="s">
        <v>89</v>
      </c>
      <c r="V2376" s="13" t="s">
        <v>84</v>
      </c>
      <c r="W2376" s="13" t="s">
        <v>64</v>
      </c>
      <c r="X2376" s="135">
        <v>500000</v>
      </c>
      <c r="Y2376" s="157" t="str">
        <f t="shared" si="708"/>
        <v>1.13</v>
      </c>
      <c r="Z2376" s="18">
        <f t="shared" si="698"/>
        <v>500000</v>
      </c>
      <c r="AA2376" s="13">
        <v>1.175</v>
      </c>
      <c r="AB2376" s="21">
        <f t="shared" si="700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03"/>
        <v>499582152.5142017</v>
      </c>
      <c r="AJ2376" s="19">
        <f t="shared" si="704"/>
        <v>59520528.679470733</v>
      </c>
      <c r="AK2376" s="20">
        <f t="shared" si="711"/>
        <v>0.11914062257814291</v>
      </c>
      <c r="AL2376" s="17"/>
      <c r="AM2376" s="17"/>
      <c r="AN2376" s="17"/>
      <c r="AO2376" s="17"/>
      <c r="AP2376" s="28" t="str">
        <f t="shared" si="712"/>
        <v>CancelCancel</v>
      </c>
      <c r="AQ2376" s="28" t="str">
        <f t="shared" si="713"/>
        <v>CancelCancelRMB</v>
      </c>
      <c r="AR2376" s="206" t="str">
        <f t="shared" si="714"/>
        <v>YAMAHA_Mounter</v>
      </c>
      <c r="AS2376" s="22" t="str">
        <f t="shared" si="715"/>
        <v/>
      </c>
      <c r="AT2376" s="24" t="str">
        <f t="shared" si="716"/>
        <v/>
      </c>
      <c r="AU2376" s="22" t="s">
        <v>3240</v>
      </c>
    </row>
    <row r="2377" spans="1:47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48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1643</v>
      </c>
      <c r="K2377" s="155" t="s">
        <v>1644</v>
      </c>
      <c r="L2377" s="17" t="s">
        <v>92</v>
      </c>
      <c r="M2377" s="13" t="s">
        <v>60</v>
      </c>
      <c r="N2377" s="13">
        <v>1</v>
      </c>
      <c r="O2377" s="13"/>
      <c r="P2377" s="33" t="str">
        <f t="shared" si="699"/>
        <v>MAIN UNIT</v>
      </c>
      <c r="Q2377" s="13" t="s">
        <v>61</v>
      </c>
      <c r="R2377" s="13" t="s">
        <v>62</v>
      </c>
      <c r="S2377" s="13" t="s">
        <v>50</v>
      </c>
      <c r="T2377" s="13" t="s">
        <v>168</v>
      </c>
      <c r="U2377" s="13" t="s">
        <v>70</v>
      </c>
      <c r="V2377" s="13" t="s">
        <v>102</v>
      </c>
      <c r="W2377" s="13" t="s">
        <v>64</v>
      </c>
      <c r="X2377" s="135">
        <v>900000</v>
      </c>
      <c r="Y2377" s="157" t="str">
        <f t="shared" si="708"/>
        <v>1.13</v>
      </c>
      <c r="Z2377" s="18">
        <f t="shared" si="698"/>
        <v>900000</v>
      </c>
      <c r="AA2377" s="13">
        <v>1.2</v>
      </c>
      <c r="AB2377" s="21">
        <f t="shared" si="700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03"/>
        <v>57778307.282035396</v>
      </c>
      <c r="AJ2377" s="19">
        <f t="shared" si="704"/>
        <v>7259860.7225420559</v>
      </c>
      <c r="AK2377" s="20">
        <f t="shared" si="711"/>
        <v>0.12565028406083667</v>
      </c>
      <c r="AL2377" s="17"/>
      <c r="AM2377" s="17"/>
      <c r="AN2377" s="17"/>
      <c r="AO2377" s="17"/>
      <c r="AP2377" s="28" t="str">
        <f t="shared" si="712"/>
        <v>20213</v>
      </c>
      <c r="AQ2377" s="28" t="str">
        <f t="shared" si="713"/>
        <v>20213RMB</v>
      </c>
      <c r="AR2377" s="206" t="str">
        <f t="shared" si="714"/>
        <v>YAMAHA_Mounter</v>
      </c>
      <c r="AS2377" s="22">
        <f t="shared" si="715"/>
        <v>2</v>
      </c>
      <c r="AT2377" s="24" t="str">
        <f t="shared" si="716"/>
        <v>0-3 months</v>
      </c>
      <c r="AU2377" s="22" t="s">
        <v>3240</v>
      </c>
    </row>
    <row r="2378" spans="1:47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48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1643</v>
      </c>
      <c r="K2378" s="155" t="s">
        <v>1644</v>
      </c>
      <c r="L2378" s="17" t="s">
        <v>92</v>
      </c>
      <c r="M2378" s="13" t="s">
        <v>60</v>
      </c>
      <c r="N2378" s="13">
        <v>1</v>
      </c>
      <c r="O2378" s="13"/>
      <c r="P2378" s="33" t="str">
        <f t="shared" si="699"/>
        <v>MAIN UNIT</v>
      </c>
      <c r="Q2378" s="13" t="s">
        <v>61</v>
      </c>
      <c r="R2378" s="13" t="s">
        <v>62</v>
      </c>
      <c r="S2378" s="13" t="s">
        <v>50</v>
      </c>
      <c r="T2378" s="13" t="s">
        <v>168</v>
      </c>
      <c r="U2378" s="13" t="s">
        <v>70</v>
      </c>
      <c r="V2378" s="13" t="s">
        <v>102</v>
      </c>
      <c r="W2378" s="13" t="s">
        <v>64</v>
      </c>
      <c r="X2378" s="135">
        <v>900000</v>
      </c>
      <c r="Y2378" s="157" t="str">
        <f t="shared" si="708"/>
        <v>1.13</v>
      </c>
      <c r="Z2378" s="18">
        <f t="shared" ref="Z2378:Z2441" si="717">IF(X2378="","",X2378*MAX(O2378,N2378))</f>
        <v>900000</v>
      </c>
      <c r="AA2378" s="13">
        <v>1.2</v>
      </c>
      <c r="AB2378" s="21">
        <f t="shared" si="700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03"/>
        <v>57778307.282035396</v>
      </c>
      <c r="AJ2378" s="19">
        <f t="shared" si="704"/>
        <v>7259860.7225420559</v>
      </c>
      <c r="AK2378" s="20">
        <f t="shared" si="711"/>
        <v>0.12565028406083667</v>
      </c>
      <c r="AL2378" s="17"/>
      <c r="AM2378" s="17"/>
      <c r="AN2378" s="17"/>
      <c r="AO2378" s="17"/>
      <c r="AP2378" s="28" t="str">
        <f t="shared" si="712"/>
        <v>20213</v>
      </c>
      <c r="AQ2378" s="28" t="str">
        <f t="shared" si="713"/>
        <v>20213RMB</v>
      </c>
      <c r="AR2378" s="206" t="str">
        <f t="shared" si="714"/>
        <v>YAMAHA_Mounter</v>
      </c>
      <c r="AS2378" s="22">
        <f t="shared" si="715"/>
        <v>2</v>
      </c>
      <c r="AT2378" s="24" t="str">
        <f t="shared" si="716"/>
        <v>0-3 months</v>
      </c>
      <c r="AU2378" s="22" t="s">
        <v>3240</v>
      </c>
    </row>
    <row r="2379" spans="1:47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48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1643</v>
      </c>
      <c r="K2379" s="155" t="s">
        <v>1644</v>
      </c>
      <c r="L2379" s="17" t="s">
        <v>67</v>
      </c>
      <c r="M2379" s="13" t="s">
        <v>60</v>
      </c>
      <c r="N2379" s="13">
        <v>1</v>
      </c>
      <c r="O2379" s="13"/>
      <c r="P2379" s="33" t="str">
        <f t="shared" si="699"/>
        <v>MAIN UNIT</v>
      </c>
      <c r="Q2379" s="13" t="s">
        <v>61</v>
      </c>
      <c r="R2379" s="13" t="s">
        <v>62</v>
      </c>
      <c r="S2379" s="13" t="s">
        <v>50</v>
      </c>
      <c r="T2379" s="13" t="s">
        <v>168</v>
      </c>
      <c r="U2379" s="13" t="s">
        <v>70</v>
      </c>
      <c r="V2379" s="13" t="s">
        <v>102</v>
      </c>
      <c r="W2379" s="13" t="s">
        <v>64</v>
      </c>
      <c r="X2379" s="135">
        <v>705000</v>
      </c>
      <c r="Y2379" s="157" t="str">
        <f t="shared" si="708"/>
        <v>1.13</v>
      </c>
      <c r="Z2379" s="18">
        <f t="shared" si="717"/>
        <v>705000</v>
      </c>
      <c r="AA2379" s="13">
        <v>1.2</v>
      </c>
      <c r="AB2379" s="21">
        <f t="shared" si="700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03"/>
        <v>57778307.282035396</v>
      </c>
      <c r="AJ2379" s="19">
        <f t="shared" si="704"/>
        <v>7259860.7225420559</v>
      </c>
      <c r="AK2379" s="20">
        <f t="shared" si="711"/>
        <v>0.12565028406083667</v>
      </c>
      <c r="AL2379" s="17"/>
      <c r="AM2379" s="17"/>
      <c r="AN2379" s="17"/>
      <c r="AO2379" s="17"/>
      <c r="AP2379" s="28" t="str">
        <f t="shared" si="712"/>
        <v>20213</v>
      </c>
      <c r="AQ2379" s="28" t="str">
        <f t="shared" si="713"/>
        <v>20213RMB</v>
      </c>
      <c r="AR2379" s="206" t="str">
        <f t="shared" si="714"/>
        <v>YAMAHA_Mounter</v>
      </c>
      <c r="AS2379" s="22">
        <f t="shared" si="715"/>
        <v>2</v>
      </c>
      <c r="AT2379" s="24" t="str">
        <f t="shared" si="716"/>
        <v>0-3 months</v>
      </c>
      <c r="AU2379" s="22" t="s">
        <v>3240</v>
      </c>
    </row>
    <row r="2380" spans="1:47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48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1643</v>
      </c>
      <c r="K2380" s="155" t="s">
        <v>1644</v>
      </c>
      <c r="L2380" s="17" t="s">
        <v>67</v>
      </c>
      <c r="M2380" s="13" t="s">
        <v>60</v>
      </c>
      <c r="N2380" s="13">
        <v>1</v>
      </c>
      <c r="O2380" s="13"/>
      <c r="P2380" s="33" t="str">
        <f t="shared" si="699"/>
        <v>MAIN UNIT</v>
      </c>
      <c r="Q2380" s="13" t="s">
        <v>61</v>
      </c>
      <c r="R2380" s="13" t="s">
        <v>62</v>
      </c>
      <c r="S2380" s="13" t="s">
        <v>50</v>
      </c>
      <c r="T2380" s="13" t="s">
        <v>168</v>
      </c>
      <c r="U2380" s="13" t="s">
        <v>70</v>
      </c>
      <c r="V2380" s="13" t="s">
        <v>102</v>
      </c>
      <c r="W2380" s="13" t="s">
        <v>64</v>
      </c>
      <c r="X2380" s="135">
        <v>705000</v>
      </c>
      <c r="Y2380" s="157" t="str">
        <f t="shared" si="708"/>
        <v>1.13</v>
      </c>
      <c r="Z2380" s="18">
        <f t="shared" si="717"/>
        <v>705000</v>
      </c>
      <c r="AA2380" s="13">
        <v>1.2</v>
      </c>
      <c r="AB2380" s="21">
        <f t="shared" si="700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03"/>
        <v>57778307.282035396</v>
      </c>
      <c r="AJ2380" s="19">
        <f t="shared" si="704"/>
        <v>7259860.7225420559</v>
      </c>
      <c r="AK2380" s="20">
        <f t="shared" si="711"/>
        <v>0.12565028406083667</v>
      </c>
      <c r="AL2380" s="17"/>
      <c r="AM2380" s="17"/>
      <c r="AN2380" s="17"/>
      <c r="AO2380" s="17"/>
      <c r="AP2380" s="28" t="str">
        <f t="shared" si="712"/>
        <v>20213</v>
      </c>
      <c r="AQ2380" s="28" t="str">
        <f t="shared" si="713"/>
        <v>20213RMB</v>
      </c>
      <c r="AR2380" s="206" t="str">
        <f t="shared" si="714"/>
        <v>YAMAHA_Mounter</v>
      </c>
      <c r="AS2380" s="22">
        <f t="shared" si="715"/>
        <v>2</v>
      </c>
      <c r="AT2380" s="24" t="str">
        <f t="shared" si="716"/>
        <v>0-3 months</v>
      </c>
      <c r="AU2380" s="22" t="s">
        <v>3240</v>
      </c>
    </row>
    <row r="2381" spans="1:47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47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823</v>
      </c>
      <c r="K2381" s="155" t="s">
        <v>824</v>
      </c>
      <c r="L2381" s="17" t="s">
        <v>92</v>
      </c>
      <c r="M2381" s="13" t="s">
        <v>60</v>
      </c>
      <c r="N2381" s="13">
        <v>1</v>
      </c>
      <c r="O2381" s="13"/>
      <c r="P2381" s="33" t="str">
        <f t="shared" si="699"/>
        <v>MAIN UNIT</v>
      </c>
      <c r="Q2381" s="13" t="s">
        <v>68</v>
      </c>
      <c r="R2381" s="13" t="s">
        <v>62</v>
      </c>
      <c r="S2381" s="13" t="s">
        <v>50</v>
      </c>
      <c r="T2381" s="13" t="s">
        <v>168</v>
      </c>
      <c r="U2381" s="13" t="s">
        <v>70</v>
      </c>
      <c r="V2381" s="13" t="s">
        <v>102</v>
      </c>
      <c r="W2381" s="13" t="s">
        <v>703</v>
      </c>
      <c r="X2381" s="135">
        <v>825000</v>
      </c>
      <c r="Y2381" s="156">
        <v>1.1299999999999999</v>
      </c>
      <c r="Z2381" s="18">
        <f t="shared" si="717"/>
        <v>825000</v>
      </c>
      <c r="AA2381" s="13">
        <v>1.135</v>
      </c>
      <c r="AB2381" s="21">
        <f t="shared" si="700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03"/>
        <v>31296887.037898075</v>
      </c>
      <c r="AJ2381" s="19">
        <f t="shared" si="704"/>
        <v>3588873.9502021763</v>
      </c>
      <c r="AK2381" s="20">
        <f t="shared" si="711"/>
        <v>0.11467191436184473</v>
      </c>
      <c r="AL2381" s="17"/>
      <c r="AM2381" s="17"/>
      <c r="AN2381" s="17"/>
      <c r="AO2381" s="17"/>
      <c r="AP2381" s="28" t="str">
        <f t="shared" si="712"/>
        <v>20196</v>
      </c>
      <c r="AQ2381" s="28" t="str">
        <f t="shared" si="713"/>
        <v>20196RMB</v>
      </c>
      <c r="AR2381" s="206" t="str">
        <f t="shared" si="714"/>
        <v>YAMAHA_Mounter</v>
      </c>
      <c r="AS2381" s="22">
        <f t="shared" si="715"/>
        <v>1</v>
      </c>
      <c r="AT2381" s="24" t="str">
        <f t="shared" si="716"/>
        <v>0-3 months</v>
      </c>
      <c r="AU2381" s="22" t="s">
        <v>3240</v>
      </c>
    </row>
    <row r="2382" spans="1:47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47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823</v>
      </c>
      <c r="K2382" s="155" t="s">
        <v>824</v>
      </c>
      <c r="L2382" s="17" t="s">
        <v>67</v>
      </c>
      <c r="M2382" s="13" t="s">
        <v>60</v>
      </c>
      <c r="N2382" s="13">
        <v>1</v>
      </c>
      <c r="O2382" s="13"/>
      <c r="P2382" s="33" t="str">
        <f t="shared" si="699"/>
        <v>MAIN UNIT</v>
      </c>
      <c r="Q2382" s="13" t="s">
        <v>68</v>
      </c>
      <c r="R2382" s="13" t="s">
        <v>62</v>
      </c>
      <c r="S2382" s="13" t="s">
        <v>50</v>
      </c>
      <c r="T2382" s="13" t="s">
        <v>168</v>
      </c>
      <c r="U2382" s="13" t="s">
        <v>70</v>
      </c>
      <c r="V2382" s="13" t="s">
        <v>102</v>
      </c>
      <c r="W2382" s="13" t="s">
        <v>703</v>
      </c>
      <c r="X2382" s="135">
        <v>780000</v>
      </c>
      <c r="Y2382" s="156">
        <v>1.1299999999999999</v>
      </c>
      <c r="Z2382" s="18">
        <f t="shared" si="717"/>
        <v>780000</v>
      </c>
      <c r="AA2382" s="13">
        <v>1.135</v>
      </c>
      <c r="AB2382" s="21">
        <f t="shared" si="700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03"/>
        <v>31296887.037898075</v>
      </c>
      <c r="AJ2382" s="19">
        <f t="shared" si="704"/>
        <v>3588873.9502021763</v>
      </c>
      <c r="AK2382" s="20">
        <f t="shared" si="711"/>
        <v>0.11467191436184473</v>
      </c>
      <c r="AL2382" s="17"/>
      <c r="AM2382" s="17"/>
      <c r="AN2382" s="17"/>
      <c r="AO2382" s="17"/>
      <c r="AP2382" s="28" t="str">
        <f t="shared" si="712"/>
        <v>20196</v>
      </c>
      <c r="AQ2382" s="28" t="str">
        <f t="shared" si="713"/>
        <v>20196RMB</v>
      </c>
      <c r="AR2382" s="206" t="str">
        <f t="shared" si="714"/>
        <v>YAMAHA_Mounter</v>
      </c>
      <c r="AS2382" s="22">
        <f t="shared" si="715"/>
        <v>1</v>
      </c>
      <c r="AT2382" s="24" t="str">
        <f t="shared" si="716"/>
        <v>0-3 months</v>
      </c>
      <c r="AU2382" s="22" t="s">
        <v>3240</v>
      </c>
    </row>
    <row r="2383" spans="1:47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48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1543</v>
      </c>
      <c r="K2383" s="155" t="s">
        <v>1544</v>
      </c>
      <c r="L2383" s="17" t="s">
        <v>67</v>
      </c>
      <c r="M2383" s="13" t="s">
        <v>60</v>
      </c>
      <c r="N2383" s="13">
        <v>1</v>
      </c>
      <c r="O2383" s="13"/>
      <c r="P2383" s="33" t="str">
        <f t="shared" si="699"/>
        <v>MAIN UNIT</v>
      </c>
      <c r="Q2383" s="13" t="s">
        <v>61</v>
      </c>
      <c r="R2383" s="13" t="s">
        <v>62</v>
      </c>
      <c r="S2383" s="13" t="s">
        <v>50</v>
      </c>
      <c r="T2383" s="13" t="s">
        <v>93</v>
      </c>
      <c r="U2383" s="13" t="s">
        <v>70</v>
      </c>
      <c r="V2383" s="13" t="s">
        <v>169</v>
      </c>
      <c r="W2383" s="13" t="s">
        <v>64</v>
      </c>
      <c r="X2383" s="135">
        <v>539000</v>
      </c>
      <c r="Y2383" s="157" t="str">
        <f>IF(W2383="RMB","1.13", "1")</f>
        <v>1.13</v>
      </c>
      <c r="Z2383" s="18">
        <f t="shared" si="717"/>
        <v>539000</v>
      </c>
      <c r="AA2383" s="13">
        <v>1.1850000000000001</v>
      </c>
      <c r="AB2383" s="21">
        <f t="shared" si="700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03"/>
        <v>45803245.025628321</v>
      </c>
      <c r="AJ2383" s="19">
        <f t="shared" si="704"/>
        <v>5664636.2584379362</v>
      </c>
      <c r="AK2383" s="20">
        <f t="shared" si="711"/>
        <v>0.12367325186825515</v>
      </c>
      <c r="AL2383" s="17"/>
      <c r="AM2383" s="17"/>
      <c r="AN2383" s="17"/>
      <c r="AO2383" s="17"/>
      <c r="AP2383" s="28" t="str">
        <f t="shared" si="712"/>
        <v>20211</v>
      </c>
      <c r="AQ2383" s="28" t="str">
        <f t="shared" si="713"/>
        <v>20211RMB</v>
      </c>
      <c r="AR2383" s="206" t="str">
        <f t="shared" si="714"/>
        <v>YAMAHA_Mounter</v>
      </c>
      <c r="AS2383" s="22">
        <f t="shared" si="715"/>
        <v>2</v>
      </c>
      <c r="AT2383" s="24" t="str">
        <f t="shared" si="716"/>
        <v>0-3 months</v>
      </c>
      <c r="AU2383" s="22" t="s">
        <v>3240</v>
      </c>
    </row>
    <row r="2384" spans="1:47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41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472</v>
      </c>
      <c r="K2384" s="155" t="s">
        <v>473</v>
      </c>
      <c r="L2384" s="17" t="s">
        <v>100</v>
      </c>
      <c r="M2384" s="13" t="s">
        <v>60</v>
      </c>
      <c r="N2384" s="13">
        <v>1</v>
      </c>
      <c r="O2384" s="13"/>
      <c r="P2384" s="33" t="str">
        <f t="shared" si="699"/>
        <v>MAIN UNIT</v>
      </c>
      <c r="Q2384" s="13" t="s">
        <v>68</v>
      </c>
      <c r="R2384" s="13" t="s">
        <v>62</v>
      </c>
      <c r="S2384" s="13" t="s">
        <v>50</v>
      </c>
      <c r="T2384" s="13" t="s">
        <v>168</v>
      </c>
      <c r="U2384" s="13" t="s">
        <v>70</v>
      </c>
      <c r="V2384" s="13" t="s">
        <v>169</v>
      </c>
      <c r="W2384" s="13" t="s">
        <v>64</v>
      </c>
      <c r="X2384" s="135">
        <v>510000</v>
      </c>
      <c r="Y2384" s="156">
        <v>1.1599999999999999</v>
      </c>
      <c r="Z2384" s="18">
        <f t="shared" si="717"/>
        <v>510000</v>
      </c>
      <c r="AA2384" s="13">
        <v>1.23</v>
      </c>
      <c r="AB2384" s="21">
        <f t="shared" si="700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03"/>
        <v>24398045.86045352</v>
      </c>
      <c r="AJ2384" s="19">
        <f t="shared" si="704"/>
        <v>3478417.4064663448</v>
      </c>
      <c r="AK2384" s="20">
        <f t="shared" si="711"/>
        <v>0.14256950849102498</v>
      </c>
      <c r="AL2384" s="17"/>
      <c r="AM2384" s="17"/>
      <c r="AN2384" s="17"/>
      <c r="AO2384" s="17" t="s">
        <v>474</v>
      </c>
      <c r="AP2384" s="28" t="str">
        <f t="shared" si="712"/>
        <v>20186</v>
      </c>
      <c r="AQ2384" s="28" t="str">
        <f t="shared" si="713"/>
        <v>20186RMB</v>
      </c>
      <c r="AR2384" s="206" t="str">
        <f t="shared" si="714"/>
        <v>YAMAHA_Mounter</v>
      </c>
      <c r="AS2384" s="22">
        <f t="shared" si="715"/>
        <v>1</v>
      </c>
      <c r="AT2384" s="24" t="str">
        <f t="shared" si="716"/>
        <v>0-3 months</v>
      </c>
      <c r="AU2384" s="22" t="s">
        <v>3240</v>
      </c>
    </row>
    <row r="2385" spans="1:47" s="12" customFormat="1">
      <c r="A2385" s="33" t="str">
        <f t="shared" si="705"/>
        <v>cancel</v>
      </c>
      <c r="B2385" s="152"/>
      <c r="C2385" s="152" t="s">
        <v>185</v>
      </c>
      <c r="D2385" s="33" t="str">
        <f t="shared" si="706"/>
        <v/>
      </c>
      <c r="E2385" s="33" t="s">
        <v>185</v>
      </c>
      <c r="F2385" s="13" t="s">
        <v>185</v>
      </c>
      <c r="G2385" s="152" t="s">
        <v>185</v>
      </c>
      <c r="H2385" s="155"/>
      <c r="I2385" s="33" t="str">
        <f t="shared" si="707"/>
        <v>Cancel</v>
      </c>
      <c r="J2385" s="186" t="s">
        <v>2754</v>
      </c>
      <c r="K2385" s="155" t="s">
        <v>2755</v>
      </c>
      <c r="L2385" s="17" t="s">
        <v>67</v>
      </c>
      <c r="M2385" s="13" t="s">
        <v>60</v>
      </c>
      <c r="N2385" s="13">
        <v>1</v>
      </c>
      <c r="O2385" s="13"/>
      <c r="P2385" s="33" t="str">
        <f t="shared" si="699"/>
        <v>MAIN UNIT</v>
      </c>
      <c r="Q2385" s="13" t="s">
        <v>68</v>
      </c>
      <c r="R2385" s="13" t="s">
        <v>62</v>
      </c>
      <c r="S2385" s="13" t="s">
        <v>50</v>
      </c>
      <c r="T2385" s="13" t="s">
        <v>168</v>
      </c>
      <c r="U2385" s="13" t="s">
        <v>89</v>
      </c>
      <c r="V2385" s="13" t="s">
        <v>84</v>
      </c>
      <c r="W2385" s="13" t="s">
        <v>64</v>
      </c>
      <c r="X2385" s="135">
        <v>500000</v>
      </c>
      <c r="Y2385" s="157" t="str">
        <f>IF(W2385="RMB","1.13", "1")</f>
        <v>1.13</v>
      </c>
      <c r="Z2385" s="18">
        <f t="shared" si="717"/>
        <v>500000</v>
      </c>
      <c r="AA2385" s="13">
        <v>1.18</v>
      </c>
      <c r="AB2385" s="21">
        <f t="shared" si="700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03"/>
        <v>499582152.5142017</v>
      </c>
      <c r="AJ2385" s="19">
        <f t="shared" si="704"/>
        <v>59520528.679470733</v>
      </c>
      <c r="AK2385" s="20">
        <f t="shared" si="711"/>
        <v>0.11914062257814291</v>
      </c>
      <c r="AL2385" s="17"/>
      <c r="AM2385" s="17"/>
      <c r="AN2385" s="17"/>
      <c r="AO2385" s="17"/>
      <c r="AP2385" s="28" t="str">
        <f t="shared" si="712"/>
        <v>CancelCancel</v>
      </c>
      <c r="AQ2385" s="28" t="str">
        <f t="shared" si="713"/>
        <v>CancelCancelRMB</v>
      </c>
      <c r="AR2385" s="206" t="str">
        <f t="shared" si="714"/>
        <v>YAMAHA_Mounter</v>
      </c>
      <c r="AS2385" s="22" t="str">
        <f t="shared" si="715"/>
        <v/>
      </c>
      <c r="AT2385" s="24" t="str">
        <f t="shared" si="716"/>
        <v/>
      </c>
      <c r="AU2385" s="22" t="s">
        <v>3240</v>
      </c>
    </row>
    <row r="2386" spans="1:47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41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428</v>
      </c>
      <c r="K2386" s="155" t="s">
        <v>429</v>
      </c>
      <c r="L2386" s="17" t="s">
        <v>67</v>
      </c>
      <c r="M2386" s="13" t="s">
        <v>60</v>
      </c>
      <c r="N2386" s="13">
        <v>2</v>
      </c>
      <c r="O2386" s="13"/>
      <c r="P2386" s="33" t="str">
        <f t="shared" si="699"/>
        <v>MAIN UNIT</v>
      </c>
      <c r="Q2386" s="13" t="s">
        <v>68</v>
      </c>
      <c r="R2386" s="13" t="s">
        <v>62</v>
      </c>
      <c r="S2386" s="13" t="s">
        <v>50</v>
      </c>
      <c r="T2386" s="13" t="s">
        <v>168</v>
      </c>
      <c r="U2386" s="13" t="s">
        <v>415</v>
      </c>
      <c r="V2386" s="13" t="s">
        <v>84</v>
      </c>
      <c r="W2386" s="13" t="s">
        <v>64</v>
      </c>
      <c r="X2386" s="135">
        <v>815000</v>
      </c>
      <c r="Y2386" s="156">
        <v>1.1599999999999999</v>
      </c>
      <c r="Z2386" s="18">
        <f t="shared" si="717"/>
        <v>1630000</v>
      </c>
      <c r="AA2386" s="13">
        <v>1.1499999999999999</v>
      </c>
      <c r="AB2386" s="21">
        <f t="shared" si="700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03"/>
        <v>26492741.106427077</v>
      </c>
      <c r="AJ2386" s="19">
        <f t="shared" si="704"/>
        <v>3348032.1325698122</v>
      </c>
      <c r="AK2386" s="20">
        <f t="shared" si="711"/>
        <v>0.12637545201985867</v>
      </c>
      <c r="AL2386" s="17"/>
      <c r="AM2386" s="17"/>
      <c r="AN2386" s="17"/>
      <c r="AO2386" s="17"/>
      <c r="AP2386" s="28" t="str">
        <f t="shared" si="712"/>
        <v>20189</v>
      </c>
      <c r="AQ2386" s="28" t="str">
        <f t="shared" si="713"/>
        <v>20189RMB</v>
      </c>
      <c r="AR2386" s="206" t="str">
        <f t="shared" si="714"/>
        <v>YAMAHA_Mounter</v>
      </c>
      <c r="AS2386" s="22">
        <f t="shared" si="715"/>
        <v>3</v>
      </c>
      <c r="AT2386" s="24" t="str">
        <f t="shared" si="716"/>
        <v>0-3 months</v>
      </c>
      <c r="AU2386" s="22" t="s">
        <v>3240</v>
      </c>
    </row>
    <row r="2387" spans="1:47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48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1080</v>
      </c>
      <c r="K2387" s="155" t="s">
        <v>1081</v>
      </c>
      <c r="L2387" s="17" t="s">
        <v>67</v>
      </c>
      <c r="M2387" s="13" t="s">
        <v>60</v>
      </c>
      <c r="N2387" s="13">
        <v>1</v>
      </c>
      <c r="O2387" s="13"/>
      <c r="P2387" s="33" t="str">
        <f t="shared" si="699"/>
        <v>MAIN UNIT</v>
      </c>
      <c r="Q2387" s="13" t="s">
        <v>61</v>
      </c>
      <c r="R2387" s="13" t="s">
        <v>62</v>
      </c>
      <c r="S2387" s="13" t="s">
        <v>50</v>
      </c>
      <c r="T2387" s="13" t="s">
        <v>168</v>
      </c>
      <c r="U2387" s="13" t="s">
        <v>89</v>
      </c>
      <c r="V2387" s="13" t="s">
        <v>1082</v>
      </c>
      <c r="W2387" s="13" t="s">
        <v>703</v>
      </c>
      <c r="X2387" s="135">
        <v>620000</v>
      </c>
      <c r="Y2387" s="156" t="s">
        <v>1083</v>
      </c>
      <c r="Z2387" s="18">
        <f t="shared" si="717"/>
        <v>620000</v>
      </c>
      <c r="AA2387" s="13">
        <v>1.095</v>
      </c>
      <c r="AB2387" s="21">
        <f t="shared" si="700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03"/>
        <v>33477255.428389374</v>
      </c>
      <c r="AJ2387" s="19">
        <f t="shared" si="704"/>
        <v>4578663.362915583</v>
      </c>
      <c r="AK2387" s="20">
        <f t="shared" si="711"/>
        <v>0.13676937682988152</v>
      </c>
      <c r="AL2387" s="17"/>
      <c r="AM2387" s="17"/>
      <c r="AN2387" s="17"/>
      <c r="AO2387" s="17"/>
      <c r="AP2387" s="28" t="str">
        <f t="shared" si="712"/>
        <v>20204</v>
      </c>
      <c r="AQ2387" s="28" t="str">
        <f t="shared" si="713"/>
        <v>20204RMB</v>
      </c>
      <c r="AR2387" s="206" t="str">
        <f t="shared" si="714"/>
        <v>YAMAHA_Mounter</v>
      </c>
      <c r="AS2387" s="22">
        <f t="shared" si="715"/>
        <v>1</v>
      </c>
      <c r="AT2387" s="24" t="str">
        <f t="shared" si="716"/>
        <v>0-3 months</v>
      </c>
      <c r="AU2387" s="22" t="s">
        <v>3240</v>
      </c>
    </row>
    <row r="2388" spans="1:47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54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2041</v>
      </c>
      <c r="K2388" s="155" t="s">
        <v>2042</v>
      </c>
      <c r="L2388" s="17" t="s">
        <v>67</v>
      </c>
      <c r="M2388" s="13" t="s">
        <v>60</v>
      </c>
      <c r="N2388" s="13">
        <v>1</v>
      </c>
      <c r="O2388" s="13"/>
      <c r="P2388" s="33" t="str">
        <f t="shared" si="699"/>
        <v>MAIN UNIT</v>
      </c>
      <c r="Q2388" s="13" t="s">
        <v>68</v>
      </c>
      <c r="R2388" s="13" t="s">
        <v>62</v>
      </c>
      <c r="S2388" s="13" t="s">
        <v>50</v>
      </c>
      <c r="T2388" s="13" t="s">
        <v>168</v>
      </c>
      <c r="U2388" s="13" t="s">
        <v>70</v>
      </c>
      <c r="V2388" s="13" t="s">
        <v>169</v>
      </c>
      <c r="W2388" s="13" t="s">
        <v>64</v>
      </c>
      <c r="X2388" s="135">
        <v>607171</v>
      </c>
      <c r="Y2388" s="157" t="str">
        <f>IF(W2388="RMB","1.13", "1")</f>
        <v>1.13</v>
      </c>
      <c r="Z2388" s="18">
        <f t="shared" si="717"/>
        <v>607171</v>
      </c>
      <c r="AA2388" s="13">
        <v>1.175</v>
      </c>
      <c r="AB2388" s="21">
        <f t="shared" si="700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03"/>
        <v>35682787.057522126</v>
      </c>
      <c r="AJ2388" s="19">
        <f t="shared" si="704"/>
        <v>5833368.3789623892</v>
      </c>
      <c r="AK2388" s="20">
        <f t="shared" si="711"/>
        <v>0.16347849649632912</v>
      </c>
      <c r="AL2388" s="17"/>
      <c r="AM2388" s="17"/>
      <c r="AN2388" s="17"/>
      <c r="AO2388" s="17"/>
      <c r="AP2388" s="28" t="str">
        <f t="shared" si="712"/>
        <v>20226</v>
      </c>
      <c r="AQ2388" s="28" t="str">
        <f t="shared" si="713"/>
        <v>20226RMB</v>
      </c>
      <c r="AR2388" s="206" t="str">
        <f t="shared" si="714"/>
        <v>YAMAHA_Mounter</v>
      </c>
      <c r="AS2388" s="22">
        <f t="shared" si="715"/>
        <v>7</v>
      </c>
      <c r="AT2388" s="24" t="str">
        <f t="shared" si="716"/>
        <v>&gt; 6 months</v>
      </c>
      <c r="AU2388" s="22" t="s">
        <v>3240</v>
      </c>
    </row>
    <row r="2389" spans="1:47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54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2041</v>
      </c>
      <c r="K2389" s="155" t="s">
        <v>2042</v>
      </c>
      <c r="L2389" s="17" t="s">
        <v>67</v>
      </c>
      <c r="M2389" s="13" t="s">
        <v>60</v>
      </c>
      <c r="N2389" s="13">
        <v>1</v>
      </c>
      <c r="O2389" s="13"/>
      <c r="P2389" s="33" t="str">
        <f t="shared" si="699"/>
        <v>MAIN UNIT</v>
      </c>
      <c r="Q2389" s="13" t="s">
        <v>68</v>
      </c>
      <c r="R2389" s="13" t="s">
        <v>62</v>
      </c>
      <c r="S2389" s="13" t="s">
        <v>50</v>
      </c>
      <c r="T2389" s="13" t="s">
        <v>168</v>
      </c>
      <c r="U2389" s="13" t="s">
        <v>70</v>
      </c>
      <c r="V2389" s="13" t="s">
        <v>169</v>
      </c>
      <c r="W2389" s="13" t="s">
        <v>64</v>
      </c>
      <c r="X2389" s="135">
        <v>607171</v>
      </c>
      <c r="Y2389" s="157" t="str">
        <f>IF(W2389="RMB","1.13", "1")</f>
        <v>1.13</v>
      </c>
      <c r="Z2389" s="18">
        <f t="shared" si="717"/>
        <v>607171</v>
      </c>
      <c r="AA2389" s="13">
        <v>1.175</v>
      </c>
      <c r="AB2389" s="21">
        <f t="shared" si="700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03"/>
        <v>35682787.057522126</v>
      </c>
      <c r="AJ2389" s="19">
        <f t="shared" si="704"/>
        <v>5833368.3789623892</v>
      </c>
      <c r="AK2389" s="20">
        <f t="shared" si="711"/>
        <v>0.16347849649632912</v>
      </c>
      <c r="AL2389" s="17"/>
      <c r="AM2389" s="17"/>
      <c r="AN2389" s="17"/>
      <c r="AO2389" s="17"/>
      <c r="AP2389" s="28" t="str">
        <f t="shared" si="712"/>
        <v>20226</v>
      </c>
      <c r="AQ2389" s="28" t="str">
        <f t="shared" si="713"/>
        <v>20226RMB</v>
      </c>
      <c r="AR2389" s="206" t="str">
        <f t="shared" si="714"/>
        <v>YAMAHA_Mounter</v>
      </c>
      <c r="AS2389" s="22">
        <f t="shared" si="715"/>
        <v>7</v>
      </c>
      <c r="AT2389" s="24" t="str">
        <f t="shared" si="716"/>
        <v>&gt; 6 months</v>
      </c>
      <c r="AU2389" s="22" t="s">
        <v>3240</v>
      </c>
    </row>
    <row r="2390" spans="1:47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54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2221</v>
      </c>
      <c r="K2390" s="155" t="s">
        <v>2222</v>
      </c>
      <c r="L2390" s="17" t="s">
        <v>92</v>
      </c>
      <c r="M2390" s="13" t="s">
        <v>60</v>
      </c>
      <c r="N2390" s="13">
        <v>1</v>
      </c>
      <c r="O2390" s="13"/>
      <c r="P2390" s="33" t="str">
        <f t="shared" ref="P2390:P2453" si="718">IF(M2390="","",IF(AND(N2390&gt;0,L2390&lt;&gt;""),"MAIN UNIT",IF(AND(O2390&gt;0,L2390&lt;&gt;""),"SERVICE/ PARTS","C66 SERVICE/OTHERS")))</f>
        <v>MAIN UNIT</v>
      </c>
      <c r="Q2390" s="13" t="s">
        <v>61</v>
      </c>
      <c r="R2390" s="13" t="s">
        <v>62</v>
      </c>
      <c r="S2390" s="13" t="s">
        <v>49</v>
      </c>
      <c r="T2390" s="13" t="s">
        <v>78</v>
      </c>
      <c r="U2390" s="13" t="s">
        <v>79</v>
      </c>
      <c r="V2390" s="13" t="s">
        <v>131</v>
      </c>
      <c r="W2390" s="13" t="s">
        <v>109</v>
      </c>
      <c r="X2390" s="135">
        <v>12800000</v>
      </c>
      <c r="Y2390" s="157" t="str">
        <f>IF(W2390="RMB","1.13", "1")</f>
        <v>1</v>
      </c>
      <c r="Z2390" s="18">
        <f t="shared" si="717"/>
        <v>12800000</v>
      </c>
      <c r="AA2390" s="13">
        <v>5.8700000000000002E-2</v>
      </c>
      <c r="AB2390" s="21">
        <f t="shared" ref="AB2390:AB2453" si="719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03"/>
        <v>36480247.665929198</v>
      </c>
      <c r="AJ2390" s="19">
        <f t="shared" si="704"/>
        <v>5330996.6372757526</v>
      </c>
      <c r="AK2390" s="20">
        <f t="shared" si="711"/>
        <v>0.14613378412599562</v>
      </c>
      <c r="AL2390" s="17"/>
      <c r="AM2390" s="17"/>
      <c r="AN2390" s="17"/>
      <c r="AO2390" s="17"/>
      <c r="AP2390" s="28" t="str">
        <f t="shared" si="712"/>
        <v>20227</v>
      </c>
      <c r="AQ2390" s="28" t="str">
        <f t="shared" si="713"/>
        <v>20227JPY</v>
      </c>
      <c r="AR2390" s="206" t="str">
        <f t="shared" si="714"/>
        <v>YAMAHA_Mounter</v>
      </c>
      <c r="AS2390" s="22">
        <f t="shared" si="715"/>
        <v>3</v>
      </c>
      <c r="AT2390" s="24" t="str">
        <f t="shared" si="716"/>
        <v>0-3 months</v>
      </c>
      <c r="AU2390" s="22" t="s">
        <v>3746</v>
      </c>
    </row>
    <row r="2391" spans="1:47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3102</v>
      </c>
      <c r="K2391" s="29" t="s">
        <v>2222</v>
      </c>
      <c r="L2391" s="17" t="s">
        <v>92</v>
      </c>
      <c r="M2391" s="22" t="s">
        <v>60</v>
      </c>
      <c r="N2391" s="22">
        <v>1</v>
      </c>
      <c r="O2391" s="22"/>
      <c r="P2391" s="33" t="str">
        <f t="shared" si="718"/>
        <v>MAIN UNIT</v>
      </c>
      <c r="Q2391" s="13" t="s">
        <v>61</v>
      </c>
      <c r="R2391" s="22" t="s">
        <v>62</v>
      </c>
      <c r="S2391" s="22" t="s">
        <v>49</v>
      </c>
      <c r="T2391" s="22" t="s">
        <v>78</v>
      </c>
      <c r="U2391" s="22" t="s">
        <v>79</v>
      </c>
      <c r="V2391" s="22" t="s">
        <v>1407</v>
      </c>
      <c r="W2391" s="22" t="s">
        <v>109</v>
      </c>
      <c r="X2391" s="30">
        <v>12000000</v>
      </c>
      <c r="Y2391" s="31" t="str">
        <f>IF(W2391="","",IF(W2391="RMB","1.13", "1"))</f>
        <v>1</v>
      </c>
      <c r="Z2391" s="18">
        <f t="shared" si="717"/>
        <v>12000000</v>
      </c>
      <c r="AA2391" s="22">
        <v>5.6300000000000003E-2</v>
      </c>
      <c r="AB2391" s="21">
        <f t="shared" si="719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03"/>
        <v>23146578.081415929</v>
      </c>
      <c r="AJ2391" s="27">
        <f t="shared" si="704"/>
        <v>2745231.3889985834</v>
      </c>
      <c r="AK2391" s="28">
        <f t="shared" si="711"/>
        <v>0.11860204041143742</v>
      </c>
      <c r="AL2391" s="24"/>
      <c r="AM2391" s="24"/>
      <c r="AN2391" s="24"/>
      <c r="AO2391" s="24"/>
      <c r="AP2391" s="28" t="str">
        <f t="shared" si="712"/>
        <v>20241</v>
      </c>
      <c r="AQ2391" s="28" t="str">
        <f t="shared" si="713"/>
        <v>20241JPY</v>
      </c>
      <c r="AR2391" s="206" t="str">
        <f t="shared" si="714"/>
        <v>YAMAHA_Mounter</v>
      </c>
      <c r="AS2391" s="22">
        <f t="shared" si="715"/>
        <v>0</v>
      </c>
      <c r="AT2391" s="24" t="str">
        <f t="shared" si="716"/>
        <v>0-3 months</v>
      </c>
      <c r="AU2391" s="22" t="s">
        <v>3746</v>
      </c>
    </row>
    <row r="2392" spans="1:47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41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215</v>
      </c>
      <c r="K2392" s="155" t="s">
        <v>216</v>
      </c>
      <c r="L2392" s="17" t="s">
        <v>67</v>
      </c>
      <c r="M2392" s="13" t="s">
        <v>60</v>
      </c>
      <c r="N2392" s="13">
        <v>2</v>
      </c>
      <c r="O2392" s="13"/>
      <c r="P2392" s="33" t="str">
        <f t="shared" si="718"/>
        <v>MAIN UNIT</v>
      </c>
      <c r="Q2392" s="13" t="s">
        <v>68</v>
      </c>
      <c r="R2392" s="13" t="s">
        <v>62</v>
      </c>
      <c r="S2392" s="13" t="s">
        <v>49</v>
      </c>
      <c r="T2392" s="13" t="s">
        <v>78</v>
      </c>
      <c r="U2392" s="13" t="s">
        <v>79</v>
      </c>
      <c r="V2392" s="13" t="s">
        <v>134</v>
      </c>
      <c r="W2392" s="13" t="s">
        <v>109</v>
      </c>
      <c r="X2392" s="135">
        <v>8790000</v>
      </c>
      <c r="Y2392" s="156">
        <v>1</v>
      </c>
      <c r="Z2392" s="18">
        <f t="shared" si="717"/>
        <v>17580000</v>
      </c>
      <c r="AA2392" s="13">
        <v>7.22E-2</v>
      </c>
      <c r="AB2392" s="21">
        <f t="shared" si="719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03"/>
        <v>29946107.503386207</v>
      </c>
      <c r="AJ2392" s="19">
        <f t="shared" si="704"/>
        <v>3987206.4954923098</v>
      </c>
      <c r="AK2392" s="20">
        <f t="shared" si="711"/>
        <v>0.13314606898547499</v>
      </c>
      <c r="AL2392" s="17"/>
      <c r="AM2392" s="17"/>
      <c r="AN2392" s="17"/>
      <c r="AO2392" s="17"/>
      <c r="AP2392" s="28" t="str">
        <f t="shared" si="712"/>
        <v>20187</v>
      </c>
      <c r="AQ2392" s="28" t="str">
        <f t="shared" si="713"/>
        <v>20187JPY</v>
      </c>
      <c r="AR2392" s="206" t="str">
        <f t="shared" si="714"/>
        <v>YAMAHA_Mounter</v>
      </c>
      <c r="AS2392" s="22">
        <f t="shared" si="715"/>
        <v>3</v>
      </c>
      <c r="AT2392" s="24" t="str">
        <f t="shared" si="716"/>
        <v>0-3 months</v>
      </c>
      <c r="AU2392" s="22" t="s">
        <v>3745</v>
      </c>
    </row>
    <row r="2393" spans="1:47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41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129</v>
      </c>
      <c r="K2393" s="155" t="s">
        <v>130</v>
      </c>
      <c r="L2393" s="17" t="s">
        <v>77</v>
      </c>
      <c r="M2393" s="13" t="s">
        <v>60</v>
      </c>
      <c r="N2393" s="13">
        <v>2</v>
      </c>
      <c r="O2393" s="13"/>
      <c r="P2393" s="33" t="str">
        <f t="shared" si="718"/>
        <v>MAIN UNIT</v>
      </c>
      <c r="Q2393" s="13" t="s">
        <v>68</v>
      </c>
      <c r="R2393" s="13" t="s">
        <v>62</v>
      </c>
      <c r="S2393" s="13" t="s">
        <v>49</v>
      </c>
      <c r="T2393" s="13" t="s">
        <v>78</v>
      </c>
      <c r="U2393" s="13" t="s">
        <v>79</v>
      </c>
      <c r="V2393" s="13" t="s">
        <v>131</v>
      </c>
      <c r="W2393" s="13" t="s">
        <v>109</v>
      </c>
      <c r="X2393" s="135">
        <v>10588000</v>
      </c>
      <c r="Y2393" s="156">
        <v>1</v>
      </c>
      <c r="Z2393" s="18">
        <f t="shared" si="717"/>
        <v>21176000</v>
      </c>
      <c r="AA2393" s="13">
        <v>7.22E-2</v>
      </c>
      <c r="AB2393" s="21">
        <f t="shared" si="719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03"/>
        <v>29946107.503386207</v>
      </c>
      <c r="AJ2393" s="19">
        <f t="shared" si="704"/>
        <v>3987206.4954923098</v>
      </c>
      <c r="AK2393" s="20">
        <f t="shared" si="711"/>
        <v>0.13314606898547499</v>
      </c>
      <c r="AL2393" s="17"/>
      <c r="AM2393" s="17"/>
      <c r="AN2393" s="17"/>
      <c r="AO2393" s="17"/>
      <c r="AP2393" s="28" t="str">
        <f t="shared" si="712"/>
        <v>20187</v>
      </c>
      <c r="AQ2393" s="28" t="str">
        <f t="shared" si="713"/>
        <v>20187JPY</v>
      </c>
      <c r="AR2393" s="206" t="str">
        <f t="shared" si="714"/>
        <v>YAMAHA_Mounter</v>
      </c>
      <c r="AS2393" s="22">
        <f t="shared" si="715"/>
        <v>8</v>
      </c>
      <c r="AT2393" s="24" t="str">
        <f t="shared" si="716"/>
        <v>&gt; 6 months</v>
      </c>
      <c r="AU2393" s="22" t="s">
        <v>3746</v>
      </c>
    </row>
    <row r="2394" spans="1:47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56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165</v>
      </c>
      <c r="K2394" s="155" t="s">
        <v>130</v>
      </c>
      <c r="L2394" s="17" t="s">
        <v>77</v>
      </c>
      <c r="M2394" s="13" t="s">
        <v>60</v>
      </c>
      <c r="N2394" s="13">
        <v>3</v>
      </c>
      <c r="O2394" s="13"/>
      <c r="P2394" s="33" t="str">
        <f t="shared" si="718"/>
        <v>MAIN UNIT</v>
      </c>
      <c r="Q2394" s="13" t="s">
        <v>68</v>
      </c>
      <c r="R2394" s="13" t="s">
        <v>62</v>
      </c>
      <c r="S2394" s="13" t="s">
        <v>49</v>
      </c>
      <c r="T2394" s="13"/>
      <c r="U2394" s="13" t="s">
        <v>79</v>
      </c>
      <c r="V2394" s="13" t="s">
        <v>131</v>
      </c>
      <c r="W2394" s="13" t="s">
        <v>109</v>
      </c>
      <c r="X2394" s="135">
        <v>10588000</v>
      </c>
      <c r="Y2394" s="156">
        <v>1</v>
      </c>
      <c r="Z2394" s="18">
        <f t="shared" si="717"/>
        <v>31764000</v>
      </c>
      <c r="AA2394" s="13">
        <v>7.0300000000000001E-2</v>
      </c>
      <c r="AB2394" s="21">
        <f t="shared" si="719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03"/>
        <v>13250187.062905986</v>
      </c>
      <c r="AJ2394" s="19">
        <f t="shared" si="704"/>
        <v>1545643.7555487182</v>
      </c>
      <c r="AK2394" s="20">
        <f t="shared" si="711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2"/>
        <v>20183</v>
      </c>
      <c r="AQ2394" s="28" t="str">
        <f t="shared" si="713"/>
        <v>20183JPY</v>
      </c>
      <c r="AR2394" s="206" t="str">
        <f t="shared" si="714"/>
        <v>YAMAHA_Mounter</v>
      </c>
      <c r="AS2394" s="22">
        <f t="shared" si="715"/>
        <v>4</v>
      </c>
      <c r="AT2394" s="24" t="str">
        <f t="shared" si="716"/>
        <v>4-6 months</v>
      </c>
      <c r="AU2394" s="22">
        <v>0</v>
      </c>
    </row>
    <row r="2395" spans="1:47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47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891</v>
      </c>
      <c r="K2395" s="155" t="s">
        <v>130</v>
      </c>
      <c r="L2395" s="17" t="s">
        <v>67</v>
      </c>
      <c r="M2395" s="13" t="s">
        <v>60</v>
      </c>
      <c r="N2395" s="13">
        <v>1</v>
      </c>
      <c r="O2395" s="13"/>
      <c r="P2395" s="33" t="str">
        <f t="shared" si="718"/>
        <v>MAIN UNIT</v>
      </c>
      <c r="Q2395" s="13" t="s">
        <v>61</v>
      </c>
      <c r="R2395" s="13" t="s">
        <v>62</v>
      </c>
      <c r="S2395" s="13" t="s">
        <v>49</v>
      </c>
      <c r="T2395" s="13" t="s">
        <v>78</v>
      </c>
      <c r="U2395" s="13" t="s">
        <v>79</v>
      </c>
      <c r="V2395" s="13" t="s">
        <v>131</v>
      </c>
      <c r="W2395" s="13" t="s">
        <v>109</v>
      </c>
      <c r="X2395" s="135">
        <v>7000000</v>
      </c>
      <c r="Y2395" s="156">
        <v>1</v>
      </c>
      <c r="Z2395" s="18">
        <f t="shared" si="717"/>
        <v>7000000</v>
      </c>
      <c r="AA2395" s="13">
        <v>7.3499999999999996E-2</v>
      </c>
      <c r="AB2395" s="21">
        <f t="shared" si="719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03"/>
        <v>26147030.909862842</v>
      </c>
      <c r="AJ2395" s="19">
        <f t="shared" si="704"/>
        <v>2743862.8630715334</v>
      </c>
      <c r="AK2395" s="20">
        <f t="shared" si="711"/>
        <v>0.10493974908778378</v>
      </c>
      <c r="AL2395" s="17"/>
      <c r="AM2395" s="17"/>
      <c r="AN2395" s="17"/>
      <c r="AO2395" s="17"/>
      <c r="AP2395" s="28" t="str">
        <f t="shared" si="712"/>
        <v>201911</v>
      </c>
      <c r="AQ2395" s="28" t="str">
        <f t="shared" si="713"/>
        <v>201911JPY</v>
      </c>
      <c r="AR2395" s="206" t="str">
        <f t="shared" si="714"/>
        <v>YAMAHA_Mounter</v>
      </c>
      <c r="AS2395" s="22">
        <f t="shared" si="715"/>
        <v>0</v>
      </c>
      <c r="AT2395" s="24" t="str">
        <f t="shared" si="716"/>
        <v>0-3 months</v>
      </c>
      <c r="AU2395" s="22" t="s">
        <v>3746</v>
      </c>
    </row>
    <row r="2396" spans="1:47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47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891</v>
      </c>
      <c r="K2396" s="155" t="s">
        <v>130</v>
      </c>
      <c r="L2396" s="17" t="s">
        <v>67</v>
      </c>
      <c r="M2396" s="13" t="s">
        <v>60</v>
      </c>
      <c r="N2396" s="13">
        <v>1</v>
      </c>
      <c r="O2396" s="13"/>
      <c r="P2396" s="33" t="str">
        <f t="shared" si="718"/>
        <v>MAIN UNIT</v>
      </c>
      <c r="Q2396" s="13" t="s">
        <v>61</v>
      </c>
      <c r="R2396" s="13" t="s">
        <v>62</v>
      </c>
      <c r="S2396" s="13" t="s">
        <v>49</v>
      </c>
      <c r="T2396" s="13" t="s">
        <v>78</v>
      </c>
      <c r="U2396" s="13" t="s">
        <v>79</v>
      </c>
      <c r="V2396" s="13" t="s">
        <v>131</v>
      </c>
      <c r="W2396" s="13" t="s">
        <v>109</v>
      </c>
      <c r="X2396" s="135">
        <v>7000000</v>
      </c>
      <c r="Y2396" s="156">
        <v>1</v>
      </c>
      <c r="Z2396" s="18">
        <f t="shared" si="717"/>
        <v>7000000</v>
      </c>
      <c r="AA2396" s="13">
        <v>7.3499999999999996E-2</v>
      </c>
      <c r="AB2396" s="21">
        <f t="shared" si="719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03"/>
        <v>26147030.909862842</v>
      </c>
      <c r="AJ2396" s="19">
        <f t="shared" si="704"/>
        <v>2743862.8630715334</v>
      </c>
      <c r="AK2396" s="20">
        <f t="shared" si="711"/>
        <v>0.10493974908778378</v>
      </c>
      <c r="AL2396" s="17"/>
      <c r="AM2396" s="17"/>
      <c r="AN2396" s="17"/>
      <c r="AO2396" s="17"/>
      <c r="AP2396" s="28" t="str">
        <f t="shared" si="712"/>
        <v>201911</v>
      </c>
      <c r="AQ2396" s="28" t="str">
        <f t="shared" si="713"/>
        <v>201911JPY</v>
      </c>
      <c r="AR2396" s="206" t="str">
        <f t="shared" si="714"/>
        <v>YAMAHA_Mounter</v>
      </c>
      <c r="AS2396" s="22">
        <f t="shared" si="715"/>
        <v>0</v>
      </c>
      <c r="AT2396" s="24" t="str">
        <f t="shared" si="716"/>
        <v>0-3 months</v>
      </c>
      <c r="AU2396" s="22" t="s">
        <v>3746</v>
      </c>
    </row>
    <row r="2397" spans="1:47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54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2184</v>
      </c>
      <c r="K2397" s="155" t="s">
        <v>2185</v>
      </c>
      <c r="L2397" s="17" t="s">
        <v>92</v>
      </c>
      <c r="M2397" s="13" t="s">
        <v>60</v>
      </c>
      <c r="N2397" s="13">
        <v>1</v>
      </c>
      <c r="O2397" s="13"/>
      <c r="P2397" s="33" t="str">
        <f t="shared" si="718"/>
        <v>MAIN UNIT</v>
      </c>
      <c r="Q2397" s="13" t="s">
        <v>61</v>
      </c>
      <c r="R2397" s="13" t="s">
        <v>62</v>
      </c>
      <c r="S2397" s="13" t="s">
        <v>49</v>
      </c>
      <c r="T2397" s="13" t="s">
        <v>78</v>
      </c>
      <c r="U2397" s="13" t="s">
        <v>79</v>
      </c>
      <c r="V2397" s="13" t="s">
        <v>112</v>
      </c>
      <c r="W2397" s="13" t="s">
        <v>109</v>
      </c>
      <c r="X2397" s="135">
        <v>13500000</v>
      </c>
      <c r="Y2397" s="157" t="str">
        <f t="shared" ref="Y2397:Y2402" si="720">IF(W2397="RMB","1.13", "1")</f>
        <v>1</v>
      </c>
      <c r="Z2397" s="18">
        <f t="shared" si="717"/>
        <v>13500000</v>
      </c>
      <c r="AA2397" s="13">
        <v>6.25E-2</v>
      </c>
      <c r="AB2397" s="21">
        <f t="shared" si="719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03"/>
        <v>35682787.057522126</v>
      </c>
      <c r="AJ2397" s="19">
        <f t="shared" si="704"/>
        <v>5833368.3789623892</v>
      </c>
      <c r="AK2397" s="20">
        <f t="shared" si="711"/>
        <v>0.16347849649632912</v>
      </c>
      <c r="AL2397" s="17"/>
      <c r="AM2397" s="17"/>
      <c r="AN2397" s="17"/>
      <c r="AO2397" s="17"/>
      <c r="AP2397" s="28" t="str">
        <f t="shared" si="712"/>
        <v>20226</v>
      </c>
      <c r="AQ2397" s="28" t="str">
        <f t="shared" si="713"/>
        <v>20226JPY</v>
      </c>
      <c r="AR2397" s="206" t="str">
        <f t="shared" si="714"/>
        <v>YAMAHA_Mounter</v>
      </c>
      <c r="AS2397" s="22">
        <f t="shared" si="715"/>
        <v>3</v>
      </c>
      <c r="AT2397" s="24" t="str">
        <f t="shared" si="716"/>
        <v>0-3 months</v>
      </c>
      <c r="AU2397" s="22" t="s">
        <v>3745</v>
      </c>
    </row>
    <row r="2398" spans="1:47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54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2184</v>
      </c>
      <c r="K2398" s="155" t="s">
        <v>2185</v>
      </c>
      <c r="L2398" s="17" t="s">
        <v>67</v>
      </c>
      <c r="M2398" s="13" t="s">
        <v>60</v>
      </c>
      <c r="N2398" s="13">
        <v>1</v>
      </c>
      <c r="O2398" s="13"/>
      <c r="P2398" s="33" t="str">
        <f t="shared" si="718"/>
        <v>MAIN UNIT</v>
      </c>
      <c r="Q2398" s="13" t="s">
        <v>61</v>
      </c>
      <c r="R2398" s="13" t="s">
        <v>62</v>
      </c>
      <c r="S2398" s="13" t="s">
        <v>49</v>
      </c>
      <c r="T2398" s="13" t="s">
        <v>78</v>
      </c>
      <c r="U2398" s="13" t="s">
        <v>79</v>
      </c>
      <c r="V2398" s="13" t="s">
        <v>112</v>
      </c>
      <c r="W2398" s="13" t="s">
        <v>109</v>
      </c>
      <c r="X2398" s="135">
        <v>10500000</v>
      </c>
      <c r="Y2398" s="157" t="str">
        <f t="shared" si="720"/>
        <v>1</v>
      </c>
      <c r="Z2398" s="18">
        <f t="shared" si="717"/>
        <v>10500000</v>
      </c>
      <c r="AA2398" s="13">
        <v>6.25E-2</v>
      </c>
      <c r="AB2398" s="21">
        <f t="shared" si="719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03"/>
        <v>35682787.057522126</v>
      </c>
      <c r="AJ2398" s="19">
        <f t="shared" si="704"/>
        <v>5833368.3789623892</v>
      </c>
      <c r="AK2398" s="20">
        <f t="shared" si="711"/>
        <v>0.16347849649632912</v>
      </c>
      <c r="AL2398" s="17"/>
      <c r="AM2398" s="17"/>
      <c r="AN2398" s="17"/>
      <c r="AO2398" s="17"/>
      <c r="AP2398" s="28" t="str">
        <f t="shared" si="712"/>
        <v>20226</v>
      </c>
      <c r="AQ2398" s="28" t="str">
        <f t="shared" si="713"/>
        <v>20226JPY</v>
      </c>
      <c r="AR2398" s="206" t="str">
        <f t="shared" si="714"/>
        <v>YAMAHA_Mounter</v>
      </c>
      <c r="AS2398" s="22">
        <f t="shared" si="715"/>
        <v>3</v>
      </c>
      <c r="AT2398" s="24" t="str">
        <f t="shared" si="716"/>
        <v>0-3 months</v>
      </c>
      <c r="AU2398" s="22" t="s">
        <v>3745</v>
      </c>
    </row>
    <row r="2399" spans="1:47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54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2184</v>
      </c>
      <c r="K2399" s="155" t="s">
        <v>2185</v>
      </c>
      <c r="L2399" s="17" t="s">
        <v>67</v>
      </c>
      <c r="M2399" s="13" t="s">
        <v>60</v>
      </c>
      <c r="N2399" s="13">
        <v>1</v>
      </c>
      <c r="O2399" s="13"/>
      <c r="P2399" s="33" t="str">
        <f t="shared" si="718"/>
        <v>MAIN UNIT</v>
      </c>
      <c r="Q2399" s="13" t="s">
        <v>61</v>
      </c>
      <c r="R2399" s="13" t="s">
        <v>62</v>
      </c>
      <c r="S2399" s="13" t="s">
        <v>49</v>
      </c>
      <c r="T2399" s="13" t="s">
        <v>78</v>
      </c>
      <c r="U2399" s="13" t="s">
        <v>79</v>
      </c>
      <c r="V2399" s="13" t="s">
        <v>112</v>
      </c>
      <c r="W2399" s="13" t="s">
        <v>109</v>
      </c>
      <c r="X2399" s="135">
        <v>10500000</v>
      </c>
      <c r="Y2399" s="157" t="str">
        <f t="shared" si="720"/>
        <v>1</v>
      </c>
      <c r="Z2399" s="18">
        <f t="shared" si="717"/>
        <v>10500000</v>
      </c>
      <c r="AA2399" s="13">
        <v>6.25E-2</v>
      </c>
      <c r="AB2399" s="21">
        <f t="shared" si="719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03"/>
        <v>35682787.057522126</v>
      </c>
      <c r="AJ2399" s="19">
        <f t="shared" si="704"/>
        <v>5833368.3789623892</v>
      </c>
      <c r="AK2399" s="20">
        <f t="shared" si="711"/>
        <v>0.16347849649632912</v>
      </c>
      <c r="AL2399" s="17"/>
      <c r="AM2399" s="17"/>
      <c r="AN2399" s="17"/>
      <c r="AO2399" s="17"/>
      <c r="AP2399" s="28" t="str">
        <f t="shared" si="712"/>
        <v>20226</v>
      </c>
      <c r="AQ2399" s="28" t="str">
        <f t="shared" si="713"/>
        <v>20226JPY</v>
      </c>
      <c r="AR2399" s="206" t="str">
        <f t="shared" si="714"/>
        <v>YAMAHA_Mounter</v>
      </c>
      <c r="AS2399" s="22">
        <f t="shared" si="715"/>
        <v>3</v>
      </c>
      <c r="AT2399" s="24" t="str">
        <f t="shared" si="716"/>
        <v>0-3 months</v>
      </c>
      <c r="AU2399" s="22" t="s">
        <v>3745</v>
      </c>
    </row>
    <row r="2400" spans="1:47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53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1729</v>
      </c>
      <c r="K2400" s="155" t="s">
        <v>1730</v>
      </c>
      <c r="L2400" s="17" t="s">
        <v>67</v>
      </c>
      <c r="M2400" s="13" t="s">
        <v>60</v>
      </c>
      <c r="N2400" s="13">
        <v>1</v>
      </c>
      <c r="O2400" s="13"/>
      <c r="P2400" s="33" t="str">
        <f t="shared" si="718"/>
        <v>MAIN UNIT</v>
      </c>
      <c r="Q2400" s="13" t="s">
        <v>68</v>
      </c>
      <c r="R2400" s="13" t="s">
        <v>62</v>
      </c>
      <c r="S2400" s="13" t="s">
        <v>49</v>
      </c>
      <c r="T2400" s="13" t="s">
        <v>78</v>
      </c>
      <c r="U2400" s="13" t="s">
        <v>79</v>
      </c>
      <c r="V2400" s="13" t="s">
        <v>1407</v>
      </c>
      <c r="W2400" s="13" t="s">
        <v>109</v>
      </c>
      <c r="X2400" s="135">
        <v>8350000</v>
      </c>
      <c r="Y2400" s="157" t="str">
        <f t="shared" si="720"/>
        <v>1</v>
      </c>
      <c r="Z2400" s="18">
        <f t="shared" si="717"/>
        <v>8350000</v>
      </c>
      <c r="AA2400" s="13">
        <v>7.2800000000000004E-2</v>
      </c>
      <c r="AB2400" s="21">
        <f t="shared" si="719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03"/>
        <v>63006605.696460173</v>
      </c>
      <c r="AJ2400" s="19">
        <f t="shared" si="704"/>
        <v>8897485.660753984</v>
      </c>
      <c r="AK2400" s="20">
        <f t="shared" si="711"/>
        <v>0.141215124388995</v>
      </c>
      <c r="AL2400" s="17"/>
      <c r="AM2400" s="17"/>
      <c r="AN2400" s="17"/>
      <c r="AO2400" s="17"/>
      <c r="AP2400" s="28" t="str">
        <f t="shared" si="712"/>
        <v>20215</v>
      </c>
      <c r="AQ2400" s="28" t="str">
        <f t="shared" si="713"/>
        <v>20215JPY</v>
      </c>
      <c r="AR2400" s="206" t="str">
        <f t="shared" si="714"/>
        <v>YAMAHA_Mounter</v>
      </c>
      <c r="AS2400" s="22">
        <f t="shared" si="715"/>
        <v>2</v>
      </c>
      <c r="AT2400" s="24" t="str">
        <f t="shared" si="716"/>
        <v>0-3 months</v>
      </c>
      <c r="AU2400" s="22" t="s">
        <v>3745</v>
      </c>
    </row>
    <row r="2401" spans="1:47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53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1923</v>
      </c>
      <c r="K2401" s="155" t="s">
        <v>1730</v>
      </c>
      <c r="L2401" s="17" t="s">
        <v>92</v>
      </c>
      <c r="M2401" s="13" t="s">
        <v>60</v>
      </c>
      <c r="N2401" s="13">
        <v>1</v>
      </c>
      <c r="O2401" s="13"/>
      <c r="P2401" s="33" t="str">
        <f t="shared" si="718"/>
        <v>MAIN UNIT</v>
      </c>
      <c r="Q2401" s="13" t="s">
        <v>61</v>
      </c>
      <c r="R2401" s="13" t="s">
        <v>62</v>
      </c>
      <c r="S2401" s="13" t="s">
        <v>49</v>
      </c>
      <c r="T2401" s="13" t="s">
        <v>78</v>
      </c>
      <c r="U2401" s="13" t="s">
        <v>79</v>
      </c>
      <c r="V2401" s="13" t="s">
        <v>1407</v>
      </c>
      <c r="W2401" s="13" t="s">
        <v>64</v>
      </c>
      <c r="X2401" s="135">
        <v>1250000</v>
      </c>
      <c r="Y2401" s="157" t="str">
        <f t="shared" si="720"/>
        <v>1.13</v>
      </c>
      <c r="Z2401" s="18">
        <f t="shared" si="717"/>
        <v>1250000</v>
      </c>
      <c r="AA2401" s="13">
        <v>1.2150000000000001</v>
      </c>
      <c r="AB2401" s="21">
        <f t="shared" si="719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03"/>
        <v>25380121.402654871</v>
      </c>
      <c r="AJ2401" s="19">
        <f t="shared" si="704"/>
        <v>3850343.1237796471</v>
      </c>
      <c r="AK2401" s="20">
        <f t="shared" si="711"/>
        <v>0.1517070412191521</v>
      </c>
      <c r="AL2401" s="17"/>
      <c r="AM2401" s="17"/>
      <c r="AN2401" s="17"/>
      <c r="AO2401" s="17"/>
      <c r="AP2401" s="28" t="str">
        <f t="shared" si="712"/>
        <v>202112</v>
      </c>
      <c r="AQ2401" s="28" t="str">
        <f t="shared" si="713"/>
        <v>202112RMB</v>
      </c>
      <c r="AR2401" s="206" t="str">
        <f t="shared" si="714"/>
        <v>YAMAHA_Mounter</v>
      </c>
      <c r="AS2401" s="22">
        <f t="shared" si="715"/>
        <v>0</v>
      </c>
      <c r="AT2401" s="24" t="str">
        <f t="shared" si="716"/>
        <v>0-3 months</v>
      </c>
      <c r="AU2401" s="22" t="s">
        <v>3751</v>
      </c>
    </row>
    <row r="2402" spans="1:47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54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1729</v>
      </c>
      <c r="K2402" s="155" t="s">
        <v>1730</v>
      </c>
      <c r="L2402" s="17" t="s">
        <v>67</v>
      </c>
      <c r="M2402" s="13" t="s">
        <v>60</v>
      </c>
      <c r="N2402" s="13">
        <v>1</v>
      </c>
      <c r="O2402" s="13"/>
      <c r="P2402" s="33" t="str">
        <f t="shared" si="718"/>
        <v>MAIN UNIT</v>
      </c>
      <c r="Q2402" s="13" t="s">
        <v>68</v>
      </c>
      <c r="R2402" s="13" t="s">
        <v>62</v>
      </c>
      <c r="S2402" s="13" t="s">
        <v>49</v>
      </c>
      <c r="T2402" s="13" t="s">
        <v>78</v>
      </c>
      <c r="U2402" s="13" t="s">
        <v>79</v>
      </c>
      <c r="V2402" s="13" t="s">
        <v>1407</v>
      </c>
      <c r="W2402" s="13" t="s">
        <v>109</v>
      </c>
      <c r="X2402" s="135">
        <v>8350000</v>
      </c>
      <c r="Y2402" s="157" t="str">
        <f t="shared" si="720"/>
        <v>1</v>
      </c>
      <c r="Z2402" s="18">
        <f t="shared" si="717"/>
        <v>8350000</v>
      </c>
      <c r="AA2402" s="13">
        <v>5.8700000000000002E-2</v>
      </c>
      <c r="AB2402" s="21">
        <f t="shared" si="719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03"/>
        <v>36480247.665929198</v>
      </c>
      <c r="AJ2402" s="19">
        <f t="shared" si="704"/>
        <v>5330996.6372757526</v>
      </c>
      <c r="AK2402" s="20">
        <f t="shared" si="711"/>
        <v>0.14613378412599562</v>
      </c>
      <c r="AL2402" s="17"/>
      <c r="AM2402" s="17"/>
      <c r="AN2402" s="17"/>
      <c r="AO2402" s="17"/>
      <c r="AP2402" s="28" t="str">
        <f t="shared" si="712"/>
        <v>20227</v>
      </c>
      <c r="AQ2402" s="28" t="str">
        <f t="shared" si="713"/>
        <v>20227JPY</v>
      </c>
      <c r="AR2402" s="206" t="str">
        <f t="shared" si="714"/>
        <v>YAMAHA_Mounter</v>
      </c>
      <c r="AS2402" s="22">
        <f t="shared" si="715"/>
        <v>16</v>
      </c>
      <c r="AT2402" s="24" t="str">
        <f t="shared" si="716"/>
        <v>&gt; 6 months</v>
      </c>
      <c r="AU2402" s="22" t="s">
        <v>3745</v>
      </c>
    </row>
    <row r="2403" spans="1:47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55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2617</v>
      </c>
      <c r="K2403" s="155" t="s">
        <v>1730</v>
      </c>
      <c r="L2403" s="17" t="s">
        <v>92</v>
      </c>
      <c r="M2403" s="13" t="s">
        <v>60</v>
      </c>
      <c r="N2403" s="13">
        <v>1</v>
      </c>
      <c r="O2403" s="13"/>
      <c r="P2403" s="33" t="str">
        <f t="shared" si="718"/>
        <v>MAIN UNIT</v>
      </c>
      <c r="Q2403" s="13" t="s">
        <v>61</v>
      </c>
      <c r="R2403" s="13" t="s">
        <v>62</v>
      </c>
      <c r="S2403" s="13" t="s">
        <v>49</v>
      </c>
      <c r="T2403" s="13" t="s">
        <v>78</v>
      </c>
      <c r="U2403" s="13" t="s">
        <v>1768</v>
      </c>
      <c r="V2403" s="13" t="s">
        <v>1407</v>
      </c>
      <c r="W2403" s="13" t="s">
        <v>109</v>
      </c>
      <c r="X2403" s="135">
        <v>15000000</v>
      </c>
      <c r="Y2403" s="157" t="str">
        <f>IF(W2403="","",IF(W2403="RMB","1.13", "1"))</f>
        <v>1</v>
      </c>
      <c r="Z2403" s="18">
        <f t="shared" si="717"/>
        <v>15000000</v>
      </c>
      <c r="AA2403" s="13">
        <v>5.3400000000000003E-2</v>
      </c>
      <c r="AB2403" s="21">
        <f t="shared" si="719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03"/>
        <v>5219988.5752212387</v>
      </c>
      <c r="AJ2403" s="19">
        <f t="shared" si="704"/>
        <v>631627.0013460177</v>
      </c>
      <c r="AK2403" s="20">
        <f t="shared" si="711"/>
        <v>0.12100160608478869</v>
      </c>
      <c r="AL2403" s="17"/>
      <c r="AM2403" s="17"/>
      <c r="AN2403" s="17"/>
      <c r="AO2403" s="17"/>
      <c r="AP2403" s="28" t="str">
        <f t="shared" si="712"/>
        <v>202310</v>
      </c>
      <c r="AQ2403" s="28" t="str">
        <f t="shared" si="713"/>
        <v>202310JPY</v>
      </c>
      <c r="AR2403" s="206" t="str">
        <f t="shared" si="714"/>
        <v>YAMAHA_Mounter</v>
      </c>
      <c r="AS2403" s="22">
        <f t="shared" si="715"/>
        <v>0</v>
      </c>
      <c r="AT2403" s="24" t="str">
        <f t="shared" si="716"/>
        <v>0-3 months</v>
      </c>
      <c r="AU2403" s="22" t="s">
        <v>3745</v>
      </c>
    </row>
    <row r="2404" spans="1:47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3172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3445</v>
      </c>
      <c r="K2404" s="29" t="s">
        <v>1634</v>
      </c>
      <c r="L2404" s="17" t="s">
        <v>67</v>
      </c>
      <c r="M2404" s="22" t="s">
        <v>60</v>
      </c>
      <c r="N2404" s="22">
        <v>1</v>
      </c>
      <c r="O2404" s="22"/>
      <c r="P2404" s="33" t="str">
        <f t="shared" si="718"/>
        <v>MAIN UNIT</v>
      </c>
      <c r="Q2404" s="22" t="s">
        <v>61</v>
      </c>
      <c r="R2404" s="22" t="s">
        <v>62</v>
      </c>
      <c r="S2404" s="22" t="s">
        <v>49</v>
      </c>
      <c r="T2404" s="22" t="s">
        <v>78</v>
      </c>
      <c r="U2404" s="22" t="s">
        <v>78</v>
      </c>
      <c r="V2404" s="22" t="s">
        <v>126</v>
      </c>
      <c r="W2404" s="22" t="s">
        <v>109</v>
      </c>
      <c r="X2404" s="104">
        <v>7250000</v>
      </c>
      <c r="Y2404" s="195" t="str">
        <f>IF(W2404="","",IF(W2404="RMB","1.13", "1"))</f>
        <v>1</v>
      </c>
      <c r="Z2404" s="196">
        <f t="shared" si="717"/>
        <v>7250000</v>
      </c>
      <c r="AA2404" s="22">
        <v>4.9500000000000002E-2</v>
      </c>
      <c r="AB2404" s="197">
        <f t="shared" si="719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03"/>
        <v>25458266.694690265</v>
      </c>
      <c r="AJ2404" s="200">
        <f t="shared" si="704"/>
        <v>4116526.778578762</v>
      </c>
      <c r="AK2404" s="201">
        <f t="shared" si="711"/>
        <v>0.16169705612508689</v>
      </c>
      <c r="AL2404" s="24"/>
      <c r="AM2404" s="24"/>
      <c r="AN2404" s="24"/>
      <c r="AO2404" s="24"/>
      <c r="AP2404" s="105" t="str">
        <f t="shared" si="712"/>
        <v>20247</v>
      </c>
      <c r="AQ2404" s="28" t="str">
        <f t="shared" si="713"/>
        <v>20247JPY</v>
      </c>
      <c r="AR2404" s="206" t="str">
        <f t="shared" si="714"/>
        <v>YAMAHA_Mounter</v>
      </c>
      <c r="AS2404" s="22">
        <f t="shared" si="715"/>
        <v>2</v>
      </c>
      <c r="AT2404" s="24" t="str">
        <f t="shared" si="716"/>
        <v>0-3 months</v>
      </c>
      <c r="AU2404" s="22" t="s">
        <v>3746</v>
      </c>
    </row>
    <row r="2405" spans="1:47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41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231</v>
      </c>
      <c r="K2405" s="155" t="s">
        <v>232</v>
      </c>
      <c r="L2405" s="17" t="s">
        <v>67</v>
      </c>
      <c r="M2405" s="13" t="s">
        <v>60</v>
      </c>
      <c r="N2405" s="13">
        <v>1</v>
      </c>
      <c r="O2405" s="13"/>
      <c r="P2405" s="33" t="str">
        <f t="shared" si="718"/>
        <v>MAIN UNIT</v>
      </c>
      <c r="Q2405" s="13" t="s">
        <v>61</v>
      </c>
      <c r="R2405" s="13" t="s">
        <v>62</v>
      </c>
      <c r="S2405" s="13" t="s">
        <v>49</v>
      </c>
      <c r="T2405" s="13" t="s">
        <v>105</v>
      </c>
      <c r="U2405" s="13" t="s">
        <v>79</v>
      </c>
      <c r="V2405" s="13" t="s">
        <v>134</v>
      </c>
      <c r="W2405" s="13" t="s">
        <v>109</v>
      </c>
      <c r="X2405" s="135">
        <v>9330000</v>
      </c>
      <c r="Y2405" s="156">
        <v>1</v>
      </c>
      <c r="Z2405" s="18">
        <f t="shared" si="717"/>
        <v>9330000</v>
      </c>
      <c r="AA2405" s="13">
        <v>7.3599999999999999E-2</v>
      </c>
      <c r="AB2405" s="21">
        <f t="shared" si="719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03"/>
        <v>24398045.86045352</v>
      </c>
      <c r="AJ2405" s="19">
        <f t="shared" si="704"/>
        <v>3478417.4064663448</v>
      </c>
      <c r="AK2405" s="20">
        <f t="shared" si="711"/>
        <v>0.14256950849102498</v>
      </c>
      <c r="AL2405" s="17"/>
      <c r="AM2405" s="17"/>
      <c r="AN2405" s="17"/>
      <c r="AO2405" s="17"/>
      <c r="AP2405" s="28" t="str">
        <f t="shared" si="712"/>
        <v>20186</v>
      </c>
      <c r="AQ2405" s="28" t="str">
        <f t="shared" si="713"/>
        <v>20186JPY</v>
      </c>
      <c r="AR2405" s="206" t="str">
        <f t="shared" si="714"/>
        <v>YAMAHA_Mounter</v>
      </c>
      <c r="AS2405" s="22">
        <f t="shared" si="715"/>
        <v>2</v>
      </c>
      <c r="AT2405" s="24" t="str">
        <f t="shared" si="716"/>
        <v>0-3 months</v>
      </c>
      <c r="AU2405" s="22" t="s">
        <v>3745</v>
      </c>
    </row>
    <row r="2406" spans="1:47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48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1313</v>
      </c>
      <c r="K2406" s="155" t="s">
        <v>1314</v>
      </c>
      <c r="L2406" s="17" t="s">
        <v>67</v>
      </c>
      <c r="M2406" s="13" t="s">
        <v>60</v>
      </c>
      <c r="N2406" s="13">
        <v>1</v>
      </c>
      <c r="O2406" s="13"/>
      <c r="P2406" s="33" t="str">
        <f t="shared" si="718"/>
        <v>MAIN UNIT</v>
      </c>
      <c r="Q2406" s="13" t="s">
        <v>61</v>
      </c>
      <c r="R2406" s="13" t="s">
        <v>62</v>
      </c>
      <c r="S2406" s="13" t="s">
        <v>49</v>
      </c>
      <c r="T2406" s="13" t="s">
        <v>78</v>
      </c>
      <c r="U2406" s="13" t="s">
        <v>79</v>
      </c>
      <c r="V2406" s="13" t="s">
        <v>63</v>
      </c>
      <c r="W2406" s="13" t="s">
        <v>901</v>
      </c>
      <c r="X2406" s="135">
        <v>78997</v>
      </c>
      <c r="Y2406" s="156">
        <v>1</v>
      </c>
      <c r="Z2406" s="18">
        <f t="shared" si="717"/>
        <v>78997</v>
      </c>
      <c r="AA2406" s="13">
        <v>7.8</v>
      </c>
      <c r="AB2406" s="21">
        <f t="shared" si="719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03"/>
        <v>44078731.611185849</v>
      </c>
      <c r="AJ2406" s="19">
        <f t="shared" si="704"/>
        <v>5508173.2163771465</v>
      </c>
      <c r="AK2406" s="20">
        <f t="shared" si="711"/>
        <v>0.12496215328889679</v>
      </c>
      <c r="AL2406" s="17"/>
      <c r="AM2406" s="17"/>
      <c r="AN2406" s="17"/>
      <c r="AO2406" s="17"/>
      <c r="AP2406" s="28" t="str">
        <f t="shared" si="712"/>
        <v>202011</v>
      </c>
      <c r="AQ2406" s="28" t="str">
        <f t="shared" si="713"/>
        <v>202011USD</v>
      </c>
      <c r="AR2406" s="206" t="str">
        <f t="shared" si="714"/>
        <v>YAMAHA_Mounter</v>
      </c>
      <c r="AS2406" s="22">
        <f t="shared" si="715"/>
        <v>3</v>
      </c>
      <c r="AT2406" s="24" t="str">
        <f t="shared" si="716"/>
        <v>0-3 months</v>
      </c>
      <c r="AU2406" s="22" t="s">
        <v>3746</v>
      </c>
    </row>
    <row r="2407" spans="1:47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48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1573</v>
      </c>
      <c r="K2407" s="155" t="s">
        <v>1314</v>
      </c>
      <c r="L2407" s="17" t="s">
        <v>67</v>
      </c>
      <c r="M2407" s="13" t="s">
        <v>60</v>
      </c>
      <c r="N2407" s="13">
        <v>1</v>
      </c>
      <c r="O2407" s="13"/>
      <c r="P2407" s="33" t="str">
        <f t="shared" si="718"/>
        <v>MAIN UNIT</v>
      </c>
      <c r="Q2407" s="13" t="s">
        <v>61</v>
      </c>
      <c r="R2407" s="13" t="s">
        <v>62</v>
      </c>
      <c r="S2407" s="13" t="s">
        <v>49</v>
      </c>
      <c r="T2407" s="13" t="s">
        <v>78</v>
      </c>
      <c r="U2407" s="13" t="s">
        <v>79</v>
      </c>
      <c r="V2407" s="13" t="s">
        <v>63</v>
      </c>
      <c r="W2407" s="13" t="s">
        <v>901</v>
      </c>
      <c r="X2407" s="135">
        <v>78997</v>
      </c>
      <c r="Y2407" s="157" t="str">
        <f>IF(W2407="RMB","1.13", "1")</f>
        <v>1</v>
      </c>
      <c r="Z2407" s="18">
        <f t="shared" si="717"/>
        <v>78997</v>
      </c>
      <c r="AA2407" s="13">
        <v>7.8</v>
      </c>
      <c r="AB2407" s="21">
        <f t="shared" si="719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03"/>
        <v>57778307.282035396</v>
      </c>
      <c r="AJ2407" s="19">
        <f t="shared" si="704"/>
        <v>7259860.7225420559</v>
      </c>
      <c r="AK2407" s="20">
        <f t="shared" si="711"/>
        <v>0.12565028406083667</v>
      </c>
      <c r="AL2407" s="17"/>
      <c r="AM2407" s="17"/>
      <c r="AN2407" s="17"/>
      <c r="AO2407" s="17"/>
      <c r="AP2407" s="28" t="str">
        <f t="shared" si="712"/>
        <v>20213</v>
      </c>
      <c r="AQ2407" s="28" t="str">
        <f t="shared" si="713"/>
        <v>20213USD</v>
      </c>
      <c r="AR2407" s="206" t="str">
        <f t="shared" si="714"/>
        <v>YAMAHA_Mounter</v>
      </c>
      <c r="AS2407" s="22">
        <f t="shared" si="715"/>
        <v>3</v>
      </c>
      <c r="AT2407" s="24" t="str">
        <f t="shared" si="716"/>
        <v>0-3 months</v>
      </c>
      <c r="AU2407" s="22" t="s">
        <v>3746</v>
      </c>
    </row>
    <row r="2408" spans="1:47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55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2106</v>
      </c>
      <c r="K2408" s="155" t="s">
        <v>1314</v>
      </c>
      <c r="L2408" s="17" t="s">
        <v>67</v>
      </c>
      <c r="M2408" s="13" t="s">
        <v>60</v>
      </c>
      <c r="N2408" s="13">
        <v>1</v>
      </c>
      <c r="O2408" s="13"/>
      <c r="P2408" s="33" t="str">
        <f t="shared" si="718"/>
        <v>MAIN UNIT</v>
      </c>
      <c r="Q2408" s="13" t="s">
        <v>61</v>
      </c>
      <c r="R2408" s="13" t="s">
        <v>62</v>
      </c>
      <c r="S2408" s="13" t="s">
        <v>49</v>
      </c>
      <c r="T2408" s="13" t="s">
        <v>78</v>
      </c>
      <c r="U2408" s="13" t="s">
        <v>79</v>
      </c>
      <c r="V2408" s="13" t="s">
        <v>80</v>
      </c>
      <c r="W2408" s="13" t="s">
        <v>901</v>
      </c>
      <c r="X2408" s="135">
        <v>60000</v>
      </c>
      <c r="Y2408" s="157" t="str">
        <f>IF(W2408="RMB","1.13", "1")</f>
        <v>1</v>
      </c>
      <c r="Z2408" s="18">
        <f t="shared" si="717"/>
        <v>60000</v>
      </c>
      <c r="AA2408" s="13">
        <v>7.8</v>
      </c>
      <c r="AB2408" s="21">
        <f t="shared" si="719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03"/>
        <v>10271727.486725664</v>
      </c>
      <c r="AJ2408" s="19">
        <f t="shared" si="704"/>
        <v>1227228.7260761063</v>
      </c>
      <c r="AK2408" s="20">
        <f t="shared" si="711"/>
        <v>0.11947637120066472</v>
      </c>
      <c r="AL2408" s="17"/>
      <c r="AM2408" s="17"/>
      <c r="AN2408" s="17"/>
      <c r="AO2408" s="17"/>
      <c r="AP2408" s="28" t="str">
        <f t="shared" si="712"/>
        <v>202312</v>
      </c>
      <c r="AQ2408" s="28" t="str">
        <f t="shared" si="713"/>
        <v>202312USD</v>
      </c>
      <c r="AR2408" s="206" t="str">
        <f t="shared" si="714"/>
        <v>YAMAHA_Mounter</v>
      </c>
      <c r="AS2408" s="22">
        <f t="shared" si="715"/>
        <v>4</v>
      </c>
      <c r="AT2408" s="24" t="str">
        <f t="shared" si="716"/>
        <v>4-6 months</v>
      </c>
      <c r="AU2408" s="22" t="s">
        <v>3746</v>
      </c>
    </row>
    <row r="2409" spans="1:47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55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2106</v>
      </c>
      <c r="K2409" s="155" t="s">
        <v>1314</v>
      </c>
      <c r="L2409" s="17" t="s">
        <v>67</v>
      </c>
      <c r="M2409" s="13" t="s">
        <v>60</v>
      </c>
      <c r="N2409" s="13">
        <v>1</v>
      </c>
      <c r="O2409" s="13"/>
      <c r="P2409" s="33" t="str">
        <f t="shared" si="718"/>
        <v>MAIN UNIT</v>
      </c>
      <c r="Q2409" s="13" t="s">
        <v>61</v>
      </c>
      <c r="R2409" s="13" t="s">
        <v>62</v>
      </c>
      <c r="S2409" s="13" t="s">
        <v>49</v>
      </c>
      <c r="T2409" s="13" t="s">
        <v>78</v>
      </c>
      <c r="U2409" s="13" t="s">
        <v>79</v>
      </c>
      <c r="V2409" s="13" t="s">
        <v>80</v>
      </c>
      <c r="W2409" s="13" t="s">
        <v>901</v>
      </c>
      <c r="X2409" s="135">
        <v>60000</v>
      </c>
      <c r="Y2409" s="157" t="str">
        <f>IF(W2409="RMB","1.13", "1")</f>
        <v>1</v>
      </c>
      <c r="Z2409" s="18">
        <f t="shared" si="717"/>
        <v>60000</v>
      </c>
      <c r="AA2409" s="13">
        <v>7.8</v>
      </c>
      <c r="AB2409" s="21">
        <f t="shared" si="719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03"/>
        <v>10271727.486725664</v>
      </c>
      <c r="AJ2409" s="19">
        <f t="shared" si="704"/>
        <v>1227228.7260761063</v>
      </c>
      <c r="AK2409" s="20">
        <f t="shared" si="711"/>
        <v>0.11947637120066472</v>
      </c>
      <c r="AL2409" s="17"/>
      <c r="AM2409" s="17"/>
      <c r="AN2409" s="17"/>
      <c r="AO2409" s="17"/>
      <c r="AP2409" s="28" t="str">
        <f t="shared" si="712"/>
        <v>202312</v>
      </c>
      <c r="AQ2409" s="28" t="str">
        <f t="shared" si="713"/>
        <v>202312USD</v>
      </c>
      <c r="AR2409" s="206" t="str">
        <f t="shared" si="714"/>
        <v>YAMAHA_Mounter</v>
      </c>
      <c r="AS2409" s="22">
        <f t="shared" si="715"/>
        <v>4</v>
      </c>
      <c r="AT2409" s="24" t="str">
        <f t="shared" si="716"/>
        <v>4-6 months</v>
      </c>
      <c r="AU2409" s="22" t="s">
        <v>3746</v>
      </c>
    </row>
    <row r="2410" spans="1:47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55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2107</v>
      </c>
      <c r="K2410" s="155" t="s">
        <v>1314</v>
      </c>
      <c r="L2410" s="17" t="s">
        <v>67</v>
      </c>
      <c r="M2410" s="13" t="s">
        <v>60</v>
      </c>
      <c r="N2410" s="13">
        <v>1</v>
      </c>
      <c r="O2410" s="13"/>
      <c r="P2410" s="33" t="str">
        <f t="shared" si="718"/>
        <v>MAIN UNIT</v>
      </c>
      <c r="Q2410" s="13" t="s">
        <v>61</v>
      </c>
      <c r="R2410" s="13" t="s">
        <v>62</v>
      </c>
      <c r="S2410" s="13" t="s">
        <v>49</v>
      </c>
      <c r="T2410" s="13" t="s">
        <v>78</v>
      </c>
      <c r="U2410" s="13" t="s">
        <v>79</v>
      </c>
      <c r="V2410" s="13" t="s">
        <v>80</v>
      </c>
      <c r="W2410" s="13" t="s">
        <v>901</v>
      </c>
      <c r="X2410" s="135">
        <v>58000</v>
      </c>
      <c r="Y2410" s="157" t="str">
        <f>IF(W2410="","",IF(W2410="RMB","1.13", "1"))</f>
        <v>1</v>
      </c>
      <c r="Z2410" s="18">
        <f t="shared" si="717"/>
        <v>58000</v>
      </c>
      <c r="AA2410" s="13">
        <v>7.8</v>
      </c>
      <c r="AB2410" s="21">
        <f t="shared" si="719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03"/>
        <v>23146578.081415929</v>
      </c>
      <c r="AJ2410" s="19">
        <f t="shared" si="704"/>
        <v>2745231.3889985834</v>
      </c>
      <c r="AK2410" s="20">
        <f t="shared" si="711"/>
        <v>0.11860204041143742</v>
      </c>
      <c r="AL2410" s="17"/>
      <c r="AM2410" s="17"/>
      <c r="AN2410" s="17"/>
      <c r="AO2410" s="17"/>
      <c r="AP2410" s="28" t="str">
        <f t="shared" si="712"/>
        <v>20241</v>
      </c>
      <c r="AQ2410" s="28" t="str">
        <f t="shared" si="713"/>
        <v>20241USD</v>
      </c>
      <c r="AR2410" s="206" t="str">
        <f t="shared" si="714"/>
        <v>YAMAHA_Mounter</v>
      </c>
      <c r="AS2410" s="22">
        <f t="shared" si="715"/>
        <v>2</v>
      </c>
      <c r="AT2410" s="24" t="str">
        <f t="shared" si="716"/>
        <v>0-3 months</v>
      </c>
      <c r="AU2410" s="22" t="s">
        <v>3240</v>
      </c>
    </row>
    <row r="2411" spans="1:47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55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2107</v>
      </c>
      <c r="K2411" s="155" t="s">
        <v>1314</v>
      </c>
      <c r="L2411" s="17" t="s">
        <v>67</v>
      </c>
      <c r="M2411" s="13" t="s">
        <v>60</v>
      </c>
      <c r="N2411" s="13">
        <v>1</v>
      </c>
      <c r="O2411" s="13"/>
      <c r="P2411" s="33" t="str">
        <f t="shared" si="718"/>
        <v>MAIN UNIT</v>
      </c>
      <c r="Q2411" s="13" t="s">
        <v>61</v>
      </c>
      <c r="R2411" s="13" t="s">
        <v>62</v>
      </c>
      <c r="S2411" s="13" t="s">
        <v>49</v>
      </c>
      <c r="T2411" s="13" t="s">
        <v>78</v>
      </c>
      <c r="U2411" s="13" t="s">
        <v>79</v>
      </c>
      <c r="V2411" s="13" t="s">
        <v>80</v>
      </c>
      <c r="W2411" s="13" t="s">
        <v>901</v>
      </c>
      <c r="X2411" s="135">
        <v>58000</v>
      </c>
      <c r="Y2411" s="157" t="str">
        <f>IF(W2411="","",IF(W2411="RMB","1.13", "1"))</f>
        <v>1</v>
      </c>
      <c r="Z2411" s="18">
        <f t="shared" si="717"/>
        <v>58000</v>
      </c>
      <c r="AA2411" s="13">
        <v>7.8</v>
      </c>
      <c r="AB2411" s="21">
        <f t="shared" si="719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03"/>
        <v>23146578.081415929</v>
      </c>
      <c r="AJ2411" s="19">
        <f t="shared" si="704"/>
        <v>2745231.3889985834</v>
      </c>
      <c r="AK2411" s="20">
        <f t="shared" si="711"/>
        <v>0.11860204041143742</v>
      </c>
      <c r="AL2411" s="17"/>
      <c r="AM2411" s="17"/>
      <c r="AN2411" s="17"/>
      <c r="AO2411" s="17"/>
      <c r="AP2411" s="28" t="str">
        <f t="shared" si="712"/>
        <v>20241</v>
      </c>
      <c r="AQ2411" s="28" t="str">
        <f t="shared" si="713"/>
        <v>20241USD</v>
      </c>
      <c r="AR2411" s="206" t="str">
        <f t="shared" si="714"/>
        <v>YAMAHA_Mounter</v>
      </c>
      <c r="AS2411" s="22">
        <f t="shared" si="715"/>
        <v>2</v>
      </c>
      <c r="AT2411" s="24" t="str">
        <f t="shared" si="716"/>
        <v>0-3 months</v>
      </c>
      <c r="AU2411" s="22" t="s">
        <v>3240</v>
      </c>
    </row>
    <row r="2412" spans="1:47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55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2565</v>
      </c>
      <c r="K2412" s="155" t="s">
        <v>1314</v>
      </c>
      <c r="L2412" s="17" t="s">
        <v>67</v>
      </c>
      <c r="M2412" s="13" t="s">
        <v>60</v>
      </c>
      <c r="N2412" s="13">
        <v>1</v>
      </c>
      <c r="O2412" s="13"/>
      <c r="P2412" s="33" t="str">
        <f t="shared" si="718"/>
        <v>MAIN UNIT</v>
      </c>
      <c r="Q2412" s="13" t="s">
        <v>61</v>
      </c>
      <c r="R2412" s="13" t="s">
        <v>62</v>
      </c>
      <c r="S2412" s="13" t="s">
        <v>49</v>
      </c>
      <c r="T2412" s="13" t="s">
        <v>78</v>
      </c>
      <c r="U2412" s="13" t="s">
        <v>79</v>
      </c>
      <c r="V2412" s="13" t="s">
        <v>80</v>
      </c>
      <c r="W2412" s="13" t="s">
        <v>901</v>
      </c>
      <c r="X2412" s="135">
        <v>58000</v>
      </c>
      <c r="Y2412" s="157" t="str">
        <f>IF(W2412="RMB","1.13", "1")</f>
        <v>1</v>
      </c>
      <c r="Z2412" s="18">
        <f t="shared" si="717"/>
        <v>58000</v>
      </c>
      <c r="AA2412" s="13">
        <v>7.8</v>
      </c>
      <c r="AB2412" s="21">
        <f t="shared" si="719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03"/>
        <v>26078226.463097349</v>
      </c>
      <c r="AJ2412" s="19">
        <f t="shared" si="704"/>
        <v>3137870.4427774516</v>
      </c>
      <c r="AK2412" s="20">
        <f t="shared" si="711"/>
        <v>0.12032530077218917</v>
      </c>
      <c r="AL2412" s="17"/>
      <c r="AM2412" s="17"/>
      <c r="AN2412" s="17"/>
      <c r="AO2412" s="17"/>
      <c r="AP2412" s="28" t="str">
        <f t="shared" si="712"/>
        <v>20239</v>
      </c>
      <c r="AQ2412" s="28" t="str">
        <f t="shared" si="713"/>
        <v>20239USD</v>
      </c>
      <c r="AR2412" s="206" t="str">
        <f t="shared" si="714"/>
        <v>YAMAHA_Mounter</v>
      </c>
      <c r="AS2412" s="22">
        <f t="shared" si="715"/>
        <v>3</v>
      </c>
      <c r="AT2412" s="24" t="str">
        <f t="shared" si="716"/>
        <v>0-3 months</v>
      </c>
      <c r="AU2412" s="22" t="s">
        <v>3746</v>
      </c>
    </row>
    <row r="2413" spans="1:47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3119</v>
      </c>
      <c r="K2413" s="155" t="s">
        <v>1314</v>
      </c>
      <c r="L2413" s="17" t="s">
        <v>67</v>
      </c>
      <c r="M2413" s="13" t="s">
        <v>60</v>
      </c>
      <c r="N2413" s="13">
        <v>1</v>
      </c>
      <c r="O2413" s="13"/>
      <c r="P2413" s="33" t="str">
        <f t="shared" si="718"/>
        <v>MAIN UNIT</v>
      </c>
      <c r="Q2413" s="13" t="s">
        <v>61</v>
      </c>
      <c r="R2413" s="13" t="s">
        <v>62</v>
      </c>
      <c r="S2413" s="13" t="s">
        <v>49</v>
      </c>
      <c r="T2413" s="13" t="s">
        <v>78</v>
      </c>
      <c r="U2413" s="13" t="s">
        <v>2110</v>
      </c>
      <c r="V2413" s="13" t="s">
        <v>80</v>
      </c>
      <c r="W2413" s="13" t="s">
        <v>901</v>
      </c>
      <c r="X2413" s="135">
        <v>58000</v>
      </c>
      <c r="Y2413" s="157" t="str">
        <f t="shared" ref="Y2413:Y2419" si="721">IF(W2413="","",IF(W2413="RMB","1.13", "1"))</f>
        <v>1</v>
      </c>
      <c r="Z2413" s="18">
        <f t="shared" si="717"/>
        <v>58000</v>
      </c>
      <c r="AA2413" s="13">
        <v>7.8</v>
      </c>
      <c r="AB2413" s="21">
        <f t="shared" si="719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03"/>
        <v>10524262.405309737</v>
      </c>
      <c r="AJ2413" s="19">
        <f t="shared" si="704"/>
        <v>1479050.9527127435</v>
      </c>
      <c r="AK2413" s="20">
        <f t="shared" si="711"/>
        <v>0.14053725532028996</v>
      </c>
      <c r="AL2413" s="17"/>
      <c r="AM2413" s="17"/>
      <c r="AN2413" s="17"/>
      <c r="AO2413" s="17"/>
      <c r="AP2413" s="28" t="str">
        <f t="shared" si="712"/>
        <v>20242</v>
      </c>
      <c r="AQ2413" s="28" t="str">
        <f t="shared" si="713"/>
        <v>20242USD</v>
      </c>
      <c r="AR2413" s="206" t="str">
        <f t="shared" si="714"/>
        <v>YAMAHA_Mounter</v>
      </c>
      <c r="AS2413" s="22">
        <f t="shared" si="715"/>
        <v>2</v>
      </c>
      <c r="AT2413" s="24" t="str">
        <f t="shared" si="716"/>
        <v>0-3 months</v>
      </c>
      <c r="AU2413" s="22" t="s">
        <v>3240</v>
      </c>
    </row>
    <row r="2414" spans="1:47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3119</v>
      </c>
      <c r="K2414" s="155" t="s">
        <v>1314</v>
      </c>
      <c r="L2414" s="17" t="s">
        <v>67</v>
      </c>
      <c r="M2414" s="13" t="s">
        <v>60</v>
      </c>
      <c r="N2414" s="13">
        <v>1</v>
      </c>
      <c r="O2414" s="13"/>
      <c r="P2414" s="33" t="str">
        <f t="shared" si="718"/>
        <v>MAIN UNIT</v>
      </c>
      <c r="Q2414" s="13" t="s">
        <v>61</v>
      </c>
      <c r="R2414" s="13" t="s">
        <v>62</v>
      </c>
      <c r="S2414" s="13" t="s">
        <v>49</v>
      </c>
      <c r="T2414" s="13" t="s">
        <v>78</v>
      </c>
      <c r="U2414" s="13" t="s">
        <v>2110</v>
      </c>
      <c r="V2414" s="13" t="s">
        <v>80</v>
      </c>
      <c r="W2414" s="13" t="s">
        <v>901</v>
      </c>
      <c r="X2414" s="135">
        <v>58000</v>
      </c>
      <c r="Y2414" s="157" t="str">
        <f t="shared" si="721"/>
        <v>1</v>
      </c>
      <c r="Z2414" s="18">
        <f t="shared" si="717"/>
        <v>58000</v>
      </c>
      <c r="AA2414" s="13">
        <v>7.8</v>
      </c>
      <c r="AB2414" s="21">
        <f t="shared" si="719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03"/>
        <v>10524262.405309737</v>
      </c>
      <c r="AJ2414" s="19">
        <f t="shared" si="704"/>
        <v>1479050.9527127435</v>
      </c>
      <c r="AK2414" s="20">
        <f t="shared" si="711"/>
        <v>0.14053725532028996</v>
      </c>
      <c r="AL2414" s="17"/>
      <c r="AM2414" s="17"/>
      <c r="AN2414" s="17"/>
      <c r="AO2414" s="17"/>
      <c r="AP2414" s="28" t="str">
        <f t="shared" si="712"/>
        <v>20242</v>
      </c>
      <c r="AQ2414" s="28" t="str">
        <f t="shared" si="713"/>
        <v>20242USD</v>
      </c>
      <c r="AR2414" s="206" t="str">
        <f t="shared" si="714"/>
        <v>YAMAHA_Mounter</v>
      </c>
      <c r="AS2414" s="22">
        <f t="shared" si="715"/>
        <v>2</v>
      </c>
      <c r="AT2414" s="24" t="str">
        <f t="shared" si="716"/>
        <v>0-3 months</v>
      </c>
      <c r="AU2414" s="22" t="s">
        <v>3240</v>
      </c>
    </row>
    <row r="2415" spans="1:47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3170</v>
      </c>
      <c r="K2415" s="29" t="s">
        <v>1314</v>
      </c>
      <c r="L2415" s="17" t="s">
        <v>67</v>
      </c>
      <c r="M2415" s="22" t="s">
        <v>60</v>
      </c>
      <c r="N2415" s="22">
        <v>1</v>
      </c>
      <c r="O2415" s="22"/>
      <c r="P2415" s="33" t="str">
        <f t="shared" si="718"/>
        <v>MAIN UNIT</v>
      </c>
      <c r="Q2415" s="13" t="s">
        <v>61</v>
      </c>
      <c r="R2415" s="22" t="s">
        <v>62</v>
      </c>
      <c r="S2415" s="22" t="s">
        <v>49</v>
      </c>
      <c r="T2415" s="22" t="s">
        <v>1071</v>
      </c>
      <c r="U2415" s="22" t="s">
        <v>2110</v>
      </c>
      <c r="V2415" s="22" t="s">
        <v>80</v>
      </c>
      <c r="W2415" s="22" t="s">
        <v>901</v>
      </c>
      <c r="X2415" s="30">
        <v>68800</v>
      </c>
      <c r="Y2415" s="31" t="str">
        <f t="shared" si="721"/>
        <v>1</v>
      </c>
      <c r="Z2415" s="18">
        <f t="shared" si="717"/>
        <v>68800</v>
      </c>
      <c r="AA2415" s="22">
        <v>7.8</v>
      </c>
      <c r="AB2415" s="21">
        <f t="shared" si="719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03"/>
        <v>21241742.157380536</v>
      </c>
      <c r="AJ2415" s="27">
        <f t="shared" si="704"/>
        <v>2987081.1613773629</v>
      </c>
      <c r="AK2415" s="28">
        <f t="shared" si="711"/>
        <v>0.14062317201884914</v>
      </c>
      <c r="AL2415" s="24"/>
      <c r="AM2415" s="24"/>
      <c r="AN2415" s="24"/>
      <c r="AO2415" s="24"/>
      <c r="AP2415" s="28" t="str">
        <f t="shared" si="712"/>
        <v>20243</v>
      </c>
      <c r="AQ2415" s="28" t="str">
        <f t="shared" si="713"/>
        <v>20243USD</v>
      </c>
      <c r="AR2415" s="206" t="str">
        <f t="shared" si="714"/>
        <v>YAMAHA_Mounter</v>
      </c>
      <c r="AS2415" s="22">
        <f t="shared" si="715"/>
        <v>1</v>
      </c>
      <c r="AT2415" s="24" t="str">
        <f t="shared" si="716"/>
        <v>0-3 months</v>
      </c>
      <c r="AU2415" s="22" t="s">
        <v>3746</v>
      </c>
    </row>
    <row r="2416" spans="1:47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3170</v>
      </c>
      <c r="K2416" s="29" t="s">
        <v>1314</v>
      </c>
      <c r="L2416" s="17" t="s">
        <v>67</v>
      </c>
      <c r="M2416" s="22" t="s">
        <v>60</v>
      </c>
      <c r="N2416" s="22">
        <v>1</v>
      </c>
      <c r="O2416" s="22"/>
      <c r="P2416" s="33" t="str">
        <f t="shared" si="718"/>
        <v>MAIN UNIT</v>
      </c>
      <c r="Q2416" s="13" t="s">
        <v>61</v>
      </c>
      <c r="R2416" s="22" t="s">
        <v>62</v>
      </c>
      <c r="S2416" s="22" t="s">
        <v>49</v>
      </c>
      <c r="T2416" s="22" t="s">
        <v>1071</v>
      </c>
      <c r="U2416" s="22" t="s">
        <v>2110</v>
      </c>
      <c r="V2416" s="22" t="s">
        <v>80</v>
      </c>
      <c r="W2416" s="22" t="s">
        <v>901</v>
      </c>
      <c r="X2416" s="30">
        <v>68800</v>
      </c>
      <c r="Y2416" s="31" t="str">
        <f t="shared" si="721"/>
        <v>1</v>
      </c>
      <c r="Z2416" s="18">
        <f t="shared" si="717"/>
        <v>68800</v>
      </c>
      <c r="AA2416" s="22">
        <v>7.8</v>
      </c>
      <c r="AB2416" s="21">
        <f t="shared" si="719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03"/>
        <v>21241742.157380536</v>
      </c>
      <c r="AJ2416" s="27">
        <f t="shared" si="704"/>
        <v>2987081.1613773629</v>
      </c>
      <c r="AK2416" s="28">
        <f t="shared" si="711"/>
        <v>0.14062317201884914</v>
      </c>
      <c r="AL2416" s="24"/>
      <c r="AM2416" s="24"/>
      <c r="AN2416" s="24"/>
      <c r="AO2416" s="24"/>
      <c r="AP2416" s="28" t="str">
        <f t="shared" si="712"/>
        <v>20243</v>
      </c>
      <c r="AQ2416" s="28" t="str">
        <f t="shared" si="713"/>
        <v>20243USD</v>
      </c>
      <c r="AR2416" s="206" t="str">
        <f t="shared" si="714"/>
        <v>YAMAHA_Mounter</v>
      </c>
      <c r="AS2416" s="22">
        <f t="shared" si="715"/>
        <v>1</v>
      </c>
      <c r="AT2416" s="24" t="str">
        <f t="shared" si="716"/>
        <v>0-3 months</v>
      </c>
      <c r="AU2416" s="22" t="s">
        <v>3746</v>
      </c>
    </row>
    <row r="2417" spans="1:47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3171</v>
      </c>
      <c r="K2417" s="29" t="s">
        <v>1314</v>
      </c>
      <c r="L2417" s="17" t="s">
        <v>67</v>
      </c>
      <c r="M2417" s="22" t="s">
        <v>60</v>
      </c>
      <c r="N2417" s="22">
        <v>1</v>
      </c>
      <c r="O2417" s="22"/>
      <c r="P2417" s="33" t="str">
        <f t="shared" si="718"/>
        <v>MAIN UNIT</v>
      </c>
      <c r="Q2417" s="13" t="s">
        <v>61</v>
      </c>
      <c r="R2417" s="22" t="s">
        <v>62</v>
      </c>
      <c r="S2417" s="22" t="s">
        <v>49</v>
      </c>
      <c r="T2417" s="22" t="s">
        <v>1071</v>
      </c>
      <c r="U2417" s="22" t="s">
        <v>2110</v>
      </c>
      <c r="V2417" s="22" t="s">
        <v>80</v>
      </c>
      <c r="W2417" s="22" t="s">
        <v>901</v>
      </c>
      <c r="X2417" s="30">
        <v>68800</v>
      </c>
      <c r="Y2417" s="31" t="str">
        <f t="shared" si="721"/>
        <v>1</v>
      </c>
      <c r="Z2417" s="18">
        <f t="shared" si="717"/>
        <v>68800</v>
      </c>
      <c r="AA2417" s="22">
        <v>7.8</v>
      </c>
      <c r="AB2417" s="21">
        <f t="shared" si="719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03"/>
        <v>21241742.157380536</v>
      </c>
      <c r="AJ2417" s="27">
        <f t="shared" si="704"/>
        <v>2987081.1613773629</v>
      </c>
      <c r="AK2417" s="28">
        <f t="shared" si="711"/>
        <v>0.14062317201884914</v>
      </c>
      <c r="AL2417" s="24"/>
      <c r="AM2417" s="24"/>
      <c r="AN2417" s="24"/>
      <c r="AO2417" s="24"/>
      <c r="AP2417" s="28" t="str">
        <f t="shared" si="712"/>
        <v>20243</v>
      </c>
      <c r="AQ2417" s="28" t="str">
        <f t="shared" si="713"/>
        <v>20243USD</v>
      </c>
      <c r="AR2417" s="206" t="str">
        <f t="shared" si="714"/>
        <v>YAMAHA_Mounter</v>
      </c>
      <c r="AS2417" s="22">
        <f t="shared" si="715"/>
        <v>1</v>
      </c>
      <c r="AT2417" s="24" t="str">
        <f t="shared" si="716"/>
        <v>0-3 months</v>
      </c>
      <c r="AU2417" s="22" t="s">
        <v>3746</v>
      </c>
    </row>
    <row r="2418" spans="1:47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3172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3445</v>
      </c>
      <c r="K2418" s="29" t="s">
        <v>1634</v>
      </c>
      <c r="L2418" s="17" t="s">
        <v>92</v>
      </c>
      <c r="M2418" s="22" t="s">
        <v>60</v>
      </c>
      <c r="N2418" s="22">
        <v>1</v>
      </c>
      <c r="O2418" s="22"/>
      <c r="P2418" s="33" t="str">
        <f t="shared" si="718"/>
        <v>MAIN UNIT</v>
      </c>
      <c r="Q2418" s="22" t="s">
        <v>61</v>
      </c>
      <c r="R2418" s="22" t="s">
        <v>62</v>
      </c>
      <c r="S2418" s="22" t="s">
        <v>49</v>
      </c>
      <c r="T2418" s="22" t="s">
        <v>78</v>
      </c>
      <c r="U2418" s="22" t="s">
        <v>78</v>
      </c>
      <c r="V2418" s="22" t="s">
        <v>126</v>
      </c>
      <c r="W2418" s="22" t="s">
        <v>109</v>
      </c>
      <c r="X2418" s="104">
        <v>12066000</v>
      </c>
      <c r="Y2418" s="195" t="str">
        <f t="shared" si="721"/>
        <v>1</v>
      </c>
      <c r="Z2418" s="196">
        <f t="shared" si="717"/>
        <v>12066000</v>
      </c>
      <c r="AA2418" s="22">
        <v>4.9500000000000002E-2</v>
      </c>
      <c r="AB2418" s="197">
        <f t="shared" si="719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03"/>
        <v>25458266.694690265</v>
      </c>
      <c r="AJ2418" s="200">
        <f t="shared" si="704"/>
        <v>4116526.778578762</v>
      </c>
      <c r="AK2418" s="201">
        <f t="shared" si="711"/>
        <v>0.16169705612508689</v>
      </c>
      <c r="AL2418" s="24"/>
      <c r="AM2418" s="24"/>
      <c r="AN2418" s="24"/>
      <c r="AO2418" s="24"/>
      <c r="AP2418" s="105" t="str">
        <f t="shared" si="712"/>
        <v>20247</v>
      </c>
      <c r="AQ2418" s="28" t="str">
        <f t="shared" si="713"/>
        <v>20247JPY</v>
      </c>
      <c r="AR2418" s="206" t="str">
        <f t="shared" si="714"/>
        <v>YAMAHA_Mounter</v>
      </c>
      <c r="AS2418" s="22">
        <f t="shared" si="715"/>
        <v>2</v>
      </c>
      <c r="AT2418" s="24" t="str">
        <f t="shared" si="716"/>
        <v>0-3 months</v>
      </c>
      <c r="AU2418" s="22" t="s">
        <v>3746</v>
      </c>
    </row>
    <row r="2419" spans="1:47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3472</v>
      </c>
      <c r="K2419" s="29" t="s">
        <v>3473</v>
      </c>
      <c r="L2419" s="17" t="s">
        <v>92</v>
      </c>
      <c r="M2419" s="13" t="s">
        <v>60</v>
      </c>
      <c r="N2419" s="13">
        <v>1</v>
      </c>
      <c r="O2419" s="22"/>
      <c r="P2419" s="33" t="str">
        <f t="shared" si="718"/>
        <v>MAIN UNIT</v>
      </c>
      <c r="Q2419" s="22" t="s">
        <v>68</v>
      </c>
      <c r="R2419" s="22" t="s">
        <v>62</v>
      </c>
      <c r="S2419" s="22" t="s">
        <v>49</v>
      </c>
      <c r="T2419" s="22" t="s">
        <v>78</v>
      </c>
      <c r="U2419" s="22" t="s">
        <v>78</v>
      </c>
      <c r="V2419" s="22" t="s">
        <v>112</v>
      </c>
      <c r="W2419" s="22" t="s">
        <v>109</v>
      </c>
      <c r="X2419" s="104">
        <v>15000000</v>
      </c>
      <c r="Y2419" s="195" t="str">
        <f t="shared" si="721"/>
        <v>1</v>
      </c>
      <c r="Z2419" s="196">
        <f t="shared" si="717"/>
        <v>15000000</v>
      </c>
      <c r="AA2419" s="22">
        <v>4.9500000000000002E-2</v>
      </c>
      <c r="AB2419" s="197">
        <f t="shared" si="719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03"/>
        <v>25458266.694690265</v>
      </c>
      <c r="AJ2419" s="200">
        <f t="shared" si="704"/>
        <v>4116526.778578762</v>
      </c>
      <c r="AK2419" s="201">
        <f t="shared" si="711"/>
        <v>0.16169705612508689</v>
      </c>
      <c r="AL2419" s="24"/>
      <c r="AM2419" s="24"/>
      <c r="AN2419" s="24"/>
      <c r="AO2419" s="24"/>
      <c r="AP2419" s="105" t="str">
        <f t="shared" si="712"/>
        <v>20247</v>
      </c>
      <c r="AQ2419" s="28" t="str">
        <f t="shared" si="713"/>
        <v>20247JPY</v>
      </c>
      <c r="AR2419" s="206" t="str">
        <f t="shared" si="714"/>
        <v>YAMAHA_Mounter</v>
      </c>
      <c r="AS2419" s="22">
        <f t="shared" si="715"/>
        <v>1</v>
      </c>
      <c r="AT2419" s="24" t="str">
        <f t="shared" si="716"/>
        <v>0-3 months</v>
      </c>
      <c r="AU2419" s="22" t="s">
        <v>3745</v>
      </c>
    </row>
    <row r="2420" spans="1:47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53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1983</v>
      </c>
      <c r="K2420" s="155" t="s">
        <v>1984</v>
      </c>
      <c r="L2420" s="17" t="s">
        <v>67</v>
      </c>
      <c r="M2420" s="13" t="s">
        <v>60</v>
      </c>
      <c r="N2420" s="13">
        <v>1</v>
      </c>
      <c r="O2420" s="13"/>
      <c r="P2420" s="33" t="str">
        <f t="shared" si="718"/>
        <v>MAIN UNIT</v>
      </c>
      <c r="Q2420" s="13" t="s">
        <v>68</v>
      </c>
      <c r="R2420" s="13" t="s">
        <v>62</v>
      </c>
      <c r="S2420" s="13" t="s">
        <v>49</v>
      </c>
      <c r="T2420" s="13" t="s">
        <v>78</v>
      </c>
      <c r="U2420" s="13" t="s">
        <v>79</v>
      </c>
      <c r="V2420" s="13" t="s">
        <v>126</v>
      </c>
      <c r="W2420" s="13" t="s">
        <v>64</v>
      </c>
      <c r="X2420" s="135">
        <v>670000</v>
      </c>
      <c r="Y2420" s="157" t="str">
        <f>IF(W2420="RMB","1.13", "1")</f>
        <v>1.13</v>
      </c>
      <c r="Z2420" s="18">
        <f t="shared" si="717"/>
        <v>670000</v>
      </c>
      <c r="AA2420" s="13">
        <v>1.22</v>
      </c>
      <c r="AB2420" s="21">
        <f t="shared" si="719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03"/>
        <v>28726768.133805312</v>
      </c>
      <c r="AJ2420" s="19">
        <f t="shared" si="704"/>
        <v>3853638.1988864429</v>
      </c>
      <c r="AK2420" s="20">
        <f t="shared" si="711"/>
        <v>0.1341479898099476</v>
      </c>
      <c r="AL2420" s="17"/>
      <c r="AM2420" s="17"/>
      <c r="AN2420" s="17"/>
      <c r="AO2420" s="17"/>
      <c r="AP2420" s="28" t="str">
        <f t="shared" si="712"/>
        <v>20223</v>
      </c>
      <c r="AQ2420" s="28" t="str">
        <f t="shared" si="713"/>
        <v>20223RMB</v>
      </c>
      <c r="AR2420" s="206" t="str">
        <f t="shared" si="714"/>
        <v>YAMAHA_Mounter</v>
      </c>
      <c r="AS2420" s="22">
        <f t="shared" si="715"/>
        <v>5</v>
      </c>
      <c r="AT2420" s="24" t="str">
        <f t="shared" si="716"/>
        <v>4-6 months</v>
      </c>
      <c r="AU2420" s="22" t="s">
        <v>3751</v>
      </c>
    </row>
    <row r="2421" spans="1:47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41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2792</v>
      </c>
      <c r="K2421" s="155" t="s">
        <v>2793</v>
      </c>
      <c r="L2421" s="17" t="s">
        <v>2778</v>
      </c>
      <c r="M2421" s="13" t="s">
        <v>2607</v>
      </c>
      <c r="N2421" s="13">
        <v>2</v>
      </c>
      <c r="O2421" s="13"/>
      <c r="P2421" s="33" t="str">
        <f t="shared" si="718"/>
        <v>MAIN UNIT</v>
      </c>
      <c r="Q2421" s="13" t="s">
        <v>61</v>
      </c>
      <c r="R2421" s="13" t="s">
        <v>2055</v>
      </c>
      <c r="S2421" s="13" t="s">
        <v>49</v>
      </c>
      <c r="T2421" s="13" t="s">
        <v>246</v>
      </c>
      <c r="U2421" s="13" t="s">
        <v>79</v>
      </c>
      <c r="V2421" s="13" t="s">
        <v>2794</v>
      </c>
      <c r="W2421" s="13" t="s">
        <v>64</v>
      </c>
      <c r="X2421" s="135">
        <v>540000</v>
      </c>
      <c r="Y2421" s="156">
        <v>1.17</v>
      </c>
      <c r="Z2421" s="18">
        <f t="shared" si="717"/>
        <v>1080000</v>
      </c>
      <c r="AA2421" s="13">
        <v>1.23</v>
      </c>
      <c r="AB2421" s="21">
        <f t="shared" si="719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03"/>
        <v>34109166.105589926</v>
      </c>
      <c r="AJ2421" s="19">
        <f t="shared" si="704"/>
        <v>4642032.7199573703</v>
      </c>
      <c r="AK2421" s="20">
        <f t="shared" si="711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2"/>
        <v>20185</v>
      </c>
      <c r="AQ2421" s="28" t="str">
        <f t="shared" si="713"/>
        <v>20185RMB</v>
      </c>
      <c r="AR2421" s="206" t="str">
        <f t="shared" si="714"/>
        <v>HELLER</v>
      </c>
      <c r="AS2421" s="22">
        <f t="shared" si="715"/>
        <v>3</v>
      </c>
      <c r="AT2421" s="24" t="str">
        <f t="shared" si="716"/>
        <v>0-3 months</v>
      </c>
      <c r="AU2421" s="22" t="s">
        <v>3744</v>
      </c>
    </row>
    <row r="2422" spans="1:47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47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695</v>
      </c>
      <c r="K2422" s="155" t="s">
        <v>696</v>
      </c>
      <c r="L2422" s="17" t="s">
        <v>67</v>
      </c>
      <c r="M2422" s="13" t="s">
        <v>60</v>
      </c>
      <c r="N2422" s="13">
        <v>1</v>
      </c>
      <c r="O2422" s="13"/>
      <c r="P2422" s="33" t="str">
        <f t="shared" si="718"/>
        <v>MAIN UNIT</v>
      </c>
      <c r="Q2422" s="13" t="s">
        <v>61</v>
      </c>
      <c r="R2422" s="13" t="s">
        <v>62</v>
      </c>
      <c r="S2422" s="13" t="s">
        <v>49</v>
      </c>
      <c r="T2422" s="13" t="s">
        <v>464</v>
      </c>
      <c r="U2422" s="13" t="s">
        <v>79</v>
      </c>
      <c r="V2422" s="13" t="s">
        <v>134</v>
      </c>
      <c r="W2422" s="13" t="s">
        <v>109</v>
      </c>
      <c r="X2422" s="135">
        <v>13000000</v>
      </c>
      <c r="Y2422" s="156">
        <v>1</v>
      </c>
      <c r="Z2422" s="18">
        <f t="shared" si="717"/>
        <v>13000000</v>
      </c>
      <c r="AA2422" s="13">
        <v>7.3499999999999996E-2</v>
      </c>
      <c r="AB2422" s="21">
        <f t="shared" si="719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03"/>
        <v>21386017.707964607</v>
      </c>
      <c r="AJ2422" s="19">
        <f t="shared" si="704"/>
        <v>2238764.3265707968</v>
      </c>
      <c r="AK2422" s="20">
        <f t="shared" si="711"/>
        <v>0.10468355339185161</v>
      </c>
      <c r="AL2422" s="17"/>
      <c r="AM2422" s="17"/>
      <c r="AN2422" s="17"/>
      <c r="AO2422" s="17"/>
      <c r="AP2422" s="28" t="str">
        <f t="shared" si="712"/>
        <v>20198</v>
      </c>
      <c r="AQ2422" s="28" t="str">
        <f t="shared" si="713"/>
        <v>20198JPY</v>
      </c>
      <c r="AR2422" s="206" t="str">
        <f t="shared" si="714"/>
        <v>YAMAHA_Mounter</v>
      </c>
      <c r="AS2422" s="22">
        <f t="shared" si="715"/>
        <v>3</v>
      </c>
      <c r="AT2422" s="24" t="str">
        <f t="shared" si="716"/>
        <v>0-3 months</v>
      </c>
      <c r="AU2422" s="22" t="s">
        <v>3745</v>
      </c>
    </row>
    <row r="2423" spans="1:47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47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695</v>
      </c>
      <c r="K2423" s="155" t="s">
        <v>696</v>
      </c>
      <c r="L2423" s="17" t="s">
        <v>92</v>
      </c>
      <c r="M2423" s="13" t="s">
        <v>60</v>
      </c>
      <c r="N2423" s="13">
        <v>1</v>
      </c>
      <c r="O2423" s="13"/>
      <c r="P2423" s="33" t="str">
        <f t="shared" si="718"/>
        <v>MAIN UNIT</v>
      </c>
      <c r="Q2423" s="13" t="s">
        <v>61</v>
      </c>
      <c r="R2423" s="13" t="s">
        <v>62</v>
      </c>
      <c r="S2423" s="13" t="s">
        <v>49</v>
      </c>
      <c r="T2423" s="13" t="s">
        <v>464</v>
      </c>
      <c r="U2423" s="13" t="s">
        <v>79</v>
      </c>
      <c r="V2423" s="13" t="s">
        <v>134</v>
      </c>
      <c r="W2423" s="13" t="s">
        <v>109</v>
      </c>
      <c r="X2423" s="135">
        <v>20000000</v>
      </c>
      <c r="Y2423" s="156">
        <v>1</v>
      </c>
      <c r="Z2423" s="18">
        <f t="shared" si="717"/>
        <v>20000000</v>
      </c>
      <c r="AA2423" s="13">
        <v>7.3499999999999996E-2</v>
      </c>
      <c r="AB2423" s="21">
        <f t="shared" si="719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03"/>
        <v>21386017.707964607</v>
      </c>
      <c r="AJ2423" s="19">
        <f t="shared" si="704"/>
        <v>2238764.3265707968</v>
      </c>
      <c r="AK2423" s="20">
        <f t="shared" si="711"/>
        <v>0.10468355339185161</v>
      </c>
      <c r="AL2423" s="17"/>
      <c r="AM2423" s="17"/>
      <c r="AN2423" s="17"/>
      <c r="AO2423" s="17"/>
      <c r="AP2423" s="28" t="str">
        <f t="shared" si="712"/>
        <v>20198</v>
      </c>
      <c r="AQ2423" s="28" t="str">
        <f t="shared" si="713"/>
        <v>20198JPY</v>
      </c>
      <c r="AR2423" s="206" t="str">
        <f t="shared" si="714"/>
        <v>YAMAHA_Mounter</v>
      </c>
      <c r="AS2423" s="22">
        <f t="shared" si="715"/>
        <v>3</v>
      </c>
      <c r="AT2423" s="24" t="str">
        <f t="shared" si="716"/>
        <v>0-3 months</v>
      </c>
      <c r="AU2423" s="22" t="s">
        <v>3745</v>
      </c>
    </row>
    <row r="2424" spans="1:47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47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977</v>
      </c>
      <c r="K2424" s="155" t="s">
        <v>696</v>
      </c>
      <c r="L2424" s="17" t="s">
        <v>92</v>
      </c>
      <c r="M2424" s="13" t="s">
        <v>60</v>
      </c>
      <c r="N2424" s="13">
        <v>1</v>
      </c>
      <c r="O2424" s="13"/>
      <c r="P2424" s="33" t="str">
        <f t="shared" si="718"/>
        <v>MAIN UNIT</v>
      </c>
      <c r="Q2424" s="13" t="s">
        <v>61</v>
      </c>
      <c r="R2424" s="13" t="s">
        <v>62</v>
      </c>
      <c r="S2424" s="13" t="s">
        <v>49</v>
      </c>
      <c r="T2424" s="13" t="s">
        <v>464</v>
      </c>
      <c r="U2424" s="13" t="s">
        <v>79</v>
      </c>
      <c r="V2424" s="13" t="s">
        <v>134</v>
      </c>
      <c r="W2424" s="13" t="s">
        <v>109</v>
      </c>
      <c r="X2424" s="135">
        <v>11200000</v>
      </c>
      <c r="Y2424" s="156">
        <v>1</v>
      </c>
      <c r="Z2424" s="18">
        <f t="shared" si="717"/>
        <v>11200000</v>
      </c>
      <c r="AA2424" s="13">
        <v>7.5200000000000003E-2</v>
      </c>
      <c r="AB2424" s="21">
        <f t="shared" si="719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03"/>
        <v>37599388.802345134</v>
      </c>
      <c r="AJ2424" s="19">
        <f t="shared" si="704"/>
        <v>4866784.3630338367</v>
      </c>
      <c r="AK2424" s="20">
        <f t="shared" si="711"/>
        <v>0.12943785838163113</v>
      </c>
      <c r="AL2424" s="17"/>
      <c r="AM2424" s="17"/>
      <c r="AN2424" s="17"/>
      <c r="AO2424" s="17"/>
      <c r="AP2424" s="28" t="str">
        <f t="shared" si="712"/>
        <v>20199</v>
      </c>
      <c r="AQ2424" s="28" t="str">
        <f t="shared" si="713"/>
        <v>20199JPY</v>
      </c>
      <c r="AR2424" s="206" t="str">
        <f t="shared" si="714"/>
        <v>YAMAHA_Mounter</v>
      </c>
      <c r="AS2424" s="22">
        <f t="shared" si="715"/>
        <v>4</v>
      </c>
      <c r="AT2424" s="24" t="str">
        <f t="shared" si="716"/>
        <v>4-6 months</v>
      </c>
      <c r="AU2424" s="22" t="s">
        <v>3745</v>
      </c>
    </row>
    <row r="2425" spans="1:47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41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188</v>
      </c>
      <c r="K2425" s="155" t="s">
        <v>189</v>
      </c>
      <c r="L2425" s="17" t="s">
        <v>100</v>
      </c>
      <c r="M2425" s="13" t="s">
        <v>60</v>
      </c>
      <c r="N2425" s="13">
        <v>1</v>
      </c>
      <c r="O2425" s="13"/>
      <c r="P2425" s="33" t="str">
        <f t="shared" si="718"/>
        <v>MAIN UNIT</v>
      </c>
      <c r="Q2425" s="13" t="s">
        <v>68</v>
      </c>
      <c r="R2425" s="13" t="s">
        <v>62</v>
      </c>
      <c r="S2425" s="13" t="s">
        <v>50</v>
      </c>
      <c r="T2425" s="13"/>
      <c r="U2425" s="13" t="s">
        <v>70</v>
      </c>
      <c r="V2425" s="13" t="s">
        <v>71</v>
      </c>
      <c r="W2425" s="13" t="s">
        <v>64</v>
      </c>
      <c r="X2425" s="135">
        <v>508000</v>
      </c>
      <c r="Y2425" s="156">
        <v>1.17</v>
      </c>
      <c r="Z2425" s="18">
        <f t="shared" si="717"/>
        <v>508000</v>
      </c>
      <c r="AA2425" s="13">
        <v>1.23</v>
      </c>
      <c r="AB2425" s="21">
        <f t="shared" si="719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03"/>
        <v>29288201.603076916</v>
      </c>
      <c r="AJ2425" s="19">
        <f t="shared" si="704"/>
        <v>3870159.1769246152</v>
      </c>
      <c r="AK2425" s="20">
        <f t="shared" si="711"/>
        <v>0.13214055370740244</v>
      </c>
      <c r="AL2425" s="17" t="s">
        <v>190</v>
      </c>
      <c r="AM2425" s="17">
        <v>508000</v>
      </c>
      <c r="AN2425" s="17" t="s">
        <v>191</v>
      </c>
      <c r="AO2425" s="17"/>
      <c r="AP2425" s="28" t="str">
        <f t="shared" si="712"/>
        <v>20184</v>
      </c>
      <c r="AQ2425" s="28" t="str">
        <f t="shared" si="713"/>
        <v>20184RMB</v>
      </c>
      <c r="AR2425" s="206" t="str">
        <f t="shared" si="714"/>
        <v>YAMAHA_Mounter</v>
      </c>
      <c r="AS2425" s="22">
        <f t="shared" si="715"/>
        <v>0</v>
      </c>
      <c r="AT2425" s="24" t="str">
        <f t="shared" si="716"/>
        <v>0-3 months</v>
      </c>
      <c r="AU2425" s="22" t="s">
        <v>3240</v>
      </c>
    </row>
    <row r="2426" spans="1:47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47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943</v>
      </c>
      <c r="K2426" s="155" t="s">
        <v>189</v>
      </c>
      <c r="L2426" s="17" t="s">
        <v>67</v>
      </c>
      <c r="M2426" s="13" t="s">
        <v>60</v>
      </c>
      <c r="N2426" s="13">
        <v>1</v>
      </c>
      <c r="O2426" s="13"/>
      <c r="P2426" s="33" t="str">
        <f t="shared" si="718"/>
        <v>MAIN UNIT</v>
      </c>
      <c r="Q2426" s="13" t="s">
        <v>61</v>
      </c>
      <c r="R2426" s="13" t="s">
        <v>62</v>
      </c>
      <c r="S2426" s="13" t="s">
        <v>50</v>
      </c>
      <c r="T2426" s="13" t="s">
        <v>238</v>
      </c>
      <c r="U2426" s="13" t="s">
        <v>70</v>
      </c>
      <c r="V2426" s="13" t="s">
        <v>71</v>
      </c>
      <c r="W2426" s="13" t="s">
        <v>64</v>
      </c>
      <c r="X2426" s="135">
        <v>515000</v>
      </c>
      <c r="Y2426" s="156">
        <v>1.1299999999999999</v>
      </c>
      <c r="Z2426" s="18">
        <f t="shared" si="717"/>
        <v>515000</v>
      </c>
      <c r="AA2426" s="13">
        <v>1.095</v>
      </c>
      <c r="AB2426" s="21">
        <f t="shared" si="719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03"/>
        <v>28647263.974455759</v>
      </c>
      <c r="AJ2426" s="19">
        <f t="shared" si="704"/>
        <v>3219855.6912513468</v>
      </c>
      <c r="AK2426" s="20">
        <f t="shared" si="711"/>
        <v>0.11239662168514358</v>
      </c>
      <c r="AL2426" s="17"/>
      <c r="AM2426" s="17"/>
      <c r="AN2426" s="17"/>
      <c r="AO2426" s="17"/>
      <c r="AP2426" s="28" t="str">
        <f t="shared" si="712"/>
        <v>201910</v>
      </c>
      <c r="AQ2426" s="28" t="str">
        <f t="shared" si="713"/>
        <v>201910RMB</v>
      </c>
      <c r="AR2426" s="206" t="str">
        <f t="shared" si="714"/>
        <v>YAMAHA_Mounter</v>
      </c>
      <c r="AS2426" s="22">
        <f t="shared" si="715"/>
        <v>1</v>
      </c>
      <c r="AT2426" s="24" t="str">
        <f t="shared" si="716"/>
        <v>0-3 months</v>
      </c>
      <c r="AU2426" s="22" t="s">
        <v>3240</v>
      </c>
    </row>
    <row r="2427" spans="1:47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47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774</v>
      </c>
      <c r="K2427" s="155" t="s">
        <v>775</v>
      </c>
      <c r="L2427" s="17" t="s">
        <v>77</v>
      </c>
      <c r="M2427" s="13" t="s">
        <v>60</v>
      </c>
      <c r="N2427" s="13">
        <v>1</v>
      </c>
      <c r="O2427" s="13"/>
      <c r="P2427" s="33" t="str">
        <f t="shared" si="718"/>
        <v>MAIN UNIT</v>
      </c>
      <c r="Q2427" s="13" t="s">
        <v>68</v>
      </c>
      <c r="R2427" s="13" t="s">
        <v>62</v>
      </c>
      <c r="S2427" s="13" t="s">
        <v>49</v>
      </c>
      <c r="T2427" s="13" t="s">
        <v>78</v>
      </c>
      <c r="U2427" s="13" t="s">
        <v>79</v>
      </c>
      <c r="V2427" s="13" t="s">
        <v>776</v>
      </c>
      <c r="W2427" s="13" t="s">
        <v>777</v>
      </c>
      <c r="X2427" s="135">
        <v>11022500</v>
      </c>
      <c r="Y2427" s="156">
        <v>1</v>
      </c>
      <c r="Z2427" s="18">
        <f t="shared" si="717"/>
        <v>11022500</v>
      </c>
      <c r="AA2427" s="13">
        <v>7.3999999999999996E-2</v>
      </c>
      <c r="AB2427" s="21">
        <f t="shared" si="719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03"/>
        <v>34015877.71150443</v>
      </c>
      <c r="AJ2427" s="19">
        <f t="shared" si="704"/>
        <v>4446292.375441948</v>
      </c>
      <c r="AK2427" s="20">
        <f t="shared" si="711"/>
        <v>0.13071226364205143</v>
      </c>
      <c r="AL2427" s="17"/>
      <c r="AM2427" s="17"/>
      <c r="AN2427" s="17"/>
      <c r="AO2427" s="17"/>
      <c r="AP2427" s="28" t="str">
        <f t="shared" si="712"/>
        <v>20197</v>
      </c>
      <c r="AQ2427" s="28" t="str">
        <f t="shared" si="713"/>
        <v>20197JPY</v>
      </c>
      <c r="AR2427" s="206" t="str">
        <f t="shared" si="714"/>
        <v>YAMAHA_Mounter</v>
      </c>
      <c r="AS2427" s="22">
        <f t="shared" si="715"/>
        <v>1</v>
      </c>
      <c r="AT2427" s="24" t="str">
        <f t="shared" si="716"/>
        <v>0-3 months</v>
      </c>
      <c r="AU2427" s="22" t="s">
        <v>3746</v>
      </c>
    </row>
    <row r="2428" spans="1:47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47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774</v>
      </c>
      <c r="K2428" s="155" t="s">
        <v>775</v>
      </c>
      <c r="L2428" s="17" t="s">
        <v>67</v>
      </c>
      <c r="M2428" s="13" t="s">
        <v>60</v>
      </c>
      <c r="N2428" s="13">
        <v>1</v>
      </c>
      <c r="O2428" s="13"/>
      <c r="P2428" s="33" t="str">
        <f t="shared" si="718"/>
        <v>MAIN UNIT</v>
      </c>
      <c r="Q2428" s="13" t="s">
        <v>68</v>
      </c>
      <c r="R2428" s="13" t="s">
        <v>701</v>
      </c>
      <c r="S2428" s="13" t="s">
        <v>49</v>
      </c>
      <c r="T2428" s="13" t="s">
        <v>78</v>
      </c>
      <c r="U2428" s="13" t="s">
        <v>79</v>
      </c>
      <c r="V2428" s="13" t="s">
        <v>776</v>
      </c>
      <c r="W2428" s="13" t="s">
        <v>777</v>
      </c>
      <c r="X2428" s="135">
        <v>9000000</v>
      </c>
      <c r="Y2428" s="156">
        <v>1</v>
      </c>
      <c r="Z2428" s="18">
        <f t="shared" si="717"/>
        <v>9000000</v>
      </c>
      <c r="AA2428" s="13">
        <v>7.3999999999999996E-2</v>
      </c>
      <c r="AB2428" s="21">
        <f t="shared" si="719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03"/>
        <v>34015877.71150443</v>
      </c>
      <c r="AJ2428" s="19">
        <f t="shared" si="704"/>
        <v>4446292.375441948</v>
      </c>
      <c r="AK2428" s="20">
        <f t="shared" si="711"/>
        <v>0.13071226364205143</v>
      </c>
      <c r="AL2428" s="17"/>
      <c r="AM2428" s="17"/>
      <c r="AN2428" s="17"/>
      <c r="AO2428" s="17"/>
      <c r="AP2428" s="28" t="str">
        <f t="shared" si="712"/>
        <v>20197</v>
      </c>
      <c r="AQ2428" s="28" t="str">
        <f t="shared" si="713"/>
        <v>20197JPY</v>
      </c>
      <c r="AR2428" s="206" t="str">
        <f t="shared" si="714"/>
        <v>YAMAHA_Mounter</v>
      </c>
      <c r="AS2428" s="22">
        <f t="shared" si="715"/>
        <v>1</v>
      </c>
      <c r="AT2428" s="24" t="str">
        <f t="shared" si="716"/>
        <v>0-3 months</v>
      </c>
      <c r="AU2428" s="22" t="s">
        <v>3746</v>
      </c>
    </row>
    <row r="2429" spans="1:47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47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774</v>
      </c>
      <c r="K2429" s="155" t="s">
        <v>775</v>
      </c>
      <c r="L2429" s="17" t="s">
        <v>67</v>
      </c>
      <c r="M2429" s="13" t="s">
        <v>60</v>
      </c>
      <c r="N2429" s="13">
        <v>1</v>
      </c>
      <c r="O2429" s="13"/>
      <c r="P2429" s="33" t="str">
        <f t="shared" si="718"/>
        <v>MAIN UNIT</v>
      </c>
      <c r="Q2429" s="13" t="s">
        <v>68</v>
      </c>
      <c r="R2429" s="13" t="s">
        <v>701</v>
      </c>
      <c r="S2429" s="13" t="s">
        <v>49</v>
      </c>
      <c r="T2429" s="13" t="s">
        <v>78</v>
      </c>
      <c r="U2429" s="13" t="s">
        <v>79</v>
      </c>
      <c r="V2429" s="13" t="s">
        <v>776</v>
      </c>
      <c r="W2429" s="13" t="s">
        <v>777</v>
      </c>
      <c r="X2429" s="135">
        <v>9000000</v>
      </c>
      <c r="Y2429" s="156">
        <v>1</v>
      </c>
      <c r="Z2429" s="18">
        <f t="shared" si="717"/>
        <v>9000000</v>
      </c>
      <c r="AA2429" s="13">
        <v>7.3999999999999996E-2</v>
      </c>
      <c r="AB2429" s="21">
        <f t="shared" si="719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03"/>
        <v>34015877.71150443</v>
      </c>
      <c r="AJ2429" s="19">
        <f t="shared" si="704"/>
        <v>4446292.375441948</v>
      </c>
      <c r="AK2429" s="20">
        <f t="shared" si="711"/>
        <v>0.13071226364205143</v>
      </c>
      <c r="AL2429" s="17"/>
      <c r="AM2429" s="17"/>
      <c r="AN2429" s="17"/>
      <c r="AO2429" s="17"/>
      <c r="AP2429" s="28" t="str">
        <f t="shared" si="712"/>
        <v>20197</v>
      </c>
      <c r="AQ2429" s="28" t="str">
        <f t="shared" si="713"/>
        <v>20197JPY</v>
      </c>
      <c r="AR2429" s="206" t="str">
        <f t="shared" si="714"/>
        <v>YAMAHA_Mounter</v>
      </c>
      <c r="AS2429" s="22">
        <f t="shared" si="715"/>
        <v>1</v>
      </c>
      <c r="AT2429" s="24" t="str">
        <f t="shared" si="716"/>
        <v>0-3 months</v>
      </c>
      <c r="AU2429" s="22" t="s">
        <v>3746</v>
      </c>
    </row>
    <row r="2430" spans="1:47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47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774</v>
      </c>
      <c r="K2430" s="155" t="s">
        <v>775</v>
      </c>
      <c r="L2430" s="17" t="s">
        <v>67</v>
      </c>
      <c r="M2430" s="13" t="s">
        <v>60</v>
      </c>
      <c r="N2430" s="13">
        <v>1</v>
      </c>
      <c r="O2430" s="13"/>
      <c r="P2430" s="33" t="str">
        <f t="shared" si="718"/>
        <v>MAIN UNIT</v>
      </c>
      <c r="Q2430" s="13" t="s">
        <v>68</v>
      </c>
      <c r="R2430" s="13" t="s">
        <v>701</v>
      </c>
      <c r="S2430" s="13" t="s">
        <v>49</v>
      </c>
      <c r="T2430" s="13" t="s">
        <v>78</v>
      </c>
      <c r="U2430" s="13" t="s">
        <v>79</v>
      </c>
      <c r="V2430" s="13" t="s">
        <v>776</v>
      </c>
      <c r="W2430" s="13" t="s">
        <v>777</v>
      </c>
      <c r="X2430" s="135">
        <v>9000000</v>
      </c>
      <c r="Y2430" s="156">
        <v>1</v>
      </c>
      <c r="Z2430" s="18">
        <f t="shared" si="717"/>
        <v>9000000</v>
      </c>
      <c r="AA2430" s="13">
        <v>7.3999999999999996E-2</v>
      </c>
      <c r="AB2430" s="21">
        <f t="shared" si="719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03"/>
        <v>34015877.71150443</v>
      </c>
      <c r="AJ2430" s="19">
        <f t="shared" si="704"/>
        <v>4446292.375441948</v>
      </c>
      <c r="AK2430" s="20">
        <f t="shared" si="711"/>
        <v>0.13071226364205143</v>
      </c>
      <c r="AL2430" s="17"/>
      <c r="AM2430" s="17"/>
      <c r="AN2430" s="17"/>
      <c r="AO2430" s="17"/>
      <c r="AP2430" s="28" t="str">
        <f t="shared" si="712"/>
        <v>20197</v>
      </c>
      <c r="AQ2430" s="28" t="str">
        <f t="shared" si="713"/>
        <v>20197JPY</v>
      </c>
      <c r="AR2430" s="206" t="str">
        <f t="shared" si="714"/>
        <v>YAMAHA_Mounter</v>
      </c>
      <c r="AS2430" s="22">
        <f t="shared" si="715"/>
        <v>1</v>
      </c>
      <c r="AT2430" s="24" t="str">
        <f t="shared" si="716"/>
        <v>0-3 months</v>
      </c>
      <c r="AU2430" s="22" t="s">
        <v>3746</v>
      </c>
    </row>
    <row r="2431" spans="1:47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47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774</v>
      </c>
      <c r="K2431" s="155" t="s">
        <v>775</v>
      </c>
      <c r="L2431" s="17" t="s">
        <v>77</v>
      </c>
      <c r="M2431" s="13" t="s">
        <v>60</v>
      </c>
      <c r="N2431" s="13">
        <v>1</v>
      </c>
      <c r="O2431" s="13"/>
      <c r="P2431" s="33" t="str">
        <f t="shared" si="718"/>
        <v>MAIN UNIT</v>
      </c>
      <c r="Q2431" s="13" t="s">
        <v>68</v>
      </c>
      <c r="R2431" s="13" t="s">
        <v>62</v>
      </c>
      <c r="S2431" s="13" t="s">
        <v>49</v>
      </c>
      <c r="T2431" s="13" t="s">
        <v>78</v>
      </c>
      <c r="U2431" s="13" t="s">
        <v>79</v>
      </c>
      <c r="V2431" s="13" t="s">
        <v>776</v>
      </c>
      <c r="W2431" s="13" t="s">
        <v>777</v>
      </c>
      <c r="X2431" s="135">
        <v>11022500</v>
      </c>
      <c r="Y2431" s="156">
        <v>1</v>
      </c>
      <c r="Z2431" s="18">
        <f t="shared" si="717"/>
        <v>11022500</v>
      </c>
      <c r="AA2431" s="13">
        <v>7.3999999999999996E-2</v>
      </c>
      <c r="AB2431" s="21">
        <f t="shared" si="719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03"/>
        <v>34015877.71150443</v>
      </c>
      <c r="AJ2431" s="19">
        <f t="shared" si="704"/>
        <v>4446292.375441948</v>
      </c>
      <c r="AK2431" s="20">
        <f t="shared" si="711"/>
        <v>0.13071226364205143</v>
      </c>
      <c r="AL2431" s="17"/>
      <c r="AM2431" s="17"/>
      <c r="AN2431" s="17"/>
      <c r="AO2431" s="17"/>
      <c r="AP2431" s="28" t="str">
        <f t="shared" si="712"/>
        <v>20197</v>
      </c>
      <c r="AQ2431" s="28" t="str">
        <f t="shared" si="713"/>
        <v>20197JPY</v>
      </c>
      <c r="AR2431" s="206" t="str">
        <f t="shared" si="714"/>
        <v>YAMAHA_Mounter</v>
      </c>
      <c r="AS2431" s="22">
        <f t="shared" si="715"/>
        <v>1</v>
      </c>
      <c r="AT2431" s="24" t="str">
        <f t="shared" si="716"/>
        <v>0-3 months</v>
      </c>
      <c r="AU2431" s="22" t="s">
        <v>3746</v>
      </c>
    </row>
    <row r="2432" spans="1:47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48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1050</v>
      </c>
      <c r="K2432" s="155" t="s">
        <v>1051</v>
      </c>
      <c r="L2432" s="17" t="s">
        <v>92</v>
      </c>
      <c r="M2432" s="13" t="s">
        <v>60</v>
      </c>
      <c r="N2432" s="13">
        <v>1</v>
      </c>
      <c r="O2432" s="13"/>
      <c r="P2432" s="33" t="str">
        <f t="shared" si="718"/>
        <v>MAIN UNIT</v>
      </c>
      <c r="Q2432" s="13" t="s">
        <v>61</v>
      </c>
      <c r="R2432" s="13" t="s">
        <v>701</v>
      </c>
      <c r="S2432" s="13" t="s">
        <v>49</v>
      </c>
      <c r="T2432" s="13" t="s">
        <v>1052</v>
      </c>
      <c r="U2432" s="13" t="s">
        <v>79</v>
      </c>
      <c r="V2432" s="13" t="s">
        <v>776</v>
      </c>
      <c r="W2432" s="13" t="s">
        <v>1046</v>
      </c>
      <c r="X2432" s="135">
        <v>15100000</v>
      </c>
      <c r="Y2432" s="156">
        <v>1</v>
      </c>
      <c r="Z2432" s="18">
        <f t="shared" si="717"/>
        <v>15100000</v>
      </c>
      <c r="AA2432" s="13">
        <v>7.3599999999999999E-2</v>
      </c>
      <c r="AB2432" s="21">
        <f t="shared" si="719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03"/>
        <v>33477255.428389374</v>
      </c>
      <c r="AJ2432" s="19">
        <f t="shared" si="704"/>
        <v>4578663.362915583</v>
      </c>
      <c r="AK2432" s="20">
        <f t="shared" si="711"/>
        <v>0.13676937682988152</v>
      </c>
      <c r="AL2432" s="17"/>
      <c r="AM2432" s="17"/>
      <c r="AN2432" s="17"/>
      <c r="AO2432" s="17"/>
      <c r="AP2432" s="28" t="str">
        <f t="shared" si="712"/>
        <v>20204</v>
      </c>
      <c r="AQ2432" s="28" t="str">
        <f t="shared" si="713"/>
        <v>20204JPY</v>
      </c>
      <c r="AR2432" s="206" t="str">
        <f t="shared" si="714"/>
        <v>YAMAHA_Mounter</v>
      </c>
      <c r="AS2432" s="22">
        <f t="shared" si="715"/>
        <v>1</v>
      </c>
      <c r="AT2432" s="24" t="str">
        <f t="shared" si="716"/>
        <v>0-3 months</v>
      </c>
      <c r="AU2432" s="22" t="s">
        <v>3746</v>
      </c>
    </row>
    <row r="2433" spans="1:47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48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1199</v>
      </c>
      <c r="K2433" s="155" t="s">
        <v>1200</v>
      </c>
      <c r="L2433" s="17" t="s">
        <v>92</v>
      </c>
      <c r="M2433" s="13" t="s">
        <v>60</v>
      </c>
      <c r="N2433" s="13">
        <v>1</v>
      </c>
      <c r="O2433" s="13"/>
      <c r="P2433" s="33" t="str">
        <f t="shared" si="718"/>
        <v>MAIN UNIT</v>
      </c>
      <c r="Q2433" s="13" t="s">
        <v>61</v>
      </c>
      <c r="R2433" s="13" t="s">
        <v>62</v>
      </c>
      <c r="S2433" s="13" t="s">
        <v>49</v>
      </c>
      <c r="T2433" s="13" t="s">
        <v>78</v>
      </c>
      <c r="U2433" s="13" t="s">
        <v>79</v>
      </c>
      <c r="V2433" s="13" t="s">
        <v>1116</v>
      </c>
      <c r="W2433" s="13" t="s">
        <v>1105</v>
      </c>
      <c r="X2433" s="135">
        <v>21400000</v>
      </c>
      <c r="Y2433" s="156">
        <v>1</v>
      </c>
      <c r="Z2433" s="18">
        <f t="shared" si="717"/>
        <v>21400000</v>
      </c>
      <c r="AA2433" s="13">
        <v>7.3400000000000007E-2</v>
      </c>
      <c r="AB2433" s="21">
        <f t="shared" si="719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03"/>
        <v>35384300.169380538</v>
      </c>
      <c r="AJ2433" s="19">
        <f t="shared" si="704"/>
        <v>5044538.8896988509</v>
      </c>
      <c r="AK2433" s="20">
        <f t="shared" si="711"/>
        <v>0.14256432557804533</v>
      </c>
      <c r="AL2433" s="17"/>
      <c r="AM2433" s="17"/>
      <c r="AN2433" s="17"/>
      <c r="AO2433" s="17"/>
      <c r="AP2433" s="28" t="str">
        <f t="shared" si="712"/>
        <v>20207</v>
      </c>
      <c r="AQ2433" s="28" t="str">
        <f t="shared" si="713"/>
        <v>20207JPY</v>
      </c>
      <c r="AR2433" s="206" t="str">
        <f t="shared" si="714"/>
        <v>YAMAHA_Mounter</v>
      </c>
      <c r="AS2433" s="22">
        <f t="shared" si="715"/>
        <v>0</v>
      </c>
      <c r="AT2433" s="24" t="str">
        <f t="shared" si="716"/>
        <v>0-3 months</v>
      </c>
      <c r="AU2433" s="22" t="s">
        <v>3746</v>
      </c>
    </row>
    <row r="2434" spans="1:47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48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1367</v>
      </c>
      <c r="K2434" s="155" t="s">
        <v>1200</v>
      </c>
      <c r="L2434" s="17" t="s">
        <v>92</v>
      </c>
      <c r="M2434" s="13" t="s">
        <v>60</v>
      </c>
      <c r="N2434" s="13">
        <v>1</v>
      </c>
      <c r="O2434" s="13"/>
      <c r="P2434" s="33" t="str">
        <f t="shared" si="718"/>
        <v>MAIN UNIT</v>
      </c>
      <c r="Q2434" s="13" t="s">
        <v>61</v>
      </c>
      <c r="R2434" s="13" t="s">
        <v>62</v>
      </c>
      <c r="S2434" s="13" t="s">
        <v>49</v>
      </c>
      <c r="T2434" s="13" t="s">
        <v>78</v>
      </c>
      <c r="U2434" s="13" t="s">
        <v>79</v>
      </c>
      <c r="V2434" s="13" t="s">
        <v>1116</v>
      </c>
      <c r="W2434" s="13" t="s">
        <v>1105</v>
      </c>
      <c r="X2434" s="135">
        <v>13000000</v>
      </c>
      <c r="Y2434" s="156">
        <v>1</v>
      </c>
      <c r="Z2434" s="18">
        <f t="shared" si="717"/>
        <v>13000000</v>
      </c>
      <c r="AA2434" s="13">
        <v>7.4899999999999994E-2</v>
      </c>
      <c r="AB2434" s="21">
        <f t="shared" si="719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ref="AI2434:AI2497" si="722">IF(P2434="C66 SERVICE","",SUMIFS(AB:AB,F:F,F2434,G:G,G2434,E:E,E2434))</f>
        <v>47907808.356810622</v>
      </c>
      <c r="AJ2434" s="19">
        <f t="shared" ref="AJ2434:AJ2497" si="723">IF(P2434="C66 SERVICE","",SUMIFS(AC:AC,F:F,F2434,G:G,G2434,E:E,E2434))</f>
        <v>6027384.8806384448</v>
      </c>
      <c r="AK2434" s="20">
        <f t="shared" si="711"/>
        <v>0.12581216063459488</v>
      </c>
      <c r="AL2434" s="17"/>
      <c r="AM2434" s="17"/>
      <c r="AN2434" s="17"/>
      <c r="AO2434" s="17"/>
      <c r="AP2434" s="28" t="str">
        <f t="shared" si="712"/>
        <v>20209</v>
      </c>
      <c r="AQ2434" s="28" t="str">
        <f t="shared" si="713"/>
        <v>20209JPY</v>
      </c>
      <c r="AR2434" s="206" t="str">
        <f t="shared" si="714"/>
        <v>YAMAHA_Mounter</v>
      </c>
      <c r="AS2434" s="22">
        <f t="shared" si="715"/>
        <v>2</v>
      </c>
      <c r="AT2434" s="24" t="str">
        <f t="shared" si="716"/>
        <v>0-3 months</v>
      </c>
      <c r="AU2434" s="22" t="s">
        <v>3240</v>
      </c>
    </row>
    <row r="2435" spans="1:47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48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1367</v>
      </c>
      <c r="K2435" s="155" t="s">
        <v>1200</v>
      </c>
      <c r="L2435" s="17" t="s">
        <v>92</v>
      </c>
      <c r="M2435" s="13" t="s">
        <v>60</v>
      </c>
      <c r="N2435" s="13">
        <v>1</v>
      </c>
      <c r="O2435" s="13"/>
      <c r="P2435" s="33" t="str">
        <f t="shared" si="718"/>
        <v>MAIN UNIT</v>
      </c>
      <c r="Q2435" s="13" t="s">
        <v>61</v>
      </c>
      <c r="R2435" s="13" t="s">
        <v>62</v>
      </c>
      <c r="S2435" s="13" t="s">
        <v>49</v>
      </c>
      <c r="T2435" s="13" t="s">
        <v>78</v>
      </c>
      <c r="U2435" s="13" t="s">
        <v>79</v>
      </c>
      <c r="V2435" s="13" t="s">
        <v>1116</v>
      </c>
      <c r="W2435" s="13" t="s">
        <v>1105</v>
      </c>
      <c r="X2435" s="135">
        <v>13000000</v>
      </c>
      <c r="Y2435" s="156">
        <v>1</v>
      </c>
      <c r="Z2435" s="18">
        <f t="shared" si="717"/>
        <v>13000000</v>
      </c>
      <c r="AA2435" s="13">
        <v>7.4899999999999994E-2</v>
      </c>
      <c r="AB2435" s="21">
        <f t="shared" si="719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22"/>
        <v>47907808.356810622</v>
      </c>
      <c r="AJ2435" s="19">
        <f t="shared" si="723"/>
        <v>6027384.8806384448</v>
      </c>
      <c r="AK2435" s="20">
        <f t="shared" si="711"/>
        <v>0.12581216063459488</v>
      </c>
      <c r="AL2435" s="17"/>
      <c r="AM2435" s="17"/>
      <c r="AN2435" s="17"/>
      <c r="AO2435" s="17"/>
      <c r="AP2435" s="28" t="str">
        <f t="shared" si="712"/>
        <v>20209</v>
      </c>
      <c r="AQ2435" s="28" t="str">
        <f t="shared" si="713"/>
        <v>20209JPY</v>
      </c>
      <c r="AR2435" s="206" t="str">
        <f t="shared" si="714"/>
        <v>YAMAHA_Mounter</v>
      </c>
      <c r="AS2435" s="22">
        <f t="shared" si="715"/>
        <v>2</v>
      </c>
      <c r="AT2435" s="24" t="str">
        <f t="shared" si="716"/>
        <v>0-3 months</v>
      </c>
      <c r="AU2435" s="22" t="s">
        <v>3240</v>
      </c>
    </row>
    <row r="2436" spans="1:47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48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1367</v>
      </c>
      <c r="K2436" s="155" t="s">
        <v>1200</v>
      </c>
      <c r="L2436" s="17" t="s">
        <v>67</v>
      </c>
      <c r="M2436" s="13" t="s">
        <v>60</v>
      </c>
      <c r="N2436" s="13">
        <v>1</v>
      </c>
      <c r="O2436" s="13"/>
      <c r="P2436" s="33" t="str">
        <f t="shared" si="718"/>
        <v>MAIN UNIT</v>
      </c>
      <c r="Q2436" s="13" t="s">
        <v>61</v>
      </c>
      <c r="R2436" s="13" t="s">
        <v>62</v>
      </c>
      <c r="S2436" s="13" t="s">
        <v>49</v>
      </c>
      <c r="T2436" s="13" t="s">
        <v>78</v>
      </c>
      <c r="U2436" s="13" t="s">
        <v>79</v>
      </c>
      <c r="V2436" s="13" t="s">
        <v>1116</v>
      </c>
      <c r="W2436" s="13" t="s">
        <v>1105</v>
      </c>
      <c r="X2436" s="135">
        <v>9240000</v>
      </c>
      <c r="Y2436" s="156">
        <v>1</v>
      </c>
      <c r="Z2436" s="18">
        <f t="shared" si="717"/>
        <v>9240000</v>
      </c>
      <c r="AA2436" s="13">
        <v>7.4899999999999994E-2</v>
      </c>
      <c r="AB2436" s="21">
        <f t="shared" si="719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22"/>
        <v>47907808.356810622</v>
      </c>
      <c r="AJ2436" s="19">
        <f t="shared" si="723"/>
        <v>6027384.8806384448</v>
      </c>
      <c r="AK2436" s="20">
        <f t="shared" si="711"/>
        <v>0.12581216063459488</v>
      </c>
      <c r="AL2436" s="17"/>
      <c r="AM2436" s="17"/>
      <c r="AN2436" s="17"/>
      <c r="AO2436" s="17"/>
      <c r="AP2436" s="28" t="str">
        <f t="shared" si="712"/>
        <v>20209</v>
      </c>
      <c r="AQ2436" s="28" t="str">
        <f t="shared" si="713"/>
        <v>20209JPY</v>
      </c>
      <c r="AR2436" s="206" t="str">
        <f t="shared" si="714"/>
        <v>YAMAHA_Mounter</v>
      </c>
      <c r="AS2436" s="22">
        <f t="shared" si="715"/>
        <v>2</v>
      </c>
      <c r="AT2436" s="24" t="str">
        <f t="shared" si="716"/>
        <v>0-3 months</v>
      </c>
      <c r="AU2436" s="22" t="s">
        <v>3240</v>
      </c>
    </row>
    <row r="2437" spans="1:47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48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1367</v>
      </c>
      <c r="K2437" s="155" t="s">
        <v>1200</v>
      </c>
      <c r="L2437" s="17" t="s">
        <v>67</v>
      </c>
      <c r="M2437" s="13" t="s">
        <v>60</v>
      </c>
      <c r="N2437" s="13">
        <v>1</v>
      </c>
      <c r="O2437" s="13"/>
      <c r="P2437" s="33" t="str">
        <f t="shared" si="718"/>
        <v>MAIN UNIT</v>
      </c>
      <c r="Q2437" s="13" t="s">
        <v>61</v>
      </c>
      <c r="R2437" s="13" t="s">
        <v>62</v>
      </c>
      <c r="S2437" s="13" t="s">
        <v>49</v>
      </c>
      <c r="T2437" s="13" t="s">
        <v>78</v>
      </c>
      <c r="U2437" s="13" t="s">
        <v>79</v>
      </c>
      <c r="V2437" s="13" t="s">
        <v>1116</v>
      </c>
      <c r="W2437" s="13" t="s">
        <v>1105</v>
      </c>
      <c r="X2437" s="135">
        <v>9240000</v>
      </c>
      <c r="Y2437" s="156">
        <v>1</v>
      </c>
      <c r="Z2437" s="18">
        <f t="shared" si="717"/>
        <v>9240000</v>
      </c>
      <c r="AA2437" s="13">
        <v>7.4899999999999994E-2</v>
      </c>
      <c r="AB2437" s="21">
        <f t="shared" si="719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22"/>
        <v>47907808.356810622</v>
      </c>
      <c r="AJ2437" s="19">
        <f t="shared" si="723"/>
        <v>6027384.8806384448</v>
      </c>
      <c r="AK2437" s="20">
        <f t="shared" si="711"/>
        <v>0.12581216063459488</v>
      </c>
      <c r="AL2437" s="17"/>
      <c r="AM2437" s="17"/>
      <c r="AN2437" s="17"/>
      <c r="AO2437" s="17"/>
      <c r="AP2437" s="28" t="str">
        <f t="shared" si="712"/>
        <v>20209</v>
      </c>
      <c r="AQ2437" s="28" t="str">
        <f t="shared" si="713"/>
        <v>20209JPY</v>
      </c>
      <c r="AR2437" s="206" t="str">
        <f t="shared" si="714"/>
        <v>YAMAHA_Mounter</v>
      </c>
      <c r="AS2437" s="22">
        <f t="shared" si="715"/>
        <v>2</v>
      </c>
      <c r="AT2437" s="24" t="str">
        <f t="shared" si="716"/>
        <v>0-3 months</v>
      </c>
      <c r="AU2437" s="22" t="s">
        <v>3240</v>
      </c>
    </row>
    <row r="2438" spans="1:47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48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1521</v>
      </c>
      <c r="K2438" s="155" t="s">
        <v>775</v>
      </c>
      <c r="L2438" s="17" t="s">
        <v>92</v>
      </c>
      <c r="M2438" s="13" t="s">
        <v>60</v>
      </c>
      <c r="N2438" s="13">
        <v>1</v>
      </c>
      <c r="O2438" s="13"/>
      <c r="P2438" s="33" t="str">
        <f t="shared" si="718"/>
        <v>MAIN UNIT</v>
      </c>
      <c r="Q2438" s="13" t="s">
        <v>61</v>
      </c>
      <c r="R2438" s="13" t="s">
        <v>62</v>
      </c>
      <c r="S2438" s="13" t="s">
        <v>49</v>
      </c>
      <c r="T2438" s="13" t="s">
        <v>78</v>
      </c>
      <c r="U2438" s="13" t="s">
        <v>79</v>
      </c>
      <c r="V2438" s="13" t="s">
        <v>121</v>
      </c>
      <c r="W2438" s="13" t="s">
        <v>109</v>
      </c>
      <c r="X2438" s="135">
        <v>14760000</v>
      </c>
      <c r="Y2438" s="157" t="str">
        <f t="shared" ref="Y2438:Y2456" si="727">IF(W2438="RMB","1.13", "1")</f>
        <v>1</v>
      </c>
      <c r="Z2438" s="18">
        <f t="shared" si="717"/>
        <v>14760000</v>
      </c>
      <c r="AA2438" s="13">
        <v>7.6799999999999993E-2</v>
      </c>
      <c r="AB2438" s="21">
        <f t="shared" si="719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si="722"/>
        <v>45803245.025628321</v>
      </c>
      <c r="AJ2438" s="19">
        <f t="shared" si="723"/>
        <v>5664636.2584379362</v>
      </c>
      <c r="AK2438" s="20">
        <f t="shared" ref="AK2438:AK2501" si="730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1">IF(F2438="","",F2438&amp;G2438)</f>
        <v>20211</v>
      </c>
      <c r="AQ2438" s="28" t="str">
        <f t="shared" ref="AQ2438:AQ2501" si="732">IF(W2438="","",F2438&amp;G2438&amp;W2438)</f>
        <v>20211JPY</v>
      </c>
      <c r="AR2438" s="206" t="str">
        <f t="shared" ref="AR2438:AR2501" si="733">IFERROR(IF(AND(M2438="YAMAHA", R2438="C28"), "YAMAHA_Non_Mounter", IF(AND(M2438="YAMAHA", R2438="C49"), "YAMAHA_Mounter", M2438)),"")</f>
        <v>YAMAHA_Mounter</v>
      </c>
      <c r="AS2438" s="22">
        <f t="shared" ref="AS2438:AS2501" si="734">IFERROR(IF(OR(G2438="TBA", G2438=""), "", DATEDIF(DATE(B2438, C2438, 1), DATE(F2438, G2438, 1), "M")),"")</f>
        <v>2</v>
      </c>
      <c r="AT2438" s="24" t="str">
        <f t="shared" ref="AT2438:AT2501" si="735">IF(ISNUMBER(AS2438), IF(AS2438&gt;=0, IF(AS2438&lt;=3, "0-3 months", IF(AS2438&lt;=6, "4-6 months", "&gt; 6 months"))), "")</f>
        <v>0-3 months</v>
      </c>
      <c r="AU2438" s="22" t="s">
        <v>3746</v>
      </c>
    </row>
    <row r="2439" spans="1:47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48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1521</v>
      </c>
      <c r="K2439" s="155" t="s">
        <v>775</v>
      </c>
      <c r="L2439" s="17" t="s">
        <v>67</v>
      </c>
      <c r="M2439" s="13" t="s">
        <v>60</v>
      </c>
      <c r="N2439" s="13">
        <v>1</v>
      </c>
      <c r="O2439" s="13"/>
      <c r="P2439" s="33" t="str">
        <f t="shared" si="718"/>
        <v>MAIN UNIT</v>
      </c>
      <c r="Q2439" s="13" t="s">
        <v>61</v>
      </c>
      <c r="R2439" s="13" t="s">
        <v>62</v>
      </c>
      <c r="S2439" s="13" t="s">
        <v>49</v>
      </c>
      <c r="T2439" s="13" t="s">
        <v>78</v>
      </c>
      <c r="U2439" s="13" t="s">
        <v>79</v>
      </c>
      <c r="V2439" s="13" t="s">
        <v>121</v>
      </c>
      <c r="W2439" s="13" t="s">
        <v>109</v>
      </c>
      <c r="X2439" s="135">
        <v>8250000</v>
      </c>
      <c r="Y2439" s="157" t="str">
        <f t="shared" si="727"/>
        <v>1</v>
      </c>
      <c r="Z2439" s="18">
        <f t="shared" si="717"/>
        <v>8250000</v>
      </c>
      <c r="AA2439" s="13">
        <v>7.6799999999999993E-2</v>
      </c>
      <c r="AB2439" s="21">
        <f t="shared" si="719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22"/>
        <v>45803245.025628321</v>
      </c>
      <c r="AJ2439" s="19">
        <f t="shared" si="723"/>
        <v>5664636.2584379362</v>
      </c>
      <c r="AK2439" s="20">
        <f t="shared" si="730"/>
        <v>0.12367325186825515</v>
      </c>
      <c r="AL2439" s="17"/>
      <c r="AM2439" s="17"/>
      <c r="AN2439" s="17"/>
      <c r="AO2439" s="17"/>
      <c r="AP2439" s="28" t="str">
        <f t="shared" si="731"/>
        <v>20211</v>
      </c>
      <c r="AQ2439" s="28" t="str">
        <f t="shared" si="732"/>
        <v>20211JPY</v>
      </c>
      <c r="AR2439" s="206" t="str">
        <f t="shared" si="733"/>
        <v>YAMAHA_Mounter</v>
      </c>
      <c r="AS2439" s="22">
        <f t="shared" si="734"/>
        <v>2</v>
      </c>
      <c r="AT2439" s="24" t="str">
        <f t="shared" si="735"/>
        <v>0-3 months</v>
      </c>
      <c r="AU2439" s="22" t="s">
        <v>3746</v>
      </c>
    </row>
    <row r="2440" spans="1:47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48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1521</v>
      </c>
      <c r="K2440" s="155" t="s">
        <v>775</v>
      </c>
      <c r="L2440" s="17" t="s">
        <v>67</v>
      </c>
      <c r="M2440" s="13" t="s">
        <v>60</v>
      </c>
      <c r="N2440" s="13">
        <v>1</v>
      </c>
      <c r="O2440" s="13"/>
      <c r="P2440" s="33" t="str">
        <f t="shared" si="718"/>
        <v>MAIN UNIT</v>
      </c>
      <c r="Q2440" s="13" t="s">
        <v>61</v>
      </c>
      <c r="R2440" s="13" t="s">
        <v>62</v>
      </c>
      <c r="S2440" s="13" t="s">
        <v>49</v>
      </c>
      <c r="T2440" s="13" t="s">
        <v>78</v>
      </c>
      <c r="U2440" s="13" t="s">
        <v>79</v>
      </c>
      <c r="V2440" s="13" t="s">
        <v>121</v>
      </c>
      <c r="W2440" s="13" t="s">
        <v>109</v>
      </c>
      <c r="X2440" s="135">
        <v>8250000</v>
      </c>
      <c r="Y2440" s="157" t="str">
        <f t="shared" si="727"/>
        <v>1</v>
      </c>
      <c r="Z2440" s="18">
        <f t="shared" si="717"/>
        <v>8250000</v>
      </c>
      <c r="AA2440" s="13">
        <v>7.6799999999999993E-2</v>
      </c>
      <c r="AB2440" s="21">
        <f t="shared" si="719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22"/>
        <v>45803245.025628321</v>
      </c>
      <c r="AJ2440" s="19">
        <f t="shared" si="723"/>
        <v>5664636.2584379362</v>
      </c>
      <c r="AK2440" s="20">
        <f t="shared" si="730"/>
        <v>0.12367325186825515</v>
      </c>
      <c r="AL2440" s="17"/>
      <c r="AM2440" s="17"/>
      <c r="AN2440" s="17"/>
      <c r="AO2440" s="17"/>
      <c r="AP2440" s="28" t="str">
        <f t="shared" si="731"/>
        <v>20211</v>
      </c>
      <c r="AQ2440" s="28" t="str">
        <f t="shared" si="732"/>
        <v>20211JPY</v>
      </c>
      <c r="AR2440" s="206" t="str">
        <f t="shared" si="733"/>
        <v>YAMAHA_Mounter</v>
      </c>
      <c r="AS2440" s="22">
        <f t="shared" si="734"/>
        <v>2</v>
      </c>
      <c r="AT2440" s="24" t="str">
        <f t="shared" si="735"/>
        <v>0-3 months</v>
      </c>
      <c r="AU2440" s="22" t="s">
        <v>3746</v>
      </c>
    </row>
    <row r="2441" spans="1:47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48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1522</v>
      </c>
      <c r="K2441" s="155" t="s">
        <v>775</v>
      </c>
      <c r="L2441" s="17" t="s">
        <v>92</v>
      </c>
      <c r="M2441" s="13" t="s">
        <v>60</v>
      </c>
      <c r="N2441" s="13">
        <v>1</v>
      </c>
      <c r="O2441" s="13"/>
      <c r="P2441" s="33" t="str">
        <f t="shared" si="718"/>
        <v>MAIN UNIT</v>
      </c>
      <c r="Q2441" s="13" t="s">
        <v>61</v>
      </c>
      <c r="R2441" s="13" t="s">
        <v>62</v>
      </c>
      <c r="S2441" s="13" t="s">
        <v>49</v>
      </c>
      <c r="T2441" s="13" t="s">
        <v>78</v>
      </c>
      <c r="U2441" s="13" t="s">
        <v>79</v>
      </c>
      <c r="V2441" s="13" t="s">
        <v>121</v>
      </c>
      <c r="W2441" s="13" t="s">
        <v>109</v>
      </c>
      <c r="X2441" s="135">
        <v>14760000</v>
      </c>
      <c r="Y2441" s="157" t="str">
        <f t="shared" si="727"/>
        <v>1</v>
      </c>
      <c r="Z2441" s="18">
        <f t="shared" si="717"/>
        <v>14760000</v>
      </c>
      <c r="AA2441" s="13">
        <v>7.6799999999999993E-2</v>
      </c>
      <c r="AB2441" s="21">
        <f t="shared" si="719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22"/>
        <v>45803245.025628321</v>
      </c>
      <c r="AJ2441" s="19">
        <f t="shared" si="723"/>
        <v>5664636.2584379362</v>
      </c>
      <c r="AK2441" s="20">
        <f t="shared" si="730"/>
        <v>0.12367325186825515</v>
      </c>
      <c r="AL2441" s="17"/>
      <c r="AM2441" s="17"/>
      <c r="AN2441" s="17"/>
      <c r="AO2441" s="17" t="s">
        <v>1523</v>
      </c>
      <c r="AP2441" s="28" t="str">
        <f t="shared" si="731"/>
        <v>20211</v>
      </c>
      <c r="AQ2441" s="28" t="str">
        <f t="shared" si="732"/>
        <v>20211JPY</v>
      </c>
      <c r="AR2441" s="206" t="str">
        <f t="shared" si="733"/>
        <v>YAMAHA_Mounter</v>
      </c>
      <c r="AS2441" s="22">
        <f t="shared" si="734"/>
        <v>2</v>
      </c>
      <c r="AT2441" s="24" t="str">
        <f t="shared" si="735"/>
        <v>0-3 months</v>
      </c>
      <c r="AU2441" s="22" t="s">
        <v>3746</v>
      </c>
    </row>
    <row r="2442" spans="1:47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48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1522</v>
      </c>
      <c r="K2442" s="155" t="s">
        <v>775</v>
      </c>
      <c r="L2442" s="17" t="s">
        <v>92</v>
      </c>
      <c r="M2442" s="13" t="s">
        <v>60</v>
      </c>
      <c r="N2442" s="13">
        <v>1</v>
      </c>
      <c r="O2442" s="13"/>
      <c r="P2442" s="33" t="str">
        <f t="shared" si="718"/>
        <v>MAIN UNIT</v>
      </c>
      <c r="Q2442" s="13" t="s">
        <v>61</v>
      </c>
      <c r="R2442" s="13" t="s">
        <v>62</v>
      </c>
      <c r="S2442" s="13" t="s">
        <v>49</v>
      </c>
      <c r="T2442" s="13" t="s">
        <v>78</v>
      </c>
      <c r="U2442" s="13" t="s">
        <v>79</v>
      </c>
      <c r="V2442" s="13" t="s">
        <v>121</v>
      </c>
      <c r="W2442" s="13" t="s">
        <v>109</v>
      </c>
      <c r="X2442" s="135">
        <v>14760000</v>
      </c>
      <c r="Y2442" s="157" t="str">
        <f t="shared" si="727"/>
        <v>1</v>
      </c>
      <c r="Z2442" s="18">
        <f t="shared" ref="Z2442:Z2505" si="736">IF(X2442="","",X2442*MAX(O2442,N2442))</f>
        <v>14760000</v>
      </c>
      <c r="AA2442" s="13">
        <v>7.6799999999999993E-2</v>
      </c>
      <c r="AB2442" s="21">
        <f t="shared" si="719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22"/>
        <v>45803245.025628321</v>
      </c>
      <c r="AJ2442" s="19">
        <f t="shared" si="723"/>
        <v>5664636.2584379362</v>
      </c>
      <c r="AK2442" s="20">
        <f t="shared" si="730"/>
        <v>0.12367325186825515</v>
      </c>
      <c r="AL2442" s="17"/>
      <c r="AM2442" s="17"/>
      <c r="AN2442" s="17"/>
      <c r="AO2442" s="17" t="s">
        <v>1523</v>
      </c>
      <c r="AP2442" s="28" t="str">
        <f t="shared" si="731"/>
        <v>20211</v>
      </c>
      <c r="AQ2442" s="28" t="str">
        <f t="shared" si="732"/>
        <v>20211JPY</v>
      </c>
      <c r="AR2442" s="206" t="str">
        <f t="shared" si="733"/>
        <v>YAMAHA_Mounter</v>
      </c>
      <c r="AS2442" s="22">
        <f t="shared" si="734"/>
        <v>2</v>
      </c>
      <c r="AT2442" s="24" t="str">
        <f t="shared" si="735"/>
        <v>0-3 months</v>
      </c>
      <c r="AU2442" s="22" t="s">
        <v>3746</v>
      </c>
    </row>
    <row r="2443" spans="1:47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48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1522</v>
      </c>
      <c r="K2443" s="155" t="s">
        <v>775</v>
      </c>
      <c r="L2443" s="17" t="s">
        <v>67</v>
      </c>
      <c r="M2443" s="13" t="s">
        <v>60</v>
      </c>
      <c r="N2443" s="13">
        <v>1</v>
      </c>
      <c r="O2443" s="13"/>
      <c r="P2443" s="33" t="str">
        <f t="shared" si="718"/>
        <v>MAIN UNIT</v>
      </c>
      <c r="Q2443" s="13" t="s">
        <v>61</v>
      </c>
      <c r="R2443" s="13" t="s">
        <v>62</v>
      </c>
      <c r="S2443" s="13" t="s">
        <v>49</v>
      </c>
      <c r="T2443" s="13" t="s">
        <v>78</v>
      </c>
      <c r="U2443" s="13" t="s">
        <v>79</v>
      </c>
      <c r="V2443" s="13" t="s">
        <v>121</v>
      </c>
      <c r="W2443" s="13" t="s">
        <v>109</v>
      </c>
      <c r="X2443" s="135">
        <v>8250000</v>
      </c>
      <c r="Y2443" s="157" t="str">
        <f t="shared" si="727"/>
        <v>1</v>
      </c>
      <c r="Z2443" s="18">
        <f t="shared" si="736"/>
        <v>8250000</v>
      </c>
      <c r="AA2443" s="13">
        <v>7.6799999999999993E-2</v>
      </c>
      <c r="AB2443" s="21">
        <f t="shared" si="719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22"/>
        <v>45803245.025628321</v>
      </c>
      <c r="AJ2443" s="19">
        <f t="shared" si="723"/>
        <v>5664636.2584379362</v>
      </c>
      <c r="AK2443" s="20">
        <f t="shared" si="730"/>
        <v>0.12367325186825515</v>
      </c>
      <c r="AL2443" s="17"/>
      <c r="AM2443" s="17"/>
      <c r="AN2443" s="17"/>
      <c r="AO2443" s="17" t="s">
        <v>1512</v>
      </c>
      <c r="AP2443" s="28" t="str">
        <f t="shared" si="731"/>
        <v>20211</v>
      </c>
      <c r="AQ2443" s="28" t="str">
        <f t="shared" si="732"/>
        <v>20211JPY</v>
      </c>
      <c r="AR2443" s="206" t="str">
        <f t="shared" si="733"/>
        <v>YAMAHA_Mounter</v>
      </c>
      <c r="AS2443" s="22">
        <f t="shared" si="734"/>
        <v>2</v>
      </c>
      <c r="AT2443" s="24" t="str">
        <f t="shared" si="735"/>
        <v>0-3 months</v>
      </c>
      <c r="AU2443" s="22" t="s">
        <v>3746</v>
      </c>
    </row>
    <row r="2444" spans="1:47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48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1522</v>
      </c>
      <c r="K2444" s="155" t="s">
        <v>775</v>
      </c>
      <c r="L2444" s="17" t="s">
        <v>67</v>
      </c>
      <c r="M2444" s="13" t="s">
        <v>60</v>
      </c>
      <c r="N2444" s="13">
        <v>1</v>
      </c>
      <c r="O2444" s="13"/>
      <c r="P2444" s="33" t="str">
        <f t="shared" si="718"/>
        <v>MAIN UNIT</v>
      </c>
      <c r="Q2444" s="13" t="s">
        <v>61</v>
      </c>
      <c r="R2444" s="13" t="s">
        <v>62</v>
      </c>
      <c r="S2444" s="13" t="s">
        <v>49</v>
      </c>
      <c r="T2444" s="13" t="s">
        <v>78</v>
      </c>
      <c r="U2444" s="13" t="s">
        <v>79</v>
      </c>
      <c r="V2444" s="13" t="s">
        <v>121</v>
      </c>
      <c r="W2444" s="13" t="s">
        <v>109</v>
      </c>
      <c r="X2444" s="135">
        <v>8250000</v>
      </c>
      <c r="Y2444" s="157" t="str">
        <f t="shared" si="727"/>
        <v>1</v>
      </c>
      <c r="Z2444" s="18">
        <f t="shared" si="736"/>
        <v>8250000</v>
      </c>
      <c r="AA2444" s="13">
        <v>7.6799999999999993E-2</v>
      </c>
      <c r="AB2444" s="21">
        <f t="shared" si="719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22"/>
        <v>45803245.025628321</v>
      </c>
      <c r="AJ2444" s="19">
        <f t="shared" si="723"/>
        <v>5664636.2584379362</v>
      </c>
      <c r="AK2444" s="20">
        <f t="shared" si="730"/>
        <v>0.12367325186825515</v>
      </c>
      <c r="AL2444" s="17"/>
      <c r="AM2444" s="17"/>
      <c r="AN2444" s="17"/>
      <c r="AO2444" s="17" t="s">
        <v>1512</v>
      </c>
      <c r="AP2444" s="28" t="str">
        <f t="shared" si="731"/>
        <v>20211</v>
      </c>
      <c r="AQ2444" s="28" t="str">
        <f t="shared" si="732"/>
        <v>20211JPY</v>
      </c>
      <c r="AR2444" s="206" t="str">
        <f t="shared" si="733"/>
        <v>YAMAHA_Mounter</v>
      </c>
      <c r="AS2444" s="22">
        <f t="shared" si="734"/>
        <v>2</v>
      </c>
      <c r="AT2444" s="24" t="str">
        <f t="shared" si="735"/>
        <v>0-3 months</v>
      </c>
      <c r="AU2444" s="22" t="s">
        <v>3746</v>
      </c>
    </row>
    <row r="2445" spans="1:47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48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1594</v>
      </c>
      <c r="K2445" s="155" t="s">
        <v>775</v>
      </c>
      <c r="L2445" s="17" t="s">
        <v>92</v>
      </c>
      <c r="M2445" s="13" t="s">
        <v>60</v>
      </c>
      <c r="N2445" s="13">
        <v>1</v>
      </c>
      <c r="O2445" s="13"/>
      <c r="P2445" s="33" t="str">
        <f t="shared" si="718"/>
        <v>MAIN UNIT</v>
      </c>
      <c r="Q2445" s="13" t="s">
        <v>61</v>
      </c>
      <c r="R2445" s="13" t="s">
        <v>62</v>
      </c>
      <c r="S2445" s="13" t="s">
        <v>49</v>
      </c>
      <c r="T2445" s="13" t="s">
        <v>78</v>
      </c>
      <c r="U2445" s="13" t="s">
        <v>79</v>
      </c>
      <c r="V2445" s="13" t="s">
        <v>121</v>
      </c>
      <c r="W2445" s="13" t="s">
        <v>109</v>
      </c>
      <c r="X2445" s="135">
        <v>11500000</v>
      </c>
      <c r="Y2445" s="157" t="str">
        <f t="shared" si="727"/>
        <v>1</v>
      </c>
      <c r="Z2445" s="18">
        <f t="shared" si="736"/>
        <v>11500000</v>
      </c>
      <c r="AA2445" s="13">
        <v>7.4499999999999997E-2</v>
      </c>
      <c r="AB2445" s="21">
        <f t="shared" si="719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22"/>
        <v>57778307.282035396</v>
      </c>
      <c r="AJ2445" s="19">
        <f t="shared" si="723"/>
        <v>7259860.7225420559</v>
      </c>
      <c r="AK2445" s="20">
        <f t="shared" si="730"/>
        <v>0.12565028406083667</v>
      </c>
      <c r="AL2445" s="17"/>
      <c r="AM2445" s="17"/>
      <c r="AN2445" s="17"/>
      <c r="AO2445" s="17"/>
      <c r="AP2445" s="28" t="str">
        <f t="shared" si="731"/>
        <v>20213</v>
      </c>
      <c r="AQ2445" s="28" t="str">
        <f t="shared" si="732"/>
        <v>20213JPY</v>
      </c>
      <c r="AR2445" s="206" t="str">
        <f t="shared" si="733"/>
        <v>YAMAHA_Mounter</v>
      </c>
      <c r="AS2445" s="22">
        <f t="shared" si="734"/>
        <v>3</v>
      </c>
      <c r="AT2445" s="24" t="str">
        <f t="shared" si="735"/>
        <v>0-3 months</v>
      </c>
      <c r="AU2445" s="22" t="s">
        <v>3746</v>
      </c>
    </row>
    <row r="2446" spans="1:47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53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1779</v>
      </c>
      <c r="K2446" s="155" t="s">
        <v>775</v>
      </c>
      <c r="L2446" s="17" t="s">
        <v>92</v>
      </c>
      <c r="M2446" s="13" t="s">
        <v>60</v>
      </c>
      <c r="N2446" s="13">
        <v>1</v>
      </c>
      <c r="O2446" s="13"/>
      <c r="P2446" s="33" t="str">
        <f t="shared" si="718"/>
        <v>MAIN UNIT</v>
      </c>
      <c r="Q2446" s="13" t="s">
        <v>61</v>
      </c>
      <c r="R2446" s="13" t="s">
        <v>62</v>
      </c>
      <c r="S2446" s="13" t="s">
        <v>49</v>
      </c>
      <c r="T2446" s="13" t="s">
        <v>78</v>
      </c>
      <c r="U2446" s="13" t="s">
        <v>79</v>
      </c>
      <c r="V2446" s="13" t="s">
        <v>121</v>
      </c>
      <c r="W2446" s="13" t="s">
        <v>109</v>
      </c>
      <c r="X2446" s="135">
        <v>14500000</v>
      </c>
      <c r="Y2446" s="157" t="str">
        <f t="shared" si="727"/>
        <v>1</v>
      </c>
      <c r="Z2446" s="18">
        <f t="shared" si="736"/>
        <v>14500000</v>
      </c>
      <c r="AA2446" s="13">
        <v>7.2099999999999997E-2</v>
      </c>
      <c r="AB2446" s="21">
        <f t="shared" si="719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22"/>
        <v>54700260.692079648</v>
      </c>
      <c r="AJ2446" s="19">
        <f t="shared" si="723"/>
        <v>7482899.5749188727</v>
      </c>
      <c r="AK2446" s="20">
        <f t="shared" si="730"/>
        <v>0.13679824337660537</v>
      </c>
      <c r="AL2446" s="17"/>
      <c r="AM2446" s="17"/>
      <c r="AN2446" s="17"/>
      <c r="AO2446" s="17"/>
      <c r="AP2446" s="28" t="str">
        <f t="shared" si="731"/>
        <v>20216</v>
      </c>
      <c r="AQ2446" s="28" t="str">
        <f t="shared" si="732"/>
        <v>20216JPY</v>
      </c>
      <c r="AR2446" s="206" t="str">
        <f t="shared" si="733"/>
        <v>YAMAHA_Mounter</v>
      </c>
      <c r="AS2446" s="22">
        <f t="shared" si="734"/>
        <v>3</v>
      </c>
      <c r="AT2446" s="24" t="str">
        <f t="shared" si="735"/>
        <v>0-3 months</v>
      </c>
      <c r="AU2446" s="22" t="s">
        <v>3746</v>
      </c>
    </row>
    <row r="2447" spans="1:47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53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1779</v>
      </c>
      <c r="K2447" s="155" t="s">
        <v>775</v>
      </c>
      <c r="L2447" s="17" t="s">
        <v>92</v>
      </c>
      <c r="M2447" s="13" t="s">
        <v>60</v>
      </c>
      <c r="N2447" s="13">
        <v>1</v>
      </c>
      <c r="O2447" s="13"/>
      <c r="P2447" s="33" t="str">
        <f t="shared" si="718"/>
        <v>MAIN UNIT</v>
      </c>
      <c r="Q2447" s="13" t="s">
        <v>61</v>
      </c>
      <c r="R2447" s="13" t="s">
        <v>62</v>
      </c>
      <c r="S2447" s="13" t="s">
        <v>49</v>
      </c>
      <c r="T2447" s="13" t="s">
        <v>78</v>
      </c>
      <c r="U2447" s="13" t="s">
        <v>79</v>
      </c>
      <c r="V2447" s="13" t="s">
        <v>121</v>
      </c>
      <c r="W2447" s="13" t="s">
        <v>109</v>
      </c>
      <c r="X2447" s="135">
        <v>14500000</v>
      </c>
      <c r="Y2447" s="157" t="str">
        <f t="shared" si="727"/>
        <v>1</v>
      </c>
      <c r="Z2447" s="18">
        <f t="shared" si="736"/>
        <v>14500000</v>
      </c>
      <c r="AA2447" s="13">
        <v>7.2099999999999997E-2</v>
      </c>
      <c r="AB2447" s="21">
        <f t="shared" si="719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22"/>
        <v>54700260.692079648</v>
      </c>
      <c r="AJ2447" s="19">
        <f t="shared" si="723"/>
        <v>7482899.5749188727</v>
      </c>
      <c r="AK2447" s="20">
        <f t="shared" si="730"/>
        <v>0.13679824337660537</v>
      </c>
      <c r="AL2447" s="17"/>
      <c r="AM2447" s="17"/>
      <c r="AN2447" s="17"/>
      <c r="AO2447" s="17"/>
      <c r="AP2447" s="28" t="str">
        <f t="shared" si="731"/>
        <v>20216</v>
      </c>
      <c r="AQ2447" s="28" t="str">
        <f t="shared" si="732"/>
        <v>20216JPY</v>
      </c>
      <c r="AR2447" s="206" t="str">
        <f t="shared" si="733"/>
        <v>YAMAHA_Mounter</v>
      </c>
      <c r="AS2447" s="22">
        <f t="shared" si="734"/>
        <v>3</v>
      </c>
      <c r="AT2447" s="24" t="str">
        <f t="shared" si="735"/>
        <v>0-3 months</v>
      </c>
      <c r="AU2447" s="22" t="s">
        <v>3746</v>
      </c>
    </row>
    <row r="2448" spans="1:47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53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1779</v>
      </c>
      <c r="K2448" s="155" t="s">
        <v>775</v>
      </c>
      <c r="L2448" s="17" t="s">
        <v>67</v>
      </c>
      <c r="M2448" s="13" t="s">
        <v>60</v>
      </c>
      <c r="N2448" s="13">
        <v>1</v>
      </c>
      <c r="O2448" s="13"/>
      <c r="P2448" s="33" t="str">
        <f t="shared" si="718"/>
        <v>MAIN UNIT</v>
      </c>
      <c r="Q2448" s="13" t="s">
        <v>61</v>
      </c>
      <c r="R2448" s="13" t="s">
        <v>62</v>
      </c>
      <c r="S2448" s="13" t="s">
        <v>49</v>
      </c>
      <c r="T2448" s="13" t="s">
        <v>78</v>
      </c>
      <c r="U2448" s="13" t="s">
        <v>79</v>
      </c>
      <c r="V2448" s="13" t="s">
        <v>121</v>
      </c>
      <c r="W2448" s="13" t="s">
        <v>109</v>
      </c>
      <c r="X2448" s="135">
        <v>7340000</v>
      </c>
      <c r="Y2448" s="157" t="str">
        <f t="shared" si="727"/>
        <v>1</v>
      </c>
      <c r="Z2448" s="18">
        <f t="shared" si="736"/>
        <v>7340000</v>
      </c>
      <c r="AA2448" s="13">
        <v>7.2099999999999997E-2</v>
      </c>
      <c r="AB2448" s="21">
        <f t="shared" si="719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22"/>
        <v>54700260.692079648</v>
      </c>
      <c r="AJ2448" s="19">
        <f t="shared" si="723"/>
        <v>7482899.5749188727</v>
      </c>
      <c r="AK2448" s="20">
        <f t="shared" si="730"/>
        <v>0.13679824337660537</v>
      </c>
      <c r="AL2448" s="17"/>
      <c r="AM2448" s="17"/>
      <c r="AN2448" s="17"/>
      <c r="AO2448" s="17"/>
      <c r="AP2448" s="28" t="str">
        <f t="shared" si="731"/>
        <v>20216</v>
      </c>
      <c r="AQ2448" s="28" t="str">
        <f t="shared" si="732"/>
        <v>20216JPY</v>
      </c>
      <c r="AR2448" s="206" t="str">
        <f t="shared" si="733"/>
        <v>YAMAHA_Mounter</v>
      </c>
      <c r="AS2448" s="22">
        <f t="shared" si="734"/>
        <v>3</v>
      </c>
      <c r="AT2448" s="24" t="str">
        <f t="shared" si="735"/>
        <v>0-3 months</v>
      </c>
      <c r="AU2448" s="22" t="s">
        <v>3746</v>
      </c>
    </row>
    <row r="2449" spans="1:47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53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1779</v>
      </c>
      <c r="K2449" s="155" t="s">
        <v>775</v>
      </c>
      <c r="L2449" s="17" t="s">
        <v>67</v>
      </c>
      <c r="M2449" s="13" t="s">
        <v>60</v>
      </c>
      <c r="N2449" s="13">
        <v>1</v>
      </c>
      <c r="O2449" s="13"/>
      <c r="P2449" s="33" t="str">
        <f t="shared" si="718"/>
        <v>MAIN UNIT</v>
      </c>
      <c r="Q2449" s="13" t="s">
        <v>61</v>
      </c>
      <c r="R2449" s="13" t="s">
        <v>62</v>
      </c>
      <c r="S2449" s="13" t="s">
        <v>49</v>
      </c>
      <c r="T2449" s="13" t="s">
        <v>78</v>
      </c>
      <c r="U2449" s="13" t="s">
        <v>79</v>
      </c>
      <c r="V2449" s="13" t="s">
        <v>121</v>
      </c>
      <c r="W2449" s="13" t="s">
        <v>109</v>
      </c>
      <c r="X2449" s="135">
        <v>7340000</v>
      </c>
      <c r="Y2449" s="157" t="str">
        <f t="shared" si="727"/>
        <v>1</v>
      </c>
      <c r="Z2449" s="18">
        <f t="shared" si="736"/>
        <v>7340000</v>
      </c>
      <c r="AA2449" s="13">
        <v>7.17E-2</v>
      </c>
      <c r="AB2449" s="21">
        <f t="shared" si="719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22"/>
        <v>41443303.53761062</v>
      </c>
      <c r="AJ2449" s="19">
        <f t="shared" si="723"/>
        <v>6194988.76643031</v>
      </c>
      <c r="AK2449" s="20">
        <f t="shared" si="730"/>
        <v>0.1494810557466355</v>
      </c>
      <c r="AL2449" s="17"/>
      <c r="AM2449" s="17"/>
      <c r="AN2449" s="17"/>
      <c r="AO2449" s="17"/>
      <c r="AP2449" s="28" t="str">
        <f t="shared" si="731"/>
        <v>20217</v>
      </c>
      <c r="AQ2449" s="28" t="str">
        <f t="shared" si="732"/>
        <v>20217JPY</v>
      </c>
      <c r="AR2449" s="206" t="str">
        <f t="shared" si="733"/>
        <v>YAMAHA_Mounter</v>
      </c>
      <c r="AS2449" s="22">
        <f t="shared" si="734"/>
        <v>4</v>
      </c>
      <c r="AT2449" s="24" t="str">
        <f t="shared" si="735"/>
        <v>4-6 months</v>
      </c>
      <c r="AU2449" s="22" t="s">
        <v>3746</v>
      </c>
    </row>
    <row r="2450" spans="1:47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53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1821</v>
      </c>
      <c r="K2450" s="155" t="s">
        <v>775</v>
      </c>
      <c r="L2450" s="17" t="s">
        <v>92</v>
      </c>
      <c r="M2450" s="13" t="s">
        <v>60</v>
      </c>
      <c r="N2450" s="13">
        <v>1</v>
      </c>
      <c r="O2450" s="13"/>
      <c r="P2450" s="33" t="str">
        <f t="shared" si="718"/>
        <v>MAIN UNIT</v>
      </c>
      <c r="Q2450" s="13" t="s">
        <v>61</v>
      </c>
      <c r="R2450" s="13" t="s">
        <v>62</v>
      </c>
      <c r="S2450" s="13" t="s">
        <v>49</v>
      </c>
      <c r="T2450" s="13" t="s">
        <v>78</v>
      </c>
      <c r="U2450" s="13" t="s">
        <v>79</v>
      </c>
      <c r="V2450" s="13" t="s">
        <v>121</v>
      </c>
      <c r="W2450" s="13" t="s">
        <v>109</v>
      </c>
      <c r="X2450" s="135">
        <v>14500000</v>
      </c>
      <c r="Y2450" s="157" t="str">
        <f t="shared" si="727"/>
        <v>1</v>
      </c>
      <c r="Z2450" s="18">
        <f t="shared" si="736"/>
        <v>14500000</v>
      </c>
      <c r="AA2450" s="13">
        <v>7.17E-2</v>
      </c>
      <c r="AB2450" s="21">
        <f t="shared" si="719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22"/>
        <v>41443303.53761062</v>
      </c>
      <c r="AJ2450" s="19">
        <f t="shared" si="723"/>
        <v>6194988.76643031</v>
      </c>
      <c r="AK2450" s="20">
        <f t="shared" si="730"/>
        <v>0.1494810557466355</v>
      </c>
      <c r="AL2450" s="17"/>
      <c r="AM2450" s="17"/>
      <c r="AN2450" s="17"/>
      <c r="AO2450" s="17"/>
      <c r="AP2450" s="28" t="str">
        <f t="shared" si="731"/>
        <v>20217</v>
      </c>
      <c r="AQ2450" s="28" t="str">
        <f t="shared" si="732"/>
        <v>20217JPY</v>
      </c>
      <c r="AR2450" s="206" t="str">
        <f t="shared" si="733"/>
        <v>YAMAHA_Mounter</v>
      </c>
      <c r="AS2450" s="22">
        <f t="shared" si="734"/>
        <v>4</v>
      </c>
      <c r="AT2450" s="24" t="str">
        <f t="shared" si="735"/>
        <v>4-6 months</v>
      </c>
      <c r="AU2450" s="22" t="s">
        <v>3746</v>
      </c>
    </row>
    <row r="2451" spans="1:47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53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1821</v>
      </c>
      <c r="K2451" s="155" t="s">
        <v>775</v>
      </c>
      <c r="L2451" s="17" t="s">
        <v>92</v>
      </c>
      <c r="M2451" s="13" t="s">
        <v>60</v>
      </c>
      <c r="N2451" s="13">
        <v>1</v>
      </c>
      <c r="O2451" s="13"/>
      <c r="P2451" s="33" t="str">
        <f t="shared" si="718"/>
        <v>MAIN UNIT</v>
      </c>
      <c r="Q2451" s="13" t="s">
        <v>61</v>
      </c>
      <c r="R2451" s="13" t="s">
        <v>62</v>
      </c>
      <c r="S2451" s="13" t="s">
        <v>49</v>
      </c>
      <c r="T2451" s="13" t="s">
        <v>78</v>
      </c>
      <c r="U2451" s="13" t="s">
        <v>79</v>
      </c>
      <c r="V2451" s="13" t="s">
        <v>121</v>
      </c>
      <c r="W2451" s="13" t="s">
        <v>109</v>
      </c>
      <c r="X2451" s="135">
        <v>14500000</v>
      </c>
      <c r="Y2451" s="157" t="str">
        <f t="shared" si="727"/>
        <v>1</v>
      </c>
      <c r="Z2451" s="18">
        <f t="shared" si="736"/>
        <v>14500000</v>
      </c>
      <c r="AA2451" s="13">
        <v>7.17E-2</v>
      </c>
      <c r="AB2451" s="21">
        <f t="shared" si="719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22"/>
        <v>41443303.53761062</v>
      </c>
      <c r="AJ2451" s="19">
        <f t="shared" si="723"/>
        <v>6194988.76643031</v>
      </c>
      <c r="AK2451" s="20">
        <f t="shared" si="730"/>
        <v>0.1494810557466355</v>
      </c>
      <c r="AL2451" s="17"/>
      <c r="AM2451" s="17"/>
      <c r="AN2451" s="17"/>
      <c r="AO2451" s="17"/>
      <c r="AP2451" s="28" t="str">
        <f t="shared" si="731"/>
        <v>20217</v>
      </c>
      <c r="AQ2451" s="28" t="str">
        <f t="shared" si="732"/>
        <v>20217JPY</v>
      </c>
      <c r="AR2451" s="206" t="str">
        <f t="shared" si="733"/>
        <v>YAMAHA_Mounter</v>
      </c>
      <c r="AS2451" s="22">
        <f t="shared" si="734"/>
        <v>4</v>
      </c>
      <c r="AT2451" s="24" t="str">
        <f t="shared" si="735"/>
        <v>4-6 months</v>
      </c>
      <c r="AU2451" s="22" t="s">
        <v>3746</v>
      </c>
    </row>
    <row r="2452" spans="1:47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53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1821</v>
      </c>
      <c r="K2452" s="155" t="s">
        <v>775</v>
      </c>
      <c r="L2452" s="17" t="s">
        <v>92</v>
      </c>
      <c r="M2452" s="13" t="s">
        <v>60</v>
      </c>
      <c r="N2452" s="13">
        <v>1</v>
      </c>
      <c r="O2452" s="13"/>
      <c r="P2452" s="33" t="str">
        <f t="shared" si="718"/>
        <v>MAIN UNIT</v>
      </c>
      <c r="Q2452" s="13" t="s">
        <v>61</v>
      </c>
      <c r="R2452" s="13" t="s">
        <v>62</v>
      </c>
      <c r="S2452" s="13" t="s">
        <v>49</v>
      </c>
      <c r="T2452" s="13" t="s">
        <v>78</v>
      </c>
      <c r="U2452" s="13" t="s">
        <v>79</v>
      </c>
      <c r="V2452" s="13" t="s">
        <v>121</v>
      </c>
      <c r="W2452" s="13" t="s">
        <v>109</v>
      </c>
      <c r="X2452" s="135">
        <v>14500000</v>
      </c>
      <c r="Y2452" s="157" t="str">
        <f t="shared" si="727"/>
        <v>1</v>
      </c>
      <c r="Z2452" s="18">
        <f t="shared" si="736"/>
        <v>14500000</v>
      </c>
      <c r="AA2452" s="13">
        <v>7.17E-2</v>
      </c>
      <c r="AB2452" s="21">
        <f t="shared" si="719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22"/>
        <v>41443303.53761062</v>
      </c>
      <c r="AJ2452" s="19">
        <f t="shared" si="723"/>
        <v>6194988.76643031</v>
      </c>
      <c r="AK2452" s="20">
        <f t="shared" si="730"/>
        <v>0.1494810557466355</v>
      </c>
      <c r="AL2452" s="17"/>
      <c r="AM2452" s="17"/>
      <c r="AN2452" s="17"/>
      <c r="AO2452" s="17"/>
      <c r="AP2452" s="28" t="str">
        <f t="shared" si="731"/>
        <v>20217</v>
      </c>
      <c r="AQ2452" s="28" t="str">
        <f t="shared" si="732"/>
        <v>20217JPY</v>
      </c>
      <c r="AR2452" s="206" t="str">
        <f t="shared" si="733"/>
        <v>YAMAHA_Mounter</v>
      </c>
      <c r="AS2452" s="22">
        <f t="shared" si="734"/>
        <v>4</v>
      </c>
      <c r="AT2452" s="24" t="str">
        <f t="shared" si="735"/>
        <v>4-6 months</v>
      </c>
      <c r="AU2452" s="22" t="s">
        <v>3746</v>
      </c>
    </row>
    <row r="2453" spans="1:47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53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1821</v>
      </c>
      <c r="K2453" s="155" t="s">
        <v>775</v>
      </c>
      <c r="L2453" s="17" t="s">
        <v>92</v>
      </c>
      <c r="M2453" s="13" t="s">
        <v>60</v>
      </c>
      <c r="N2453" s="13">
        <v>1</v>
      </c>
      <c r="O2453" s="13"/>
      <c r="P2453" s="33" t="str">
        <f t="shared" si="718"/>
        <v>MAIN UNIT</v>
      </c>
      <c r="Q2453" s="13" t="s">
        <v>61</v>
      </c>
      <c r="R2453" s="13" t="s">
        <v>62</v>
      </c>
      <c r="S2453" s="13" t="s">
        <v>49</v>
      </c>
      <c r="T2453" s="13" t="s">
        <v>78</v>
      </c>
      <c r="U2453" s="13" t="s">
        <v>79</v>
      </c>
      <c r="V2453" s="13" t="s">
        <v>121</v>
      </c>
      <c r="W2453" s="13" t="s">
        <v>109</v>
      </c>
      <c r="X2453" s="135">
        <v>14500000</v>
      </c>
      <c r="Y2453" s="157" t="str">
        <f t="shared" si="727"/>
        <v>1</v>
      </c>
      <c r="Z2453" s="18">
        <f t="shared" si="736"/>
        <v>14500000</v>
      </c>
      <c r="AA2453" s="13">
        <v>7.17E-2</v>
      </c>
      <c r="AB2453" s="21">
        <f t="shared" si="719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22"/>
        <v>41443303.53761062</v>
      </c>
      <c r="AJ2453" s="19">
        <f t="shared" si="723"/>
        <v>6194988.76643031</v>
      </c>
      <c r="AK2453" s="20">
        <f t="shared" si="730"/>
        <v>0.1494810557466355</v>
      </c>
      <c r="AL2453" s="17"/>
      <c r="AM2453" s="17"/>
      <c r="AN2453" s="17"/>
      <c r="AO2453" s="17"/>
      <c r="AP2453" s="28" t="str">
        <f t="shared" si="731"/>
        <v>20217</v>
      </c>
      <c r="AQ2453" s="28" t="str">
        <f t="shared" si="732"/>
        <v>20217JPY</v>
      </c>
      <c r="AR2453" s="206" t="str">
        <f t="shared" si="733"/>
        <v>YAMAHA_Mounter</v>
      </c>
      <c r="AS2453" s="22">
        <f t="shared" si="734"/>
        <v>4</v>
      </c>
      <c r="AT2453" s="24" t="str">
        <f t="shared" si="735"/>
        <v>4-6 months</v>
      </c>
      <c r="AU2453" s="22" t="s">
        <v>3746</v>
      </c>
    </row>
    <row r="2454" spans="1:47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48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1478</v>
      </c>
      <c r="K2454" s="155" t="s">
        <v>1479</v>
      </c>
      <c r="L2454" s="17" t="s">
        <v>516</v>
      </c>
      <c r="M2454" s="13" t="s">
        <v>60</v>
      </c>
      <c r="N2454" s="13">
        <v>0</v>
      </c>
      <c r="O2454" s="13">
        <v>3</v>
      </c>
      <c r="P2454" s="33" t="str">
        <f t="shared" ref="P2454:P2517" si="737">IF(M2454="","",IF(AND(N2454&gt;0,L2454&lt;&gt;""),"MAIN UNIT",IF(AND(O2454&gt;0,L2454&lt;&gt;""),"SERVICE/ PARTS","C66 SERVICE/OTHERS")))</f>
        <v>SERVICE/ PARTS</v>
      </c>
      <c r="Q2454" s="13" t="s">
        <v>61</v>
      </c>
      <c r="R2454" s="13" t="s">
        <v>62</v>
      </c>
      <c r="S2454" s="13" t="s">
        <v>50</v>
      </c>
      <c r="T2454" s="13" t="s">
        <v>93</v>
      </c>
      <c r="U2454" s="13" t="s">
        <v>70</v>
      </c>
      <c r="V2454" s="13" t="s">
        <v>169</v>
      </c>
      <c r="W2454" s="13" t="s">
        <v>64</v>
      </c>
      <c r="X2454" s="135">
        <v>5100</v>
      </c>
      <c r="Y2454" s="157" t="str">
        <f t="shared" si="727"/>
        <v>1.13</v>
      </c>
      <c r="Z2454" s="18">
        <f t="shared" si="736"/>
        <v>15300</v>
      </c>
      <c r="AA2454" s="13">
        <v>1.155</v>
      </c>
      <c r="AB2454" s="21">
        <f t="shared" ref="AB2454:AB2517" si="738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22"/>
        <v>44078731.611185849</v>
      </c>
      <c r="AJ2454" s="19">
        <f t="shared" si="723"/>
        <v>5508173.2163771465</v>
      </c>
      <c r="AK2454" s="20">
        <f t="shared" si="730"/>
        <v>0.12496215328889679</v>
      </c>
      <c r="AL2454" s="17"/>
      <c r="AM2454" s="17"/>
      <c r="AN2454" s="17"/>
      <c r="AO2454" s="17"/>
      <c r="AP2454" s="28" t="str">
        <f t="shared" si="731"/>
        <v>202011</v>
      </c>
      <c r="AQ2454" s="28" t="str">
        <f t="shared" si="732"/>
        <v>202011RMB</v>
      </c>
      <c r="AR2454" s="206" t="str">
        <f t="shared" si="733"/>
        <v>YAMAHA_Mounter</v>
      </c>
      <c r="AS2454" s="22">
        <f t="shared" si="734"/>
        <v>0</v>
      </c>
      <c r="AT2454" s="24" t="str">
        <f t="shared" si="735"/>
        <v>0-3 months</v>
      </c>
      <c r="AU2454" s="22" t="s">
        <v>3240</v>
      </c>
    </row>
    <row r="2455" spans="1:47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48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1489</v>
      </c>
      <c r="K2455" s="155" t="s">
        <v>1479</v>
      </c>
      <c r="L2455" s="17" t="s">
        <v>516</v>
      </c>
      <c r="M2455" s="13" t="s">
        <v>60</v>
      </c>
      <c r="N2455" s="13">
        <v>0</v>
      </c>
      <c r="O2455" s="13">
        <v>34</v>
      </c>
      <c r="P2455" s="33" t="str">
        <f t="shared" si="737"/>
        <v>SERVICE/ PARTS</v>
      </c>
      <c r="Q2455" s="13" t="s">
        <v>61</v>
      </c>
      <c r="R2455" s="13" t="s">
        <v>62</v>
      </c>
      <c r="S2455" s="13" t="s">
        <v>50</v>
      </c>
      <c r="T2455" s="13" t="s">
        <v>93</v>
      </c>
      <c r="U2455" s="13" t="s">
        <v>70</v>
      </c>
      <c r="V2455" s="13" t="s">
        <v>169</v>
      </c>
      <c r="W2455" s="13" t="s">
        <v>64</v>
      </c>
      <c r="X2455" s="135">
        <v>3617.6469999999999</v>
      </c>
      <c r="Y2455" s="157" t="str">
        <f t="shared" si="727"/>
        <v>1.13</v>
      </c>
      <c r="Z2455" s="18">
        <f t="shared" si="736"/>
        <v>122999.99799999999</v>
      </c>
      <c r="AA2455" s="13">
        <v>1.175</v>
      </c>
      <c r="AB2455" s="21">
        <f t="shared" si="738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22"/>
        <v>48763143.537654862</v>
      </c>
      <c r="AJ2455" s="19">
        <f t="shared" si="723"/>
        <v>5924029.9702154724</v>
      </c>
      <c r="AK2455" s="20">
        <f t="shared" si="730"/>
        <v>0.1214858095774925</v>
      </c>
      <c r="AL2455" s="17"/>
      <c r="AM2455" s="17"/>
      <c r="AN2455" s="17"/>
      <c r="AO2455" s="17"/>
      <c r="AP2455" s="28" t="str">
        <f t="shared" si="731"/>
        <v>202012</v>
      </c>
      <c r="AQ2455" s="28" t="str">
        <f t="shared" si="732"/>
        <v>202012RMB</v>
      </c>
      <c r="AR2455" s="206" t="str">
        <f t="shared" si="733"/>
        <v>YAMAHA_Mounter</v>
      </c>
      <c r="AS2455" s="22">
        <f t="shared" si="734"/>
        <v>1</v>
      </c>
      <c r="AT2455" s="24" t="str">
        <f t="shared" si="735"/>
        <v>0-3 months</v>
      </c>
      <c r="AU2455" s="22" t="s">
        <v>3240</v>
      </c>
    </row>
    <row r="2456" spans="1:47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185</v>
      </c>
      <c r="F2456" s="13" t="s">
        <v>185</v>
      </c>
      <c r="G2456" s="152" t="s">
        <v>1616</v>
      </c>
      <c r="H2456" s="155"/>
      <c r="I2456" s="33" t="str">
        <f t="shared" si="726"/>
        <v>Cancel</v>
      </c>
      <c r="J2456" s="186" t="s">
        <v>2092</v>
      </c>
      <c r="K2456" s="155" t="s">
        <v>1479</v>
      </c>
      <c r="L2456" s="17" t="s">
        <v>67</v>
      </c>
      <c r="M2456" s="13" t="s">
        <v>60</v>
      </c>
      <c r="N2456" s="13">
        <v>1</v>
      </c>
      <c r="O2456" s="13"/>
      <c r="P2456" s="33" t="str">
        <f t="shared" si="737"/>
        <v>MAIN UNIT</v>
      </c>
      <c r="Q2456" s="13" t="s">
        <v>61</v>
      </c>
      <c r="R2456" s="13" t="s">
        <v>62</v>
      </c>
      <c r="S2456" s="13" t="s">
        <v>50</v>
      </c>
      <c r="T2456" s="13" t="s">
        <v>83</v>
      </c>
      <c r="U2456" s="13" t="s">
        <v>70</v>
      </c>
      <c r="V2456" s="13" t="s">
        <v>169</v>
      </c>
      <c r="W2456" s="13" t="s">
        <v>64</v>
      </c>
      <c r="X2456" s="135">
        <v>630000</v>
      </c>
      <c r="Y2456" s="157" t="str">
        <f t="shared" si="727"/>
        <v>1.13</v>
      </c>
      <c r="Z2456" s="18">
        <f t="shared" si="736"/>
        <v>630000</v>
      </c>
      <c r="AA2456" s="13">
        <v>1.175</v>
      </c>
      <c r="AB2456" s="21">
        <f t="shared" si="738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22"/>
        <v>499582152.5142017</v>
      </c>
      <c r="AJ2456" s="19">
        <f t="shared" si="723"/>
        <v>59520528.679470733</v>
      </c>
      <c r="AK2456" s="20">
        <f t="shared" si="730"/>
        <v>0.11914062257814291</v>
      </c>
      <c r="AL2456" s="17"/>
      <c r="AM2456" s="17"/>
      <c r="AN2456" s="17"/>
      <c r="AO2456" s="17"/>
      <c r="AP2456" s="28" t="str">
        <f t="shared" si="731"/>
        <v>CancelCANCEL</v>
      </c>
      <c r="AQ2456" s="28" t="str">
        <f t="shared" si="732"/>
        <v>CancelCANCELRMB</v>
      </c>
      <c r="AR2456" s="206" t="str">
        <f t="shared" si="733"/>
        <v>YAMAHA_Mounter</v>
      </c>
      <c r="AS2456" s="22" t="str">
        <f t="shared" si="734"/>
        <v/>
      </c>
      <c r="AT2456" s="24" t="str">
        <f t="shared" si="735"/>
        <v/>
      </c>
      <c r="AU2456" s="22" t="s">
        <v>3240</v>
      </c>
    </row>
    <row r="2457" spans="1:47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48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1086</v>
      </c>
      <c r="K2457" s="155" t="s">
        <v>1087</v>
      </c>
      <c r="L2457" s="17" t="s">
        <v>67</v>
      </c>
      <c r="M2457" s="13" t="s">
        <v>60</v>
      </c>
      <c r="N2457" s="13">
        <v>1</v>
      </c>
      <c r="O2457" s="13"/>
      <c r="P2457" s="33" t="str">
        <f t="shared" si="737"/>
        <v>MAIN UNIT</v>
      </c>
      <c r="Q2457" s="13" t="s">
        <v>68</v>
      </c>
      <c r="R2457" s="13" t="s">
        <v>62</v>
      </c>
      <c r="S2457" s="13" t="s">
        <v>50</v>
      </c>
      <c r="T2457" s="13" t="s">
        <v>93</v>
      </c>
      <c r="U2457" s="13" t="s">
        <v>70</v>
      </c>
      <c r="V2457" s="13" t="s">
        <v>169</v>
      </c>
      <c r="W2457" s="13" t="s">
        <v>64</v>
      </c>
      <c r="X2457" s="135">
        <v>636550</v>
      </c>
      <c r="Y2457" s="156" t="s">
        <v>1058</v>
      </c>
      <c r="Z2457" s="18">
        <f t="shared" si="736"/>
        <v>636550</v>
      </c>
      <c r="AA2457" s="13">
        <v>1.105</v>
      </c>
      <c r="AB2457" s="21">
        <f t="shared" si="738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22"/>
        <v>37969334.083628319</v>
      </c>
      <c r="AJ2457" s="19">
        <f t="shared" si="723"/>
        <v>5097226.4551657084</v>
      </c>
      <c r="AK2457" s="20">
        <f t="shared" si="730"/>
        <v>0.13424587441904964</v>
      </c>
      <c r="AL2457" s="17"/>
      <c r="AM2457" s="17"/>
      <c r="AN2457" s="17"/>
      <c r="AO2457" s="17"/>
      <c r="AP2457" s="28" t="str">
        <f t="shared" si="731"/>
        <v>20208</v>
      </c>
      <c r="AQ2457" s="28" t="str">
        <f t="shared" si="732"/>
        <v>20208RMB</v>
      </c>
      <c r="AR2457" s="206" t="str">
        <f t="shared" si="733"/>
        <v>YAMAHA_Mounter</v>
      </c>
      <c r="AS2457" s="22">
        <f t="shared" si="734"/>
        <v>3</v>
      </c>
      <c r="AT2457" s="24" t="str">
        <f t="shared" si="735"/>
        <v>0-3 months</v>
      </c>
      <c r="AU2457" s="22" t="s">
        <v>3240</v>
      </c>
    </row>
    <row r="2458" spans="1:47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48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1151</v>
      </c>
      <c r="K2458" s="155" t="s">
        <v>1087</v>
      </c>
      <c r="L2458" s="17" t="s">
        <v>516</v>
      </c>
      <c r="M2458" s="13" t="s">
        <v>60</v>
      </c>
      <c r="N2458" s="13">
        <v>0</v>
      </c>
      <c r="O2458" s="13">
        <v>2</v>
      </c>
      <c r="P2458" s="33" t="str">
        <f t="shared" si="737"/>
        <v>SERVICE/ PARTS</v>
      </c>
      <c r="Q2458" s="13" t="s">
        <v>61</v>
      </c>
      <c r="R2458" s="13" t="s">
        <v>62</v>
      </c>
      <c r="S2458" s="13" t="s">
        <v>50</v>
      </c>
      <c r="T2458" s="13" t="s">
        <v>93</v>
      </c>
      <c r="U2458" s="13" t="s">
        <v>70</v>
      </c>
      <c r="V2458" s="13" t="s">
        <v>169</v>
      </c>
      <c r="W2458" s="13" t="s">
        <v>64</v>
      </c>
      <c r="X2458" s="135">
        <v>5050</v>
      </c>
      <c r="Y2458" s="156">
        <v>1.1299999999999999</v>
      </c>
      <c r="Z2458" s="18">
        <f t="shared" si="736"/>
        <v>10100</v>
      </c>
      <c r="AA2458" s="13">
        <v>1.1299999999999999</v>
      </c>
      <c r="AB2458" s="21">
        <f t="shared" si="738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22"/>
        <v>47907808.356810622</v>
      </c>
      <c r="AJ2458" s="19">
        <f t="shared" si="723"/>
        <v>6027384.8806384448</v>
      </c>
      <c r="AK2458" s="20">
        <f t="shared" si="730"/>
        <v>0.12581216063459488</v>
      </c>
      <c r="AL2458" s="17"/>
      <c r="AM2458" s="17"/>
      <c r="AN2458" s="17"/>
      <c r="AO2458" s="17"/>
      <c r="AP2458" s="28" t="str">
        <f t="shared" si="731"/>
        <v>20209</v>
      </c>
      <c r="AQ2458" s="28" t="str">
        <f t="shared" si="732"/>
        <v>20209RMB</v>
      </c>
      <c r="AR2458" s="206" t="str">
        <f t="shared" si="733"/>
        <v>YAMAHA_Mounter</v>
      </c>
      <c r="AS2458" s="22">
        <f t="shared" si="734"/>
        <v>1</v>
      </c>
      <c r="AT2458" s="24" t="str">
        <f t="shared" si="735"/>
        <v>0-3 months</v>
      </c>
      <c r="AU2458" s="22" t="s">
        <v>3240</v>
      </c>
    </row>
    <row r="2459" spans="1:47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48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1151</v>
      </c>
      <c r="K2459" s="155" t="s">
        <v>1087</v>
      </c>
      <c r="L2459" s="17" t="s">
        <v>1152</v>
      </c>
      <c r="M2459" s="13" t="s">
        <v>377</v>
      </c>
      <c r="N2459" s="13">
        <v>0</v>
      </c>
      <c r="O2459" s="13">
        <v>8</v>
      </c>
      <c r="P2459" s="33" t="str">
        <f t="shared" si="737"/>
        <v>SERVICE/ PARTS</v>
      </c>
      <c r="Q2459" s="13" t="s">
        <v>61</v>
      </c>
      <c r="R2459" s="13" t="s">
        <v>62</v>
      </c>
      <c r="S2459" s="13" t="s">
        <v>50</v>
      </c>
      <c r="T2459" s="13" t="s">
        <v>93</v>
      </c>
      <c r="U2459" s="13" t="s">
        <v>70</v>
      </c>
      <c r="V2459" s="13" t="s">
        <v>169</v>
      </c>
      <c r="W2459" s="13" t="s">
        <v>64</v>
      </c>
      <c r="X2459" s="135">
        <v>620</v>
      </c>
      <c r="Y2459" s="156">
        <v>1.1299999999999999</v>
      </c>
      <c r="Z2459" s="18">
        <f t="shared" si="736"/>
        <v>4960</v>
      </c>
      <c r="AA2459" s="13">
        <v>1.1299999999999999</v>
      </c>
      <c r="AB2459" s="21">
        <f t="shared" si="738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22"/>
        <v>47907808.356810622</v>
      </c>
      <c r="AJ2459" s="19">
        <f t="shared" si="723"/>
        <v>6027384.8806384448</v>
      </c>
      <c r="AK2459" s="20">
        <f t="shared" si="730"/>
        <v>0.12581216063459488</v>
      </c>
      <c r="AL2459" s="17"/>
      <c r="AM2459" s="17"/>
      <c r="AN2459" s="17"/>
      <c r="AO2459" s="17"/>
      <c r="AP2459" s="28" t="str">
        <f t="shared" si="731"/>
        <v>20209</v>
      </c>
      <c r="AQ2459" s="28" t="str">
        <f t="shared" si="732"/>
        <v>20209RMB</v>
      </c>
      <c r="AR2459" s="206" t="str">
        <f t="shared" si="733"/>
        <v>LOCAL SUPPLIER</v>
      </c>
      <c r="AS2459" s="22">
        <f t="shared" si="734"/>
        <v>1</v>
      </c>
      <c r="AT2459" s="24" t="str">
        <f t="shared" si="735"/>
        <v>0-3 months</v>
      </c>
      <c r="AU2459" s="22" t="s">
        <v>3240</v>
      </c>
    </row>
    <row r="2460" spans="1:47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48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1086</v>
      </c>
      <c r="K2460" s="155" t="s">
        <v>1087</v>
      </c>
      <c r="L2460" s="17" t="s">
        <v>2864</v>
      </c>
      <c r="M2460" s="13" t="s">
        <v>2607</v>
      </c>
      <c r="N2460" s="13">
        <v>1</v>
      </c>
      <c r="O2460" s="13"/>
      <c r="P2460" s="33" t="str">
        <f t="shared" si="737"/>
        <v>MAIN UNIT</v>
      </c>
      <c r="Q2460" s="13" t="s">
        <v>68</v>
      </c>
      <c r="R2460" s="13" t="s">
        <v>2055</v>
      </c>
      <c r="S2460" s="13" t="s">
        <v>50</v>
      </c>
      <c r="T2460" s="13" t="s">
        <v>93</v>
      </c>
      <c r="U2460" s="13" t="s">
        <v>70</v>
      </c>
      <c r="V2460" s="13" t="s">
        <v>169</v>
      </c>
      <c r="W2460" s="13" t="s">
        <v>64</v>
      </c>
      <c r="X2460" s="135">
        <v>1663450</v>
      </c>
      <c r="Y2460" s="157" t="str">
        <f>IF(W2460="RMB","1.13", "1")</f>
        <v>1.13</v>
      </c>
      <c r="Z2460" s="18">
        <f t="shared" si="736"/>
        <v>1663450</v>
      </c>
      <c r="AA2460" s="13">
        <v>1.105</v>
      </c>
      <c r="AB2460" s="21">
        <f t="shared" si="738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22"/>
        <v>37969334.083628319</v>
      </c>
      <c r="AJ2460" s="19">
        <f t="shared" si="723"/>
        <v>5097226.4551657084</v>
      </c>
      <c r="AK2460" s="20">
        <f t="shared" si="730"/>
        <v>0.13424587441904964</v>
      </c>
      <c r="AL2460" s="17"/>
      <c r="AM2460" s="17"/>
      <c r="AN2460" s="17"/>
      <c r="AO2460" s="17"/>
      <c r="AP2460" s="28" t="str">
        <f t="shared" si="731"/>
        <v>20208</v>
      </c>
      <c r="AQ2460" s="28" t="str">
        <f t="shared" si="732"/>
        <v>20208RMB</v>
      </c>
      <c r="AR2460" s="206" t="str">
        <f t="shared" si="733"/>
        <v>HELLER</v>
      </c>
      <c r="AS2460" s="22">
        <f t="shared" si="734"/>
        <v>3</v>
      </c>
      <c r="AT2460" s="24" t="str">
        <f t="shared" si="735"/>
        <v>0-3 months</v>
      </c>
      <c r="AU2460" s="22" t="s">
        <v>3240</v>
      </c>
    </row>
    <row r="2461" spans="1:47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54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2441</v>
      </c>
      <c r="K2461" s="155" t="s">
        <v>2442</v>
      </c>
      <c r="L2461" s="17" t="s">
        <v>67</v>
      </c>
      <c r="M2461" s="13" t="s">
        <v>60</v>
      </c>
      <c r="N2461" s="13">
        <v>1</v>
      </c>
      <c r="O2461" s="13"/>
      <c r="P2461" s="33" t="str">
        <f t="shared" si="737"/>
        <v>MAIN UNIT</v>
      </c>
      <c r="Q2461" s="13" t="s">
        <v>68</v>
      </c>
      <c r="R2461" s="13" t="s">
        <v>62</v>
      </c>
      <c r="S2461" s="13" t="s">
        <v>50</v>
      </c>
      <c r="T2461" s="13" t="s">
        <v>83</v>
      </c>
      <c r="U2461" s="13" t="s">
        <v>70</v>
      </c>
      <c r="V2461" s="13" t="s">
        <v>71</v>
      </c>
      <c r="W2461" s="13" t="s">
        <v>64</v>
      </c>
      <c r="X2461" s="135">
        <v>490000</v>
      </c>
      <c r="Y2461" s="157" t="str">
        <f>IF(W2461="RMB","1.13", "1")</f>
        <v>1.13</v>
      </c>
      <c r="Z2461" s="18">
        <f t="shared" si="736"/>
        <v>490000</v>
      </c>
      <c r="AA2461" s="13">
        <v>1.1299999999999999</v>
      </c>
      <c r="AB2461" s="21">
        <f t="shared" si="738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22"/>
        <v>33543315.897345133</v>
      </c>
      <c r="AJ2461" s="19">
        <f t="shared" si="723"/>
        <v>4706169.3252984071</v>
      </c>
      <c r="AK2461" s="20">
        <f t="shared" si="730"/>
        <v>0.14030125523967318</v>
      </c>
      <c r="AL2461" s="17"/>
      <c r="AM2461" s="17"/>
      <c r="AN2461" s="17"/>
      <c r="AO2461" s="17"/>
      <c r="AP2461" s="28" t="str">
        <f t="shared" si="731"/>
        <v>20233</v>
      </c>
      <c r="AQ2461" s="28" t="str">
        <f t="shared" si="732"/>
        <v>20233RMB</v>
      </c>
      <c r="AR2461" s="206" t="str">
        <f t="shared" si="733"/>
        <v>YAMAHA_Mounter</v>
      </c>
      <c r="AS2461" s="22">
        <f t="shared" si="734"/>
        <v>0</v>
      </c>
      <c r="AT2461" s="24" t="str">
        <f t="shared" si="735"/>
        <v>0-3 months</v>
      </c>
      <c r="AU2461" s="22" t="s">
        <v>3240</v>
      </c>
    </row>
    <row r="2462" spans="1:47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3472</v>
      </c>
      <c r="K2462" s="29" t="s">
        <v>3473</v>
      </c>
      <c r="L2462" s="17" t="s">
        <v>92</v>
      </c>
      <c r="M2462" s="13" t="s">
        <v>60</v>
      </c>
      <c r="N2462" s="13">
        <v>1</v>
      </c>
      <c r="O2462" s="22"/>
      <c r="P2462" s="33" t="str">
        <f t="shared" si="737"/>
        <v>MAIN UNIT</v>
      </c>
      <c r="Q2462" s="22" t="s">
        <v>68</v>
      </c>
      <c r="R2462" s="22" t="s">
        <v>62</v>
      </c>
      <c r="S2462" s="22" t="s">
        <v>49</v>
      </c>
      <c r="T2462" s="22" t="s">
        <v>78</v>
      </c>
      <c r="U2462" s="22" t="s">
        <v>78</v>
      </c>
      <c r="V2462" s="22" t="s">
        <v>112</v>
      </c>
      <c r="W2462" s="22" t="s">
        <v>109</v>
      </c>
      <c r="X2462" s="104">
        <v>15000000</v>
      </c>
      <c r="Y2462" s="195" t="str">
        <f>IF(W2462="","",IF(W2462="RMB","1.13", "1"))</f>
        <v>1</v>
      </c>
      <c r="Z2462" s="196">
        <f t="shared" si="736"/>
        <v>15000000</v>
      </c>
      <c r="AA2462" s="22">
        <v>4.9500000000000002E-2</v>
      </c>
      <c r="AB2462" s="197">
        <f t="shared" si="738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22"/>
        <v>25458266.694690265</v>
      </c>
      <c r="AJ2462" s="200">
        <f t="shared" si="723"/>
        <v>4116526.778578762</v>
      </c>
      <c r="AK2462" s="201">
        <f t="shared" si="730"/>
        <v>0.16169705612508689</v>
      </c>
      <c r="AL2462" s="24"/>
      <c r="AM2462" s="24"/>
      <c r="AN2462" s="24"/>
      <c r="AO2462" s="24"/>
      <c r="AP2462" s="105" t="str">
        <f t="shared" si="731"/>
        <v>20247</v>
      </c>
      <c r="AQ2462" s="28" t="str">
        <f t="shared" si="732"/>
        <v>20247JPY</v>
      </c>
      <c r="AR2462" s="206" t="str">
        <f t="shared" si="733"/>
        <v>YAMAHA_Mounter</v>
      </c>
      <c r="AS2462" s="22">
        <f t="shared" si="734"/>
        <v>1</v>
      </c>
      <c r="AT2462" s="24" t="str">
        <f t="shared" si="735"/>
        <v>0-3 months</v>
      </c>
      <c r="AU2462" s="22" t="s">
        <v>3745</v>
      </c>
    </row>
    <row r="2463" spans="1:47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41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502</v>
      </c>
      <c r="K2463" s="155" t="s">
        <v>503</v>
      </c>
      <c r="L2463" s="17" t="s">
        <v>67</v>
      </c>
      <c r="M2463" s="13" t="s">
        <v>60</v>
      </c>
      <c r="N2463" s="13">
        <v>1</v>
      </c>
      <c r="O2463" s="13"/>
      <c r="P2463" s="33" t="str">
        <f t="shared" si="737"/>
        <v>MAIN UNIT</v>
      </c>
      <c r="Q2463" s="13" t="s">
        <v>61</v>
      </c>
      <c r="R2463" s="13" t="s">
        <v>62</v>
      </c>
      <c r="S2463" s="13" t="s">
        <v>50</v>
      </c>
      <c r="T2463" s="13" t="s">
        <v>101</v>
      </c>
      <c r="U2463" s="13" t="s">
        <v>70</v>
      </c>
      <c r="V2463" s="13" t="s">
        <v>169</v>
      </c>
      <c r="W2463" s="13" t="s">
        <v>64</v>
      </c>
      <c r="X2463" s="135">
        <v>763500</v>
      </c>
      <c r="Y2463" s="156">
        <v>1.1599999999999999</v>
      </c>
      <c r="Z2463" s="18">
        <f t="shared" si="736"/>
        <v>763500</v>
      </c>
      <c r="AA2463" s="13">
        <v>1.125</v>
      </c>
      <c r="AB2463" s="21">
        <f t="shared" si="738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22"/>
        <v>29840797.698275864</v>
      </c>
      <c r="AJ2463" s="19">
        <f t="shared" si="723"/>
        <v>3940167.6555448272</v>
      </c>
      <c r="AK2463" s="20">
        <f t="shared" si="730"/>
        <v>0.13203962224416277</v>
      </c>
      <c r="AL2463" s="17"/>
      <c r="AM2463" s="17"/>
      <c r="AN2463" s="17"/>
      <c r="AO2463" s="17"/>
      <c r="AP2463" s="28" t="str">
        <f t="shared" si="731"/>
        <v>201812</v>
      </c>
      <c r="AQ2463" s="28" t="str">
        <f t="shared" si="732"/>
        <v>201812RMB</v>
      </c>
      <c r="AR2463" s="206" t="str">
        <f t="shared" si="733"/>
        <v>YAMAHA_Mounter</v>
      </c>
      <c r="AS2463" s="22">
        <f t="shared" si="734"/>
        <v>2</v>
      </c>
      <c r="AT2463" s="24" t="str">
        <f t="shared" si="735"/>
        <v>0-3 months</v>
      </c>
      <c r="AU2463" s="22" t="s">
        <v>3240</v>
      </c>
    </row>
    <row r="2464" spans="1:47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48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1293</v>
      </c>
      <c r="K2464" s="155" t="s">
        <v>1294</v>
      </c>
      <c r="L2464" s="17" t="s">
        <v>92</v>
      </c>
      <c r="M2464" s="13" t="s">
        <v>60</v>
      </c>
      <c r="N2464" s="13">
        <v>1</v>
      </c>
      <c r="O2464" s="13"/>
      <c r="P2464" s="33" t="str">
        <f t="shared" si="737"/>
        <v>MAIN UNIT</v>
      </c>
      <c r="Q2464" s="13" t="s">
        <v>61</v>
      </c>
      <c r="R2464" s="13" t="s">
        <v>62</v>
      </c>
      <c r="S2464" s="13" t="s">
        <v>50</v>
      </c>
      <c r="T2464" s="13" t="s">
        <v>83</v>
      </c>
      <c r="U2464" s="13" t="s">
        <v>70</v>
      </c>
      <c r="V2464" s="13" t="s">
        <v>169</v>
      </c>
      <c r="W2464" s="13" t="s">
        <v>64</v>
      </c>
      <c r="X2464" s="135">
        <v>1120652</v>
      </c>
      <c r="Y2464" s="156" t="s">
        <v>1058</v>
      </c>
      <c r="Z2464" s="18">
        <f t="shared" si="736"/>
        <v>1120652</v>
      </c>
      <c r="AA2464" s="13">
        <v>1.095</v>
      </c>
      <c r="AB2464" s="21">
        <f t="shared" si="738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22"/>
        <v>28065694.408805311</v>
      </c>
      <c r="AJ2464" s="19">
        <f t="shared" si="723"/>
        <v>4157433.2906989697</v>
      </c>
      <c r="AK2464" s="20">
        <f t="shared" si="730"/>
        <v>0.14813220831602228</v>
      </c>
      <c r="AL2464" s="17"/>
      <c r="AM2464" s="17"/>
      <c r="AN2464" s="17"/>
      <c r="AO2464" s="17"/>
      <c r="AP2464" s="28" t="str">
        <f t="shared" si="731"/>
        <v>20205</v>
      </c>
      <c r="AQ2464" s="28" t="str">
        <f t="shared" si="732"/>
        <v>20205RMB</v>
      </c>
      <c r="AR2464" s="206" t="str">
        <f t="shared" si="733"/>
        <v>YAMAHA_Mounter</v>
      </c>
      <c r="AS2464" s="22">
        <f t="shared" si="734"/>
        <v>0</v>
      </c>
      <c r="AT2464" s="24" t="str">
        <f t="shared" si="735"/>
        <v>0-3 months</v>
      </c>
      <c r="AU2464" s="22" t="s">
        <v>3240</v>
      </c>
    </row>
    <row r="2465" spans="1:47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53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1916</v>
      </c>
      <c r="K2465" s="155" t="s">
        <v>1294</v>
      </c>
      <c r="L2465" s="17" t="s">
        <v>92</v>
      </c>
      <c r="M2465" s="13" t="s">
        <v>60</v>
      </c>
      <c r="N2465" s="13">
        <v>1</v>
      </c>
      <c r="O2465" s="13"/>
      <c r="P2465" s="33" t="str">
        <f t="shared" si="737"/>
        <v>MAIN UNIT</v>
      </c>
      <c r="Q2465" s="13" t="s">
        <v>61</v>
      </c>
      <c r="R2465" s="13" t="s">
        <v>62</v>
      </c>
      <c r="S2465" s="13" t="s">
        <v>50</v>
      </c>
      <c r="T2465" s="13" t="s">
        <v>83</v>
      </c>
      <c r="U2465" s="13" t="s">
        <v>70</v>
      </c>
      <c r="V2465" s="13" t="s">
        <v>169</v>
      </c>
      <c r="W2465" s="13" t="s">
        <v>64</v>
      </c>
      <c r="X2465" s="135">
        <v>1155000</v>
      </c>
      <c r="Y2465" s="157" t="str">
        <f>IF(W2465="RMB","1.13", "1")</f>
        <v>1.13</v>
      </c>
      <c r="Z2465" s="18">
        <f t="shared" si="736"/>
        <v>1155000</v>
      </c>
      <c r="AA2465" s="13">
        <v>1.2150000000000001</v>
      </c>
      <c r="AB2465" s="21">
        <f t="shared" si="738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22"/>
        <v>25380121.402654871</v>
      </c>
      <c r="AJ2465" s="19">
        <f t="shared" si="723"/>
        <v>3850343.1237796471</v>
      </c>
      <c r="AK2465" s="20">
        <f t="shared" si="730"/>
        <v>0.1517070412191521</v>
      </c>
      <c r="AL2465" s="17"/>
      <c r="AM2465" s="17"/>
      <c r="AN2465" s="17"/>
      <c r="AO2465" s="17"/>
      <c r="AP2465" s="28" t="str">
        <f t="shared" si="731"/>
        <v>202112</v>
      </c>
      <c r="AQ2465" s="28" t="str">
        <f t="shared" si="732"/>
        <v>202112RMB</v>
      </c>
      <c r="AR2465" s="206" t="str">
        <f t="shared" si="733"/>
        <v>YAMAHA_Mounter</v>
      </c>
      <c r="AS2465" s="22">
        <f t="shared" si="734"/>
        <v>1</v>
      </c>
      <c r="AT2465" s="24" t="str">
        <f t="shared" si="735"/>
        <v>0-3 months</v>
      </c>
      <c r="AU2465" s="22" t="s">
        <v>3240</v>
      </c>
    </row>
    <row r="2466" spans="1:47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53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1916</v>
      </c>
      <c r="K2466" s="155" t="s">
        <v>1294</v>
      </c>
      <c r="L2466" s="17" t="s">
        <v>92</v>
      </c>
      <c r="M2466" s="13" t="s">
        <v>60</v>
      </c>
      <c r="N2466" s="13">
        <v>1</v>
      </c>
      <c r="O2466" s="13"/>
      <c r="P2466" s="33" t="str">
        <f t="shared" si="737"/>
        <v>MAIN UNIT</v>
      </c>
      <c r="Q2466" s="13" t="s">
        <v>61</v>
      </c>
      <c r="R2466" s="13" t="s">
        <v>62</v>
      </c>
      <c r="S2466" s="13" t="s">
        <v>50</v>
      </c>
      <c r="T2466" s="13" t="s">
        <v>83</v>
      </c>
      <c r="U2466" s="13" t="s">
        <v>70</v>
      </c>
      <c r="V2466" s="13" t="s">
        <v>169</v>
      </c>
      <c r="W2466" s="13" t="s">
        <v>64</v>
      </c>
      <c r="X2466" s="135">
        <v>1155000</v>
      </c>
      <c r="Y2466" s="157" t="str">
        <f>IF(W2466="RMB","1.13", "1")</f>
        <v>1.13</v>
      </c>
      <c r="Z2466" s="18">
        <f t="shared" si="736"/>
        <v>1155000</v>
      </c>
      <c r="AA2466" s="13">
        <v>1.22</v>
      </c>
      <c r="AB2466" s="21">
        <f t="shared" si="738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22"/>
        <v>26407088.359292038</v>
      </c>
      <c r="AJ2466" s="19">
        <f t="shared" si="723"/>
        <v>3424510.6998470789</v>
      </c>
      <c r="AK2466" s="20">
        <f t="shared" si="730"/>
        <v>0.12968149510667554</v>
      </c>
      <c r="AL2466" s="17"/>
      <c r="AM2466" s="17"/>
      <c r="AN2466" s="17"/>
      <c r="AO2466" s="17"/>
      <c r="AP2466" s="28" t="str">
        <f t="shared" si="731"/>
        <v>20221</v>
      </c>
      <c r="AQ2466" s="28" t="str">
        <f t="shared" si="732"/>
        <v>20221RMB</v>
      </c>
      <c r="AR2466" s="206" t="str">
        <f t="shared" si="733"/>
        <v>YAMAHA_Mounter</v>
      </c>
      <c r="AS2466" s="22">
        <f t="shared" si="734"/>
        <v>2</v>
      </c>
      <c r="AT2466" s="24" t="str">
        <f t="shared" si="735"/>
        <v>0-3 months</v>
      </c>
      <c r="AU2466" s="22" t="s">
        <v>3240</v>
      </c>
    </row>
    <row r="2467" spans="1:47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54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2030</v>
      </c>
      <c r="K2467" s="155" t="s">
        <v>1294</v>
      </c>
      <c r="L2467" s="17" t="s">
        <v>67</v>
      </c>
      <c r="M2467" s="13" t="s">
        <v>60</v>
      </c>
      <c r="N2467" s="13">
        <v>1</v>
      </c>
      <c r="O2467" s="13"/>
      <c r="P2467" s="33" t="str">
        <f t="shared" si="737"/>
        <v>MAIN UNIT</v>
      </c>
      <c r="Q2467" s="13" t="s">
        <v>61</v>
      </c>
      <c r="R2467" s="13" t="s">
        <v>62</v>
      </c>
      <c r="S2467" s="13" t="s">
        <v>50</v>
      </c>
      <c r="T2467" s="13" t="s">
        <v>83</v>
      </c>
      <c r="U2467" s="13" t="s">
        <v>70</v>
      </c>
      <c r="V2467" s="13" t="s">
        <v>169</v>
      </c>
      <c r="W2467" s="13" t="s">
        <v>64</v>
      </c>
      <c r="X2467" s="135">
        <v>756000</v>
      </c>
      <c r="Y2467" s="157" t="str">
        <f>IF(W2467="RMB","1.13", "1")</f>
        <v>1.13</v>
      </c>
      <c r="Z2467" s="18">
        <f t="shared" si="736"/>
        <v>756000</v>
      </c>
      <c r="AA2467" s="13">
        <v>1.175</v>
      </c>
      <c r="AB2467" s="21">
        <f t="shared" si="738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22"/>
        <v>35682787.057522126</v>
      </c>
      <c r="AJ2467" s="19">
        <f t="shared" si="723"/>
        <v>5833368.3789623892</v>
      </c>
      <c r="AK2467" s="20">
        <f t="shared" si="730"/>
        <v>0.16347849649632912</v>
      </c>
      <c r="AL2467" s="17"/>
      <c r="AM2467" s="17"/>
      <c r="AN2467" s="17"/>
      <c r="AO2467" s="17"/>
      <c r="AP2467" s="28" t="str">
        <f t="shared" si="731"/>
        <v>20226</v>
      </c>
      <c r="AQ2467" s="28" t="str">
        <f t="shared" si="732"/>
        <v>20226RMB</v>
      </c>
      <c r="AR2467" s="206" t="str">
        <f t="shared" si="733"/>
        <v>YAMAHA_Mounter</v>
      </c>
      <c r="AS2467" s="22">
        <f t="shared" si="734"/>
        <v>9</v>
      </c>
      <c r="AT2467" s="24" t="str">
        <f t="shared" si="735"/>
        <v>&gt; 6 months</v>
      </c>
      <c r="AU2467" s="22" t="s">
        <v>3240</v>
      </c>
    </row>
    <row r="2468" spans="1:47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41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502</v>
      </c>
      <c r="K2468" s="155" t="s">
        <v>503</v>
      </c>
      <c r="L2468" s="17" t="s">
        <v>2780</v>
      </c>
      <c r="M2468" s="13" t="s">
        <v>60</v>
      </c>
      <c r="N2468" s="13">
        <v>1</v>
      </c>
      <c r="O2468" s="13"/>
      <c r="P2468" s="33" t="str">
        <f t="shared" si="737"/>
        <v>MAIN UNIT</v>
      </c>
      <c r="Q2468" s="13" t="s">
        <v>61</v>
      </c>
      <c r="R2468" s="13" t="s">
        <v>2055</v>
      </c>
      <c r="S2468" s="13" t="s">
        <v>50</v>
      </c>
      <c r="T2468" s="13" t="s">
        <v>101</v>
      </c>
      <c r="U2468" s="13" t="s">
        <v>70</v>
      </c>
      <c r="V2468" s="13" t="s">
        <v>169</v>
      </c>
      <c r="W2468" s="13" t="s">
        <v>64</v>
      </c>
      <c r="X2468" s="135">
        <v>532300</v>
      </c>
      <c r="Y2468" s="156">
        <v>1.1599999999999999</v>
      </c>
      <c r="Z2468" s="18">
        <f t="shared" si="736"/>
        <v>532300</v>
      </c>
      <c r="AA2468" s="13">
        <v>1.125</v>
      </c>
      <c r="AB2468" s="21">
        <f t="shared" si="738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22"/>
        <v>29840797.698275864</v>
      </c>
      <c r="AJ2468" s="19">
        <f t="shared" si="723"/>
        <v>3940167.6555448272</v>
      </c>
      <c r="AK2468" s="20">
        <f t="shared" si="730"/>
        <v>0.13203962224416277</v>
      </c>
      <c r="AL2468" s="17"/>
      <c r="AM2468" s="17"/>
      <c r="AN2468" s="17"/>
      <c r="AO2468" s="17"/>
      <c r="AP2468" s="28" t="str">
        <f t="shared" si="731"/>
        <v>201812</v>
      </c>
      <c r="AQ2468" s="28" t="str">
        <f t="shared" si="732"/>
        <v>201812RMB</v>
      </c>
      <c r="AR2468" s="206" t="str">
        <f t="shared" si="733"/>
        <v>YAMAHA_Non_Mounter</v>
      </c>
      <c r="AS2468" s="22">
        <f t="shared" si="734"/>
        <v>2</v>
      </c>
      <c r="AT2468" s="24" t="str">
        <f t="shared" si="735"/>
        <v>0-3 months</v>
      </c>
      <c r="AU2468" s="22" t="s">
        <v>3240</v>
      </c>
    </row>
    <row r="2469" spans="1:47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41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502</v>
      </c>
      <c r="K2469" s="155" t="s">
        <v>503</v>
      </c>
      <c r="L2469" s="17" t="s">
        <v>2788</v>
      </c>
      <c r="M2469" s="13" t="s">
        <v>2607</v>
      </c>
      <c r="N2469" s="13">
        <v>1</v>
      </c>
      <c r="O2469" s="13"/>
      <c r="P2469" s="33" t="str">
        <f t="shared" si="737"/>
        <v>MAIN UNIT</v>
      </c>
      <c r="Q2469" s="13" t="s">
        <v>61</v>
      </c>
      <c r="R2469" s="13" t="s">
        <v>2055</v>
      </c>
      <c r="S2469" s="13" t="s">
        <v>50</v>
      </c>
      <c r="T2469" s="13" t="s">
        <v>101</v>
      </c>
      <c r="U2469" s="13" t="s">
        <v>70</v>
      </c>
      <c r="V2469" s="13" t="s">
        <v>169</v>
      </c>
      <c r="W2469" s="13" t="s">
        <v>64</v>
      </c>
      <c r="X2469" s="135">
        <v>420000</v>
      </c>
      <c r="Y2469" s="156">
        <v>1.1599999999999999</v>
      </c>
      <c r="Z2469" s="18">
        <f t="shared" si="736"/>
        <v>420000</v>
      </c>
      <c r="AA2469" s="13">
        <v>1.125</v>
      </c>
      <c r="AB2469" s="21">
        <f t="shared" si="738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22"/>
        <v>29840797.698275864</v>
      </c>
      <c r="AJ2469" s="19">
        <f t="shared" si="723"/>
        <v>3940167.6555448272</v>
      </c>
      <c r="AK2469" s="20">
        <f t="shared" si="730"/>
        <v>0.13203962224416277</v>
      </c>
      <c r="AL2469" s="17"/>
      <c r="AM2469" s="17"/>
      <c r="AN2469" s="17"/>
      <c r="AO2469" s="17"/>
      <c r="AP2469" s="28" t="str">
        <f t="shared" si="731"/>
        <v>201812</v>
      </c>
      <c r="AQ2469" s="28" t="str">
        <f t="shared" si="732"/>
        <v>201812RMB</v>
      </c>
      <c r="AR2469" s="206" t="str">
        <f t="shared" si="733"/>
        <v>HELLER</v>
      </c>
      <c r="AS2469" s="22">
        <f t="shared" si="734"/>
        <v>2</v>
      </c>
      <c r="AT2469" s="24" t="str">
        <f t="shared" si="735"/>
        <v>0-3 months</v>
      </c>
      <c r="AU2469" s="22" t="s">
        <v>3240</v>
      </c>
    </row>
    <row r="2470" spans="1:47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53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1916</v>
      </c>
      <c r="K2470" s="155" t="s">
        <v>1294</v>
      </c>
      <c r="L2470" s="17" t="s">
        <v>2780</v>
      </c>
      <c r="M2470" s="13" t="s">
        <v>60</v>
      </c>
      <c r="N2470" s="13">
        <v>1</v>
      </c>
      <c r="O2470" s="13"/>
      <c r="P2470" s="33" t="str">
        <f t="shared" si="737"/>
        <v>MAIN UNIT</v>
      </c>
      <c r="Q2470" s="13" t="s">
        <v>61</v>
      </c>
      <c r="R2470" s="13" t="s">
        <v>2055</v>
      </c>
      <c r="S2470" s="13" t="s">
        <v>50</v>
      </c>
      <c r="T2470" s="13" t="s">
        <v>83</v>
      </c>
      <c r="U2470" s="13" t="s">
        <v>70</v>
      </c>
      <c r="V2470" s="13" t="s">
        <v>169</v>
      </c>
      <c r="W2470" s="13" t="s">
        <v>64</v>
      </c>
      <c r="X2470" s="135">
        <v>465000</v>
      </c>
      <c r="Y2470" s="157" t="str">
        <f>IF(W2470="RMB","1.13", "1")</f>
        <v>1.13</v>
      </c>
      <c r="Z2470" s="18">
        <f t="shared" si="736"/>
        <v>465000</v>
      </c>
      <c r="AA2470" s="13">
        <v>1.22</v>
      </c>
      <c r="AB2470" s="21">
        <f t="shared" si="738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22"/>
        <v>26407088.359292038</v>
      </c>
      <c r="AJ2470" s="19">
        <f t="shared" si="723"/>
        <v>3424510.6998470789</v>
      </c>
      <c r="AK2470" s="20">
        <f t="shared" si="730"/>
        <v>0.12968149510667554</v>
      </c>
      <c r="AL2470" s="17"/>
      <c r="AM2470" s="17"/>
      <c r="AN2470" s="17"/>
      <c r="AO2470" s="17"/>
      <c r="AP2470" s="28" t="str">
        <f t="shared" si="731"/>
        <v>20221</v>
      </c>
      <c r="AQ2470" s="28" t="str">
        <f t="shared" si="732"/>
        <v>20221RMB</v>
      </c>
      <c r="AR2470" s="206" t="str">
        <f t="shared" si="733"/>
        <v>YAMAHA_Non_Mounter</v>
      </c>
      <c r="AS2470" s="22">
        <f t="shared" si="734"/>
        <v>2</v>
      </c>
      <c r="AT2470" s="24" t="str">
        <f t="shared" si="735"/>
        <v>0-3 months</v>
      </c>
      <c r="AU2470" s="22" t="s">
        <v>3240</v>
      </c>
    </row>
    <row r="2471" spans="1:47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53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1916</v>
      </c>
      <c r="K2471" s="155" t="s">
        <v>1294</v>
      </c>
      <c r="L2471" s="17" t="s">
        <v>2609</v>
      </c>
      <c r="M2471" s="13" t="s">
        <v>2607</v>
      </c>
      <c r="N2471" s="13">
        <v>1</v>
      </c>
      <c r="O2471" s="13"/>
      <c r="P2471" s="33" t="str">
        <f t="shared" si="737"/>
        <v>MAIN UNIT</v>
      </c>
      <c r="Q2471" s="13" t="s">
        <v>61</v>
      </c>
      <c r="R2471" s="13" t="s">
        <v>2055</v>
      </c>
      <c r="S2471" s="13" t="s">
        <v>50</v>
      </c>
      <c r="T2471" s="13" t="s">
        <v>83</v>
      </c>
      <c r="U2471" s="13" t="s">
        <v>70</v>
      </c>
      <c r="V2471" s="13" t="s">
        <v>169</v>
      </c>
      <c r="W2471" s="13" t="s">
        <v>64</v>
      </c>
      <c r="X2471" s="135">
        <v>360000</v>
      </c>
      <c r="Y2471" s="157" t="str">
        <f>IF(W2471="RMB","1.13", "1")</f>
        <v>1.13</v>
      </c>
      <c r="Z2471" s="18">
        <f t="shared" si="736"/>
        <v>360000</v>
      </c>
      <c r="AA2471" s="13">
        <v>1.22</v>
      </c>
      <c r="AB2471" s="21">
        <f t="shared" si="738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22"/>
        <v>26407088.359292038</v>
      </c>
      <c r="AJ2471" s="19">
        <f t="shared" si="723"/>
        <v>3424510.6998470789</v>
      </c>
      <c r="AK2471" s="20">
        <f t="shared" si="730"/>
        <v>0.12968149510667554</v>
      </c>
      <c r="AL2471" s="17"/>
      <c r="AM2471" s="17"/>
      <c r="AN2471" s="17"/>
      <c r="AO2471" s="17"/>
      <c r="AP2471" s="28" t="str">
        <f t="shared" si="731"/>
        <v>20221</v>
      </c>
      <c r="AQ2471" s="28" t="str">
        <f t="shared" si="732"/>
        <v>20221RMB</v>
      </c>
      <c r="AR2471" s="206" t="str">
        <f t="shared" si="733"/>
        <v>HELLER</v>
      </c>
      <c r="AS2471" s="22">
        <f t="shared" si="734"/>
        <v>2</v>
      </c>
      <c r="AT2471" s="24" t="str">
        <f t="shared" si="735"/>
        <v>0-3 months</v>
      </c>
      <c r="AU2471" s="22" t="s">
        <v>3240</v>
      </c>
    </row>
    <row r="2472" spans="1:47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41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374</v>
      </c>
      <c r="K2472" s="155" t="s">
        <v>375</v>
      </c>
      <c r="L2472" s="17" t="s">
        <v>376</v>
      </c>
      <c r="M2472" s="13" t="s">
        <v>377</v>
      </c>
      <c r="N2472" s="13">
        <v>1</v>
      </c>
      <c r="O2472" s="13"/>
      <c r="P2472" s="33" t="str">
        <f t="shared" si="737"/>
        <v>MAIN UNIT</v>
      </c>
      <c r="Q2472" s="13" t="s">
        <v>68</v>
      </c>
      <c r="R2472" s="13" t="s">
        <v>62</v>
      </c>
      <c r="S2472" s="13" t="s">
        <v>50</v>
      </c>
      <c r="T2472" s="13" t="s">
        <v>101</v>
      </c>
      <c r="U2472" s="13" t="s">
        <v>70</v>
      </c>
      <c r="V2472" s="13" t="s">
        <v>102</v>
      </c>
      <c r="W2472" s="13" t="s">
        <v>64</v>
      </c>
      <c r="X2472" s="135">
        <v>100000</v>
      </c>
      <c r="Y2472" s="156">
        <v>1.1599999999999999</v>
      </c>
      <c r="Z2472" s="18">
        <f t="shared" si="736"/>
        <v>100000</v>
      </c>
      <c r="AA2472" s="13">
        <v>1.1499999999999999</v>
      </c>
      <c r="AB2472" s="21">
        <f t="shared" si="738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22"/>
        <v>26492741.106427077</v>
      </c>
      <c r="AJ2472" s="19">
        <f t="shared" si="723"/>
        <v>3348032.1325698122</v>
      </c>
      <c r="AK2472" s="20">
        <f t="shared" si="730"/>
        <v>0.12637545201985867</v>
      </c>
      <c r="AL2472" s="17"/>
      <c r="AM2472" s="17"/>
      <c r="AN2472" s="17"/>
      <c r="AO2472" s="17"/>
      <c r="AP2472" s="28" t="str">
        <f t="shared" si="731"/>
        <v>20189</v>
      </c>
      <c r="AQ2472" s="28" t="str">
        <f t="shared" si="732"/>
        <v>20189RMB</v>
      </c>
      <c r="AR2472" s="206" t="str">
        <f t="shared" si="733"/>
        <v>LOCAL SUPPLIER</v>
      </c>
      <c r="AS2472" s="22">
        <f t="shared" si="734"/>
        <v>2</v>
      </c>
      <c r="AT2472" s="24" t="str">
        <f t="shared" si="735"/>
        <v>0-3 months</v>
      </c>
      <c r="AU2472" s="22" t="s">
        <v>3240</v>
      </c>
    </row>
    <row r="2473" spans="1:47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53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1829</v>
      </c>
      <c r="K2473" s="155" t="s">
        <v>1830</v>
      </c>
      <c r="L2473" s="17" t="s">
        <v>92</v>
      </c>
      <c r="M2473" s="13" t="s">
        <v>60</v>
      </c>
      <c r="N2473" s="13">
        <v>1</v>
      </c>
      <c r="O2473" s="13"/>
      <c r="P2473" s="33" t="str">
        <f t="shared" si="737"/>
        <v>MAIN UNIT</v>
      </c>
      <c r="Q2473" s="13" t="s">
        <v>61</v>
      </c>
      <c r="R2473" s="13" t="s">
        <v>62</v>
      </c>
      <c r="S2473" s="13" t="s">
        <v>50</v>
      </c>
      <c r="T2473" s="13" t="s">
        <v>83</v>
      </c>
      <c r="U2473" s="13" t="s">
        <v>70</v>
      </c>
      <c r="V2473" s="13" t="s">
        <v>102</v>
      </c>
      <c r="W2473" s="13" t="s">
        <v>64</v>
      </c>
      <c r="X2473" s="135">
        <v>1000000</v>
      </c>
      <c r="Y2473" s="157" t="str">
        <f>IF(W2473="RMB","1.13", "1")</f>
        <v>1.13</v>
      </c>
      <c r="Z2473" s="18">
        <f t="shared" si="736"/>
        <v>1000000</v>
      </c>
      <c r="AA2473" s="13">
        <v>1.2</v>
      </c>
      <c r="AB2473" s="21">
        <f t="shared" si="738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22"/>
        <v>41443303.53761062</v>
      </c>
      <c r="AJ2473" s="19">
        <f t="shared" si="723"/>
        <v>6194988.76643031</v>
      </c>
      <c r="AK2473" s="20">
        <f t="shared" si="730"/>
        <v>0.1494810557466355</v>
      </c>
      <c r="AL2473" s="17"/>
      <c r="AM2473" s="17"/>
      <c r="AN2473" s="17"/>
      <c r="AO2473" s="17"/>
      <c r="AP2473" s="28" t="str">
        <f t="shared" si="731"/>
        <v>20217</v>
      </c>
      <c r="AQ2473" s="28" t="str">
        <f t="shared" si="732"/>
        <v>20217RMB</v>
      </c>
      <c r="AR2473" s="206" t="str">
        <f t="shared" si="733"/>
        <v>YAMAHA_Mounter</v>
      </c>
      <c r="AS2473" s="22">
        <f t="shared" si="734"/>
        <v>3</v>
      </c>
      <c r="AT2473" s="24" t="str">
        <f t="shared" si="735"/>
        <v>0-3 months</v>
      </c>
      <c r="AU2473" s="22" t="s">
        <v>3240</v>
      </c>
    </row>
    <row r="2474" spans="1:47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53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1829</v>
      </c>
      <c r="K2474" s="155" t="s">
        <v>1830</v>
      </c>
      <c r="L2474" s="17" t="s">
        <v>92</v>
      </c>
      <c r="M2474" s="13" t="s">
        <v>60</v>
      </c>
      <c r="N2474" s="13">
        <v>1</v>
      </c>
      <c r="O2474" s="13"/>
      <c r="P2474" s="33" t="str">
        <f t="shared" si="737"/>
        <v>MAIN UNIT</v>
      </c>
      <c r="Q2474" s="13" t="s">
        <v>61</v>
      </c>
      <c r="R2474" s="13" t="s">
        <v>62</v>
      </c>
      <c r="S2474" s="13" t="s">
        <v>50</v>
      </c>
      <c r="T2474" s="13" t="s">
        <v>83</v>
      </c>
      <c r="U2474" s="13" t="s">
        <v>70</v>
      </c>
      <c r="V2474" s="13" t="s">
        <v>102</v>
      </c>
      <c r="W2474" s="13" t="s">
        <v>64</v>
      </c>
      <c r="X2474" s="135">
        <v>1000000</v>
      </c>
      <c r="Y2474" s="157" t="str">
        <f>IF(W2474="RMB","1.13", "1")</f>
        <v>1.13</v>
      </c>
      <c r="Z2474" s="18">
        <f t="shared" si="736"/>
        <v>1000000</v>
      </c>
      <c r="AA2474" s="13">
        <v>1.2</v>
      </c>
      <c r="AB2474" s="21">
        <f t="shared" si="738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22"/>
        <v>41443303.53761062</v>
      </c>
      <c r="AJ2474" s="19">
        <f t="shared" si="723"/>
        <v>6194988.76643031</v>
      </c>
      <c r="AK2474" s="20">
        <f t="shared" si="730"/>
        <v>0.1494810557466355</v>
      </c>
      <c r="AL2474" s="17"/>
      <c r="AM2474" s="17"/>
      <c r="AN2474" s="17"/>
      <c r="AO2474" s="17"/>
      <c r="AP2474" s="28" t="str">
        <f t="shared" si="731"/>
        <v>20217</v>
      </c>
      <c r="AQ2474" s="28" t="str">
        <f t="shared" si="732"/>
        <v>20217RMB</v>
      </c>
      <c r="AR2474" s="206" t="str">
        <f t="shared" si="733"/>
        <v>YAMAHA_Mounter</v>
      </c>
      <c r="AS2474" s="22">
        <f t="shared" si="734"/>
        <v>3</v>
      </c>
      <c r="AT2474" s="24" t="str">
        <f t="shared" si="735"/>
        <v>0-3 months</v>
      </c>
      <c r="AU2474" s="22" t="s">
        <v>3240</v>
      </c>
    </row>
    <row r="2475" spans="1:47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3472</v>
      </c>
      <c r="K2475" s="29" t="s">
        <v>3473</v>
      </c>
      <c r="L2475" s="17" t="s">
        <v>67</v>
      </c>
      <c r="M2475" s="13" t="s">
        <v>60</v>
      </c>
      <c r="N2475" s="13">
        <v>1</v>
      </c>
      <c r="O2475" s="22"/>
      <c r="P2475" s="33" t="str">
        <f t="shared" si="737"/>
        <v>MAIN UNIT</v>
      </c>
      <c r="Q2475" s="22" t="s">
        <v>68</v>
      </c>
      <c r="R2475" s="22" t="s">
        <v>62</v>
      </c>
      <c r="S2475" s="22" t="s">
        <v>49</v>
      </c>
      <c r="T2475" s="22" t="s">
        <v>78</v>
      </c>
      <c r="U2475" s="22" t="s">
        <v>78</v>
      </c>
      <c r="V2475" s="22" t="s">
        <v>112</v>
      </c>
      <c r="W2475" s="22" t="s">
        <v>109</v>
      </c>
      <c r="X2475" s="104">
        <v>10225000</v>
      </c>
      <c r="Y2475" s="195" t="str">
        <f t="shared" ref="Y2475:Y2480" si="739">IF(W2475="","",IF(W2475="RMB","1.13", "1"))</f>
        <v>1</v>
      </c>
      <c r="Z2475" s="196">
        <f t="shared" si="736"/>
        <v>10225000</v>
      </c>
      <c r="AA2475" s="22">
        <v>4.9500000000000002E-2</v>
      </c>
      <c r="AB2475" s="197">
        <f t="shared" si="738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22"/>
        <v>25458266.694690265</v>
      </c>
      <c r="AJ2475" s="200">
        <f t="shared" si="723"/>
        <v>4116526.778578762</v>
      </c>
      <c r="AK2475" s="201">
        <f t="shared" si="730"/>
        <v>0.16169705612508689</v>
      </c>
      <c r="AL2475" s="24"/>
      <c r="AM2475" s="24"/>
      <c r="AN2475" s="24"/>
      <c r="AO2475" s="24"/>
      <c r="AP2475" s="105" t="str">
        <f t="shared" si="731"/>
        <v>20247</v>
      </c>
      <c r="AQ2475" s="28" t="str">
        <f t="shared" si="732"/>
        <v>20247JPY</v>
      </c>
      <c r="AR2475" s="206" t="str">
        <f t="shared" si="733"/>
        <v>YAMAHA_Mounter</v>
      </c>
      <c r="AS2475" s="22">
        <f t="shared" si="734"/>
        <v>1</v>
      </c>
      <c r="AT2475" s="24" t="str">
        <f t="shared" si="735"/>
        <v>0-3 months</v>
      </c>
      <c r="AU2475" s="22" t="s">
        <v>3745</v>
      </c>
    </row>
    <row r="2476" spans="1:47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3537</v>
      </c>
      <c r="K2476" s="29" t="s">
        <v>167</v>
      </c>
      <c r="L2476" s="17" t="s">
        <v>2620</v>
      </c>
      <c r="M2476" s="13" t="s">
        <v>60</v>
      </c>
      <c r="N2476" s="13">
        <v>1</v>
      </c>
      <c r="O2476" s="22"/>
      <c r="P2476" s="202" t="str">
        <f t="shared" si="737"/>
        <v>MAIN UNIT</v>
      </c>
      <c r="Q2476" s="22" t="s">
        <v>61</v>
      </c>
      <c r="R2476" s="22" t="s">
        <v>2055</v>
      </c>
      <c r="S2476" s="22" t="s">
        <v>50</v>
      </c>
      <c r="T2476" s="22" t="s">
        <v>83</v>
      </c>
      <c r="U2476" s="22" t="s">
        <v>70</v>
      </c>
      <c r="V2476" s="22" t="s">
        <v>102</v>
      </c>
      <c r="W2476" s="22" t="s">
        <v>64</v>
      </c>
      <c r="X2476" s="104">
        <v>358000</v>
      </c>
      <c r="Y2476" s="195" t="str">
        <f t="shared" si="739"/>
        <v>1.13</v>
      </c>
      <c r="Z2476" s="196">
        <v>380666</v>
      </c>
      <c r="AA2476" s="22">
        <v>1.1080000000000001</v>
      </c>
      <c r="AB2476" s="197">
        <f t="shared" si="738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22"/>
        <v>22758096.38940867</v>
      </c>
      <c r="AJ2476" s="200">
        <f t="shared" si="723"/>
        <v>2469357.2298956565</v>
      </c>
      <c r="AK2476" s="201">
        <f t="shared" si="730"/>
        <v>0.10850455976822666</v>
      </c>
      <c r="AL2476" s="24"/>
      <c r="AM2476" s="24"/>
      <c r="AN2476" s="24"/>
      <c r="AO2476" s="24"/>
      <c r="AP2476" s="105" t="str">
        <f t="shared" si="731"/>
        <v>202410</v>
      </c>
      <c r="AQ2476" s="28" t="str">
        <f t="shared" si="732"/>
        <v>202410RMB</v>
      </c>
      <c r="AR2476" s="206" t="str">
        <f t="shared" si="733"/>
        <v>YAMAHA_Non_Mounter</v>
      </c>
      <c r="AS2476" s="22">
        <f t="shared" si="734"/>
        <v>3</v>
      </c>
      <c r="AT2476" s="24" t="str">
        <f t="shared" si="735"/>
        <v>0-3 months</v>
      </c>
      <c r="AU2476" s="22" t="s">
        <v>3240</v>
      </c>
    </row>
    <row r="2477" spans="1:47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3480</v>
      </c>
      <c r="K2477" s="29" t="s">
        <v>579</v>
      </c>
      <c r="L2477" s="17" t="s">
        <v>92</v>
      </c>
      <c r="M2477" s="13" t="s">
        <v>60</v>
      </c>
      <c r="N2477" s="13">
        <v>1</v>
      </c>
      <c r="O2477" s="22"/>
      <c r="P2477" s="33" t="str">
        <f t="shared" si="737"/>
        <v>MAIN UNIT</v>
      </c>
      <c r="Q2477" s="22" t="s">
        <v>61</v>
      </c>
      <c r="R2477" s="22" t="s">
        <v>62</v>
      </c>
      <c r="S2477" s="22" t="s">
        <v>50</v>
      </c>
      <c r="T2477" s="22" t="s">
        <v>101</v>
      </c>
      <c r="U2477" s="22" t="s">
        <v>70</v>
      </c>
      <c r="V2477" s="22" t="s">
        <v>102</v>
      </c>
      <c r="W2477" s="22" t="s">
        <v>64</v>
      </c>
      <c r="X2477" s="104">
        <v>729350</v>
      </c>
      <c r="Y2477" s="195" t="str">
        <f t="shared" si="739"/>
        <v>1.13</v>
      </c>
      <c r="Z2477" s="196">
        <f t="shared" si="736"/>
        <v>729350</v>
      </c>
      <c r="AA2477" s="22">
        <v>1.075</v>
      </c>
      <c r="AB2477" s="197">
        <f t="shared" si="738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22"/>
        <v>25458266.694690265</v>
      </c>
      <c r="AJ2477" s="200">
        <f t="shared" si="723"/>
        <v>4116526.778578762</v>
      </c>
      <c r="AK2477" s="201">
        <f t="shared" si="730"/>
        <v>0.16169705612508689</v>
      </c>
      <c r="AL2477" s="24"/>
      <c r="AM2477" s="24"/>
      <c r="AN2477" s="24"/>
      <c r="AO2477" s="24"/>
      <c r="AP2477" s="105" t="str">
        <f t="shared" si="731"/>
        <v>20247</v>
      </c>
      <c r="AQ2477" s="28" t="str">
        <f t="shared" si="732"/>
        <v>20247RMB</v>
      </c>
      <c r="AR2477" s="206" t="str">
        <f t="shared" si="733"/>
        <v>YAMAHA_Mounter</v>
      </c>
      <c r="AS2477" s="22">
        <f t="shared" si="734"/>
        <v>1</v>
      </c>
      <c r="AT2477" s="24" t="str">
        <f t="shared" si="735"/>
        <v>0-3 months</v>
      </c>
      <c r="AU2477" s="22" t="s">
        <v>3240</v>
      </c>
    </row>
    <row r="2478" spans="1:47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3480</v>
      </c>
      <c r="K2478" s="29" t="s">
        <v>579</v>
      </c>
      <c r="L2478" s="17" t="s">
        <v>92</v>
      </c>
      <c r="M2478" s="13" t="s">
        <v>60</v>
      </c>
      <c r="N2478" s="13">
        <v>1</v>
      </c>
      <c r="O2478" s="22"/>
      <c r="P2478" s="33" t="str">
        <f t="shared" si="737"/>
        <v>MAIN UNIT</v>
      </c>
      <c r="Q2478" s="22" t="s">
        <v>61</v>
      </c>
      <c r="R2478" s="22" t="s">
        <v>62</v>
      </c>
      <c r="S2478" s="22" t="s">
        <v>50</v>
      </c>
      <c r="T2478" s="22" t="s">
        <v>101</v>
      </c>
      <c r="U2478" s="22" t="s">
        <v>70</v>
      </c>
      <c r="V2478" s="22" t="s">
        <v>102</v>
      </c>
      <c r="W2478" s="22" t="s">
        <v>64</v>
      </c>
      <c r="X2478" s="104">
        <v>729350</v>
      </c>
      <c r="Y2478" s="195" t="str">
        <f t="shared" si="739"/>
        <v>1.13</v>
      </c>
      <c r="Z2478" s="196">
        <f t="shared" si="736"/>
        <v>729350</v>
      </c>
      <c r="AA2478" s="22">
        <v>1.075</v>
      </c>
      <c r="AB2478" s="197">
        <f t="shared" si="738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22"/>
        <v>25458266.694690265</v>
      </c>
      <c r="AJ2478" s="200">
        <f t="shared" si="723"/>
        <v>4116526.778578762</v>
      </c>
      <c r="AK2478" s="201">
        <f t="shared" si="730"/>
        <v>0.16169705612508689</v>
      </c>
      <c r="AL2478" s="24"/>
      <c r="AM2478" s="24"/>
      <c r="AN2478" s="24"/>
      <c r="AO2478" s="24"/>
      <c r="AP2478" s="105" t="str">
        <f t="shared" si="731"/>
        <v>20247</v>
      </c>
      <c r="AQ2478" s="28" t="str">
        <f t="shared" si="732"/>
        <v>20247RMB</v>
      </c>
      <c r="AR2478" s="206" t="str">
        <f t="shared" si="733"/>
        <v>YAMAHA_Mounter</v>
      </c>
      <c r="AS2478" s="22">
        <f t="shared" si="734"/>
        <v>1</v>
      </c>
      <c r="AT2478" s="24" t="str">
        <f t="shared" si="735"/>
        <v>0-3 months</v>
      </c>
      <c r="AU2478" s="22" t="s">
        <v>3240</v>
      </c>
    </row>
    <row r="2479" spans="1:47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3480</v>
      </c>
      <c r="K2479" s="29" t="s">
        <v>579</v>
      </c>
      <c r="L2479" s="17" t="s">
        <v>2620</v>
      </c>
      <c r="M2479" s="13" t="s">
        <v>60</v>
      </c>
      <c r="N2479" s="13">
        <v>1</v>
      </c>
      <c r="O2479" s="22"/>
      <c r="P2479" s="33" t="str">
        <f t="shared" si="737"/>
        <v>MAIN UNIT</v>
      </c>
      <c r="Q2479" s="22" t="s">
        <v>61</v>
      </c>
      <c r="R2479" s="22" t="s">
        <v>2055</v>
      </c>
      <c r="S2479" s="22" t="s">
        <v>50</v>
      </c>
      <c r="T2479" s="22" t="s">
        <v>101</v>
      </c>
      <c r="U2479" s="22" t="s">
        <v>70</v>
      </c>
      <c r="V2479" s="22" t="s">
        <v>102</v>
      </c>
      <c r="W2479" s="22" t="s">
        <v>64</v>
      </c>
      <c r="X2479" s="104">
        <v>330000</v>
      </c>
      <c r="Y2479" s="195" t="str">
        <f t="shared" si="739"/>
        <v>1.13</v>
      </c>
      <c r="Z2479" s="196">
        <f t="shared" si="736"/>
        <v>330000</v>
      </c>
      <c r="AA2479" s="22">
        <v>1.075</v>
      </c>
      <c r="AB2479" s="197">
        <f t="shared" si="738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22"/>
        <v>25458266.694690265</v>
      </c>
      <c r="AJ2479" s="200">
        <f t="shared" si="723"/>
        <v>4116526.778578762</v>
      </c>
      <c r="AK2479" s="201">
        <f t="shared" si="730"/>
        <v>0.16169705612508689</v>
      </c>
      <c r="AL2479" s="24"/>
      <c r="AM2479" s="24"/>
      <c r="AN2479" s="24"/>
      <c r="AO2479" s="24"/>
      <c r="AP2479" s="105" t="str">
        <f t="shared" si="731"/>
        <v>20247</v>
      </c>
      <c r="AQ2479" s="28" t="str">
        <f t="shared" si="732"/>
        <v>20247RMB</v>
      </c>
      <c r="AR2479" s="206" t="str">
        <f t="shared" si="733"/>
        <v>YAMAHA_Non_Mounter</v>
      </c>
      <c r="AS2479" s="22">
        <f t="shared" si="734"/>
        <v>1</v>
      </c>
      <c r="AT2479" s="24" t="str">
        <f t="shared" si="735"/>
        <v>0-3 months</v>
      </c>
      <c r="AU2479" s="22" t="s">
        <v>3240</v>
      </c>
    </row>
    <row r="2480" spans="1:47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3172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3488</v>
      </c>
      <c r="K2480" s="29" t="s">
        <v>3448</v>
      </c>
      <c r="L2480" s="17" t="s">
        <v>2620</v>
      </c>
      <c r="M2480" s="13" t="s">
        <v>60</v>
      </c>
      <c r="N2480" s="13">
        <v>1</v>
      </c>
      <c r="O2480" s="22"/>
      <c r="P2480" s="202" t="str">
        <f t="shared" si="737"/>
        <v>MAIN UNIT</v>
      </c>
      <c r="Q2480" s="22" t="s">
        <v>61</v>
      </c>
      <c r="R2480" s="22" t="s">
        <v>2055</v>
      </c>
      <c r="S2480" s="22" t="s">
        <v>49</v>
      </c>
      <c r="T2480" s="22" t="s">
        <v>78</v>
      </c>
      <c r="U2480" s="22" t="s">
        <v>78</v>
      </c>
      <c r="V2480" s="22" t="s">
        <v>80</v>
      </c>
      <c r="W2480" s="22" t="s">
        <v>109</v>
      </c>
      <c r="X2480" s="104">
        <v>8080000</v>
      </c>
      <c r="Y2480" s="195" t="str">
        <f t="shared" si="739"/>
        <v>1</v>
      </c>
      <c r="Z2480" s="196">
        <f t="shared" si="736"/>
        <v>8080000</v>
      </c>
      <c r="AA2480" s="22">
        <v>4.9500000000000002E-2</v>
      </c>
      <c r="AB2480" s="197">
        <f t="shared" si="738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22"/>
        <v>25458266.694690265</v>
      </c>
      <c r="AJ2480" s="200">
        <f t="shared" si="723"/>
        <v>4116526.778578762</v>
      </c>
      <c r="AK2480" s="201">
        <f t="shared" si="730"/>
        <v>0.16169705612508689</v>
      </c>
      <c r="AL2480" s="24"/>
      <c r="AM2480" s="24"/>
      <c r="AN2480" s="24"/>
      <c r="AO2480" s="24"/>
      <c r="AP2480" s="105" t="str">
        <f t="shared" si="731"/>
        <v>20247</v>
      </c>
      <c r="AQ2480" s="28" t="str">
        <f t="shared" si="732"/>
        <v>20247JPY</v>
      </c>
      <c r="AR2480" s="206" t="str">
        <f t="shared" si="733"/>
        <v>YAMAHA_Non_Mounter</v>
      </c>
      <c r="AS2480" s="22">
        <f t="shared" si="734"/>
        <v>0</v>
      </c>
      <c r="AT2480" s="24" t="str">
        <f t="shared" si="735"/>
        <v>0-3 months</v>
      </c>
      <c r="AU2480" s="22" t="s">
        <v>3745</v>
      </c>
    </row>
    <row r="2481" spans="1:47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54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2253</v>
      </c>
      <c r="K2481" s="155" t="s">
        <v>2254</v>
      </c>
      <c r="L2481" s="17" t="s">
        <v>67</v>
      </c>
      <c r="M2481" s="13" t="s">
        <v>60</v>
      </c>
      <c r="N2481" s="13">
        <v>1</v>
      </c>
      <c r="O2481" s="13"/>
      <c r="P2481" s="33" t="str">
        <f t="shared" si="737"/>
        <v>MAIN UNIT</v>
      </c>
      <c r="Q2481" s="13" t="s">
        <v>61</v>
      </c>
      <c r="R2481" s="13" t="s">
        <v>62</v>
      </c>
      <c r="S2481" s="13" t="s">
        <v>50</v>
      </c>
      <c r="T2481" s="13" t="s">
        <v>101</v>
      </c>
      <c r="U2481" s="13" t="s">
        <v>70</v>
      </c>
      <c r="V2481" s="13" t="s">
        <v>102</v>
      </c>
      <c r="W2481" s="13" t="s">
        <v>64</v>
      </c>
      <c r="X2481" s="135">
        <v>968760</v>
      </c>
      <c r="Y2481" s="157" t="str">
        <f t="shared" ref="Y2481:Y2490" si="740">IF(W2481="RMB","1.13", "1")</f>
        <v>1.13</v>
      </c>
      <c r="Z2481" s="18">
        <f t="shared" si="736"/>
        <v>968760</v>
      </c>
      <c r="AA2481" s="13">
        <v>1.163</v>
      </c>
      <c r="AB2481" s="21">
        <f t="shared" si="738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22"/>
        <v>35073581.838938057</v>
      </c>
      <c r="AJ2481" s="19">
        <f t="shared" si="723"/>
        <v>5034113.9728989396</v>
      </c>
      <c r="AK2481" s="20">
        <f t="shared" si="730"/>
        <v>0.14353007902118958</v>
      </c>
      <c r="AL2481" s="17"/>
      <c r="AM2481" s="17"/>
      <c r="AN2481" s="17"/>
      <c r="AO2481" s="17"/>
      <c r="AP2481" s="28" t="str">
        <f t="shared" si="731"/>
        <v>20228</v>
      </c>
      <c r="AQ2481" s="28" t="str">
        <f t="shared" si="732"/>
        <v>20228RMB</v>
      </c>
      <c r="AR2481" s="206" t="str">
        <f t="shared" si="733"/>
        <v>YAMAHA_Mounter</v>
      </c>
      <c r="AS2481" s="22">
        <f t="shared" si="734"/>
        <v>3</v>
      </c>
      <c r="AT2481" s="24" t="str">
        <f t="shared" si="735"/>
        <v>0-3 months</v>
      </c>
      <c r="AU2481" s="22" t="s">
        <v>3240</v>
      </c>
    </row>
    <row r="2482" spans="1:47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54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2253</v>
      </c>
      <c r="K2482" s="155" t="s">
        <v>2254</v>
      </c>
      <c r="L2482" s="17" t="s">
        <v>92</v>
      </c>
      <c r="M2482" s="13" t="s">
        <v>60</v>
      </c>
      <c r="N2482" s="13">
        <v>1</v>
      </c>
      <c r="O2482" s="13"/>
      <c r="P2482" s="33" t="str">
        <f t="shared" si="737"/>
        <v>MAIN UNIT</v>
      </c>
      <c r="Q2482" s="13" t="s">
        <v>61</v>
      </c>
      <c r="R2482" s="13" t="s">
        <v>62</v>
      </c>
      <c r="S2482" s="13" t="s">
        <v>50</v>
      </c>
      <c r="T2482" s="13" t="s">
        <v>101</v>
      </c>
      <c r="U2482" s="13" t="s">
        <v>70</v>
      </c>
      <c r="V2482" s="13" t="s">
        <v>102</v>
      </c>
      <c r="W2482" s="13" t="s">
        <v>64</v>
      </c>
      <c r="X2482" s="135">
        <v>968760</v>
      </c>
      <c r="Y2482" s="157" t="str">
        <f t="shared" si="740"/>
        <v>1.13</v>
      </c>
      <c r="Z2482" s="18">
        <f t="shared" si="736"/>
        <v>968760</v>
      </c>
      <c r="AA2482" s="13">
        <v>1.163</v>
      </c>
      <c r="AB2482" s="21">
        <f t="shared" si="738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22"/>
        <v>35073581.838938057</v>
      </c>
      <c r="AJ2482" s="19">
        <f t="shared" si="723"/>
        <v>5034113.9728989396</v>
      </c>
      <c r="AK2482" s="20">
        <f t="shared" si="730"/>
        <v>0.14353007902118958</v>
      </c>
      <c r="AL2482" s="17"/>
      <c r="AM2482" s="17"/>
      <c r="AN2482" s="17"/>
      <c r="AO2482" s="17"/>
      <c r="AP2482" s="28" t="str">
        <f t="shared" si="731"/>
        <v>20228</v>
      </c>
      <c r="AQ2482" s="28" t="str">
        <f t="shared" si="732"/>
        <v>20228RMB</v>
      </c>
      <c r="AR2482" s="206" t="str">
        <f t="shared" si="733"/>
        <v>YAMAHA_Mounter</v>
      </c>
      <c r="AS2482" s="22">
        <f t="shared" si="734"/>
        <v>3</v>
      </c>
      <c r="AT2482" s="24" t="str">
        <f t="shared" si="735"/>
        <v>0-3 months</v>
      </c>
      <c r="AU2482" s="22" t="s">
        <v>3240</v>
      </c>
    </row>
    <row r="2483" spans="1:47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54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2253</v>
      </c>
      <c r="K2483" s="155" t="s">
        <v>2254</v>
      </c>
      <c r="L2483" s="17" t="s">
        <v>92</v>
      </c>
      <c r="M2483" s="13" t="s">
        <v>60</v>
      </c>
      <c r="N2483" s="13">
        <v>1</v>
      </c>
      <c r="O2483" s="13"/>
      <c r="P2483" s="33" t="str">
        <f t="shared" si="737"/>
        <v>MAIN UNIT</v>
      </c>
      <c r="Q2483" s="13" t="s">
        <v>61</v>
      </c>
      <c r="R2483" s="13" t="s">
        <v>62</v>
      </c>
      <c r="S2483" s="13" t="s">
        <v>50</v>
      </c>
      <c r="T2483" s="13" t="s">
        <v>101</v>
      </c>
      <c r="U2483" s="13" t="s">
        <v>70</v>
      </c>
      <c r="V2483" s="13" t="s">
        <v>102</v>
      </c>
      <c r="W2483" s="13" t="s">
        <v>64</v>
      </c>
      <c r="X2483" s="135">
        <v>968760</v>
      </c>
      <c r="Y2483" s="157" t="str">
        <f t="shared" si="740"/>
        <v>1.13</v>
      </c>
      <c r="Z2483" s="18">
        <f t="shared" si="736"/>
        <v>968760</v>
      </c>
      <c r="AA2483" s="13">
        <v>1.163</v>
      </c>
      <c r="AB2483" s="21">
        <f t="shared" si="738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22"/>
        <v>35073581.838938057</v>
      </c>
      <c r="AJ2483" s="19">
        <f t="shared" si="723"/>
        <v>5034113.9728989396</v>
      </c>
      <c r="AK2483" s="20">
        <f t="shared" si="730"/>
        <v>0.14353007902118958</v>
      </c>
      <c r="AL2483" s="17"/>
      <c r="AM2483" s="17"/>
      <c r="AN2483" s="17"/>
      <c r="AO2483" s="17"/>
      <c r="AP2483" s="28" t="str">
        <f t="shared" si="731"/>
        <v>20228</v>
      </c>
      <c r="AQ2483" s="28" t="str">
        <f t="shared" si="732"/>
        <v>20228RMB</v>
      </c>
      <c r="AR2483" s="206" t="str">
        <f t="shared" si="733"/>
        <v>YAMAHA_Mounter</v>
      </c>
      <c r="AS2483" s="22">
        <f t="shared" si="734"/>
        <v>3</v>
      </c>
      <c r="AT2483" s="24" t="str">
        <f t="shared" si="735"/>
        <v>0-3 months</v>
      </c>
      <c r="AU2483" s="22" t="s">
        <v>3240</v>
      </c>
    </row>
    <row r="2484" spans="1:47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54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2253</v>
      </c>
      <c r="K2484" s="155" t="s">
        <v>2254</v>
      </c>
      <c r="L2484" s="17" t="s">
        <v>2609</v>
      </c>
      <c r="M2484" s="13" t="s">
        <v>2607</v>
      </c>
      <c r="N2484" s="13">
        <v>1</v>
      </c>
      <c r="O2484" s="13"/>
      <c r="P2484" s="33" t="str">
        <f t="shared" si="737"/>
        <v>MAIN UNIT</v>
      </c>
      <c r="Q2484" s="13" t="s">
        <v>61</v>
      </c>
      <c r="R2484" s="13" t="s">
        <v>2055</v>
      </c>
      <c r="S2484" s="13" t="s">
        <v>50</v>
      </c>
      <c r="T2484" s="13" t="s">
        <v>101</v>
      </c>
      <c r="U2484" s="13" t="s">
        <v>70</v>
      </c>
      <c r="V2484" s="13" t="s">
        <v>102</v>
      </c>
      <c r="W2484" s="13" t="s">
        <v>64</v>
      </c>
      <c r="X2484" s="135">
        <v>621860</v>
      </c>
      <c r="Y2484" s="157" t="str">
        <f t="shared" si="740"/>
        <v>1.13</v>
      </c>
      <c r="Z2484" s="18">
        <f t="shared" si="736"/>
        <v>621860</v>
      </c>
      <c r="AA2484" s="13">
        <v>1.163</v>
      </c>
      <c r="AB2484" s="21">
        <f t="shared" si="738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22"/>
        <v>35073581.838938057</v>
      </c>
      <c r="AJ2484" s="19">
        <f t="shared" si="723"/>
        <v>5034113.9728989396</v>
      </c>
      <c r="AK2484" s="20">
        <f t="shared" si="730"/>
        <v>0.14353007902118958</v>
      </c>
      <c r="AL2484" s="17"/>
      <c r="AM2484" s="17"/>
      <c r="AN2484" s="17"/>
      <c r="AO2484" s="17"/>
      <c r="AP2484" s="28" t="str">
        <f t="shared" si="731"/>
        <v>20228</v>
      </c>
      <c r="AQ2484" s="28" t="str">
        <f t="shared" si="732"/>
        <v>20228RMB</v>
      </c>
      <c r="AR2484" s="206" t="str">
        <f t="shared" si="733"/>
        <v>HELLER</v>
      </c>
      <c r="AS2484" s="22">
        <f t="shared" si="734"/>
        <v>3</v>
      </c>
      <c r="AT2484" s="24" t="str">
        <f t="shared" si="735"/>
        <v>0-3 months</v>
      </c>
      <c r="AU2484" s="22" t="s">
        <v>3240</v>
      </c>
    </row>
    <row r="2485" spans="1:47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54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2253</v>
      </c>
      <c r="K2485" s="155" t="s">
        <v>2254</v>
      </c>
      <c r="L2485" s="17" t="s">
        <v>2609</v>
      </c>
      <c r="M2485" s="13" t="s">
        <v>2607</v>
      </c>
      <c r="N2485" s="13">
        <v>1</v>
      </c>
      <c r="O2485" s="13"/>
      <c r="P2485" s="33" t="str">
        <f t="shared" si="737"/>
        <v>MAIN UNIT</v>
      </c>
      <c r="Q2485" s="13" t="s">
        <v>61</v>
      </c>
      <c r="R2485" s="13" t="s">
        <v>2055</v>
      </c>
      <c r="S2485" s="13" t="s">
        <v>50</v>
      </c>
      <c r="T2485" s="13" t="s">
        <v>101</v>
      </c>
      <c r="U2485" s="13" t="s">
        <v>70</v>
      </c>
      <c r="V2485" s="13" t="s">
        <v>102</v>
      </c>
      <c r="W2485" s="13" t="s">
        <v>64</v>
      </c>
      <c r="X2485" s="135">
        <v>621860</v>
      </c>
      <c r="Y2485" s="157" t="str">
        <f t="shared" si="740"/>
        <v>1.13</v>
      </c>
      <c r="Z2485" s="18">
        <f t="shared" si="736"/>
        <v>621860</v>
      </c>
      <c r="AA2485" s="13">
        <v>1.163</v>
      </c>
      <c r="AB2485" s="21">
        <f t="shared" si="738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22"/>
        <v>35073581.838938057</v>
      </c>
      <c r="AJ2485" s="19">
        <f t="shared" si="723"/>
        <v>5034113.9728989396</v>
      </c>
      <c r="AK2485" s="20">
        <f t="shared" si="730"/>
        <v>0.14353007902118958</v>
      </c>
      <c r="AL2485" s="17"/>
      <c r="AM2485" s="17"/>
      <c r="AN2485" s="17"/>
      <c r="AO2485" s="17"/>
      <c r="AP2485" s="28" t="str">
        <f t="shared" si="731"/>
        <v>20228</v>
      </c>
      <c r="AQ2485" s="28" t="str">
        <f t="shared" si="732"/>
        <v>20228RMB</v>
      </c>
      <c r="AR2485" s="206" t="str">
        <f t="shared" si="733"/>
        <v>HELLER</v>
      </c>
      <c r="AS2485" s="22">
        <f t="shared" si="734"/>
        <v>3</v>
      </c>
      <c r="AT2485" s="24" t="str">
        <f t="shared" si="735"/>
        <v>0-3 months</v>
      </c>
      <c r="AU2485" s="22" t="s">
        <v>3240</v>
      </c>
    </row>
    <row r="2486" spans="1:47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54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2267</v>
      </c>
      <c r="K2486" s="155" t="s">
        <v>2268</v>
      </c>
      <c r="L2486" s="17" t="s">
        <v>92</v>
      </c>
      <c r="M2486" s="13" t="s">
        <v>60</v>
      </c>
      <c r="N2486" s="13">
        <v>1</v>
      </c>
      <c r="O2486" s="13"/>
      <c r="P2486" s="33" t="str">
        <f t="shared" si="737"/>
        <v>MAIN UNIT</v>
      </c>
      <c r="Q2486" s="13" t="s">
        <v>61</v>
      </c>
      <c r="R2486" s="13" t="s">
        <v>62</v>
      </c>
      <c r="S2486" s="13" t="s">
        <v>50</v>
      </c>
      <c r="T2486" s="13" t="s">
        <v>101</v>
      </c>
      <c r="U2486" s="13" t="s">
        <v>70</v>
      </c>
      <c r="V2486" s="13" t="s">
        <v>102</v>
      </c>
      <c r="W2486" s="13" t="s">
        <v>64</v>
      </c>
      <c r="X2486" s="135">
        <v>1162603</v>
      </c>
      <c r="Y2486" s="157" t="str">
        <f t="shared" si="740"/>
        <v>1.13</v>
      </c>
      <c r="Z2486" s="18">
        <f t="shared" si="736"/>
        <v>1162603</v>
      </c>
      <c r="AA2486" s="13">
        <v>1.163</v>
      </c>
      <c r="AB2486" s="21">
        <f t="shared" si="738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22"/>
        <v>35073581.838938057</v>
      </c>
      <c r="AJ2486" s="19">
        <f t="shared" si="723"/>
        <v>5034113.9728989396</v>
      </c>
      <c r="AK2486" s="20">
        <f t="shared" si="730"/>
        <v>0.14353007902118958</v>
      </c>
      <c r="AL2486" s="17"/>
      <c r="AM2486" s="17"/>
      <c r="AN2486" s="17"/>
      <c r="AO2486" s="17"/>
      <c r="AP2486" s="28" t="str">
        <f t="shared" si="731"/>
        <v>20228</v>
      </c>
      <c r="AQ2486" s="28" t="str">
        <f t="shared" si="732"/>
        <v>20228RMB</v>
      </c>
      <c r="AR2486" s="206" t="str">
        <f t="shared" si="733"/>
        <v>YAMAHA_Mounter</v>
      </c>
      <c r="AS2486" s="22">
        <f t="shared" si="734"/>
        <v>0</v>
      </c>
      <c r="AT2486" s="24" t="str">
        <f t="shared" si="735"/>
        <v>0-3 months</v>
      </c>
      <c r="AU2486" s="22" t="s">
        <v>3240</v>
      </c>
    </row>
    <row r="2487" spans="1:47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54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2279</v>
      </c>
      <c r="K2487" s="155" t="s">
        <v>2268</v>
      </c>
      <c r="L2487" s="17" t="s">
        <v>92</v>
      </c>
      <c r="M2487" s="13" t="s">
        <v>60</v>
      </c>
      <c r="N2487" s="13">
        <v>1</v>
      </c>
      <c r="O2487" s="13"/>
      <c r="P2487" s="33" t="str">
        <f t="shared" si="737"/>
        <v>MAIN UNIT</v>
      </c>
      <c r="Q2487" s="13" t="s">
        <v>61</v>
      </c>
      <c r="R2487" s="13" t="s">
        <v>62</v>
      </c>
      <c r="S2487" s="13" t="s">
        <v>50</v>
      </c>
      <c r="T2487" s="13" t="s">
        <v>101</v>
      </c>
      <c r="U2487" s="13" t="s">
        <v>70</v>
      </c>
      <c r="V2487" s="13" t="s">
        <v>102</v>
      </c>
      <c r="W2487" s="13" t="s">
        <v>64</v>
      </c>
      <c r="X2487" s="135">
        <v>1162603</v>
      </c>
      <c r="Y2487" s="157" t="str">
        <f t="shared" si="740"/>
        <v>1.13</v>
      </c>
      <c r="Z2487" s="18">
        <f t="shared" si="736"/>
        <v>1162603</v>
      </c>
      <c r="AA2487" s="13">
        <v>1.135</v>
      </c>
      <c r="AB2487" s="21">
        <f t="shared" si="738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22"/>
        <v>15948576.102654871</v>
      </c>
      <c r="AJ2487" s="19">
        <f t="shared" si="723"/>
        <v>2739848.7004853105</v>
      </c>
      <c r="AK2487" s="20">
        <f t="shared" si="730"/>
        <v>0.17179268436567344</v>
      </c>
      <c r="AL2487" s="17"/>
      <c r="AM2487" s="17"/>
      <c r="AN2487" s="17"/>
      <c r="AO2487" s="17"/>
      <c r="AP2487" s="28" t="str">
        <f t="shared" si="731"/>
        <v>20229</v>
      </c>
      <c r="AQ2487" s="28" t="str">
        <f t="shared" si="732"/>
        <v>20229RMB</v>
      </c>
      <c r="AR2487" s="206" t="str">
        <f t="shared" si="733"/>
        <v>YAMAHA_Mounter</v>
      </c>
      <c r="AS2487" s="22">
        <f t="shared" si="734"/>
        <v>1</v>
      </c>
      <c r="AT2487" s="24" t="str">
        <f t="shared" si="735"/>
        <v>0-3 months</v>
      </c>
      <c r="AU2487" s="22" t="s">
        <v>3240</v>
      </c>
    </row>
    <row r="2488" spans="1:47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54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2279</v>
      </c>
      <c r="K2488" s="155" t="s">
        <v>2268</v>
      </c>
      <c r="L2488" s="17" t="s">
        <v>92</v>
      </c>
      <c r="M2488" s="13" t="s">
        <v>60</v>
      </c>
      <c r="N2488" s="13">
        <v>1</v>
      </c>
      <c r="O2488" s="13"/>
      <c r="P2488" s="33" t="str">
        <f t="shared" si="737"/>
        <v>MAIN UNIT</v>
      </c>
      <c r="Q2488" s="13" t="s">
        <v>61</v>
      </c>
      <c r="R2488" s="13" t="s">
        <v>62</v>
      </c>
      <c r="S2488" s="13" t="s">
        <v>50</v>
      </c>
      <c r="T2488" s="13" t="s">
        <v>101</v>
      </c>
      <c r="U2488" s="13" t="s">
        <v>70</v>
      </c>
      <c r="V2488" s="13" t="s">
        <v>102</v>
      </c>
      <c r="W2488" s="13" t="s">
        <v>64</v>
      </c>
      <c r="X2488" s="135">
        <v>1162603</v>
      </c>
      <c r="Y2488" s="157" t="str">
        <f t="shared" si="740"/>
        <v>1.13</v>
      </c>
      <c r="Z2488" s="18">
        <f t="shared" si="736"/>
        <v>1162603</v>
      </c>
      <c r="AA2488" s="13">
        <v>1.135</v>
      </c>
      <c r="AB2488" s="21">
        <f t="shared" si="738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22"/>
        <v>15948576.102654871</v>
      </c>
      <c r="AJ2488" s="19">
        <f t="shared" si="723"/>
        <v>2739848.7004853105</v>
      </c>
      <c r="AK2488" s="20">
        <f t="shared" si="730"/>
        <v>0.17179268436567344</v>
      </c>
      <c r="AL2488" s="17"/>
      <c r="AM2488" s="17"/>
      <c r="AN2488" s="17"/>
      <c r="AO2488" s="17"/>
      <c r="AP2488" s="28" t="str">
        <f t="shared" si="731"/>
        <v>20229</v>
      </c>
      <c r="AQ2488" s="28" t="str">
        <f t="shared" si="732"/>
        <v>20229RMB</v>
      </c>
      <c r="AR2488" s="206" t="str">
        <f t="shared" si="733"/>
        <v>YAMAHA_Mounter</v>
      </c>
      <c r="AS2488" s="22">
        <f t="shared" si="734"/>
        <v>1</v>
      </c>
      <c r="AT2488" s="24" t="str">
        <f t="shared" si="735"/>
        <v>0-3 months</v>
      </c>
      <c r="AU2488" s="22" t="s">
        <v>3240</v>
      </c>
    </row>
    <row r="2489" spans="1:47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54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2279</v>
      </c>
      <c r="K2489" s="155" t="s">
        <v>2268</v>
      </c>
      <c r="L2489" s="17" t="s">
        <v>92</v>
      </c>
      <c r="M2489" s="13" t="s">
        <v>60</v>
      </c>
      <c r="N2489" s="13">
        <v>1</v>
      </c>
      <c r="O2489" s="13"/>
      <c r="P2489" s="33" t="str">
        <f t="shared" si="737"/>
        <v>MAIN UNIT</v>
      </c>
      <c r="Q2489" s="13" t="s">
        <v>61</v>
      </c>
      <c r="R2489" s="13" t="s">
        <v>62</v>
      </c>
      <c r="S2489" s="13" t="s">
        <v>50</v>
      </c>
      <c r="T2489" s="13" t="s">
        <v>101</v>
      </c>
      <c r="U2489" s="13" t="s">
        <v>70</v>
      </c>
      <c r="V2489" s="13" t="s">
        <v>102</v>
      </c>
      <c r="W2489" s="13" t="s">
        <v>64</v>
      </c>
      <c r="X2489" s="135">
        <v>1162603</v>
      </c>
      <c r="Y2489" s="157" t="str">
        <f t="shared" si="740"/>
        <v>1.13</v>
      </c>
      <c r="Z2489" s="18">
        <f t="shared" si="736"/>
        <v>1162603</v>
      </c>
      <c r="AA2489" s="13">
        <v>1.135</v>
      </c>
      <c r="AB2489" s="21">
        <f t="shared" si="738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22"/>
        <v>15948576.102654871</v>
      </c>
      <c r="AJ2489" s="19">
        <f t="shared" si="723"/>
        <v>2739848.7004853105</v>
      </c>
      <c r="AK2489" s="20">
        <f t="shared" si="730"/>
        <v>0.17179268436567344</v>
      </c>
      <c r="AL2489" s="17"/>
      <c r="AM2489" s="17"/>
      <c r="AN2489" s="17"/>
      <c r="AO2489" s="17"/>
      <c r="AP2489" s="28" t="str">
        <f t="shared" si="731"/>
        <v>20229</v>
      </c>
      <c r="AQ2489" s="28" t="str">
        <f t="shared" si="732"/>
        <v>20229RMB</v>
      </c>
      <c r="AR2489" s="206" t="str">
        <f t="shared" si="733"/>
        <v>YAMAHA_Mounter</v>
      </c>
      <c r="AS2489" s="22">
        <f t="shared" si="734"/>
        <v>1</v>
      </c>
      <c r="AT2489" s="24" t="str">
        <f t="shared" si="735"/>
        <v>0-3 months</v>
      </c>
      <c r="AU2489" s="22" t="s">
        <v>3240</v>
      </c>
    </row>
    <row r="2490" spans="1:47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54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2279</v>
      </c>
      <c r="K2490" s="155" t="s">
        <v>2268</v>
      </c>
      <c r="L2490" s="17" t="s">
        <v>67</v>
      </c>
      <c r="M2490" s="13" t="s">
        <v>60</v>
      </c>
      <c r="N2490" s="13">
        <v>1</v>
      </c>
      <c r="O2490" s="13"/>
      <c r="P2490" s="33" t="str">
        <f t="shared" si="737"/>
        <v>MAIN UNIT</v>
      </c>
      <c r="Q2490" s="13" t="s">
        <v>61</v>
      </c>
      <c r="R2490" s="13" t="s">
        <v>62</v>
      </c>
      <c r="S2490" s="13" t="s">
        <v>50</v>
      </c>
      <c r="T2490" s="13" t="s">
        <v>101</v>
      </c>
      <c r="U2490" s="13" t="s">
        <v>70</v>
      </c>
      <c r="V2490" s="13" t="s">
        <v>102</v>
      </c>
      <c r="W2490" s="13" t="s">
        <v>64</v>
      </c>
      <c r="X2490" s="135">
        <v>971079</v>
      </c>
      <c r="Y2490" s="157" t="str">
        <f t="shared" si="740"/>
        <v>1.13</v>
      </c>
      <c r="Z2490" s="18">
        <f t="shared" si="736"/>
        <v>971079</v>
      </c>
      <c r="AA2490" s="13">
        <v>1.135</v>
      </c>
      <c r="AB2490" s="21">
        <f t="shared" si="738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22"/>
        <v>15948576.102654871</v>
      </c>
      <c r="AJ2490" s="19">
        <f t="shared" si="723"/>
        <v>2739848.7004853105</v>
      </c>
      <c r="AK2490" s="20">
        <f t="shared" si="730"/>
        <v>0.17179268436567344</v>
      </c>
      <c r="AL2490" s="17"/>
      <c r="AM2490" s="17"/>
      <c r="AN2490" s="17"/>
      <c r="AO2490" s="17"/>
      <c r="AP2490" s="28" t="str">
        <f t="shared" si="731"/>
        <v>20229</v>
      </c>
      <c r="AQ2490" s="28" t="str">
        <f t="shared" si="732"/>
        <v>20229RMB</v>
      </c>
      <c r="AR2490" s="206" t="str">
        <f t="shared" si="733"/>
        <v>YAMAHA_Mounter</v>
      </c>
      <c r="AS2490" s="22">
        <f t="shared" si="734"/>
        <v>1</v>
      </c>
      <c r="AT2490" s="24" t="str">
        <f t="shared" si="735"/>
        <v>0-3 months</v>
      </c>
      <c r="AU2490" s="22" t="s">
        <v>3240</v>
      </c>
    </row>
    <row r="2491" spans="1:47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41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81</v>
      </c>
      <c r="K2491" s="155" t="s">
        <v>82</v>
      </c>
      <c r="L2491" s="17" t="s">
        <v>77</v>
      </c>
      <c r="M2491" s="13" t="s">
        <v>60</v>
      </c>
      <c r="N2491" s="13">
        <v>1</v>
      </c>
      <c r="O2491" s="13"/>
      <c r="P2491" s="33" t="str">
        <f t="shared" si="737"/>
        <v>MAIN UNIT</v>
      </c>
      <c r="Q2491" s="13" t="s">
        <v>61</v>
      </c>
      <c r="R2491" s="13" t="s">
        <v>62</v>
      </c>
      <c r="S2491" s="13" t="s">
        <v>50</v>
      </c>
      <c r="T2491" s="13" t="s">
        <v>83</v>
      </c>
      <c r="U2491" s="13" t="s">
        <v>70</v>
      </c>
      <c r="V2491" s="13" t="s">
        <v>84</v>
      </c>
      <c r="W2491" s="13" t="s">
        <v>64</v>
      </c>
      <c r="X2491" s="135">
        <v>852780</v>
      </c>
      <c r="Y2491" s="156">
        <v>1.17</v>
      </c>
      <c r="Z2491" s="18">
        <f t="shared" si="736"/>
        <v>852780</v>
      </c>
      <c r="AA2491" s="13">
        <v>1.23</v>
      </c>
      <c r="AB2491" s="21">
        <f t="shared" si="738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22"/>
        <v>29288201.603076916</v>
      </c>
      <c r="AJ2491" s="19">
        <f t="shared" si="723"/>
        <v>3870159.1769246152</v>
      </c>
      <c r="AK2491" s="20">
        <f t="shared" si="730"/>
        <v>0.13214055370740244</v>
      </c>
      <c r="AL2491" s="17">
        <v>11100847</v>
      </c>
      <c r="AM2491" s="17">
        <v>728871.79</v>
      </c>
      <c r="AN2491" s="17" t="s">
        <v>85</v>
      </c>
      <c r="AO2491" s="17"/>
      <c r="AP2491" s="28" t="str">
        <f t="shared" si="731"/>
        <v>20184</v>
      </c>
      <c r="AQ2491" s="28" t="str">
        <f t="shared" si="732"/>
        <v>20184RMB</v>
      </c>
      <c r="AR2491" s="206" t="str">
        <f t="shared" si="733"/>
        <v>YAMAHA_Mounter</v>
      </c>
      <c r="AS2491" s="22">
        <f t="shared" si="734"/>
        <v>5</v>
      </c>
      <c r="AT2491" s="24" t="str">
        <f t="shared" si="735"/>
        <v>4-6 months</v>
      </c>
      <c r="AU2491" s="22" t="s">
        <v>3240</v>
      </c>
    </row>
    <row r="2492" spans="1:47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53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1845</v>
      </c>
      <c r="K2492" s="155" t="s">
        <v>82</v>
      </c>
      <c r="L2492" s="17" t="s">
        <v>92</v>
      </c>
      <c r="M2492" s="13" t="s">
        <v>60</v>
      </c>
      <c r="N2492" s="13">
        <v>1</v>
      </c>
      <c r="O2492" s="13"/>
      <c r="P2492" s="33" t="str">
        <f t="shared" si="737"/>
        <v>MAIN UNIT</v>
      </c>
      <c r="Q2492" s="13" t="s">
        <v>61</v>
      </c>
      <c r="R2492" s="13" t="s">
        <v>62</v>
      </c>
      <c r="S2492" s="13" t="s">
        <v>50</v>
      </c>
      <c r="T2492" s="13" t="s">
        <v>83</v>
      </c>
      <c r="U2492" s="13" t="s">
        <v>89</v>
      </c>
      <c r="V2492" s="13" t="s">
        <v>84</v>
      </c>
      <c r="W2492" s="13" t="s">
        <v>64</v>
      </c>
      <c r="X2492" s="135">
        <v>1000000</v>
      </c>
      <c r="Y2492" s="157" t="str">
        <f>IF(W2492="RMB","1.13", "1")</f>
        <v>1.13</v>
      </c>
      <c r="Z2492" s="18">
        <f t="shared" si="736"/>
        <v>1000000</v>
      </c>
      <c r="AA2492" s="13">
        <v>1.2</v>
      </c>
      <c r="AB2492" s="21">
        <f t="shared" si="738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22"/>
        <v>47458373.787610628</v>
      </c>
      <c r="AJ2492" s="19">
        <f t="shared" si="723"/>
        <v>7436880.1411522133</v>
      </c>
      <c r="AK2492" s="20">
        <f t="shared" si="730"/>
        <v>0.15670322321692506</v>
      </c>
      <c r="AL2492" s="17"/>
      <c r="AM2492" s="17"/>
      <c r="AN2492" s="17"/>
      <c r="AO2492" s="17"/>
      <c r="AP2492" s="28" t="str">
        <f t="shared" si="731"/>
        <v>20218</v>
      </c>
      <c r="AQ2492" s="28" t="str">
        <f t="shared" si="732"/>
        <v>20218RMB</v>
      </c>
      <c r="AR2492" s="206" t="str">
        <f t="shared" si="733"/>
        <v>YAMAHA_Mounter</v>
      </c>
      <c r="AS2492" s="22">
        <f t="shared" si="734"/>
        <v>7</v>
      </c>
      <c r="AT2492" s="24" t="str">
        <f t="shared" si="735"/>
        <v>&gt; 6 months</v>
      </c>
      <c r="AU2492" s="22" t="s">
        <v>3240</v>
      </c>
    </row>
    <row r="2493" spans="1:47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54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1845</v>
      </c>
      <c r="K2493" s="155" t="s">
        <v>82</v>
      </c>
      <c r="L2493" s="17" t="s">
        <v>67</v>
      </c>
      <c r="M2493" s="13" t="s">
        <v>60</v>
      </c>
      <c r="N2493" s="13">
        <v>1</v>
      </c>
      <c r="O2493" s="13"/>
      <c r="P2493" s="33" t="str">
        <f t="shared" si="737"/>
        <v>MAIN UNIT</v>
      </c>
      <c r="Q2493" s="13" t="s">
        <v>61</v>
      </c>
      <c r="R2493" s="13" t="s">
        <v>62</v>
      </c>
      <c r="S2493" s="13" t="s">
        <v>50</v>
      </c>
      <c r="T2493" s="13" t="s">
        <v>83</v>
      </c>
      <c r="U2493" s="13" t="s">
        <v>89</v>
      </c>
      <c r="V2493" s="13" t="s">
        <v>84</v>
      </c>
      <c r="W2493" s="13" t="s">
        <v>64</v>
      </c>
      <c r="X2493" s="135">
        <v>626000</v>
      </c>
      <c r="Y2493" s="157" t="str">
        <f>IF(W2493="RMB","1.13", "1")</f>
        <v>1.13</v>
      </c>
      <c r="Z2493" s="18">
        <f t="shared" si="736"/>
        <v>626000</v>
      </c>
      <c r="AA2493" s="13">
        <v>1.17</v>
      </c>
      <c r="AB2493" s="21">
        <f t="shared" si="738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22"/>
        <v>36480247.665929198</v>
      </c>
      <c r="AJ2493" s="19">
        <f t="shared" si="723"/>
        <v>5330996.6372757526</v>
      </c>
      <c r="AK2493" s="20">
        <f t="shared" si="730"/>
        <v>0.14613378412599562</v>
      </c>
      <c r="AL2493" s="17"/>
      <c r="AM2493" s="17"/>
      <c r="AN2493" s="17"/>
      <c r="AO2493" s="17"/>
      <c r="AP2493" s="28" t="str">
        <f t="shared" si="731"/>
        <v>20227</v>
      </c>
      <c r="AQ2493" s="28" t="str">
        <f t="shared" si="732"/>
        <v>20227RMB</v>
      </c>
      <c r="AR2493" s="206" t="str">
        <f t="shared" si="733"/>
        <v>YAMAHA_Mounter</v>
      </c>
      <c r="AS2493" s="22">
        <f t="shared" si="734"/>
        <v>18</v>
      </c>
      <c r="AT2493" s="24" t="str">
        <f t="shared" si="735"/>
        <v>&gt; 6 months</v>
      </c>
      <c r="AU2493" s="22" t="s">
        <v>3240</v>
      </c>
    </row>
    <row r="2494" spans="1:47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3153</v>
      </c>
      <c r="K2494" s="29" t="s">
        <v>3154</v>
      </c>
      <c r="L2494" s="17" t="s">
        <v>2620</v>
      </c>
      <c r="M2494" s="22" t="s">
        <v>60</v>
      </c>
      <c r="N2494" s="22">
        <v>1</v>
      </c>
      <c r="O2494" s="22"/>
      <c r="P2494" s="33" t="str">
        <f t="shared" si="737"/>
        <v>MAIN UNIT</v>
      </c>
      <c r="Q2494" s="13" t="s">
        <v>61</v>
      </c>
      <c r="R2494" s="22" t="s">
        <v>2055</v>
      </c>
      <c r="S2494" s="22" t="s">
        <v>50</v>
      </c>
      <c r="T2494" s="22" t="s">
        <v>168</v>
      </c>
      <c r="U2494" s="22" t="s">
        <v>89</v>
      </c>
      <c r="V2494" s="22" t="s">
        <v>84</v>
      </c>
      <c r="W2494" s="22" t="s">
        <v>64</v>
      </c>
      <c r="X2494" s="30">
        <v>358000</v>
      </c>
      <c r="Y2494" s="31" t="str">
        <f>IF(W2494="","",IF(W2494="RMB","1.13", "1"))</f>
        <v>1.13</v>
      </c>
      <c r="Z2494" s="18">
        <f t="shared" si="736"/>
        <v>358000</v>
      </c>
      <c r="AA2494" s="22">
        <v>1.0900000000000001</v>
      </c>
      <c r="AB2494" s="21">
        <f t="shared" si="738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22"/>
        <v>21241742.157380536</v>
      </c>
      <c r="AJ2494" s="27">
        <f t="shared" si="723"/>
        <v>2987081.1613773629</v>
      </c>
      <c r="AK2494" s="28">
        <f t="shared" si="730"/>
        <v>0.14062317201884914</v>
      </c>
      <c r="AL2494" s="24"/>
      <c r="AM2494" s="24"/>
      <c r="AN2494" s="24"/>
      <c r="AO2494" s="24"/>
      <c r="AP2494" s="28" t="str">
        <f t="shared" si="731"/>
        <v>20243</v>
      </c>
      <c r="AQ2494" s="28" t="str">
        <f t="shared" si="732"/>
        <v>20243RMB</v>
      </c>
      <c r="AR2494" s="206" t="str">
        <f t="shared" si="733"/>
        <v>YAMAHA_Non_Mounter</v>
      </c>
      <c r="AS2494" s="22">
        <f t="shared" si="734"/>
        <v>3</v>
      </c>
      <c r="AT2494" s="24" t="str">
        <f t="shared" si="735"/>
        <v>0-3 months</v>
      </c>
      <c r="AU2494" s="22" t="s">
        <v>3240</v>
      </c>
    </row>
    <row r="2495" spans="1:47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54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2293</v>
      </c>
      <c r="K2495" s="155" t="s">
        <v>2294</v>
      </c>
      <c r="L2495" s="17" t="s">
        <v>67</v>
      </c>
      <c r="M2495" s="13" t="s">
        <v>60</v>
      </c>
      <c r="N2495" s="13">
        <v>1</v>
      </c>
      <c r="O2495" s="13"/>
      <c r="P2495" s="33" t="str">
        <f t="shared" si="737"/>
        <v>MAIN UNIT</v>
      </c>
      <c r="Q2495" s="13" t="s">
        <v>68</v>
      </c>
      <c r="R2495" s="13" t="s">
        <v>62</v>
      </c>
      <c r="S2495" s="13" t="s">
        <v>50</v>
      </c>
      <c r="T2495" s="13" t="s">
        <v>2295</v>
      </c>
      <c r="U2495" s="13" t="s">
        <v>70</v>
      </c>
      <c r="V2495" s="13" t="s">
        <v>102</v>
      </c>
      <c r="W2495" s="13" t="s">
        <v>901</v>
      </c>
      <c r="X2495" s="135">
        <v>98000</v>
      </c>
      <c r="Y2495" s="157" t="str">
        <f t="shared" ref="Y2495:Y2504" si="741">IF(W2495="RMB","1.13", "1")</f>
        <v>1</v>
      </c>
      <c r="Z2495" s="18">
        <f t="shared" si="736"/>
        <v>98000</v>
      </c>
      <c r="AA2495" s="13">
        <v>7.8</v>
      </c>
      <c r="AB2495" s="21">
        <f t="shared" si="738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22"/>
        <v>22717528.991150443</v>
      </c>
      <c r="AJ2495" s="19">
        <f t="shared" si="723"/>
        <v>3947747.192555753</v>
      </c>
      <c r="AK2495" s="20">
        <f t="shared" si="730"/>
        <v>0.1737753782153679</v>
      </c>
      <c r="AL2495" s="17"/>
      <c r="AM2495" s="17"/>
      <c r="AN2495" s="17"/>
      <c r="AO2495" s="17"/>
      <c r="AP2495" s="28" t="str">
        <f t="shared" si="731"/>
        <v>202210</v>
      </c>
      <c r="AQ2495" s="28" t="str">
        <f t="shared" si="732"/>
        <v>202210USD</v>
      </c>
      <c r="AR2495" s="206" t="str">
        <f t="shared" si="733"/>
        <v>YAMAHA_Mounter</v>
      </c>
      <c r="AS2495" s="22">
        <f t="shared" si="734"/>
        <v>1</v>
      </c>
      <c r="AT2495" s="24" t="str">
        <f t="shared" si="735"/>
        <v>0-3 months</v>
      </c>
      <c r="AU2495" s="22" t="s">
        <v>3240</v>
      </c>
    </row>
    <row r="2496" spans="1:47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54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2293</v>
      </c>
      <c r="K2496" s="155" t="s">
        <v>2294</v>
      </c>
      <c r="L2496" s="17" t="s">
        <v>92</v>
      </c>
      <c r="M2496" s="13" t="s">
        <v>60</v>
      </c>
      <c r="N2496" s="13">
        <v>1</v>
      </c>
      <c r="O2496" s="13"/>
      <c r="P2496" s="33" t="str">
        <f t="shared" si="737"/>
        <v>MAIN UNIT</v>
      </c>
      <c r="Q2496" s="13" t="s">
        <v>68</v>
      </c>
      <c r="R2496" s="13" t="s">
        <v>62</v>
      </c>
      <c r="S2496" s="13" t="s">
        <v>50</v>
      </c>
      <c r="T2496" s="13" t="s">
        <v>2295</v>
      </c>
      <c r="U2496" s="13" t="s">
        <v>70</v>
      </c>
      <c r="V2496" s="13" t="s">
        <v>102</v>
      </c>
      <c r="W2496" s="13" t="s">
        <v>901</v>
      </c>
      <c r="X2496" s="135">
        <v>126000</v>
      </c>
      <c r="Y2496" s="157" t="str">
        <f t="shared" si="741"/>
        <v>1</v>
      </c>
      <c r="Z2496" s="18">
        <f t="shared" si="736"/>
        <v>126000</v>
      </c>
      <c r="AA2496" s="13">
        <v>7.8</v>
      </c>
      <c r="AB2496" s="21">
        <f t="shared" si="738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22"/>
        <v>22717528.991150443</v>
      </c>
      <c r="AJ2496" s="19">
        <f t="shared" si="723"/>
        <v>3947747.192555753</v>
      </c>
      <c r="AK2496" s="20">
        <f t="shared" si="730"/>
        <v>0.1737753782153679</v>
      </c>
      <c r="AL2496" s="17"/>
      <c r="AM2496" s="17"/>
      <c r="AN2496" s="17"/>
      <c r="AO2496" s="17"/>
      <c r="AP2496" s="28" t="str">
        <f t="shared" si="731"/>
        <v>202210</v>
      </c>
      <c r="AQ2496" s="28" t="str">
        <f t="shared" si="732"/>
        <v>202210USD</v>
      </c>
      <c r="AR2496" s="206" t="str">
        <f t="shared" si="733"/>
        <v>YAMAHA_Mounter</v>
      </c>
      <c r="AS2496" s="22">
        <f t="shared" si="734"/>
        <v>1</v>
      </c>
      <c r="AT2496" s="24" t="str">
        <f t="shared" si="735"/>
        <v>0-3 months</v>
      </c>
      <c r="AU2496" s="22" t="s">
        <v>3240</v>
      </c>
    </row>
    <row r="2497" spans="1:47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54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2293</v>
      </c>
      <c r="K2497" s="155" t="s">
        <v>2294</v>
      </c>
      <c r="L2497" s="17" t="s">
        <v>2620</v>
      </c>
      <c r="M2497" s="13" t="s">
        <v>60</v>
      </c>
      <c r="N2497" s="13">
        <v>1</v>
      </c>
      <c r="O2497" s="13"/>
      <c r="P2497" s="33" t="str">
        <f t="shared" si="737"/>
        <v>MAIN UNIT</v>
      </c>
      <c r="Q2497" s="13" t="s">
        <v>68</v>
      </c>
      <c r="R2497" s="13" t="s">
        <v>2055</v>
      </c>
      <c r="S2497" s="13" t="s">
        <v>50</v>
      </c>
      <c r="T2497" s="13" t="s">
        <v>2295</v>
      </c>
      <c r="U2497" s="13" t="s">
        <v>70</v>
      </c>
      <c r="V2497" s="13" t="s">
        <v>102</v>
      </c>
      <c r="W2497" s="13" t="s">
        <v>901</v>
      </c>
      <c r="X2497" s="135">
        <v>85000</v>
      </c>
      <c r="Y2497" s="157" t="str">
        <f t="shared" si="741"/>
        <v>1</v>
      </c>
      <c r="Z2497" s="18">
        <f t="shared" si="736"/>
        <v>85000</v>
      </c>
      <c r="AA2497" s="13">
        <v>7.8</v>
      </c>
      <c r="AB2497" s="21">
        <f t="shared" si="738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22"/>
        <v>22717528.991150443</v>
      </c>
      <c r="AJ2497" s="19">
        <f t="shared" si="723"/>
        <v>3947747.192555753</v>
      </c>
      <c r="AK2497" s="20">
        <f t="shared" si="730"/>
        <v>0.1737753782153679</v>
      </c>
      <c r="AL2497" s="17"/>
      <c r="AM2497" s="17"/>
      <c r="AN2497" s="17"/>
      <c r="AO2497" s="17"/>
      <c r="AP2497" s="28" t="str">
        <f t="shared" si="731"/>
        <v>202210</v>
      </c>
      <c r="AQ2497" s="28" t="str">
        <f t="shared" si="732"/>
        <v>202210USD</v>
      </c>
      <c r="AR2497" s="206" t="str">
        <f t="shared" si="733"/>
        <v>YAMAHA_Non_Mounter</v>
      </c>
      <c r="AS2497" s="22">
        <f t="shared" si="734"/>
        <v>1</v>
      </c>
      <c r="AT2497" s="24" t="str">
        <f t="shared" si="735"/>
        <v>0-3 months</v>
      </c>
      <c r="AU2497" s="22" t="s">
        <v>3240</v>
      </c>
    </row>
    <row r="2498" spans="1:47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54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2293</v>
      </c>
      <c r="K2498" s="155" t="s">
        <v>2294</v>
      </c>
      <c r="L2498" s="17" t="s">
        <v>2780</v>
      </c>
      <c r="M2498" s="13" t="s">
        <v>60</v>
      </c>
      <c r="N2498" s="13">
        <v>1</v>
      </c>
      <c r="O2498" s="13"/>
      <c r="P2498" s="33" t="str">
        <f t="shared" si="737"/>
        <v>MAIN UNIT</v>
      </c>
      <c r="Q2498" s="13" t="s">
        <v>68</v>
      </c>
      <c r="R2498" s="13" t="s">
        <v>2055</v>
      </c>
      <c r="S2498" s="13" t="s">
        <v>50</v>
      </c>
      <c r="T2498" s="13" t="s">
        <v>2295</v>
      </c>
      <c r="U2498" s="13" t="s">
        <v>70</v>
      </c>
      <c r="V2498" s="13" t="s">
        <v>102</v>
      </c>
      <c r="W2498" s="13" t="s">
        <v>901</v>
      </c>
      <c r="X2498" s="135">
        <v>58000</v>
      </c>
      <c r="Y2498" s="157" t="str">
        <f t="shared" si="741"/>
        <v>1</v>
      </c>
      <c r="Z2498" s="18">
        <f t="shared" si="736"/>
        <v>58000</v>
      </c>
      <c r="AA2498" s="13">
        <v>7.8</v>
      </c>
      <c r="AB2498" s="21">
        <f t="shared" si="738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ref="AI2498:AI2561" si="742">IF(P2498="C66 SERVICE","",SUMIFS(AB:AB,F:F,F2498,G:G,G2498,E:E,E2498))</f>
        <v>22717528.991150443</v>
      </c>
      <c r="AJ2498" s="19">
        <f t="shared" ref="AJ2498:AJ2561" si="743">IF(P2498="C66 SERVICE","",SUMIFS(AC:AC,F:F,F2498,G:G,G2498,E:E,E2498))</f>
        <v>3947747.192555753</v>
      </c>
      <c r="AK2498" s="20">
        <f t="shared" si="730"/>
        <v>0.1737753782153679</v>
      </c>
      <c r="AL2498" s="17"/>
      <c r="AM2498" s="17"/>
      <c r="AN2498" s="17"/>
      <c r="AO2498" s="17"/>
      <c r="AP2498" s="28" t="str">
        <f t="shared" si="731"/>
        <v>202210</v>
      </c>
      <c r="AQ2498" s="28" t="str">
        <f t="shared" si="732"/>
        <v>202210USD</v>
      </c>
      <c r="AR2498" s="206" t="str">
        <f t="shared" si="733"/>
        <v>YAMAHA_Non_Mounter</v>
      </c>
      <c r="AS2498" s="22">
        <f t="shared" si="734"/>
        <v>1</v>
      </c>
      <c r="AT2498" s="24" t="str">
        <f t="shared" si="735"/>
        <v>0-3 months</v>
      </c>
      <c r="AU2498" s="22" t="s">
        <v>3240</v>
      </c>
    </row>
    <row r="2499" spans="1:47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54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3018</v>
      </c>
      <c r="K2499" s="155" t="s">
        <v>2294</v>
      </c>
      <c r="L2499" s="17" t="s">
        <v>2609</v>
      </c>
      <c r="M2499" s="13" t="s">
        <v>2607</v>
      </c>
      <c r="N2499" s="13">
        <v>1</v>
      </c>
      <c r="O2499" s="13"/>
      <c r="P2499" s="33" t="str">
        <f t="shared" si="737"/>
        <v>MAIN UNIT</v>
      </c>
      <c r="Q2499" s="13" t="s">
        <v>68</v>
      </c>
      <c r="R2499" s="13" t="s">
        <v>2055</v>
      </c>
      <c r="S2499" s="13" t="s">
        <v>50</v>
      </c>
      <c r="T2499" s="13" t="s">
        <v>2295</v>
      </c>
      <c r="U2499" s="13" t="s">
        <v>70</v>
      </c>
      <c r="V2499" s="13" t="s">
        <v>102</v>
      </c>
      <c r="W2499" s="13" t="s">
        <v>901</v>
      </c>
      <c r="X2499" s="135">
        <v>51000</v>
      </c>
      <c r="Y2499" s="157" t="str">
        <f t="shared" si="741"/>
        <v>1</v>
      </c>
      <c r="Z2499" s="18">
        <f t="shared" si="736"/>
        <v>51000</v>
      </c>
      <c r="AA2499" s="13">
        <v>7.8</v>
      </c>
      <c r="AB2499" s="21">
        <f t="shared" si="738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42"/>
        <v>22717528.991150443</v>
      </c>
      <c r="AJ2499" s="19">
        <f t="shared" si="743"/>
        <v>3947747.192555753</v>
      </c>
      <c r="AK2499" s="20">
        <f t="shared" si="730"/>
        <v>0.1737753782153679</v>
      </c>
      <c r="AL2499" s="17"/>
      <c r="AM2499" s="17"/>
      <c r="AN2499" s="17"/>
      <c r="AO2499" s="17"/>
      <c r="AP2499" s="28" t="str">
        <f t="shared" si="731"/>
        <v>202210</v>
      </c>
      <c r="AQ2499" s="28" t="str">
        <f t="shared" si="732"/>
        <v>202210USD</v>
      </c>
      <c r="AR2499" s="206" t="str">
        <f t="shared" si="733"/>
        <v>HELLER</v>
      </c>
      <c r="AS2499" s="22">
        <f t="shared" si="734"/>
        <v>1</v>
      </c>
      <c r="AT2499" s="24" t="str">
        <f t="shared" si="735"/>
        <v>0-3 months</v>
      </c>
      <c r="AU2499" s="22" t="s">
        <v>3240</v>
      </c>
    </row>
    <row r="2500" spans="1:47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54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3018</v>
      </c>
      <c r="K2500" s="155" t="s">
        <v>2294</v>
      </c>
      <c r="L2500" s="17" t="s">
        <v>3019</v>
      </c>
      <c r="M2500" s="13" t="s">
        <v>377</v>
      </c>
      <c r="N2500" s="13">
        <v>1</v>
      </c>
      <c r="O2500" s="13"/>
      <c r="P2500" s="33" t="str">
        <f t="shared" si="737"/>
        <v>MAIN UNIT</v>
      </c>
      <c r="Q2500" s="13" t="s">
        <v>68</v>
      </c>
      <c r="R2500" s="13" t="s">
        <v>2055</v>
      </c>
      <c r="S2500" s="13" t="s">
        <v>50</v>
      </c>
      <c r="T2500" s="13" t="s">
        <v>2295</v>
      </c>
      <c r="U2500" s="13" t="s">
        <v>70</v>
      </c>
      <c r="V2500" s="13" t="s">
        <v>102</v>
      </c>
      <c r="W2500" s="13" t="s">
        <v>901</v>
      </c>
      <c r="X2500" s="135">
        <v>7500</v>
      </c>
      <c r="Y2500" s="157" t="str">
        <f t="shared" si="741"/>
        <v>1</v>
      </c>
      <c r="Z2500" s="18">
        <f t="shared" si="736"/>
        <v>7500</v>
      </c>
      <c r="AA2500" s="13">
        <v>7.8</v>
      </c>
      <c r="AB2500" s="21">
        <f t="shared" si="738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42"/>
        <v>22717528.991150443</v>
      </c>
      <c r="AJ2500" s="19">
        <f t="shared" si="743"/>
        <v>3947747.192555753</v>
      </c>
      <c r="AK2500" s="20">
        <f t="shared" si="730"/>
        <v>0.1737753782153679</v>
      </c>
      <c r="AL2500" s="17"/>
      <c r="AM2500" s="17"/>
      <c r="AN2500" s="17"/>
      <c r="AO2500" s="17"/>
      <c r="AP2500" s="28" t="str">
        <f t="shared" si="731"/>
        <v>202210</v>
      </c>
      <c r="AQ2500" s="28" t="str">
        <f t="shared" si="732"/>
        <v>202210USD</v>
      </c>
      <c r="AR2500" s="206" t="str">
        <f t="shared" si="733"/>
        <v>LOCAL SUPPLIER</v>
      </c>
      <c r="AS2500" s="22">
        <f t="shared" si="734"/>
        <v>1</v>
      </c>
      <c r="AT2500" s="24" t="str">
        <f t="shared" si="735"/>
        <v>0-3 months</v>
      </c>
      <c r="AU2500" s="22" t="s">
        <v>3240</v>
      </c>
    </row>
    <row r="2501" spans="1:47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54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3018</v>
      </c>
      <c r="K2501" s="155" t="s">
        <v>2294</v>
      </c>
      <c r="L2501" s="17" t="s">
        <v>3020</v>
      </c>
      <c r="M2501" s="13" t="s">
        <v>377</v>
      </c>
      <c r="N2501" s="13">
        <v>1</v>
      </c>
      <c r="O2501" s="13"/>
      <c r="P2501" s="33" t="str">
        <f t="shared" si="737"/>
        <v>MAIN UNIT</v>
      </c>
      <c r="Q2501" s="13" t="s">
        <v>68</v>
      </c>
      <c r="R2501" s="13" t="s">
        <v>2055</v>
      </c>
      <c r="S2501" s="13" t="s">
        <v>50</v>
      </c>
      <c r="T2501" s="13" t="s">
        <v>2295</v>
      </c>
      <c r="U2501" s="13" t="s">
        <v>70</v>
      </c>
      <c r="V2501" s="13" t="s">
        <v>102</v>
      </c>
      <c r="W2501" s="13" t="s">
        <v>901</v>
      </c>
      <c r="X2501" s="135">
        <v>2500</v>
      </c>
      <c r="Y2501" s="157" t="str">
        <f t="shared" si="741"/>
        <v>1</v>
      </c>
      <c r="Z2501" s="18">
        <f t="shared" si="736"/>
        <v>2500</v>
      </c>
      <c r="AA2501" s="13">
        <v>7.8</v>
      </c>
      <c r="AB2501" s="21">
        <f t="shared" si="738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42"/>
        <v>22717528.991150443</v>
      </c>
      <c r="AJ2501" s="19">
        <f t="shared" si="743"/>
        <v>3947747.192555753</v>
      </c>
      <c r="AK2501" s="20">
        <f t="shared" si="730"/>
        <v>0.1737753782153679</v>
      </c>
      <c r="AL2501" s="17"/>
      <c r="AM2501" s="17"/>
      <c r="AN2501" s="17"/>
      <c r="AO2501" s="17"/>
      <c r="AP2501" s="28" t="str">
        <f t="shared" si="731"/>
        <v>202210</v>
      </c>
      <c r="AQ2501" s="28" t="str">
        <f t="shared" si="732"/>
        <v>202210USD</v>
      </c>
      <c r="AR2501" s="206" t="str">
        <f t="shared" si="733"/>
        <v>LOCAL SUPPLIER</v>
      </c>
      <c r="AS2501" s="22">
        <f t="shared" si="734"/>
        <v>1</v>
      </c>
      <c r="AT2501" s="24" t="str">
        <f t="shared" si="735"/>
        <v>0-3 months</v>
      </c>
      <c r="AU2501" s="22" t="s">
        <v>3240</v>
      </c>
    </row>
    <row r="2502" spans="1:47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54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3018</v>
      </c>
      <c r="K2502" s="155" t="s">
        <v>2294</v>
      </c>
      <c r="L2502" s="17" t="s">
        <v>3021</v>
      </c>
      <c r="M2502" s="13" t="s">
        <v>377</v>
      </c>
      <c r="N2502" s="13">
        <v>1</v>
      </c>
      <c r="O2502" s="13"/>
      <c r="P2502" s="33" t="str">
        <f t="shared" si="737"/>
        <v>MAIN UNIT</v>
      </c>
      <c r="Q2502" s="13" t="s">
        <v>68</v>
      </c>
      <c r="R2502" s="13" t="s">
        <v>2055</v>
      </c>
      <c r="S2502" s="13" t="s">
        <v>50</v>
      </c>
      <c r="T2502" s="13" t="s">
        <v>2295</v>
      </c>
      <c r="U2502" s="13" t="s">
        <v>70</v>
      </c>
      <c r="V2502" s="13" t="s">
        <v>102</v>
      </c>
      <c r="W2502" s="13" t="s">
        <v>901</v>
      </c>
      <c r="X2502" s="135">
        <v>2500</v>
      </c>
      <c r="Y2502" s="157" t="str">
        <f t="shared" si="741"/>
        <v>1</v>
      </c>
      <c r="Z2502" s="18">
        <f t="shared" si="736"/>
        <v>2500</v>
      </c>
      <c r="AA2502" s="13">
        <v>7.8</v>
      </c>
      <c r="AB2502" s="21">
        <f t="shared" si="738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si="742"/>
        <v>22717528.991150443</v>
      </c>
      <c r="AJ2502" s="19">
        <f t="shared" si="743"/>
        <v>3947747.192555753</v>
      </c>
      <c r="AK2502" s="20">
        <f t="shared" ref="AK2502:AK2565" si="749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0">IF(F2502="","",F2502&amp;G2502)</f>
        <v>202210</v>
      </c>
      <c r="AQ2502" s="28" t="str">
        <f t="shared" ref="AQ2502:AQ2565" si="751">IF(W2502="","",F2502&amp;G2502&amp;W2502)</f>
        <v>202210USD</v>
      </c>
      <c r="AR2502" s="206" t="str">
        <f t="shared" ref="AR2502:AR2565" si="752">IFERROR(IF(AND(M2502="YAMAHA", R2502="C28"), "YAMAHA_Non_Mounter", IF(AND(M2502="YAMAHA", R2502="C49"), "YAMAHA_Mounter", M2502)),"")</f>
        <v>LOCAL SUPPLIER</v>
      </c>
      <c r="AS2502" s="22">
        <f t="shared" ref="AS2502:AS2565" si="753">IFERROR(IF(OR(G2502="TBA", G2502=""), "", DATEDIF(DATE(B2502, C2502, 1), DATE(F2502, G2502, 1), "M")),"")</f>
        <v>1</v>
      </c>
      <c r="AT2502" s="24" t="str">
        <f t="shared" ref="AT2502:AT2565" si="754">IF(ISNUMBER(AS2502), IF(AS2502&gt;=0, IF(AS2502&lt;=3, "0-3 months", IF(AS2502&lt;=6, "4-6 months", "&gt; 6 months"))), "")</f>
        <v>0-3 months</v>
      </c>
      <c r="AU2502" s="22" t="s">
        <v>3240</v>
      </c>
    </row>
    <row r="2503" spans="1:47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54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3018</v>
      </c>
      <c r="K2503" s="155" t="s">
        <v>2294</v>
      </c>
      <c r="L2503" s="17" t="s">
        <v>2980</v>
      </c>
      <c r="M2503" s="13" t="s">
        <v>377</v>
      </c>
      <c r="N2503" s="13">
        <v>1</v>
      </c>
      <c r="O2503" s="13"/>
      <c r="P2503" s="33" t="str">
        <f t="shared" si="737"/>
        <v>MAIN UNIT</v>
      </c>
      <c r="Q2503" s="13" t="s">
        <v>68</v>
      </c>
      <c r="R2503" s="13" t="s">
        <v>2055</v>
      </c>
      <c r="S2503" s="13" t="s">
        <v>50</v>
      </c>
      <c r="T2503" s="13" t="s">
        <v>2295</v>
      </c>
      <c r="U2503" s="13" t="s">
        <v>70</v>
      </c>
      <c r="V2503" s="13" t="s">
        <v>102</v>
      </c>
      <c r="W2503" s="13" t="s">
        <v>901</v>
      </c>
      <c r="X2503" s="135">
        <v>8500</v>
      </c>
      <c r="Y2503" s="157" t="str">
        <f t="shared" si="741"/>
        <v>1</v>
      </c>
      <c r="Z2503" s="18">
        <f t="shared" si="736"/>
        <v>8500</v>
      </c>
      <c r="AA2503" s="13">
        <v>7.8</v>
      </c>
      <c r="AB2503" s="21">
        <f t="shared" si="738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2"/>
        <v>22717528.991150443</v>
      </c>
      <c r="AJ2503" s="19">
        <f t="shared" si="743"/>
        <v>3947747.192555753</v>
      </c>
      <c r="AK2503" s="20">
        <f t="shared" si="749"/>
        <v>0.1737753782153679</v>
      </c>
      <c r="AL2503" s="17"/>
      <c r="AM2503" s="17"/>
      <c r="AN2503" s="17"/>
      <c r="AO2503" s="17"/>
      <c r="AP2503" s="28" t="str">
        <f t="shared" si="750"/>
        <v>202210</v>
      </c>
      <c r="AQ2503" s="28" t="str">
        <f t="shared" si="751"/>
        <v>202210USD</v>
      </c>
      <c r="AR2503" s="206" t="str">
        <f t="shared" si="752"/>
        <v>LOCAL SUPPLIER</v>
      </c>
      <c r="AS2503" s="22">
        <f t="shared" si="753"/>
        <v>1</v>
      </c>
      <c r="AT2503" s="24" t="str">
        <f t="shared" si="754"/>
        <v>0-3 months</v>
      </c>
      <c r="AU2503" s="22" t="s">
        <v>3240</v>
      </c>
    </row>
    <row r="2504" spans="1:47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54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3018</v>
      </c>
      <c r="K2504" s="155" t="s">
        <v>2294</v>
      </c>
      <c r="L2504" s="17" t="s">
        <v>3022</v>
      </c>
      <c r="M2504" s="13" t="s">
        <v>377</v>
      </c>
      <c r="N2504" s="13">
        <v>1</v>
      </c>
      <c r="O2504" s="13"/>
      <c r="P2504" s="33" t="str">
        <f t="shared" si="737"/>
        <v>MAIN UNIT</v>
      </c>
      <c r="Q2504" s="13" t="s">
        <v>68</v>
      </c>
      <c r="R2504" s="13" t="s">
        <v>2055</v>
      </c>
      <c r="S2504" s="13" t="s">
        <v>50</v>
      </c>
      <c r="T2504" s="13" t="s">
        <v>2295</v>
      </c>
      <c r="U2504" s="13" t="s">
        <v>70</v>
      </c>
      <c r="V2504" s="13" t="s">
        <v>102</v>
      </c>
      <c r="W2504" s="13" t="s">
        <v>901</v>
      </c>
      <c r="X2504" s="135">
        <v>4500</v>
      </c>
      <c r="Y2504" s="157" t="str">
        <f t="shared" si="741"/>
        <v>1</v>
      </c>
      <c r="Z2504" s="18">
        <f t="shared" si="736"/>
        <v>4500</v>
      </c>
      <c r="AA2504" s="13">
        <v>7.8</v>
      </c>
      <c r="AB2504" s="21">
        <f t="shared" si="738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2"/>
        <v>22717528.991150443</v>
      </c>
      <c r="AJ2504" s="19">
        <f t="shared" si="743"/>
        <v>3947747.192555753</v>
      </c>
      <c r="AK2504" s="20">
        <f t="shared" si="749"/>
        <v>0.1737753782153679</v>
      </c>
      <c r="AL2504" s="17"/>
      <c r="AM2504" s="17"/>
      <c r="AN2504" s="17"/>
      <c r="AO2504" s="17"/>
      <c r="AP2504" s="28" t="str">
        <f t="shared" si="750"/>
        <v>202210</v>
      </c>
      <c r="AQ2504" s="28" t="str">
        <f t="shared" si="751"/>
        <v>202210USD</v>
      </c>
      <c r="AR2504" s="206" t="str">
        <f t="shared" si="752"/>
        <v>LOCAL SUPPLIER</v>
      </c>
      <c r="AS2504" s="22">
        <f t="shared" si="753"/>
        <v>1</v>
      </c>
      <c r="AT2504" s="24" t="str">
        <f t="shared" si="754"/>
        <v>0-3 months</v>
      </c>
      <c r="AU2504" s="22" t="s">
        <v>3240</v>
      </c>
    </row>
    <row r="2505" spans="1:47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54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3018</v>
      </c>
      <c r="K2505" s="155" t="s">
        <v>2294</v>
      </c>
      <c r="L2505" s="17" t="s">
        <v>3022</v>
      </c>
      <c r="M2505" s="13" t="s">
        <v>377</v>
      </c>
      <c r="N2505" s="13">
        <v>1</v>
      </c>
      <c r="O2505" s="13"/>
      <c r="P2505" s="33" t="str">
        <f t="shared" si="737"/>
        <v>MAIN UNIT</v>
      </c>
      <c r="Q2505" s="13" t="s">
        <v>68</v>
      </c>
      <c r="R2505" s="13" t="s">
        <v>2055</v>
      </c>
      <c r="S2505" s="13" t="s">
        <v>50</v>
      </c>
      <c r="T2505" s="13" t="s">
        <v>2295</v>
      </c>
      <c r="U2505" s="13" t="s">
        <v>70</v>
      </c>
      <c r="V2505" s="13" t="s">
        <v>102</v>
      </c>
      <c r="W2505" s="13" t="s">
        <v>901</v>
      </c>
      <c r="X2505" s="135">
        <v>4500</v>
      </c>
      <c r="Y2505" s="157" t="str">
        <f>IF(W2505="","",IF(W2505="RMB","1.13", "1"))</f>
        <v>1</v>
      </c>
      <c r="Z2505" s="18">
        <f t="shared" si="736"/>
        <v>4500</v>
      </c>
      <c r="AA2505" s="13">
        <v>7.8</v>
      </c>
      <c r="AB2505" s="21">
        <f t="shared" si="738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2"/>
        <v>22717528.991150443</v>
      </c>
      <c r="AJ2505" s="19">
        <f t="shared" si="743"/>
        <v>3947747.192555753</v>
      </c>
      <c r="AK2505" s="20">
        <f t="shared" si="749"/>
        <v>0.1737753782153679</v>
      </c>
      <c r="AL2505" s="17"/>
      <c r="AM2505" s="17"/>
      <c r="AN2505" s="17"/>
      <c r="AO2505" s="17"/>
      <c r="AP2505" s="28" t="str">
        <f t="shared" si="750"/>
        <v>202210</v>
      </c>
      <c r="AQ2505" s="28" t="str">
        <f t="shared" si="751"/>
        <v>202210USD</v>
      </c>
      <c r="AR2505" s="206" t="str">
        <f t="shared" si="752"/>
        <v>LOCAL SUPPLIER</v>
      </c>
      <c r="AS2505" s="22">
        <f t="shared" si="753"/>
        <v>1</v>
      </c>
      <c r="AT2505" s="24" t="str">
        <f t="shared" si="754"/>
        <v>0-3 months</v>
      </c>
      <c r="AU2505" s="22" t="s">
        <v>3240</v>
      </c>
    </row>
    <row r="2506" spans="1:47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54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3023</v>
      </c>
      <c r="K2506" s="155" t="s">
        <v>2294</v>
      </c>
      <c r="L2506" s="17" t="s">
        <v>2837</v>
      </c>
      <c r="M2506" s="13" t="s">
        <v>2832</v>
      </c>
      <c r="N2506" s="13">
        <v>1</v>
      </c>
      <c r="O2506" s="13"/>
      <c r="P2506" s="33" t="str">
        <f t="shared" si="737"/>
        <v>MAIN UNIT</v>
      </c>
      <c r="Q2506" s="13" t="s">
        <v>68</v>
      </c>
      <c r="R2506" s="13" t="s">
        <v>2055</v>
      </c>
      <c r="S2506" s="13" t="s">
        <v>50</v>
      </c>
      <c r="T2506" s="13" t="s">
        <v>2295</v>
      </c>
      <c r="U2506" s="13" t="s">
        <v>70</v>
      </c>
      <c r="V2506" s="13" t="s">
        <v>102</v>
      </c>
      <c r="W2506" s="13" t="s">
        <v>901</v>
      </c>
      <c r="X2506" s="135">
        <v>52000</v>
      </c>
      <c r="Y2506" s="157" t="str">
        <f>IF(W2506="","",IF(W2506="RMB","1.13", "1"))</f>
        <v>1</v>
      </c>
      <c r="Z2506" s="18">
        <f t="shared" ref="Z2506:Z2569" si="755">IF(X2506="","",X2506*MAX(O2506,N2506))</f>
        <v>52000</v>
      </c>
      <c r="AA2506" s="13">
        <v>7.8</v>
      </c>
      <c r="AB2506" s="21">
        <f t="shared" si="738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2"/>
        <v>22717528.991150443</v>
      </c>
      <c r="AJ2506" s="19">
        <f t="shared" si="743"/>
        <v>3947747.192555753</v>
      </c>
      <c r="AK2506" s="20">
        <f t="shared" si="749"/>
        <v>0.1737753782153679</v>
      </c>
      <c r="AL2506" s="17"/>
      <c r="AM2506" s="17"/>
      <c r="AN2506" s="17"/>
      <c r="AO2506" s="17"/>
      <c r="AP2506" s="28" t="str">
        <f t="shared" si="750"/>
        <v>202210</v>
      </c>
      <c r="AQ2506" s="28" t="str">
        <f t="shared" si="751"/>
        <v>202210USD</v>
      </c>
      <c r="AR2506" s="206" t="str">
        <f t="shared" si="752"/>
        <v>PEMTRON</v>
      </c>
      <c r="AS2506" s="22">
        <f t="shared" si="753"/>
        <v>1</v>
      </c>
      <c r="AT2506" s="24" t="str">
        <f t="shared" si="754"/>
        <v>0-3 months</v>
      </c>
      <c r="AU2506" s="22" t="s">
        <v>3240</v>
      </c>
    </row>
    <row r="2507" spans="1:47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55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2336</v>
      </c>
      <c r="K2507" s="155" t="s">
        <v>2337</v>
      </c>
      <c r="L2507" s="17" t="s">
        <v>92</v>
      </c>
      <c r="M2507" s="13" t="s">
        <v>60</v>
      </c>
      <c r="N2507" s="13">
        <v>1</v>
      </c>
      <c r="O2507" s="13"/>
      <c r="P2507" s="33" t="str">
        <f t="shared" si="737"/>
        <v>MAIN UNIT</v>
      </c>
      <c r="Q2507" s="13" t="s">
        <v>61</v>
      </c>
      <c r="R2507" s="13" t="s">
        <v>62</v>
      </c>
      <c r="S2507" s="13" t="s">
        <v>52</v>
      </c>
      <c r="T2507" s="13" t="s">
        <v>2338</v>
      </c>
      <c r="U2507" s="13" t="s">
        <v>2339</v>
      </c>
      <c r="V2507" s="13" t="s">
        <v>80</v>
      </c>
      <c r="W2507" s="13" t="s">
        <v>64</v>
      </c>
      <c r="X2507" s="135">
        <v>990000</v>
      </c>
      <c r="Y2507" s="157" t="str">
        <f t="shared" ref="Y2507:Y2515" si="756">IF(W2507="RMB","1.13", "1")</f>
        <v>1.13</v>
      </c>
      <c r="Z2507" s="18">
        <f t="shared" si="755"/>
        <v>990000</v>
      </c>
      <c r="AA2507" s="13">
        <v>1.0920000000000001</v>
      </c>
      <c r="AB2507" s="21">
        <f t="shared" si="738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2"/>
        <v>22953677.784070797</v>
      </c>
      <c r="AJ2507" s="19">
        <f t="shared" si="743"/>
        <v>4168706.6744155753</v>
      </c>
      <c r="AK2507" s="20">
        <f t="shared" si="749"/>
        <v>0.18161388835511752</v>
      </c>
      <c r="AL2507" s="17"/>
      <c r="AM2507" s="17"/>
      <c r="AN2507" s="17"/>
      <c r="AO2507" s="17"/>
      <c r="AP2507" s="28" t="str">
        <f t="shared" si="750"/>
        <v>20238</v>
      </c>
      <c r="AQ2507" s="28" t="str">
        <f t="shared" si="751"/>
        <v>20238RMB</v>
      </c>
      <c r="AR2507" s="206" t="str">
        <f t="shared" si="752"/>
        <v>YAMAHA_Mounter</v>
      </c>
      <c r="AS2507" s="22">
        <f t="shared" si="753"/>
        <v>16</v>
      </c>
      <c r="AT2507" s="24" t="str">
        <f t="shared" si="754"/>
        <v>&gt; 6 months</v>
      </c>
      <c r="AU2507" s="22" t="s">
        <v>3751</v>
      </c>
    </row>
    <row r="2508" spans="1:47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55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2336</v>
      </c>
      <c r="K2508" s="155" t="s">
        <v>2337</v>
      </c>
      <c r="L2508" s="17" t="s">
        <v>92</v>
      </c>
      <c r="M2508" s="13" t="s">
        <v>60</v>
      </c>
      <c r="N2508" s="13">
        <v>1</v>
      </c>
      <c r="O2508" s="13"/>
      <c r="P2508" s="33" t="str">
        <f t="shared" si="737"/>
        <v>MAIN UNIT</v>
      </c>
      <c r="Q2508" s="13" t="s">
        <v>61</v>
      </c>
      <c r="R2508" s="13" t="s">
        <v>62</v>
      </c>
      <c r="S2508" s="13" t="s">
        <v>52</v>
      </c>
      <c r="T2508" s="13" t="s">
        <v>2338</v>
      </c>
      <c r="U2508" s="13" t="s">
        <v>2339</v>
      </c>
      <c r="V2508" s="13" t="s">
        <v>80</v>
      </c>
      <c r="W2508" s="13" t="s">
        <v>64</v>
      </c>
      <c r="X2508" s="135">
        <v>990000</v>
      </c>
      <c r="Y2508" s="157" t="str">
        <f t="shared" si="756"/>
        <v>1.13</v>
      </c>
      <c r="Z2508" s="18">
        <f t="shared" si="755"/>
        <v>990000</v>
      </c>
      <c r="AA2508" s="13">
        <v>1.0920000000000001</v>
      </c>
      <c r="AB2508" s="21">
        <f t="shared" si="738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2"/>
        <v>22953677.784070797</v>
      </c>
      <c r="AJ2508" s="19">
        <f t="shared" si="743"/>
        <v>4168706.6744155753</v>
      </c>
      <c r="AK2508" s="20">
        <f t="shared" si="749"/>
        <v>0.18161388835511752</v>
      </c>
      <c r="AL2508" s="17"/>
      <c r="AM2508" s="17"/>
      <c r="AN2508" s="17"/>
      <c r="AO2508" s="17"/>
      <c r="AP2508" s="28" t="str">
        <f t="shared" si="750"/>
        <v>20238</v>
      </c>
      <c r="AQ2508" s="28" t="str">
        <f t="shared" si="751"/>
        <v>20238RMB</v>
      </c>
      <c r="AR2508" s="206" t="str">
        <f t="shared" si="752"/>
        <v>YAMAHA_Mounter</v>
      </c>
      <c r="AS2508" s="22">
        <f t="shared" si="753"/>
        <v>16</v>
      </c>
      <c r="AT2508" s="24" t="str">
        <f t="shared" si="754"/>
        <v>&gt; 6 months</v>
      </c>
      <c r="AU2508" s="22" t="s">
        <v>3751</v>
      </c>
    </row>
    <row r="2509" spans="1:47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55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2336</v>
      </c>
      <c r="K2509" s="155" t="s">
        <v>2337</v>
      </c>
      <c r="L2509" s="17" t="s">
        <v>92</v>
      </c>
      <c r="M2509" s="13" t="s">
        <v>60</v>
      </c>
      <c r="N2509" s="13">
        <v>1</v>
      </c>
      <c r="O2509" s="13"/>
      <c r="P2509" s="33" t="str">
        <f t="shared" si="737"/>
        <v>MAIN UNIT</v>
      </c>
      <c r="Q2509" s="13" t="s">
        <v>61</v>
      </c>
      <c r="R2509" s="13" t="s">
        <v>62</v>
      </c>
      <c r="S2509" s="13" t="s">
        <v>52</v>
      </c>
      <c r="T2509" s="13" t="s">
        <v>2338</v>
      </c>
      <c r="U2509" s="13" t="s">
        <v>2339</v>
      </c>
      <c r="V2509" s="13" t="s">
        <v>80</v>
      </c>
      <c r="W2509" s="13" t="s">
        <v>64</v>
      </c>
      <c r="X2509" s="135">
        <v>990000</v>
      </c>
      <c r="Y2509" s="157" t="str">
        <f t="shared" si="756"/>
        <v>1.13</v>
      </c>
      <c r="Z2509" s="18">
        <f t="shared" si="755"/>
        <v>990000</v>
      </c>
      <c r="AA2509" s="13">
        <v>1.0920000000000001</v>
      </c>
      <c r="AB2509" s="21">
        <f t="shared" si="738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2"/>
        <v>22953677.784070797</v>
      </c>
      <c r="AJ2509" s="19">
        <f t="shared" si="743"/>
        <v>4168706.6744155753</v>
      </c>
      <c r="AK2509" s="20">
        <f t="shared" si="749"/>
        <v>0.18161388835511752</v>
      </c>
      <c r="AL2509" s="17"/>
      <c r="AM2509" s="17"/>
      <c r="AN2509" s="17"/>
      <c r="AO2509" s="17"/>
      <c r="AP2509" s="28" t="str">
        <f t="shared" si="750"/>
        <v>20238</v>
      </c>
      <c r="AQ2509" s="28" t="str">
        <f t="shared" si="751"/>
        <v>20238RMB</v>
      </c>
      <c r="AR2509" s="206" t="str">
        <f t="shared" si="752"/>
        <v>YAMAHA_Mounter</v>
      </c>
      <c r="AS2509" s="22">
        <f t="shared" si="753"/>
        <v>16</v>
      </c>
      <c r="AT2509" s="24" t="str">
        <f t="shared" si="754"/>
        <v>&gt; 6 months</v>
      </c>
      <c r="AU2509" s="22" t="s">
        <v>3751</v>
      </c>
    </row>
    <row r="2510" spans="1:47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55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2336</v>
      </c>
      <c r="K2510" s="155" t="s">
        <v>2337</v>
      </c>
      <c r="L2510" s="17" t="s">
        <v>92</v>
      </c>
      <c r="M2510" s="13" t="s">
        <v>60</v>
      </c>
      <c r="N2510" s="13">
        <v>1</v>
      </c>
      <c r="O2510" s="13"/>
      <c r="P2510" s="33" t="str">
        <f t="shared" si="737"/>
        <v>MAIN UNIT</v>
      </c>
      <c r="Q2510" s="13" t="s">
        <v>61</v>
      </c>
      <c r="R2510" s="13" t="s">
        <v>62</v>
      </c>
      <c r="S2510" s="13" t="s">
        <v>52</v>
      </c>
      <c r="T2510" s="13" t="s">
        <v>2338</v>
      </c>
      <c r="U2510" s="13" t="s">
        <v>2339</v>
      </c>
      <c r="V2510" s="13" t="s">
        <v>80</v>
      </c>
      <c r="W2510" s="13" t="s">
        <v>64</v>
      </c>
      <c r="X2510" s="135">
        <v>990000</v>
      </c>
      <c r="Y2510" s="157" t="str">
        <f t="shared" si="756"/>
        <v>1.13</v>
      </c>
      <c r="Z2510" s="18">
        <f t="shared" si="755"/>
        <v>990000</v>
      </c>
      <c r="AA2510" s="13">
        <v>1.0920000000000001</v>
      </c>
      <c r="AB2510" s="21">
        <f t="shared" si="738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2"/>
        <v>22953677.784070797</v>
      </c>
      <c r="AJ2510" s="19">
        <f t="shared" si="743"/>
        <v>4168706.6744155753</v>
      </c>
      <c r="AK2510" s="20">
        <f t="shared" si="749"/>
        <v>0.18161388835511752</v>
      </c>
      <c r="AL2510" s="17"/>
      <c r="AM2510" s="17"/>
      <c r="AN2510" s="17"/>
      <c r="AO2510" s="17"/>
      <c r="AP2510" s="28" t="str">
        <f t="shared" si="750"/>
        <v>20238</v>
      </c>
      <c r="AQ2510" s="28" t="str">
        <f t="shared" si="751"/>
        <v>20238RMB</v>
      </c>
      <c r="AR2510" s="206" t="str">
        <f t="shared" si="752"/>
        <v>YAMAHA_Mounter</v>
      </c>
      <c r="AS2510" s="22">
        <f t="shared" si="753"/>
        <v>16</v>
      </c>
      <c r="AT2510" s="24" t="str">
        <f t="shared" si="754"/>
        <v>&gt; 6 months</v>
      </c>
      <c r="AU2510" s="22" t="s">
        <v>3751</v>
      </c>
    </row>
    <row r="2511" spans="1:47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55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2336</v>
      </c>
      <c r="K2511" s="155" t="s">
        <v>2337</v>
      </c>
      <c r="L2511" s="17" t="s">
        <v>92</v>
      </c>
      <c r="M2511" s="13" t="s">
        <v>60</v>
      </c>
      <c r="N2511" s="13">
        <v>1</v>
      </c>
      <c r="O2511" s="13"/>
      <c r="P2511" s="33" t="str">
        <f t="shared" si="737"/>
        <v>MAIN UNIT</v>
      </c>
      <c r="Q2511" s="13" t="s">
        <v>61</v>
      </c>
      <c r="R2511" s="13" t="s">
        <v>62</v>
      </c>
      <c r="S2511" s="13" t="s">
        <v>52</v>
      </c>
      <c r="T2511" s="13" t="s">
        <v>2338</v>
      </c>
      <c r="U2511" s="13" t="s">
        <v>2339</v>
      </c>
      <c r="V2511" s="13" t="s">
        <v>80</v>
      </c>
      <c r="W2511" s="13" t="s">
        <v>64</v>
      </c>
      <c r="X2511" s="135">
        <v>990000</v>
      </c>
      <c r="Y2511" s="157" t="str">
        <f t="shared" si="756"/>
        <v>1.13</v>
      </c>
      <c r="Z2511" s="18">
        <f t="shared" si="755"/>
        <v>990000</v>
      </c>
      <c r="AA2511" s="13">
        <v>1.0920000000000001</v>
      </c>
      <c r="AB2511" s="21">
        <f t="shared" si="738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2"/>
        <v>22953677.784070797</v>
      </c>
      <c r="AJ2511" s="19">
        <f t="shared" si="743"/>
        <v>4168706.6744155753</v>
      </c>
      <c r="AK2511" s="20">
        <f t="shared" si="749"/>
        <v>0.18161388835511752</v>
      </c>
      <c r="AL2511" s="17"/>
      <c r="AM2511" s="17"/>
      <c r="AN2511" s="17"/>
      <c r="AO2511" s="17"/>
      <c r="AP2511" s="28" t="str">
        <f t="shared" si="750"/>
        <v>20238</v>
      </c>
      <c r="AQ2511" s="28" t="str">
        <f t="shared" si="751"/>
        <v>20238RMB</v>
      </c>
      <c r="AR2511" s="206" t="str">
        <f t="shared" si="752"/>
        <v>YAMAHA_Mounter</v>
      </c>
      <c r="AS2511" s="22">
        <f t="shared" si="753"/>
        <v>16</v>
      </c>
      <c r="AT2511" s="24" t="str">
        <f t="shared" si="754"/>
        <v>&gt; 6 months</v>
      </c>
      <c r="AU2511" s="22" t="s">
        <v>3751</v>
      </c>
    </row>
    <row r="2512" spans="1:47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55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2336</v>
      </c>
      <c r="K2512" s="155" t="s">
        <v>2337</v>
      </c>
      <c r="L2512" s="17" t="s">
        <v>92</v>
      </c>
      <c r="M2512" s="13" t="s">
        <v>60</v>
      </c>
      <c r="N2512" s="13">
        <v>1</v>
      </c>
      <c r="O2512" s="13"/>
      <c r="P2512" s="33" t="str">
        <f t="shared" si="737"/>
        <v>MAIN UNIT</v>
      </c>
      <c r="Q2512" s="13" t="s">
        <v>61</v>
      </c>
      <c r="R2512" s="13" t="s">
        <v>62</v>
      </c>
      <c r="S2512" s="13" t="s">
        <v>52</v>
      </c>
      <c r="T2512" s="13" t="s">
        <v>2338</v>
      </c>
      <c r="U2512" s="13" t="s">
        <v>2339</v>
      </c>
      <c r="V2512" s="13" t="s">
        <v>80</v>
      </c>
      <c r="W2512" s="13" t="s">
        <v>64</v>
      </c>
      <c r="X2512" s="135">
        <v>990000</v>
      </c>
      <c r="Y2512" s="157" t="str">
        <f t="shared" si="756"/>
        <v>1.13</v>
      </c>
      <c r="Z2512" s="18">
        <f t="shared" si="755"/>
        <v>990000</v>
      </c>
      <c r="AA2512" s="13">
        <v>1.0920000000000001</v>
      </c>
      <c r="AB2512" s="21">
        <f t="shared" si="738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2"/>
        <v>22953677.784070797</v>
      </c>
      <c r="AJ2512" s="19">
        <f t="shared" si="743"/>
        <v>4168706.6744155753</v>
      </c>
      <c r="AK2512" s="20">
        <f t="shared" si="749"/>
        <v>0.18161388835511752</v>
      </c>
      <c r="AL2512" s="17"/>
      <c r="AM2512" s="17"/>
      <c r="AN2512" s="17"/>
      <c r="AO2512" s="17"/>
      <c r="AP2512" s="28" t="str">
        <f t="shared" si="750"/>
        <v>20238</v>
      </c>
      <c r="AQ2512" s="28" t="str">
        <f t="shared" si="751"/>
        <v>20238RMB</v>
      </c>
      <c r="AR2512" s="206" t="str">
        <f t="shared" si="752"/>
        <v>YAMAHA_Mounter</v>
      </c>
      <c r="AS2512" s="22">
        <f t="shared" si="753"/>
        <v>16</v>
      </c>
      <c r="AT2512" s="24" t="str">
        <f t="shared" si="754"/>
        <v>&gt; 6 months</v>
      </c>
      <c r="AU2512" s="22" t="s">
        <v>3751</v>
      </c>
    </row>
    <row r="2513" spans="1:47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55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2336</v>
      </c>
      <c r="K2513" s="155" t="s">
        <v>2337</v>
      </c>
      <c r="L2513" s="17" t="s">
        <v>67</v>
      </c>
      <c r="M2513" s="13" t="s">
        <v>60</v>
      </c>
      <c r="N2513" s="13">
        <v>1</v>
      </c>
      <c r="O2513" s="13"/>
      <c r="P2513" s="33" t="str">
        <f t="shared" si="737"/>
        <v>MAIN UNIT</v>
      </c>
      <c r="Q2513" s="13" t="s">
        <v>61</v>
      </c>
      <c r="R2513" s="13" t="s">
        <v>62</v>
      </c>
      <c r="S2513" s="13" t="s">
        <v>52</v>
      </c>
      <c r="T2513" s="13" t="s">
        <v>2338</v>
      </c>
      <c r="U2513" s="13" t="s">
        <v>2339</v>
      </c>
      <c r="V2513" s="13" t="s">
        <v>80</v>
      </c>
      <c r="W2513" s="13" t="s">
        <v>64</v>
      </c>
      <c r="X2513" s="135">
        <v>650000</v>
      </c>
      <c r="Y2513" s="157" t="str">
        <f t="shared" si="756"/>
        <v>1.13</v>
      </c>
      <c r="Z2513" s="18">
        <f t="shared" si="755"/>
        <v>650000</v>
      </c>
      <c r="AA2513" s="13">
        <v>1.0920000000000001</v>
      </c>
      <c r="AB2513" s="21">
        <f t="shared" si="738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2"/>
        <v>22953677.784070797</v>
      </c>
      <c r="AJ2513" s="19">
        <f t="shared" si="743"/>
        <v>4168706.6744155753</v>
      </c>
      <c r="AK2513" s="20">
        <f t="shared" si="749"/>
        <v>0.18161388835511752</v>
      </c>
      <c r="AL2513" s="17"/>
      <c r="AM2513" s="17"/>
      <c r="AN2513" s="17"/>
      <c r="AO2513" s="17"/>
      <c r="AP2513" s="28" t="str">
        <f t="shared" si="750"/>
        <v>20238</v>
      </c>
      <c r="AQ2513" s="28" t="str">
        <f t="shared" si="751"/>
        <v>20238RMB</v>
      </c>
      <c r="AR2513" s="206" t="str">
        <f t="shared" si="752"/>
        <v>YAMAHA_Mounter</v>
      </c>
      <c r="AS2513" s="22">
        <f t="shared" si="753"/>
        <v>16</v>
      </c>
      <c r="AT2513" s="24" t="str">
        <f t="shared" si="754"/>
        <v>&gt; 6 months</v>
      </c>
      <c r="AU2513" s="22" t="s">
        <v>3751</v>
      </c>
    </row>
    <row r="2514" spans="1:47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55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2336</v>
      </c>
      <c r="K2514" s="155" t="s">
        <v>2337</v>
      </c>
      <c r="L2514" s="17" t="s">
        <v>67</v>
      </c>
      <c r="M2514" s="13" t="s">
        <v>60</v>
      </c>
      <c r="N2514" s="13">
        <v>1</v>
      </c>
      <c r="O2514" s="13"/>
      <c r="P2514" s="33" t="str">
        <f t="shared" si="737"/>
        <v>MAIN UNIT</v>
      </c>
      <c r="Q2514" s="13" t="s">
        <v>61</v>
      </c>
      <c r="R2514" s="13" t="s">
        <v>62</v>
      </c>
      <c r="S2514" s="13" t="s">
        <v>52</v>
      </c>
      <c r="T2514" s="13" t="s">
        <v>2338</v>
      </c>
      <c r="U2514" s="13" t="s">
        <v>2339</v>
      </c>
      <c r="V2514" s="13" t="s">
        <v>80</v>
      </c>
      <c r="W2514" s="13" t="s">
        <v>64</v>
      </c>
      <c r="X2514" s="135">
        <v>650000</v>
      </c>
      <c r="Y2514" s="157" t="str">
        <f t="shared" si="756"/>
        <v>1.13</v>
      </c>
      <c r="Z2514" s="18">
        <f t="shared" si="755"/>
        <v>650000</v>
      </c>
      <c r="AA2514" s="13">
        <v>1.0920000000000001</v>
      </c>
      <c r="AB2514" s="21">
        <f t="shared" si="738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2"/>
        <v>22953677.784070797</v>
      </c>
      <c r="AJ2514" s="19">
        <f t="shared" si="743"/>
        <v>4168706.6744155753</v>
      </c>
      <c r="AK2514" s="20">
        <f t="shared" si="749"/>
        <v>0.18161388835511752</v>
      </c>
      <c r="AL2514" s="17"/>
      <c r="AM2514" s="17"/>
      <c r="AN2514" s="17"/>
      <c r="AO2514" s="17"/>
      <c r="AP2514" s="28" t="str">
        <f t="shared" si="750"/>
        <v>20238</v>
      </c>
      <c r="AQ2514" s="28" t="str">
        <f t="shared" si="751"/>
        <v>20238RMB</v>
      </c>
      <c r="AR2514" s="206" t="str">
        <f t="shared" si="752"/>
        <v>YAMAHA_Mounter</v>
      </c>
      <c r="AS2514" s="22">
        <f t="shared" si="753"/>
        <v>16</v>
      </c>
      <c r="AT2514" s="24" t="str">
        <f t="shared" si="754"/>
        <v>&gt; 6 months</v>
      </c>
      <c r="AU2514" s="22" t="s">
        <v>3751</v>
      </c>
    </row>
    <row r="2515" spans="1:47" s="12" customFormat="1">
      <c r="A2515" s="33" t="str">
        <f t="shared" si="744"/>
        <v>cancel</v>
      </c>
      <c r="B2515" s="152"/>
      <c r="C2515" s="152" t="s">
        <v>185</v>
      </c>
      <c r="D2515" s="33" t="str">
        <f t="shared" si="745"/>
        <v/>
      </c>
      <c r="E2515" s="33" t="s">
        <v>53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2631</v>
      </c>
      <c r="K2515" s="155" t="s">
        <v>2337</v>
      </c>
      <c r="L2515" s="17" t="s">
        <v>2632</v>
      </c>
      <c r="M2515" s="13"/>
      <c r="N2515" s="13">
        <v>0</v>
      </c>
      <c r="O2515" s="13"/>
      <c r="P2515" s="33" t="str">
        <f t="shared" si="737"/>
        <v/>
      </c>
      <c r="Q2515" s="13" t="s">
        <v>68</v>
      </c>
      <c r="R2515" s="13" t="s">
        <v>62</v>
      </c>
      <c r="S2515" s="13" t="s">
        <v>49</v>
      </c>
      <c r="T2515" s="13" t="s">
        <v>78</v>
      </c>
      <c r="U2515" s="13" t="s">
        <v>79</v>
      </c>
      <c r="V2515" s="13" t="s">
        <v>80</v>
      </c>
      <c r="W2515" s="13" t="s">
        <v>64</v>
      </c>
      <c r="X2515" s="135">
        <v>-500000</v>
      </c>
      <c r="Y2515" s="157" t="str">
        <f t="shared" si="756"/>
        <v>1.13</v>
      </c>
      <c r="Z2515" s="18">
        <f t="shared" si="755"/>
        <v>0</v>
      </c>
      <c r="AA2515" s="13">
        <v>1.2</v>
      </c>
      <c r="AB2515" s="21">
        <f t="shared" si="738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2"/>
        <v>47458373.787610628</v>
      </c>
      <c r="AJ2515" s="19">
        <f t="shared" si="743"/>
        <v>7436880.1411522133</v>
      </c>
      <c r="AK2515" s="20">
        <f t="shared" si="749"/>
        <v>0.15670322321692506</v>
      </c>
      <c r="AL2515" s="17"/>
      <c r="AM2515" s="17"/>
      <c r="AN2515" s="17"/>
      <c r="AO2515" s="17"/>
      <c r="AP2515" s="28" t="str">
        <f t="shared" si="750"/>
        <v>20218</v>
      </c>
      <c r="AQ2515" s="28" t="str">
        <f t="shared" si="751"/>
        <v>20218RMB</v>
      </c>
      <c r="AR2515" s="206">
        <f t="shared" si="752"/>
        <v>0</v>
      </c>
      <c r="AS2515" s="22" t="str">
        <f t="shared" si="753"/>
        <v/>
      </c>
      <c r="AT2515" s="24" t="str">
        <f t="shared" si="754"/>
        <v/>
      </c>
      <c r="AU2515" s="22" t="s">
        <v>3240</v>
      </c>
    </row>
    <row r="2516" spans="1:47" s="12" customFormat="1">
      <c r="A2516" s="33" t="str">
        <f t="shared" si="744"/>
        <v>cancel</v>
      </c>
      <c r="B2516" s="152"/>
      <c r="C2516" s="152" t="s">
        <v>185</v>
      </c>
      <c r="D2516" s="33" t="str">
        <f t="shared" si="745"/>
        <v/>
      </c>
      <c r="E2516" s="33" t="s">
        <v>185</v>
      </c>
      <c r="F2516" s="13" t="s">
        <v>185</v>
      </c>
      <c r="G2516" s="152" t="s">
        <v>185</v>
      </c>
      <c r="H2516" s="155"/>
      <c r="I2516" s="33" t="str">
        <f t="shared" si="746"/>
        <v>Cancel</v>
      </c>
      <c r="J2516" s="186" t="s">
        <v>2631</v>
      </c>
      <c r="K2516" s="155" t="s">
        <v>2337</v>
      </c>
      <c r="L2516" s="17" t="s">
        <v>67</v>
      </c>
      <c r="M2516" s="13" t="s">
        <v>60</v>
      </c>
      <c r="N2516" s="13">
        <v>1</v>
      </c>
      <c r="O2516" s="13"/>
      <c r="P2516" s="33" t="str">
        <f t="shared" si="737"/>
        <v>MAIN UNIT</v>
      </c>
      <c r="Q2516" s="13" t="s">
        <v>68</v>
      </c>
      <c r="R2516" s="13" t="s">
        <v>62</v>
      </c>
      <c r="S2516" s="13" t="s">
        <v>49</v>
      </c>
      <c r="T2516" s="13" t="s">
        <v>78</v>
      </c>
      <c r="U2516" s="13" t="s">
        <v>79</v>
      </c>
      <c r="V2516" s="13" t="s">
        <v>80</v>
      </c>
      <c r="W2516" s="13" t="s">
        <v>109</v>
      </c>
      <c r="X2516" s="135">
        <v>10500000</v>
      </c>
      <c r="Y2516" s="156">
        <v>1</v>
      </c>
      <c r="Z2516" s="18">
        <f t="shared" si="755"/>
        <v>10500000</v>
      </c>
      <c r="AA2516" s="13">
        <v>7.2300000000000003E-2</v>
      </c>
      <c r="AB2516" s="21">
        <f t="shared" si="738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2"/>
        <v>499582152.5142017</v>
      </c>
      <c r="AJ2516" s="19">
        <f t="shared" si="743"/>
        <v>59520528.679470733</v>
      </c>
      <c r="AK2516" s="20">
        <f t="shared" si="749"/>
        <v>0.11914062257814291</v>
      </c>
      <c r="AL2516" s="17"/>
      <c r="AM2516" s="17"/>
      <c r="AN2516" s="17"/>
      <c r="AO2516" s="17"/>
      <c r="AP2516" s="28" t="str">
        <f t="shared" si="750"/>
        <v>CancelCancel</v>
      </c>
      <c r="AQ2516" s="28" t="str">
        <f t="shared" si="751"/>
        <v>CancelCancelJPY</v>
      </c>
      <c r="AR2516" s="206" t="str">
        <f t="shared" si="752"/>
        <v>YAMAHA_Mounter</v>
      </c>
      <c r="AS2516" s="22" t="str">
        <f t="shared" si="753"/>
        <v/>
      </c>
      <c r="AT2516" s="24" t="str">
        <f t="shared" si="754"/>
        <v/>
      </c>
      <c r="AU2516" s="22" t="s">
        <v>3746</v>
      </c>
    </row>
    <row r="2517" spans="1:47" s="12" customFormat="1">
      <c r="A2517" s="33" t="str">
        <f t="shared" si="744"/>
        <v>cancel</v>
      </c>
      <c r="B2517" s="152"/>
      <c r="C2517" s="152" t="s">
        <v>185</v>
      </c>
      <c r="D2517" s="33" t="str">
        <f t="shared" si="745"/>
        <v/>
      </c>
      <c r="E2517" s="33" t="s">
        <v>185</v>
      </c>
      <c r="F2517" s="13" t="s">
        <v>185</v>
      </c>
      <c r="G2517" s="152" t="s">
        <v>185</v>
      </c>
      <c r="H2517" s="155"/>
      <c r="I2517" s="33" t="str">
        <f t="shared" si="746"/>
        <v>Cancel</v>
      </c>
      <c r="J2517" s="186" t="s">
        <v>2631</v>
      </c>
      <c r="K2517" s="155" t="s">
        <v>2337</v>
      </c>
      <c r="L2517" s="17" t="s">
        <v>67</v>
      </c>
      <c r="M2517" s="13" t="s">
        <v>60</v>
      </c>
      <c r="N2517" s="13">
        <v>3</v>
      </c>
      <c r="O2517" s="13"/>
      <c r="P2517" s="33" t="str">
        <f t="shared" si="737"/>
        <v>MAIN UNIT</v>
      </c>
      <c r="Q2517" s="13" t="s">
        <v>68</v>
      </c>
      <c r="R2517" s="13" t="s">
        <v>62</v>
      </c>
      <c r="S2517" s="13" t="s">
        <v>49</v>
      </c>
      <c r="T2517" s="13" t="s">
        <v>78</v>
      </c>
      <c r="U2517" s="13" t="s">
        <v>79</v>
      </c>
      <c r="V2517" s="13" t="s">
        <v>80</v>
      </c>
      <c r="W2517" s="13" t="s">
        <v>109</v>
      </c>
      <c r="X2517" s="135">
        <v>10500000</v>
      </c>
      <c r="Y2517" s="156">
        <v>1</v>
      </c>
      <c r="Z2517" s="18">
        <f t="shared" si="755"/>
        <v>31500000</v>
      </c>
      <c r="AA2517" s="13">
        <v>7.22E-2</v>
      </c>
      <c r="AB2517" s="21">
        <f t="shared" si="738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2"/>
        <v>499582152.5142017</v>
      </c>
      <c r="AJ2517" s="19">
        <f t="shared" si="743"/>
        <v>59520528.679470733</v>
      </c>
      <c r="AK2517" s="20">
        <f t="shared" si="749"/>
        <v>0.11914062257814291</v>
      </c>
      <c r="AL2517" s="17"/>
      <c r="AM2517" s="17"/>
      <c r="AN2517" s="17"/>
      <c r="AO2517" s="17"/>
      <c r="AP2517" s="28" t="str">
        <f t="shared" si="750"/>
        <v>CancelCancel</v>
      </c>
      <c r="AQ2517" s="28" t="str">
        <f t="shared" si="751"/>
        <v>CancelCancelJPY</v>
      </c>
      <c r="AR2517" s="206" t="str">
        <f t="shared" si="752"/>
        <v>YAMAHA_Mounter</v>
      </c>
      <c r="AS2517" s="22" t="str">
        <f t="shared" si="753"/>
        <v/>
      </c>
      <c r="AT2517" s="24" t="str">
        <f t="shared" si="754"/>
        <v/>
      </c>
      <c r="AU2517" s="22" t="s">
        <v>3746</v>
      </c>
    </row>
    <row r="2518" spans="1:47" s="12" customFormat="1">
      <c r="A2518" s="33" t="str">
        <f t="shared" si="744"/>
        <v>cancel</v>
      </c>
      <c r="B2518" s="152"/>
      <c r="C2518" s="152" t="s">
        <v>185</v>
      </c>
      <c r="D2518" s="33" t="str">
        <f t="shared" si="745"/>
        <v/>
      </c>
      <c r="E2518" s="33" t="s">
        <v>185</v>
      </c>
      <c r="F2518" s="13" t="s">
        <v>185</v>
      </c>
      <c r="G2518" s="152" t="s">
        <v>185</v>
      </c>
      <c r="H2518" s="155"/>
      <c r="I2518" s="33" t="str">
        <f t="shared" si="746"/>
        <v>Cancel</v>
      </c>
      <c r="J2518" s="186" t="s">
        <v>2631</v>
      </c>
      <c r="K2518" s="155" t="s">
        <v>2337</v>
      </c>
      <c r="L2518" s="17" t="s">
        <v>92</v>
      </c>
      <c r="M2518" s="13" t="s">
        <v>60</v>
      </c>
      <c r="N2518" s="13">
        <v>2</v>
      </c>
      <c r="O2518" s="13"/>
      <c r="P2518" s="33" t="str">
        <f t="shared" ref="P2518:P2581" si="757">IF(M2518="","",IF(AND(N2518&gt;0,L2518&lt;&gt;""),"MAIN UNIT",IF(AND(O2518&gt;0,L2518&lt;&gt;""),"SERVICE/ PARTS","C66 SERVICE/OTHERS")))</f>
        <v>MAIN UNIT</v>
      </c>
      <c r="Q2518" s="13" t="s">
        <v>68</v>
      </c>
      <c r="R2518" s="13" t="s">
        <v>62</v>
      </c>
      <c r="S2518" s="13" t="s">
        <v>49</v>
      </c>
      <c r="T2518" s="13" t="s">
        <v>78</v>
      </c>
      <c r="U2518" s="13" t="s">
        <v>79</v>
      </c>
      <c r="V2518" s="13" t="s">
        <v>80</v>
      </c>
      <c r="W2518" s="13" t="s">
        <v>109</v>
      </c>
      <c r="X2518" s="135">
        <v>14000000</v>
      </c>
      <c r="Y2518" s="156">
        <v>1</v>
      </c>
      <c r="Z2518" s="18">
        <f t="shared" si="755"/>
        <v>28000000</v>
      </c>
      <c r="AA2518" s="13">
        <v>7.22E-2</v>
      </c>
      <c r="AB2518" s="21">
        <f t="shared" ref="AB2518:AB2581" si="758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2"/>
        <v>499582152.5142017</v>
      </c>
      <c r="AJ2518" s="19">
        <f t="shared" si="743"/>
        <v>59520528.679470733</v>
      </c>
      <c r="AK2518" s="20">
        <f t="shared" si="749"/>
        <v>0.11914062257814291</v>
      </c>
      <c r="AL2518" s="17"/>
      <c r="AM2518" s="17"/>
      <c r="AN2518" s="17"/>
      <c r="AO2518" s="17"/>
      <c r="AP2518" s="28" t="str">
        <f t="shared" si="750"/>
        <v>CancelCancel</v>
      </c>
      <c r="AQ2518" s="28" t="str">
        <f t="shared" si="751"/>
        <v>CancelCancelJPY</v>
      </c>
      <c r="AR2518" s="206" t="str">
        <f t="shared" si="752"/>
        <v>YAMAHA_Mounter</v>
      </c>
      <c r="AS2518" s="22" t="str">
        <f t="shared" si="753"/>
        <v/>
      </c>
      <c r="AT2518" s="24" t="str">
        <f t="shared" si="754"/>
        <v/>
      </c>
      <c r="AU2518" s="22" t="s">
        <v>3746</v>
      </c>
    </row>
    <row r="2519" spans="1:47" s="12" customFormat="1">
      <c r="A2519" s="33" t="str">
        <f t="shared" si="744"/>
        <v>cancel</v>
      </c>
      <c r="B2519" s="152"/>
      <c r="C2519" s="152" t="s">
        <v>185</v>
      </c>
      <c r="D2519" s="33" t="str">
        <f t="shared" si="745"/>
        <v/>
      </c>
      <c r="E2519" s="33" t="s">
        <v>185</v>
      </c>
      <c r="F2519" s="13" t="s">
        <v>185</v>
      </c>
      <c r="G2519" s="152" t="s">
        <v>185</v>
      </c>
      <c r="H2519" s="155"/>
      <c r="I2519" s="33" t="str">
        <f t="shared" si="746"/>
        <v>Cancel</v>
      </c>
      <c r="J2519" s="186" t="s">
        <v>2631</v>
      </c>
      <c r="K2519" s="155" t="s">
        <v>2337</v>
      </c>
      <c r="L2519" s="17" t="s">
        <v>92</v>
      </c>
      <c r="M2519" s="13" t="s">
        <v>60</v>
      </c>
      <c r="N2519" s="13">
        <v>4</v>
      </c>
      <c r="O2519" s="13"/>
      <c r="P2519" s="33" t="str">
        <f t="shared" si="757"/>
        <v>MAIN UNIT</v>
      </c>
      <c r="Q2519" s="13" t="s">
        <v>68</v>
      </c>
      <c r="R2519" s="13" t="s">
        <v>62</v>
      </c>
      <c r="S2519" s="13" t="s">
        <v>49</v>
      </c>
      <c r="T2519" s="13" t="s">
        <v>78</v>
      </c>
      <c r="U2519" s="13" t="s">
        <v>79</v>
      </c>
      <c r="V2519" s="13" t="s">
        <v>80</v>
      </c>
      <c r="W2519" s="13" t="s">
        <v>109</v>
      </c>
      <c r="X2519" s="135">
        <v>14000000</v>
      </c>
      <c r="Y2519" s="156">
        <v>1</v>
      </c>
      <c r="Z2519" s="18">
        <f t="shared" si="755"/>
        <v>56000000</v>
      </c>
      <c r="AA2519" s="13">
        <v>7.22E-2</v>
      </c>
      <c r="AB2519" s="21">
        <f t="shared" si="758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2"/>
        <v>499582152.5142017</v>
      </c>
      <c r="AJ2519" s="19">
        <f t="shared" si="743"/>
        <v>59520528.679470733</v>
      </c>
      <c r="AK2519" s="20">
        <f t="shared" si="749"/>
        <v>0.11914062257814291</v>
      </c>
      <c r="AL2519" s="17"/>
      <c r="AM2519" s="17"/>
      <c r="AN2519" s="17"/>
      <c r="AO2519" s="17"/>
      <c r="AP2519" s="28" t="str">
        <f t="shared" si="750"/>
        <v>CancelCancel</v>
      </c>
      <c r="AQ2519" s="28" t="str">
        <f t="shared" si="751"/>
        <v>CancelCancelJPY</v>
      </c>
      <c r="AR2519" s="206" t="str">
        <f t="shared" si="752"/>
        <v>YAMAHA_Mounter</v>
      </c>
      <c r="AS2519" s="22" t="str">
        <f t="shared" si="753"/>
        <v/>
      </c>
      <c r="AT2519" s="24" t="str">
        <f t="shared" si="754"/>
        <v/>
      </c>
      <c r="AU2519" s="22" t="s">
        <v>3746</v>
      </c>
    </row>
    <row r="2520" spans="1:47" s="12" customFormat="1">
      <c r="A2520" s="33" t="str">
        <f t="shared" si="744"/>
        <v>cancel</v>
      </c>
      <c r="B2520" s="152"/>
      <c r="C2520" s="152" t="s">
        <v>185</v>
      </c>
      <c r="D2520" s="33" t="str">
        <f t="shared" si="745"/>
        <v/>
      </c>
      <c r="E2520" s="33" t="s">
        <v>185</v>
      </c>
      <c r="F2520" s="13" t="s">
        <v>185</v>
      </c>
      <c r="G2520" s="152" t="s">
        <v>185</v>
      </c>
      <c r="H2520" s="155"/>
      <c r="I2520" s="33" t="str">
        <f t="shared" si="746"/>
        <v>Cancel</v>
      </c>
      <c r="J2520" s="186" t="s">
        <v>2631</v>
      </c>
      <c r="K2520" s="155" t="s">
        <v>2337</v>
      </c>
      <c r="L2520" s="17" t="s">
        <v>67</v>
      </c>
      <c r="M2520" s="13" t="s">
        <v>60</v>
      </c>
      <c r="N2520" s="13">
        <v>2</v>
      </c>
      <c r="O2520" s="13"/>
      <c r="P2520" s="33" t="str">
        <f t="shared" si="757"/>
        <v>MAIN UNIT</v>
      </c>
      <c r="Q2520" s="13" t="s">
        <v>68</v>
      </c>
      <c r="R2520" s="13" t="s">
        <v>62</v>
      </c>
      <c r="S2520" s="13" t="s">
        <v>49</v>
      </c>
      <c r="T2520" s="13" t="s">
        <v>78</v>
      </c>
      <c r="U2520" s="13" t="s">
        <v>79</v>
      </c>
      <c r="V2520" s="13" t="s">
        <v>80</v>
      </c>
      <c r="W2520" s="13" t="s">
        <v>109</v>
      </c>
      <c r="X2520" s="135">
        <v>10500000</v>
      </c>
      <c r="Y2520" s="156">
        <v>1</v>
      </c>
      <c r="Z2520" s="18">
        <f t="shared" si="755"/>
        <v>21000000</v>
      </c>
      <c r="AA2520" s="13">
        <v>7.0699999999999999E-2</v>
      </c>
      <c r="AB2520" s="21">
        <f t="shared" si="758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2"/>
        <v>499582152.5142017</v>
      </c>
      <c r="AJ2520" s="19">
        <f t="shared" si="743"/>
        <v>59520528.679470733</v>
      </c>
      <c r="AK2520" s="20">
        <f t="shared" si="749"/>
        <v>0.11914062257814291</v>
      </c>
      <c r="AL2520" s="17"/>
      <c r="AM2520" s="17"/>
      <c r="AN2520" s="17"/>
      <c r="AO2520" s="17"/>
      <c r="AP2520" s="28" t="str">
        <f t="shared" si="750"/>
        <v>CancelCancel</v>
      </c>
      <c r="AQ2520" s="28" t="str">
        <f t="shared" si="751"/>
        <v>CancelCancelJPY</v>
      </c>
      <c r="AR2520" s="206" t="str">
        <f t="shared" si="752"/>
        <v>YAMAHA_Mounter</v>
      </c>
      <c r="AS2520" s="22" t="str">
        <f t="shared" si="753"/>
        <v/>
      </c>
      <c r="AT2520" s="24" t="str">
        <f t="shared" si="754"/>
        <v/>
      </c>
      <c r="AU2520" s="22" t="s">
        <v>3746</v>
      </c>
    </row>
    <row r="2521" spans="1:47" s="12" customFormat="1">
      <c r="A2521" s="33" t="str">
        <f t="shared" si="744"/>
        <v>cancel</v>
      </c>
      <c r="B2521" s="152"/>
      <c r="C2521" s="152" t="s">
        <v>185</v>
      </c>
      <c r="D2521" s="33" t="str">
        <f t="shared" si="745"/>
        <v/>
      </c>
      <c r="E2521" s="33" t="s">
        <v>185</v>
      </c>
      <c r="F2521" s="13" t="s">
        <v>185</v>
      </c>
      <c r="G2521" s="152" t="s">
        <v>185</v>
      </c>
      <c r="H2521" s="155"/>
      <c r="I2521" s="33" t="str">
        <f t="shared" si="746"/>
        <v>Cancel</v>
      </c>
      <c r="J2521" s="186" t="s">
        <v>2631</v>
      </c>
      <c r="K2521" s="155" t="s">
        <v>2337</v>
      </c>
      <c r="L2521" s="17" t="s">
        <v>92</v>
      </c>
      <c r="M2521" s="13" t="s">
        <v>60</v>
      </c>
      <c r="N2521" s="13">
        <v>4</v>
      </c>
      <c r="O2521" s="13"/>
      <c r="P2521" s="33" t="str">
        <f t="shared" si="757"/>
        <v>MAIN UNIT</v>
      </c>
      <c r="Q2521" s="13" t="s">
        <v>68</v>
      </c>
      <c r="R2521" s="13" t="s">
        <v>62</v>
      </c>
      <c r="S2521" s="13" t="s">
        <v>49</v>
      </c>
      <c r="T2521" s="13" t="s">
        <v>78</v>
      </c>
      <c r="U2521" s="13" t="s">
        <v>79</v>
      </c>
      <c r="V2521" s="13" t="s">
        <v>80</v>
      </c>
      <c r="W2521" s="13" t="s">
        <v>109</v>
      </c>
      <c r="X2521" s="135">
        <v>14000000</v>
      </c>
      <c r="Y2521" s="156">
        <v>1</v>
      </c>
      <c r="Z2521" s="18">
        <f t="shared" si="755"/>
        <v>56000000</v>
      </c>
      <c r="AA2521" s="13">
        <v>7.0699999999999999E-2</v>
      </c>
      <c r="AB2521" s="21">
        <f t="shared" si="758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2"/>
        <v>499582152.5142017</v>
      </c>
      <c r="AJ2521" s="19">
        <f t="shared" si="743"/>
        <v>59520528.679470733</v>
      </c>
      <c r="AK2521" s="20">
        <f t="shared" si="749"/>
        <v>0.11914062257814291</v>
      </c>
      <c r="AL2521" s="17"/>
      <c r="AM2521" s="17"/>
      <c r="AN2521" s="17"/>
      <c r="AO2521" s="17"/>
      <c r="AP2521" s="28" t="str">
        <f t="shared" si="750"/>
        <v>CancelCancel</v>
      </c>
      <c r="AQ2521" s="28" t="str">
        <f t="shared" si="751"/>
        <v>CancelCancelJPY</v>
      </c>
      <c r="AR2521" s="206" t="str">
        <f t="shared" si="752"/>
        <v>YAMAHA_Mounter</v>
      </c>
      <c r="AS2521" s="22" t="str">
        <f t="shared" si="753"/>
        <v/>
      </c>
      <c r="AT2521" s="24" t="str">
        <f t="shared" si="754"/>
        <v/>
      </c>
      <c r="AU2521" s="22" t="s">
        <v>3746</v>
      </c>
    </row>
    <row r="2522" spans="1:47" s="12" customFormat="1">
      <c r="A2522" s="33" t="str">
        <f t="shared" si="744"/>
        <v>cancel</v>
      </c>
      <c r="B2522" s="152"/>
      <c r="C2522" s="152" t="s">
        <v>185</v>
      </c>
      <c r="D2522" s="33" t="str">
        <f t="shared" si="745"/>
        <v/>
      </c>
      <c r="E2522" s="33" t="s">
        <v>185</v>
      </c>
      <c r="F2522" s="13" t="s">
        <v>185</v>
      </c>
      <c r="G2522" s="152" t="s">
        <v>185</v>
      </c>
      <c r="H2522" s="155"/>
      <c r="I2522" s="33" t="str">
        <f t="shared" si="746"/>
        <v>Cancel</v>
      </c>
      <c r="J2522" s="186" t="s">
        <v>2631</v>
      </c>
      <c r="K2522" s="155" t="s">
        <v>2337</v>
      </c>
      <c r="L2522" s="17" t="s">
        <v>92</v>
      </c>
      <c r="M2522" s="13" t="s">
        <v>60</v>
      </c>
      <c r="N2522" s="13">
        <v>2</v>
      </c>
      <c r="O2522" s="13"/>
      <c r="P2522" s="33" t="str">
        <f t="shared" si="757"/>
        <v>MAIN UNIT</v>
      </c>
      <c r="Q2522" s="13" t="s">
        <v>68</v>
      </c>
      <c r="R2522" s="13" t="s">
        <v>62</v>
      </c>
      <c r="S2522" s="13" t="s">
        <v>49</v>
      </c>
      <c r="T2522" s="13" t="s">
        <v>78</v>
      </c>
      <c r="U2522" s="13" t="s">
        <v>79</v>
      </c>
      <c r="V2522" s="13" t="s">
        <v>80</v>
      </c>
      <c r="W2522" s="13" t="s">
        <v>109</v>
      </c>
      <c r="X2522" s="135">
        <v>14000000</v>
      </c>
      <c r="Y2522" s="156">
        <v>1</v>
      </c>
      <c r="Z2522" s="18">
        <f t="shared" si="755"/>
        <v>28000000</v>
      </c>
      <c r="AA2522" s="13">
        <v>7.0699999999999999E-2</v>
      </c>
      <c r="AB2522" s="21">
        <f t="shared" si="758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2"/>
        <v>499582152.5142017</v>
      </c>
      <c r="AJ2522" s="19">
        <f t="shared" si="743"/>
        <v>59520528.679470733</v>
      </c>
      <c r="AK2522" s="20">
        <f t="shared" si="749"/>
        <v>0.11914062257814291</v>
      </c>
      <c r="AL2522" s="17"/>
      <c r="AM2522" s="17"/>
      <c r="AN2522" s="17"/>
      <c r="AO2522" s="17"/>
      <c r="AP2522" s="28" t="str">
        <f t="shared" si="750"/>
        <v>CancelCancel</v>
      </c>
      <c r="AQ2522" s="28" t="str">
        <f t="shared" si="751"/>
        <v>CancelCancelJPY</v>
      </c>
      <c r="AR2522" s="206" t="str">
        <f t="shared" si="752"/>
        <v>YAMAHA_Mounter</v>
      </c>
      <c r="AS2522" s="22" t="str">
        <f t="shared" si="753"/>
        <v/>
      </c>
      <c r="AT2522" s="24" t="str">
        <f t="shared" si="754"/>
        <v/>
      </c>
      <c r="AU2522" s="22" t="s">
        <v>3746</v>
      </c>
    </row>
    <row r="2523" spans="1:47" s="12" customFormat="1">
      <c r="A2523" s="33" t="str">
        <f t="shared" si="744"/>
        <v>cancel</v>
      </c>
      <c r="B2523" s="152"/>
      <c r="C2523" s="152" t="s">
        <v>185</v>
      </c>
      <c r="D2523" s="33" t="str">
        <f t="shared" si="745"/>
        <v/>
      </c>
      <c r="E2523" s="33" t="s">
        <v>185</v>
      </c>
      <c r="F2523" s="13" t="s">
        <v>185</v>
      </c>
      <c r="G2523" s="152" t="s">
        <v>185</v>
      </c>
      <c r="H2523" s="155"/>
      <c r="I2523" s="33" t="str">
        <f t="shared" si="746"/>
        <v>Cancel</v>
      </c>
      <c r="J2523" s="186" t="s">
        <v>2631</v>
      </c>
      <c r="K2523" s="155" t="s">
        <v>2337</v>
      </c>
      <c r="L2523" s="17" t="s">
        <v>92</v>
      </c>
      <c r="M2523" s="13" t="s">
        <v>60</v>
      </c>
      <c r="N2523" s="13">
        <v>2</v>
      </c>
      <c r="O2523" s="13"/>
      <c r="P2523" s="33" t="str">
        <f t="shared" si="757"/>
        <v>MAIN UNIT</v>
      </c>
      <c r="Q2523" s="13" t="s">
        <v>68</v>
      </c>
      <c r="R2523" s="13" t="s">
        <v>62</v>
      </c>
      <c r="S2523" s="13" t="s">
        <v>49</v>
      </c>
      <c r="T2523" s="13" t="s">
        <v>78</v>
      </c>
      <c r="U2523" s="13" t="s">
        <v>79</v>
      </c>
      <c r="V2523" s="13" t="s">
        <v>80</v>
      </c>
      <c r="W2523" s="13" t="s">
        <v>109</v>
      </c>
      <c r="X2523" s="135">
        <v>14000000</v>
      </c>
      <c r="Y2523" s="156">
        <v>1</v>
      </c>
      <c r="Z2523" s="18">
        <f t="shared" si="755"/>
        <v>28000000</v>
      </c>
      <c r="AA2523" s="13">
        <v>7.0699999999999999E-2</v>
      </c>
      <c r="AB2523" s="21">
        <f t="shared" si="758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2"/>
        <v>499582152.5142017</v>
      </c>
      <c r="AJ2523" s="19">
        <f t="shared" si="743"/>
        <v>59520528.679470733</v>
      </c>
      <c r="AK2523" s="20">
        <f t="shared" si="749"/>
        <v>0.11914062257814291</v>
      </c>
      <c r="AL2523" s="17"/>
      <c r="AM2523" s="17"/>
      <c r="AN2523" s="17"/>
      <c r="AO2523" s="17" t="s">
        <v>1622</v>
      </c>
      <c r="AP2523" s="28" t="str">
        <f t="shared" si="750"/>
        <v>CancelCancel</v>
      </c>
      <c r="AQ2523" s="28" t="str">
        <f t="shared" si="751"/>
        <v>CancelCancelJPY</v>
      </c>
      <c r="AR2523" s="206" t="str">
        <f t="shared" si="752"/>
        <v>YAMAHA_Mounter</v>
      </c>
      <c r="AS2523" s="22" t="str">
        <f t="shared" si="753"/>
        <v/>
      </c>
      <c r="AT2523" s="24" t="str">
        <f t="shared" si="754"/>
        <v/>
      </c>
      <c r="AU2523" s="22" t="s">
        <v>3746</v>
      </c>
    </row>
    <row r="2524" spans="1:47" s="12" customFormat="1">
      <c r="A2524" s="33" t="str">
        <f t="shared" si="744"/>
        <v>cancel</v>
      </c>
      <c r="B2524" s="152"/>
      <c r="C2524" s="152" t="s">
        <v>185</v>
      </c>
      <c r="D2524" s="33" t="str">
        <f t="shared" si="745"/>
        <v/>
      </c>
      <c r="E2524" s="33" t="s">
        <v>185</v>
      </c>
      <c r="F2524" s="13" t="s">
        <v>185</v>
      </c>
      <c r="G2524" s="152" t="s">
        <v>185</v>
      </c>
      <c r="H2524" s="155"/>
      <c r="I2524" s="33" t="str">
        <f t="shared" si="746"/>
        <v>Cancel</v>
      </c>
      <c r="J2524" s="186" t="s">
        <v>2631</v>
      </c>
      <c r="K2524" s="155" t="s">
        <v>2337</v>
      </c>
      <c r="L2524" s="17" t="s">
        <v>67</v>
      </c>
      <c r="M2524" s="13" t="s">
        <v>60</v>
      </c>
      <c r="N2524" s="13">
        <v>2</v>
      </c>
      <c r="O2524" s="13"/>
      <c r="P2524" s="33" t="str">
        <f t="shared" si="757"/>
        <v>MAIN UNIT</v>
      </c>
      <c r="Q2524" s="13" t="s">
        <v>68</v>
      </c>
      <c r="R2524" s="13" t="s">
        <v>62</v>
      </c>
      <c r="S2524" s="13" t="s">
        <v>49</v>
      </c>
      <c r="T2524" s="13" t="s">
        <v>78</v>
      </c>
      <c r="U2524" s="13" t="s">
        <v>79</v>
      </c>
      <c r="V2524" s="13" t="s">
        <v>80</v>
      </c>
      <c r="W2524" s="13" t="s">
        <v>109</v>
      </c>
      <c r="X2524" s="135">
        <v>10500000</v>
      </c>
      <c r="Y2524" s="156">
        <v>1</v>
      </c>
      <c r="Z2524" s="18">
        <f t="shared" si="755"/>
        <v>21000000</v>
      </c>
      <c r="AA2524" s="13">
        <v>7.0699999999999999E-2</v>
      </c>
      <c r="AB2524" s="21">
        <f t="shared" si="758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2"/>
        <v>499582152.5142017</v>
      </c>
      <c r="AJ2524" s="19">
        <f t="shared" si="743"/>
        <v>59520528.679470733</v>
      </c>
      <c r="AK2524" s="20">
        <f t="shared" si="749"/>
        <v>0.11914062257814291</v>
      </c>
      <c r="AL2524" s="17"/>
      <c r="AM2524" s="17"/>
      <c r="AN2524" s="17"/>
      <c r="AO2524" s="17"/>
      <c r="AP2524" s="28" t="str">
        <f t="shared" si="750"/>
        <v>CancelCancel</v>
      </c>
      <c r="AQ2524" s="28" t="str">
        <f t="shared" si="751"/>
        <v>CancelCancelJPY</v>
      </c>
      <c r="AR2524" s="206" t="str">
        <f t="shared" si="752"/>
        <v>YAMAHA_Mounter</v>
      </c>
      <c r="AS2524" s="22" t="str">
        <f t="shared" si="753"/>
        <v/>
      </c>
      <c r="AT2524" s="24" t="str">
        <f t="shared" si="754"/>
        <v/>
      </c>
      <c r="AU2524" s="22" t="s">
        <v>3746</v>
      </c>
    </row>
    <row r="2525" spans="1:47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55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3040</v>
      </c>
      <c r="K2525" s="155" t="s">
        <v>2337</v>
      </c>
      <c r="L2525" s="17" t="s">
        <v>2620</v>
      </c>
      <c r="M2525" s="13" t="s">
        <v>60</v>
      </c>
      <c r="N2525" s="13">
        <v>1</v>
      </c>
      <c r="O2525" s="13"/>
      <c r="P2525" s="33" t="str">
        <f t="shared" si="757"/>
        <v>MAIN UNIT</v>
      </c>
      <c r="Q2525" s="13" t="s">
        <v>61</v>
      </c>
      <c r="R2525" s="13" t="s">
        <v>2055</v>
      </c>
      <c r="S2525" s="13" t="s">
        <v>52</v>
      </c>
      <c r="T2525" s="13" t="s">
        <v>78</v>
      </c>
      <c r="U2525" s="13" t="s">
        <v>2339</v>
      </c>
      <c r="V2525" s="13" t="s">
        <v>2506</v>
      </c>
      <c r="W2525" s="13" t="s">
        <v>64</v>
      </c>
      <c r="X2525" s="135">
        <v>700000</v>
      </c>
      <c r="Y2525" s="157" t="str">
        <f>IF(W2525="","",IF(W2525="RMB","1.13", "1"))</f>
        <v>1.13</v>
      </c>
      <c r="Z2525" s="18">
        <f t="shared" si="755"/>
        <v>700000</v>
      </c>
      <c r="AA2525" s="13">
        <v>1.0920000000000001</v>
      </c>
      <c r="AB2525" s="21">
        <f t="shared" si="758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2"/>
        <v>22953677.784070797</v>
      </c>
      <c r="AJ2525" s="19">
        <f t="shared" si="743"/>
        <v>4168706.6744155753</v>
      </c>
      <c r="AK2525" s="20">
        <f t="shared" si="749"/>
        <v>0.18161388835511752</v>
      </c>
      <c r="AL2525" s="17"/>
      <c r="AM2525" s="17"/>
      <c r="AN2525" s="17"/>
      <c r="AO2525" s="17"/>
      <c r="AP2525" s="28" t="str">
        <f t="shared" si="750"/>
        <v>20238</v>
      </c>
      <c r="AQ2525" s="28" t="str">
        <f t="shared" si="751"/>
        <v>20238RMB</v>
      </c>
      <c r="AR2525" s="206" t="str">
        <f t="shared" si="752"/>
        <v>YAMAHA_Non_Mounter</v>
      </c>
      <c r="AS2525" s="22">
        <f t="shared" si="753"/>
        <v>15</v>
      </c>
      <c r="AT2525" s="24" t="str">
        <f t="shared" si="754"/>
        <v>&gt; 6 months</v>
      </c>
      <c r="AU2525" s="22" t="s">
        <v>3751</v>
      </c>
    </row>
    <row r="2526" spans="1:47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55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3040</v>
      </c>
      <c r="K2526" s="155" t="s">
        <v>2337</v>
      </c>
      <c r="L2526" s="17" t="s">
        <v>2620</v>
      </c>
      <c r="M2526" s="13" t="s">
        <v>60</v>
      </c>
      <c r="N2526" s="13">
        <v>1</v>
      </c>
      <c r="O2526" s="13"/>
      <c r="P2526" s="33" t="str">
        <f t="shared" si="757"/>
        <v>MAIN UNIT</v>
      </c>
      <c r="Q2526" s="13" t="s">
        <v>61</v>
      </c>
      <c r="R2526" s="13" t="s">
        <v>2055</v>
      </c>
      <c r="S2526" s="13" t="s">
        <v>52</v>
      </c>
      <c r="T2526" s="13" t="s">
        <v>78</v>
      </c>
      <c r="U2526" s="13" t="s">
        <v>2339</v>
      </c>
      <c r="V2526" s="13" t="s">
        <v>2506</v>
      </c>
      <c r="W2526" s="13" t="s">
        <v>64</v>
      </c>
      <c r="X2526" s="135">
        <v>700000</v>
      </c>
      <c r="Y2526" s="157" t="str">
        <f>IF(W2526="","",IF(W2526="RMB","1.13", "1"))</f>
        <v>1.13</v>
      </c>
      <c r="Z2526" s="18">
        <f t="shared" si="755"/>
        <v>700000</v>
      </c>
      <c r="AA2526" s="13">
        <v>1.0920000000000001</v>
      </c>
      <c r="AB2526" s="21">
        <f t="shared" si="758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2"/>
        <v>22953677.784070797</v>
      </c>
      <c r="AJ2526" s="19">
        <f t="shared" si="743"/>
        <v>4168706.6744155753</v>
      </c>
      <c r="AK2526" s="20">
        <f t="shared" si="749"/>
        <v>0.18161388835511752</v>
      </c>
      <c r="AL2526" s="17"/>
      <c r="AM2526" s="17"/>
      <c r="AN2526" s="17"/>
      <c r="AO2526" s="17"/>
      <c r="AP2526" s="28" t="str">
        <f t="shared" si="750"/>
        <v>20238</v>
      </c>
      <c r="AQ2526" s="28" t="str">
        <f t="shared" si="751"/>
        <v>20238RMB</v>
      </c>
      <c r="AR2526" s="206" t="str">
        <f t="shared" si="752"/>
        <v>YAMAHA_Non_Mounter</v>
      </c>
      <c r="AS2526" s="22">
        <f t="shared" si="753"/>
        <v>15</v>
      </c>
      <c r="AT2526" s="24" t="str">
        <f t="shared" si="754"/>
        <v>&gt; 6 months</v>
      </c>
      <c r="AU2526" s="22" t="s">
        <v>3751</v>
      </c>
    </row>
    <row r="2527" spans="1:47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55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3040</v>
      </c>
      <c r="K2527" s="155" t="s">
        <v>2337</v>
      </c>
      <c r="L2527" s="17" t="s">
        <v>2620</v>
      </c>
      <c r="M2527" s="13" t="s">
        <v>60</v>
      </c>
      <c r="N2527" s="13">
        <v>1</v>
      </c>
      <c r="O2527" s="13"/>
      <c r="P2527" s="33" t="str">
        <f t="shared" si="757"/>
        <v>MAIN UNIT</v>
      </c>
      <c r="Q2527" s="13" t="s">
        <v>61</v>
      </c>
      <c r="R2527" s="13" t="s">
        <v>2055</v>
      </c>
      <c r="S2527" s="13" t="s">
        <v>52</v>
      </c>
      <c r="T2527" s="13" t="s">
        <v>78</v>
      </c>
      <c r="U2527" s="13" t="s">
        <v>2339</v>
      </c>
      <c r="V2527" s="13" t="s">
        <v>2506</v>
      </c>
      <c r="W2527" s="13" t="s">
        <v>64</v>
      </c>
      <c r="X2527" s="135">
        <v>700000</v>
      </c>
      <c r="Y2527" s="157" t="str">
        <f>IF(W2527="","",IF(W2527="RMB","1.13", "1"))</f>
        <v>1.13</v>
      </c>
      <c r="Z2527" s="18">
        <f t="shared" si="755"/>
        <v>700000</v>
      </c>
      <c r="AA2527" s="13">
        <v>1.0920000000000001</v>
      </c>
      <c r="AB2527" s="21">
        <f t="shared" si="758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2"/>
        <v>22953677.784070797</v>
      </c>
      <c r="AJ2527" s="19">
        <f t="shared" si="743"/>
        <v>4168706.6744155753</v>
      </c>
      <c r="AK2527" s="20">
        <f t="shared" si="749"/>
        <v>0.18161388835511752</v>
      </c>
      <c r="AL2527" s="17"/>
      <c r="AM2527" s="17"/>
      <c r="AN2527" s="17"/>
      <c r="AO2527" s="17"/>
      <c r="AP2527" s="28" t="str">
        <f t="shared" si="750"/>
        <v>20238</v>
      </c>
      <c r="AQ2527" s="28" t="str">
        <f t="shared" si="751"/>
        <v>20238RMB</v>
      </c>
      <c r="AR2527" s="206" t="str">
        <f t="shared" si="752"/>
        <v>YAMAHA_Non_Mounter</v>
      </c>
      <c r="AS2527" s="22">
        <f t="shared" si="753"/>
        <v>15</v>
      </c>
      <c r="AT2527" s="24" t="str">
        <f t="shared" si="754"/>
        <v>&gt; 6 months</v>
      </c>
      <c r="AU2527" s="22" t="s">
        <v>3751</v>
      </c>
    </row>
    <row r="2528" spans="1:47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55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3040</v>
      </c>
      <c r="K2528" s="155" t="s">
        <v>2337</v>
      </c>
      <c r="L2528" s="17" t="s">
        <v>2620</v>
      </c>
      <c r="M2528" s="13" t="s">
        <v>60</v>
      </c>
      <c r="N2528" s="13">
        <v>1</v>
      </c>
      <c r="O2528" s="13"/>
      <c r="P2528" s="33" t="str">
        <f t="shared" si="757"/>
        <v>MAIN UNIT</v>
      </c>
      <c r="Q2528" s="13" t="s">
        <v>61</v>
      </c>
      <c r="R2528" s="13" t="s">
        <v>2055</v>
      </c>
      <c r="S2528" s="13" t="s">
        <v>52</v>
      </c>
      <c r="T2528" s="13" t="s">
        <v>78</v>
      </c>
      <c r="U2528" s="13" t="s">
        <v>2339</v>
      </c>
      <c r="V2528" s="13" t="s">
        <v>2506</v>
      </c>
      <c r="W2528" s="13" t="s">
        <v>64</v>
      </c>
      <c r="X2528" s="135">
        <v>700000</v>
      </c>
      <c r="Y2528" s="157" t="str">
        <f>IF(W2528="","",IF(W2528="RMB","1.13", "1"))</f>
        <v>1.13</v>
      </c>
      <c r="Z2528" s="18">
        <f t="shared" si="755"/>
        <v>700000</v>
      </c>
      <c r="AA2528" s="13">
        <v>1.0920000000000001</v>
      </c>
      <c r="AB2528" s="21">
        <f t="shared" si="758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2"/>
        <v>22953677.784070797</v>
      </c>
      <c r="AJ2528" s="19">
        <f t="shared" si="743"/>
        <v>4168706.6744155753</v>
      </c>
      <c r="AK2528" s="20">
        <f t="shared" si="749"/>
        <v>0.18161388835511752</v>
      </c>
      <c r="AL2528" s="17"/>
      <c r="AM2528" s="17"/>
      <c r="AN2528" s="17"/>
      <c r="AO2528" s="17"/>
      <c r="AP2528" s="28" t="str">
        <f t="shared" si="750"/>
        <v>20238</v>
      </c>
      <c r="AQ2528" s="28" t="str">
        <f t="shared" si="751"/>
        <v>20238RMB</v>
      </c>
      <c r="AR2528" s="206" t="str">
        <f t="shared" si="752"/>
        <v>YAMAHA_Non_Mounter</v>
      </c>
      <c r="AS2528" s="22">
        <f t="shared" si="753"/>
        <v>15</v>
      </c>
      <c r="AT2528" s="24" t="str">
        <f t="shared" si="754"/>
        <v>&gt; 6 months</v>
      </c>
      <c r="AU2528" s="22" t="s">
        <v>3751</v>
      </c>
    </row>
    <row r="2529" spans="1:47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3498</v>
      </c>
      <c r="K2529" s="29" t="s">
        <v>256</v>
      </c>
      <c r="L2529" s="17" t="s">
        <v>92</v>
      </c>
      <c r="M2529" s="13" t="s">
        <v>60</v>
      </c>
      <c r="N2529" s="13">
        <v>1</v>
      </c>
      <c r="O2529" s="22"/>
      <c r="P2529" s="202" t="str">
        <f t="shared" si="757"/>
        <v>MAIN UNIT</v>
      </c>
      <c r="Q2529" s="22" t="s">
        <v>61</v>
      </c>
      <c r="R2529" s="22" t="s">
        <v>62</v>
      </c>
      <c r="S2529" s="22" t="s">
        <v>50</v>
      </c>
      <c r="T2529" s="22" t="s">
        <v>101</v>
      </c>
      <c r="U2529" s="22" t="s">
        <v>70</v>
      </c>
      <c r="V2529" s="22" t="s">
        <v>71</v>
      </c>
      <c r="W2529" s="22" t="s">
        <v>64</v>
      </c>
      <c r="X2529" s="104">
        <v>700000</v>
      </c>
      <c r="Y2529" s="195" t="str">
        <f>IF(W2529="","",IF(W2529="RMB","1.13", "1"))</f>
        <v>1.13</v>
      </c>
      <c r="Z2529" s="196">
        <f t="shared" si="755"/>
        <v>700000</v>
      </c>
      <c r="AA2529" s="22">
        <v>1.075</v>
      </c>
      <c r="AB2529" s="197">
        <f t="shared" si="758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2"/>
        <v>25458266.694690265</v>
      </c>
      <c r="AJ2529" s="200">
        <f t="shared" si="743"/>
        <v>4116526.778578762</v>
      </c>
      <c r="AK2529" s="201">
        <f t="shared" si="749"/>
        <v>0.16169705612508689</v>
      </c>
      <c r="AL2529" s="24"/>
      <c r="AM2529" s="24"/>
      <c r="AN2529" s="24"/>
      <c r="AO2529" s="24"/>
      <c r="AP2529" s="105" t="str">
        <f t="shared" si="750"/>
        <v>20247</v>
      </c>
      <c r="AQ2529" s="28" t="str">
        <f t="shared" si="751"/>
        <v>20247RMB</v>
      </c>
      <c r="AR2529" s="206" t="str">
        <f t="shared" si="752"/>
        <v>YAMAHA_Mounter</v>
      </c>
      <c r="AS2529" s="22">
        <f t="shared" si="753"/>
        <v>0</v>
      </c>
      <c r="AT2529" s="24" t="str">
        <f t="shared" si="754"/>
        <v>0-3 months</v>
      </c>
      <c r="AU2529" s="22" t="s">
        <v>3240</v>
      </c>
    </row>
    <row r="2530" spans="1:47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48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1166</v>
      </c>
      <c r="K2530" s="155" t="s">
        <v>1167</v>
      </c>
      <c r="L2530" s="17" t="s">
        <v>67</v>
      </c>
      <c r="M2530" s="13" t="s">
        <v>60</v>
      </c>
      <c r="N2530" s="13">
        <v>1</v>
      </c>
      <c r="O2530" s="13"/>
      <c r="P2530" s="33" t="str">
        <f t="shared" si="757"/>
        <v>MAIN UNIT</v>
      </c>
      <c r="Q2530" s="13" t="s">
        <v>61</v>
      </c>
      <c r="R2530" s="13" t="s">
        <v>62</v>
      </c>
      <c r="S2530" s="13" t="s">
        <v>49</v>
      </c>
      <c r="T2530" s="13" t="s">
        <v>78</v>
      </c>
      <c r="U2530" s="13" t="s">
        <v>79</v>
      </c>
      <c r="V2530" s="13" t="s">
        <v>311</v>
      </c>
      <c r="W2530" s="13" t="s">
        <v>64</v>
      </c>
      <c r="X2530" s="135">
        <v>690000</v>
      </c>
      <c r="Y2530" s="156">
        <v>1.1299999999999999</v>
      </c>
      <c r="Z2530" s="18">
        <f t="shared" si="755"/>
        <v>690000</v>
      </c>
      <c r="AA2530" s="13">
        <v>1.095</v>
      </c>
      <c r="AB2530" s="21">
        <f t="shared" si="758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2"/>
        <v>35384300.169380538</v>
      </c>
      <c r="AJ2530" s="19">
        <f t="shared" si="743"/>
        <v>5044538.8896988509</v>
      </c>
      <c r="AK2530" s="20">
        <f t="shared" si="749"/>
        <v>0.14256432557804533</v>
      </c>
      <c r="AL2530" s="17"/>
      <c r="AM2530" s="17"/>
      <c r="AN2530" s="17"/>
      <c r="AO2530" s="17"/>
      <c r="AP2530" s="28" t="str">
        <f t="shared" si="750"/>
        <v>20207</v>
      </c>
      <c r="AQ2530" s="28" t="str">
        <f t="shared" si="751"/>
        <v>20207RMB</v>
      </c>
      <c r="AR2530" s="206" t="str">
        <f t="shared" si="752"/>
        <v>YAMAHA_Mounter</v>
      </c>
      <c r="AS2530" s="22">
        <f t="shared" si="753"/>
        <v>1</v>
      </c>
      <c r="AT2530" s="24" t="str">
        <f t="shared" si="754"/>
        <v>0-3 months</v>
      </c>
      <c r="AU2530" s="22" t="s">
        <v>3744</v>
      </c>
    </row>
    <row r="2531" spans="1:47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48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1263</v>
      </c>
      <c r="K2531" s="155" t="s">
        <v>1167</v>
      </c>
      <c r="L2531" s="17" t="s">
        <v>92</v>
      </c>
      <c r="M2531" s="13" t="s">
        <v>60</v>
      </c>
      <c r="N2531" s="13">
        <v>1</v>
      </c>
      <c r="O2531" s="13"/>
      <c r="P2531" s="33" t="str">
        <f t="shared" si="757"/>
        <v>MAIN UNIT</v>
      </c>
      <c r="Q2531" s="13" t="s">
        <v>61</v>
      </c>
      <c r="R2531" s="13" t="s">
        <v>62</v>
      </c>
      <c r="S2531" s="13" t="s">
        <v>49</v>
      </c>
      <c r="T2531" s="13" t="s">
        <v>78</v>
      </c>
      <c r="U2531" s="13" t="s">
        <v>79</v>
      </c>
      <c r="V2531" s="13" t="s">
        <v>311</v>
      </c>
      <c r="W2531" s="13" t="s">
        <v>109</v>
      </c>
      <c r="X2531" s="135">
        <v>11344000</v>
      </c>
      <c r="Y2531" s="156">
        <v>1</v>
      </c>
      <c r="Z2531" s="18">
        <f t="shared" si="755"/>
        <v>11344000</v>
      </c>
      <c r="AA2531" s="13">
        <v>7.4300000000000005E-2</v>
      </c>
      <c r="AB2531" s="21">
        <f t="shared" si="758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2"/>
        <v>28065694.408805311</v>
      </c>
      <c r="AJ2531" s="19">
        <f t="shared" si="743"/>
        <v>4157433.2906989697</v>
      </c>
      <c r="AK2531" s="20">
        <f t="shared" si="749"/>
        <v>0.14813220831602228</v>
      </c>
      <c r="AL2531" s="17"/>
      <c r="AM2531" s="17"/>
      <c r="AN2531" s="17"/>
      <c r="AO2531" s="17"/>
      <c r="AP2531" s="28" t="str">
        <f t="shared" si="750"/>
        <v>20205</v>
      </c>
      <c r="AQ2531" s="28" t="str">
        <f t="shared" si="751"/>
        <v>20205JPY</v>
      </c>
      <c r="AR2531" s="206" t="str">
        <f t="shared" si="752"/>
        <v>YAMAHA_Mounter</v>
      </c>
      <c r="AS2531" s="22">
        <f t="shared" si="753"/>
        <v>4</v>
      </c>
      <c r="AT2531" s="24" t="str">
        <f t="shared" si="754"/>
        <v>4-6 months</v>
      </c>
      <c r="AU2531" s="22" t="s">
        <v>3745</v>
      </c>
    </row>
    <row r="2532" spans="1:47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41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364</v>
      </c>
      <c r="K2532" s="155" t="s">
        <v>365</v>
      </c>
      <c r="L2532" s="17" t="s">
        <v>67</v>
      </c>
      <c r="M2532" s="13" t="s">
        <v>60</v>
      </c>
      <c r="N2532" s="13">
        <v>1</v>
      </c>
      <c r="O2532" s="13"/>
      <c r="P2532" s="33" t="str">
        <f t="shared" si="757"/>
        <v>MAIN UNIT</v>
      </c>
      <c r="Q2532" s="13" t="s">
        <v>68</v>
      </c>
      <c r="R2532" s="13" t="s">
        <v>62</v>
      </c>
      <c r="S2532" s="13" t="s">
        <v>49</v>
      </c>
      <c r="T2532" s="13" t="s">
        <v>78</v>
      </c>
      <c r="U2532" s="13" t="s">
        <v>263</v>
      </c>
      <c r="V2532" s="13" t="s">
        <v>366</v>
      </c>
      <c r="W2532" s="13" t="s">
        <v>367</v>
      </c>
      <c r="X2532" s="135">
        <v>722750</v>
      </c>
      <c r="Y2532" s="156">
        <v>1.1599999999999999</v>
      </c>
      <c r="Z2532" s="18">
        <f t="shared" si="755"/>
        <v>722750</v>
      </c>
      <c r="AA2532" s="13">
        <v>1.1499999999999999</v>
      </c>
      <c r="AB2532" s="21">
        <f t="shared" si="758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2"/>
        <v>26754147.763010349</v>
      </c>
      <c r="AJ2532" s="19">
        <f t="shared" si="743"/>
        <v>3429137.9965357962</v>
      </c>
      <c r="AK2532" s="20">
        <f t="shared" si="749"/>
        <v>0.12817220069617921</v>
      </c>
      <c r="AL2532" s="17"/>
      <c r="AM2532" s="17"/>
      <c r="AN2532" s="17"/>
      <c r="AO2532" s="17"/>
      <c r="AP2532" s="28" t="str">
        <f t="shared" si="750"/>
        <v>20188</v>
      </c>
      <c r="AQ2532" s="28" t="str">
        <f t="shared" si="751"/>
        <v>20188RMB</v>
      </c>
      <c r="AR2532" s="206" t="str">
        <f t="shared" si="752"/>
        <v>YAMAHA_Mounter</v>
      </c>
      <c r="AS2532" s="22">
        <f t="shared" si="753"/>
        <v>1</v>
      </c>
      <c r="AT2532" s="24" t="str">
        <f t="shared" si="754"/>
        <v>0-3 months</v>
      </c>
      <c r="AU2532" s="22" t="s">
        <v>3744</v>
      </c>
    </row>
    <row r="2533" spans="1:47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41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364</v>
      </c>
      <c r="K2533" s="155" t="s">
        <v>365</v>
      </c>
      <c r="L2533" s="17" t="s">
        <v>67</v>
      </c>
      <c r="M2533" s="13" t="s">
        <v>60</v>
      </c>
      <c r="N2533" s="13">
        <v>1</v>
      </c>
      <c r="O2533" s="13"/>
      <c r="P2533" s="33" t="str">
        <f t="shared" si="757"/>
        <v>MAIN UNIT</v>
      </c>
      <c r="Q2533" s="13" t="s">
        <v>68</v>
      </c>
      <c r="R2533" s="13" t="s">
        <v>62</v>
      </c>
      <c r="S2533" s="13" t="s">
        <v>49</v>
      </c>
      <c r="T2533" s="13" t="s">
        <v>78</v>
      </c>
      <c r="U2533" s="13" t="s">
        <v>263</v>
      </c>
      <c r="V2533" s="13" t="s">
        <v>366</v>
      </c>
      <c r="W2533" s="13" t="s">
        <v>367</v>
      </c>
      <c r="X2533" s="135">
        <v>722750</v>
      </c>
      <c r="Y2533" s="156">
        <v>1.1599999999999999</v>
      </c>
      <c r="Z2533" s="18">
        <f t="shared" si="755"/>
        <v>722750</v>
      </c>
      <c r="AA2533" s="13">
        <v>1.1499999999999999</v>
      </c>
      <c r="AB2533" s="21">
        <f t="shared" si="758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2"/>
        <v>26754147.763010349</v>
      </c>
      <c r="AJ2533" s="19">
        <f t="shared" si="743"/>
        <v>3429137.9965357962</v>
      </c>
      <c r="AK2533" s="20">
        <f t="shared" si="749"/>
        <v>0.12817220069617921</v>
      </c>
      <c r="AL2533" s="17"/>
      <c r="AM2533" s="17"/>
      <c r="AN2533" s="17"/>
      <c r="AO2533" s="17"/>
      <c r="AP2533" s="28" t="str">
        <f t="shared" si="750"/>
        <v>20188</v>
      </c>
      <c r="AQ2533" s="28" t="str">
        <f t="shared" si="751"/>
        <v>20188RMB</v>
      </c>
      <c r="AR2533" s="206" t="str">
        <f t="shared" si="752"/>
        <v>YAMAHA_Mounter</v>
      </c>
      <c r="AS2533" s="22">
        <f t="shared" si="753"/>
        <v>1</v>
      </c>
      <c r="AT2533" s="24" t="str">
        <f t="shared" si="754"/>
        <v>0-3 months</v>
      </c>
      <c r="AU2533" s="22" t="s">
        <v>3744</v>
      </c>
    </row>
    <row r="2534" spans="1:47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41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2789</v>
      </c>
      <c r="K2534" s="155" t="s">
        <v>2790</v>
      </c>
      <c r="L2534" s="17" t="s">
        <v>2791</v>
      </c>
      <c r="M2534" s="13" t="s">
        <v>2607</v>
      </c>
      <c r="N2534" s="13">
        <v>1</v>
      </c>
      <c r="O2534" s="13"/>
      <c r="P2534" s="33" t="str">
        <f t="shared" si="757"/>
        <v>MAIN UNIT</v>
      </c>
      <c r="Q2534" s="13" t="s">
        <v>61</v>
      </c>
      <c r="R2534" s="13" t="s">
        <v>2055</v>
      </c>
      <c r="S2534" s="13" t="s">
        <v>49</v>
      </c>
      <c r="T2534" s="13" t="s">
        <v>396</v>
      </c>
      <c r="U2534" s="13" t="s">
        <v>79</v>
      </c>
      <c r="V2534" s="13" t="s">
        <v>2779</v>
      </c>
      <c r="W2534" s="13" t="s">
        <v>64</v>
      </c>
      <c r="X2534" s="135">
        <v>490000</v>
      </c>
      <c r="Y2534" s="156">
        <v>1.1599999999999999</v>
      </c>
      <c r="Z2534" s="18">
        <f t="shared" si="755"/>
        <v>490000</v>
      </c>
      <c r="AA2534" s="13">
        <v>1.23</v>
      </c>
      <c r="AB2534" s="21">
        <f t="shared" si="758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2"/>
        <v>24398045.86045352</v>
      </c>
      <c r="AJ2534" s="19">
        <f t="shared" si="743"/>
        <v>3478417.4064663448</v>
      </c>
      <c r="AK2534" s="20">
        <f t="shared" si="749"/>
        <v>0.14256950849102498</v>
      </c>
      <c r="AL2534" s="17"/>
      <c r="AM2534" s="17"/>
      <c r="AN2534" s="17"/>
      <c r="AO2534" s="17"/>
      <c r="AP2534" s="28" t="str">
        <f t="shared" si="750"/>
        <v>20186</v>
      </c>
      <c r="AQ2534" s="28" t="str">
        <f t="shared" si="751"/>
        <v>20186RMB</v>
      </c>
      <c r="AR2534" s="206" t="str">
        <f t="shared" si="752"/>
        <v>HELLER</v>
      </c>
      <c r="AS2534" s="22">
        <f t="shared" si="753"/>
        <v>2</v>
      </c>
      <c r="AT2534" s="24" t="str">
        <f t="shared" si="754"/>
        <v>0-3 months</v>
      </c>
      <c r="AU2534" s="22" t="s">
        <v>3744</v>
      </c>
    </row>
    <row r="2535" spans="1:47" s="12" customFormat="1">
      <c r="A2535" s="33" t="str">
        <f t="shared" si="744"/>
        <v>cancel</v>
      </c>
      <c r="B2535" s="152"/>
      <c r="C2535" s="152" t="s">
        <v>185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185</v>
      </c>
      <c r="G2535" s="152" t="s">
        <v>185</v>
      </c>
      <c r="H2535" s="155"/>
      <c r="I2535" s="33" t="str">
        <f t="shared" si="746"/>
        <v>Cancel</v>
      </c>
      <c r="J2535" s="186" t="s">
        <v>3081</v>
      </c>
      <c r="K2535" s="155" t="s">
        <v>3082</v>
      </c>
      <c r="L2535" s="17" t="s">
        <v>3083</v>
      </c>
      <c r="M2535" s="13" t="s">
        <v>2607</v>
      </c>
      <c r="N2535" s="13">
        <v>1</v>
      </c>
      <c r="O2535" s="13"/>
      <c r="P2535" s="33" t="str">
        <f t="shared" si="757"/>
        <v>MAIN UNIT</v>
      </c>
      <c r="Q2535" s="13" t="s">
        <v>61</v>
      </c>
      <c r="R2535" s="13" t="s">
        <v>2055</v>
      </c>
      <c r="S2535" s="13" t="s">
        <v>49</v>
      </c>
      <c r="T2535" s="13" t="s">
        <v>78</v>
      </c>
      <c r="U2535" s="13" t="s">
        <v>79</v>
      </c>
      <c r="V2535" s="13" t="s">
        <v>112</v>
      </c>
      <c r="W2535" s="13" t="s">
        <v>901</v>
      </c>
      <c r="X2535" s="135">
        <v>76000</v>
      </c>
      <c r="Y2535" s="157" t="str">
        <f>IF(W2535="","",IF(W2535="RMB","1.13", "1"))</f>
        <v>1</v>
      </c>
      <c r="Z2535" s="18">
        <f t="shared" si="755"/>
        <v>76000</v>
      </c>
      <c r="AA2535" s="13">
        <v>7.8</v>
      </c>
      <c r="AB2535" s="21">
        <f t="shared" si="758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2"/>
        <v>499582152.5142017</v>
      </c>
      <c r="AJ2535" s="19">
        <f t="shared" si="743"/>
        <v>59520528.679470733</v>
      </c>
      <c r="AK2535" s="20">
        <f t="shared" si="749"/>
        <v>0.11914062257814291</v>
      </c>
      <c r="AL2535" s="17"/>
      <c r="AM2535" s="17"/>
      <c r="AN2535" s="17"/>
      <c r="AO2535" s="17"/>
      <c r="AP2535" s="28" t="str">
        <f t="shared" si="750"/>
        <v>CancelCancel</v>
      </c>
      <c r="AQ2535" s="28" t="str">
        <f t="shared" si="751"/>
        <v>CancelCancelUSD</v>
      </c>
      <c r="AR2535" s="206" t="str">
        <f t="shared" si="752"/>
        <v>HELLER</v>
      </c>
      <c r="AS2535" s="22" t="str">
        <f t="shared" si="753"/>
        <v/>
      </c>
      <c r="AT2535" s="24" t="str">
        <f t="shared" si="754"/>
        <v/>
      </c>
      <c r="AU2535" s="22" t="s">
        <v>3746</v>
      </c>
    </row>
    <row r="2536" spans="1:47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53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1850</v>
      </c>
      <c r="K2536" s="155" t="s">
        <v>1851</v>
      </c>
      <c r="L2536" s="17" t="s">
        <v>92</v>
      </c>
      <c r="M2536" s="13" t="s">
        <v>60</v>
      </c>
      <c r="N2536" s="13">
        <v>1</v>
      </c>
      <c r="O2536" s="13"/>
      <c r="P2536" s="33" t="str">
        <f t="shared" si="757"/>
        <v>MAIN UNIT</v>
      </c>
      <c r="Q2536" s="13" t="s">
        <v>68</v>
      </c>
      <c r="R2536" s="13" t="s">
        <v>62</v>
      </c>
      <c r="S2536" s="13" t="s">
        <v>49</v>
      </c>
      <c r="T2536" s="13" t="s">
        <v>78</v>
      </c>
      <c r="U2536" s="13" t="s">
        <v>79</v>
      </c>
      <c r="V2536" s="13" t="s">
        <v>121</v>
      </c>
      <c r="W2536" s="13" t="s">
        <v>109</v>
      </c>
      <c r="X2536" s="135">
        <v>15000000</v>
      </c>
      <c r="Y2536" s="157" t="str">
        <f>IF(W2536="RMB","1.13", "1")</f>
        <v>1</v>
      </c>
      <c r="Z2536" s="18">
        <f t="shared" si="755"/>
        <v>15000000</v>
      </c>
      <c r="AA2536" s="13">
        <v>7.2400000000000006E-2</v>
      </c>
      <c r="AB2536" s="21">
        <f t="shared" si="758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2"/>
        <v>47458373.787610628</v>
      </c>
      <c r="AJ2536" s="19">
        <f t="shared" si="743"/>
        <v>7436880.1411522133</v>
      </c>
      <c r="AK2536" s="20">
        <f t="shared" si="749"/>
        <v>0.15670322321692506</v>
      </c>
      <c r="AL2536" s="17"/>
      <c r="AM2536" s="17"/>
      <c r="AN2536" s="17"/>
      <c r="AO2536" s="17"/>
      <c r="AP2536" s="28" t="str">
        <f t="shared" si="750"/>
        <v>20218</v>
      </c>
      <c r="AQ2536" s="28" t="str">
        <f t="shared" si="751"/>
        <v>20218JPY</v>
      </c>
      <c r="AR2536" s="206" t="str">
        <f t="shared" si="752"/>
        <v>YAMAHA_Mounter</v>
      </c>
      <c r="AS2536" s="22">
        <f t="shared" si="753"/>
        <v>4</v>
      </c>
      <c r="AT2536" s="24" t="str">
        <f t="shared" si="754"/>
        <v>4-6 months</v>
      </c>
      <c r="AU2536" s="22" t="s">
        <v>3745</v>
      </c>
    </row>
    <row r="2537" spans="1:47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47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904</v>
      </c>
      <c r="K2537" s="155" t="s">
        <v>905</v>
      </c>
      <c r="L2537" s="17" t="s">
        <v>92</v>
      </c>
      <c r="M2537" s="13" t="s">
        <v>60</v>
      </c>
      <c r="N2537" s="13">
        <v>1</v>
      </c>
      <c r="O2537" s="13"/>
      <c r="P2537" s="33" t="str">
        <f t="shared" si="757"/>
        <v>MAIN UNIT</v>
      </c>
      <c r="Q2537" s="13" t="s">
        <v>61</v>
      </c>
      <c r="R2537" s="13" t="s">
        <v>62</v>
      </c>
      <c r="S2537" s="13" t="s">
        <v>49</v>
      </c>
      <c r="T2537" s="13" t="s">
        <v>78</v>
      </c>
      <c r="U2537" s="13" t="s">
        <v>79</v>
      </c>
      <c r="V2537" s="13" t="s">
        <v>80</v>
      </c>
      <c r="W2537" s="13" t="s">
        <v>64</v>
      </c>
      <c r="X2537" s="135">
        <v>891000</v>
      </c>
      <c r="Y2537" s="156">
        <v>1.1299999999999999</v>
      </c>
      <c r="Z2537" s="18">
        <f t="shared" si="755"/>
        <v>891000</v>
      </c>
      <c r="AA2537" s="13">
        <v>1.1100000000000001</v>
      </c>
      <c r="AB2537" s="21">
        <f t="shared" si="758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2"/>
        <v>26147030.909862842</v>
      </c>
      <c r="AJ2537" s="19">
        <f t="shared" si="743"/>
        <v>2743862.8630715334</v>
      </c>
      <c r="AK2537" s="20">
        <f t="shared" si="749"/>
        <v>0.10493974908778378</v>
      </c>
      <c r="AL2537" s="17"/>
      <c r="AM2537" s="17"/>
      <c r="AN2537" s="17"/>
      <c r="AO2537" s="17"/>
      <c r="AP2537" s="28" t="str">
        <f t="shared" si="750"/>
        <v>201911</v>
      </c>
      <c r="AQ2537" s="28" t="str">
        <f t="shared" si="751"/>
        <v>201911RMB</v>
      </c>
      <c r="AR2537" s="206" t="str">
        <f t="shared" si="752"/>
        <v>YAMAHA_Mounter</v>
      </c>
      <c r="AS2537" s="22">
        <f t="shared" si="753"/>
        <v>1</v>
      </c>
      <c r="AT2537" s="24" t="str">
        <f t="shared" si="754"/>
        <v>0-3 months</v>
      </c>
      <c r="AU2537" s="22" t="s">
        <v>3744</v>
      </c>
    </row>
    <row r="2538" spans="1:47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48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1376</v>
      </c>
      <c r="K2538" s="155" t="s">
        <v>1377</v>
      </c>
      <c r="L2538" s="17" t="s">
        <v>92</v>
      </c>
      <c r="M2538" s="13" t="s">
        <v>60</v>
      </c>
      <c r="N2538" s="13">
        <v>1</v>
      </c>
      <c r="O2538" s="13"/>
      <c r="P2538" s="33" t="str">
        <f t="shared" si="757"/>
        <v>MAIN UNIT</v>
      </c>
      <c r="Q2538" s="13" t="s">
        <v>61</v>
      </c>
      <c r="R2538" s="13" t="s">
        <v>62</v>
      </c>
      <c r="S2538" s="13" t="s">
        <v>49</v>
      </c>
      <c r="T2538" s="13" t="s">
        <v>78</v>
      </c>
      <c r="U2538" s="13" t="s">
        <v>79</v>
      </c>
      <c r="V2538" s="13" t="s">
        <v>1140</v>
      </c>
      <c r="W2538" s="13" t="s">
        <v>109</v>
      </c>
      <c r="X2538" s="135">
        <v>10500000</v>
      </c>
      <c r="Y2538" s="157" t="str">
        <f t="shared" ref="Y2538:Y2551" si="759">IF(W2538="RMB","1.13", "1")</f>
        <v>1</v>
      </c>
      <c r="Z2538" s="18">
        <f t="shared" si="755"/>
        <v>10500000</v>
      </c>
      <c r="AA2538" s="13">
        <v>7.4899999999999994E-2</v>
      </c>
      <c r="AB2538" s="21">
        <f t="shared" si="758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2"/>
        <v>28011162.254106201</v>
      </c>
      <c r="AJ2538" s="19">
        <f t="shared" si="743"/>
        <v>3401347.1124888416</v>
      </c>
      <c r="AK2538" s="20">
        <f t="shared" si="749"/>
        <v>0.12142827497242578</v>
      </c>
      <c r="AL2538" s="17"/>
      <c r="AM2538" s="17"/>
      <c r="AN2538" s="17"/>
      <c r="AO2538" s="17"/>
      <c r="AP2538" s="28" t="str">
        <f t="shared" si="750"/>
        <v>202010</v>
      </c>
      <c r="AQ2538" s="28" t="str">
        <f t="shared" si="751"/>
        <v>202010JPY</v>
      </c>
      <c r="AR2538" s="206" t="str">
        <f t="shared" si="752"/>
        <v>YAMAHA_Mounter</v>
      </c>
      <c r="AS2538" s="22">
        <f t="shared" si="753"/>
        <v>3</v>
      </c>
      <c r="AT2538" s="24" t="str">
        <f t="shared" si="754"/>
        <v>0-3 months</v>
      </c>
      <c r="AU2538" s="22" t="s">
        <v>3745</v>
      </c>
    </row>
    <row r="2539" spans="1:47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48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1480</v>
      </c>
      <c r="K2539" s="155" t="s">
        <v>905</v>
      </c>
      <c r="L2539" s="17" t="s">
        <v>92</v>
      </c>
      <c r="M2539" s="13" t="s">
        <v>60</v>
      </c>
      <c r="N2539" s="13">
        <v>1</v>
      </c>
      <c r="O2539" s="13"/>
      <c r="P2539" s="33" t="str">
        <f t="shared" si="757"/>
        <v>MAIN UNIT</v>
      </c>
      <c r="Q2539" s="13" t="s">
        <v>61</v>
      </c>
      <c r="R2539" s="13" t="s">
        <v>62</v>
      </c>
      <c r="S2539" s="13" t="s">
        <v>49</v>
      </c>
      <c r="T2539" s="13" t="s">
        <v>78</v>
      </c>
      <c r="U2539" s="13" t="s">
        <v>79</v>
      </c>
      <c r="V2539" s="13" t="s">
        <v>80</v>
      </c>
      <c r="W2539" s="13" t="s">
        <v>109</v>
      </c>
      <c r="X2539" s="135">
        <v>12310000</v>
      </c>
      <c r="Y2539" s="157" t="str">
        <f t="shared" si="759"/>
        <v>1</v>
      </c>
      <c r="Z2539" s="18">
        <f t="shared" si="755"/>
        <v>12310000</v>
      </c>
      <c r="AA2539" s="13">
        <v>7.6100000000000001E-2</v>
      </c>
      <c r="AB2539" s="21">
        <f t="shared" si="758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2"/>
        <v>48763143.537654862</v>
      </c>
      <c r="AJ2539" s="19">
        <f t="shared" si="743"/>
        <v>5924029.9702154724</v>
      </c>
      <c r="AK2539" s="20">
        <f t="shared" si="749"/>
        <v>0.1214858095774925</v>
      </c>
      <c r="AL2539" s="17"/>
      <c r="AM2539" s="17"/>
      <c r="AN2539" s="17"/>
      <c r="AO2539" s="17" t="s">
        <v>1440</v>
      </c>
      <c r="AP2539" s="28" t="str">
        <f t="shared" si="750"/>
        <v>202012</v>
      </c>
      <c r="AQ2539" s="28" t="str">
        <f t="shared" si="751"/>
        <v>202012JPY</v>
      </c>
      <c r="AR2539" s="206" t="str">
        <f t="shared" si="752"/>
        <v>YAMAHA_Mounter</v>
      </c>
      <c r="AS2539" s="22">
        <f t="shared" si="753"/>
        <v>1</v>
      </c>
      <c r="AT2539" s="24" t="str">
        <f t="shared" si="754"/>
        <v>0-3 months</v>
      </c>
      <c r="AU2539" s="22" t="s">
        <v>3745</v>
      </c>
    </row>
    <row r="2540" spans="1:47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185</v>
      </c>
      <c r="F2540" s="13" t="s">
        <v>185</v>
      </c>
      <c r="G2540" s="152" t="s">
        <v>185</v>
      </c>
      <c r="H2540" s="155"/>
      <c r="I2540" s="33" t="str">
        <f t="shared" si="746"/>
        <v>Cancel</v>
      </c>
      <c r="J2540" s="186" t="s">
        <v>1631</v>
      </c>
      <c r="K2540" s="155" t="s">
        <v>905</v>
      </c>
      <c r="L2540" s="17" t="s">
        <v>92</v>
      </c>
      <c r="M2540" s="13" t="s">
        <v>60</v>
      </c>
      <c r="N2540" s="13">
        <v>1</v>
      </c>
      <c r="O2540" s="13"/>
      <c r="P2540" s="33" t="str">
        <f t="shared" si="757"/>
        <v>MAIN UNIT</v>
      </c>
      <c r="Q2540" s="13" t="s">
        <v>61</v>
      </c>
      <c r="R2540" s="13" t="s">
        <v>62</v>
      </c>
      <c r="S2540" s="13" t="s">
        <v>49</v>
      </c>
      <c r="T2540" s="13" t="s">
        <v>78</v>
      </c>
      <c r="U2540" s="13" t="s">
        <v>79</v>
      </c>
      <c r="V2540" s="13" t="s">
        <v>80</v>
      </c>
      <c r="W2540" s="13" t="s">
        <v>109</v>
      </c>
      <c r="X2540" s="135">
        <v>11555000</v>
      </c>
      <c r="Y2540" s="157" t="str">
        <f t="shared" si="759"/>
        <v>1</v>
      </c>
      <c r="Z2540" s="18">
        <f t="shared" si="755"/>
        <v>11555000</v>
      </c>
      <c r="AA2540" s="13">
        <v>7.2400000000000006E-2</v>
      </c>
      <c r="AB2540" s="21">
        <f t="shared" si="758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2"/>
        <v>499582152.5142017</v>
      </c>
      <c r="AJ2540" s="19">
        <f t="shared" si="743"/>
        <v>59520528.679470733</v>
      </c>
      <c r="AK2540" s="20">
        <f t="shared" si="749"/>
        <v>0.11914062257814291</v>
      </c>
      <c r="AL2540" s="17"/>
      <c r="AM2540" s="17"/>
      <c r="AN2540" s="17"/>
      <c r="AO2540" s="17"/>
      <c r="AP2540" s="28" t="str">
        <f t="shared" si="750"/>
        <v>CancelCancel</v>
      </c>
      <c r="AQ2540" s="28" t="str">
        <f t="shared" si="751"/>
        <v>CancelCancelJPY</v>
      </c>
      <c r="AR2540" s="206" t="str">
        <f t="shared" si="752"/>
        <v>YAMAHA_Mounter</v>
      </c>
      <c r="AS2540" s="22" t="str">
        <f t="shared" si="753"/>
        <v/>
      </c>
      <c r="AT2540" s="24" t="str">
        <f t="shared" si="754"/>
        <v/>
      </c>
      <c r="AU2540" s="22" t="s">
        <v>3745</v>
      </c>
    </row>
    <row r="2541" spans="1:47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185</v>
      </c>
      <c r="F2541" s="13" t="s">
        <v>185</v>
      </c>
      <c r="G2541" s="152" t="s">
        <v>185</v>
      </c>
      <c r="H2541" s="155"/>
      <c r="I2541" s="33" t="str">
        <f t="shared" si="746"/>
        <v>Cancel</v>
      </c>
      <c r="J2541" s="186" t="s">
        <v>1631</v>
      </c>
      <c r="K2541" s="155" t="s">
        <v>905</v>
      </c>
      <c r="L2541" s="17" t="s">
        <v>92</v>
      </c>
      <c r="M2541" s="13" t="s">
        <v>60</v>
      </c>
      <c r="N2541" s="13">
        <v>1</v>
      </c>
      <c r="O2541" s="13"/>
      <c r="P2541" s="33" t="str">
        <f t="shared" si="757"/>
        <v>MAIN UNIT</v>
      </c>
      <c r="Q2541" s="13" t="s">
        <v>61</v>
      </c>
      <c r="R2541" s="13" t="s">
        <v>62</v>
      </c>
      <c r="S2541" s="13" t="s">
        <v>49</v>
      </c>
      <c r="T2541" s="13" t="s">
        <v>78</v>
      </c>
      <c r="U2541" s="13" t="s">
        <v>79</v>
      </c>
      <c r="V2541" s="13" t="s">
        <v>80</v>
      </c>
      <c r="W2541" s="13" t="s">
        <v>109</v>
      </c>
      <c r="X2541" s="135">
        <v>11555000</v>
      </c>
      <c r="Y2541" s="157" t="str">
        <f t="shared" si="759"/>
        <v>1</v>
      </c>
      <c r="Z2541" s="18">
        <f t="shared" si="755"/>
        <v>11555000</v>
      </c>
      <c r="AA2541" s="13">
        <v>7.2400000000000006E-2</v>
      </c>
      <c r="AB2541" s="21">
        <f t="shared" si="758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2"/>
        <v>499582152.5142017</v>
      </c>
      <c r="AJ2541" s="19">
        <f t="shared" si="743"/>
        <v>59520528.679470733</v>
      </c>
      <c r="AK2541" s="20">
        <f t="shared" si="749"/>
        <v>0.11914062257814291</v>
      </c>
      <c r="AL2541" s="17"/>
      <c r="AM2541" s="17"/>
      <c r="AN2541" s="17"/>
      <c r="AO2541" s="17"/>
      <c r="AP2541" s="28" t="str">
        <f t="shared" si="750"/>
        <v>CancelCancel</v>
      </c>
      <c r="AQ2541" s="28" t="str">
        <f t="shared" si="751"/>
        <v>CancelCancelJPY</v>
      </c>
      <c r="AR2541" s="206" t="str">
        <f t="shared" si="752"/>
        <v>YAMAHA_Mounter</v>
      </c>
      <c r="AS2541" s="22" t="str">
        <f t="shared" si="753"/>
        <v/>
      </c>
      <c r="AT2541" s="24" t="str">
        <f t="shared" si="754"/>
        <v/>
      </c>
      <c r="AU2541" s="22" t="s">
        <v>3745</v>
      </c>
    </row>
    <row r="2542" spans="1:47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48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1666</v>
      </c>
      <c r="K2542" s="155" t="s">
        <v>905</v>
      </c>
      <c r="L2542" s="17" t="s">
        <v>92</v>
      </c>
      <c r="M2542" s="13" t="s">
        <v>60</v>
      </c>
      <c r="N2542" s="13">
        <v>1</v>
      </c>
      <c r="O2542" s="13"/>
      <c r="P2542" s="33" t="str">
        <f t="shared" si="757"/>
        <v>MAIN UNIT</v>
      </c>
      <c r="Q2542" s="13" t="s">
        <v>61</v>
      </c>
      <c r="R2542" s="13" t="s">
        <v>62</v>
      </c>
      <c r="S2542" s="13" t="s">
        <v>49</v>
      </c>
      <c r="T2542" s="13" t="s">
        <v>78</v>
      </c>
      <c r="U2542" s="13" t="s">
        <v>79</v>
      </c>
      <c r="V2542" s="13" t="s">
        <v>80</v>
      </c>
      <c r="W2542" s="13" t="s">
        <v>109</v>
      </c>
      <c r="X2542" s="135">
        <v>11570000</v>
      </c>
      <c r="Y2542" s="157" t="str">
        <f t="shared" si="759"/>
        <v>1</v>
      </c>
      <c r="Z2542" s="18">
        <f t="shared" si="755"/>
        <v>11570000</v>
      </c>
      <c r="AA2542" s="13">
        <v>7.4499999999999997E-2</v>
      </c>
      <c r="AB2542" s="21">
        <f t="shared" si="758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2"/>
        <v>57778307.282035396</v>
      </c>
      <c r="AJ2542" s="19">
        <f t="shared" si="743"/>
        <v>7259860.7225420559</v>
      </c>
      <c r="AK2542" s="20">
        <f t="shared" si="749"/>
        <v>0.12565028406083667</v>
      </c>
      <c r="AL2542" s="17"/>
      <c r="AM2542" s="17"/>
      <c r="AN2542" s="17"/>
      <c r="AO2542" s="17"/>
      <c r="AP2542" s="28" t="str">
        <f t="shared" si="750"/>
        <v>20213</v>
      </c>
      <c r="AQ2542" s="28" t="str">
        <f t="shared" si="751"/>
        <v>20213JPY</v>
      </c>
      <c r="AR2542" s="206" t="str">
        <f t="shared" si="752"/>
        <v>YAMAHA_Mounter</v>
      </c>
      <c r="AS2542" s="22">
        <f t="shared" si="753"/>
        <v>2</v>
      </c>
      <c r="AT2542" s="24" t="str">
        <f t="shared" si="754"/>
        <v>0-3 months</v>
      </c>
      <c r="AU2542" s="22" t="s">
        <v>3745</v>
      </c>
    </row>
    <row r="2543" spans="1:47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48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1666</v>
      </c>
      <c r="K2543" s="155" t="s">
        <v>905</v>
      </c>
      <c r="L2543" s="17" t="s">
        <v>92</v>
      </c>
      <c r="M2543" s="13" t="s">
        <v>60</v>
      </c>
      <c r="N2543" s="13">
        <v>1</v>
      </c>
      <c r="O2543" s="13"/>
      <c r="P2543" s="33" t="str">
        <f t="shared" si="757"/>
        <v>MAIN UNIT</v>
      </c>
      <c r="Q2543" s="13" t="s">
        <v>61</v>
      </c>
      <c r="R2543" s="13" t="s">
        <v>62</v>
      </c>
      <c r="S2543" s="13" t="s">
        <v>49</v>
      </c>
      <c r="T2543" s="13" t="s">
        <v>78</v>
      </c>
      <c r="U2543" s="13" t="s">
        <v>79</v>
      </c>
      <c r="V2543" s="13" t="s">
        <v>80</v>
      </c>
      <c r="W2543" s="13" t="s">
        <v>109</v>
      </c>
      <c r="X2543" s="135">
        <v>11570000</v>
      </c>
      <c r="Y2543" s="157" t="str">
        <f t="shared" si="759"/>
        <v>1</v>
      </c>
      <c r="Z2543" s="18">
        <f t="shared" si="755"/>
        <v>11570000</v>
      </c>
      <c r="AA2543" s="13">
        <v>7.4499999999999997E-2</v>
      </c>
      <c r="AB2543" s="21">
        <f t="shared" si="758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2"/>
        <v>57778307.282035396</v>
      </c>
      <c r="AJ2543" s="19">
        <f t="shared" si="743"/>
        <v>7259860.7225420559</v>
      </c>
      <c r="AK2543" s="20">
        <f t="shared" si="749"/>
        <v>0.12565028406083667</v>
      </c>
      <c r="AL2543" s="17"/>
      <c r="AM2543" s="17"/>
      <c r="AN2543" s="17"/>
      <c r="AO2543" s="17"/>
      <c r="AP2543" s="28" t="str">
        <f t="shared" si="750"/>
        <v>20213</v>
      </c>
      <c r="AQ2543" s="28" t="str">
        <f t="shared" si="751"/>
        <v>20213JPY</v>
      </c>
      <c r="AR2543" s="206" t="str">
        <f t="shared" si="752"/>
        <v>YAMAHA_Mounter</v>
      </c>
      <c r="AS2543" s="22">
        <f t="shared" si="753"/>
        <v>2</v>
      </c>
      <c r="AT2543" s="24" t="str">
        <f t="shared" si="754"/>
        <v>0-3 months</v>
      </c>
      <c r="AU2543" s="22" t="s">
        <v>3745</v>
      </c>
    </row>
    <row r="2544" spans="1:47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48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1666</v>
      </c>
      <c r="K2544" s="155" t="s">
        <v>905</v>
      </c>
      <c r="L2544" s="17" t="s">
        <v>92</v>
      </c>
      <c r="M2544" s="13" t="s">
        <v>60</v>
      </c>
      <c r="N2544" s="13">
        <v>1</v>
      </c>
      <c r="O2544" s="13"/>
      <c r="P2544" s="33" t="str">
        <f t="shared" si="757"/>
        <v>MAIN UNIT</v>
      </c>
      <c r="Q2544" s="13" t="s">
        <v>61</v>
      </c>
      <c r="R2544" s="13" t="s">
        <v>62</v>
      </c>
      <c r="S2544" s="13" t="s">
        <v>49</v>
      </c>
      <c r="T2544" s="13" t="s">
        <v>78</v>
      </c>
      <c r="U2544" s="13" t="s">
        <v>79</v>
      </c>
      <c r="V2544" s="13" t="s">
        <v>80</v>
      </c>
      <c r="W2544" s="13" t="s">
        <v>109</v>
      </c>
      <c r="X2544" s="135">
        <v>11570000</v>
      </c>
      <c r="Y2544" s="157" t="str">
        <f t="shared" si="759"/>
        <v>1</v>
      </c>
      <c r="Z2544" s="18">
        <f t="shared" si="755"/>
        <v>11570000</v>
      </c>
      <c r="AA2544" s="13">
        <v>7.5700000000000003E-2</v>
      </c>
      <c r="AB2544" s="21">
        <f t="shared" si="758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2"/>
        <v>31097187.02948761</v>
      </c>
      <c r="AJ2544" s="19">
        <f t="shared" si="743"/>
        <v>3892353.6644401965</v>
      </c>
      <c r="AK2544" s="20">
        <f t="shared" si="749"/>
        <v>0.12516738767237401</v>
      </c>
      <c r="AL2544" s="17"/>
      <c r="AM2544" s="17"/>
      <c r="AN2544" s="17"/>
      <c r="AO2544" s="17"/>
      <c r="AP2544" s="28" t="str">
        <f t="shared" si="750"/>
        <v>20212</v>
      </c>
      <c r="AQ2544" s="28" t="str">
        <f t="shared" si="751"/>
        <v>20212JPY</v>
      </c>
      <c r="AR2544" s="206" t="str">
        <f t="shared" si="752"/>
        <v>YAMAHA_Mounter</v>
      </c>
      <c r="AS2544" s="22">
        <f t="shared" si="753"/>
        <v>1</v>
      </c>
      <c r="AT2544" s="24" t="str">
        <f t="shared" si="754"/>
        <v>0-3 months</v>
      </c>
      <c r="AU2544" s="22" t="s">
        <v>3745</v>
      </c>
    </row>
    <row r="2545" spans="1:47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48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1666</v>
      </c>
      <c r="K2545" s="155" t="s">
        <v>905</v>
      </c>
      <c r="L2545" s="17" t="s">
        <v>67</v>
      </c>
      <c r="M2545" s="13" t="s">
        <v>60</v>
      </c>
      <c r="N2545" s="13">
        <v>1</v>
      </c>
      <c r="O2545" s="13"/>
      <c r="P2545" s="33" t="str">
        <f t="shared" si="757"/>
        <v>MAIN UNIT</v>
      </c>
      <c r="Q2545" s="13" t="s">
        <v>61</v>
      </c>
      <c r="R2545" s="13" t="s">
        <v>62</v>
      </c>
      <c r="S2545" s="13" t="s">
        <v>49</v>
      </c>
      <c r="T2545" s="13" t="s">
        <v>78</v>
      </c>
      <c r="U2545" s="13" t="s">
        <v>79</v>
      </c>
      <c r="V2545" s="13" t="s">
        <v>80</v>
      </c>
      <c r="W2545" s="13" t="s">
        <v>109</v>
      </c>
      <c r="X2545" s="135">
        <v>8150000</v>
      </c>
      <c r="Y2545" s="157" t="str">
        <f t="shared" si="759"/>
        <v>1</v>
      </c>
      <c r="Z2545" s="18">
        <f t="shared" si="755"/>
        <v>8150000</v>
      </c>
      <c r="AA2545" s="13">
        <v>7.5700000000000003E-2</v>
      </c>
      <c r="AB2545" s="21">
        <f t="shared" si="758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2"/>
        <v>31097187.02948761</v>
      </c>
      <c r="AJ2545" s="19">
        <f t="shared" si="743"/>
        <v>3892353.6644401965</v>
      </c>
      <c r="AK2545" s="20">
        <f t="shared" si="749"/>
        <v>0.12516738767237401</v>
      </c>
      <c r="AL2545" s="17"/>
      <c r="AM2545" s="17"/>
      <c r="AN2545" s="17"/>
      <c r="AO2545" s="17"/>
      <c r="AP2545" s="28" t="str">
        <f t="shared" si="750"/>
        <v>20212</v>
      </c>
      <c r="AQ2545" s="28" t="str">
        <f t="shared" si="751"/>
        <v>20212JPY</v>
      </c>
      <c r="AR2545" s="206" t="str">
        <f t="shared" si="752"/>
        <v>YAMAHA_Mounter</v>
      </c>
      <c r="AS2545" s="22">
        <f t="shared" si="753"/>
        <v>1</v>
      </c>
      <c r="AT2545" s="24" t="str">
        <f t="shared" si="754"/>
        <v>0-3 months</v>
      </c>
      <c r="AU2545" s="22" t="s">
        <v>3745</v>
      </c>
    </row>
    <row r="2546" spans="1:47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185</v>
      </c>
      <c r="F2546" s="13" t="s">
        <v>185</v>
      </c>
      <c r="G2546" s="152" t="s">
        <v>185</v>
      </c>
      <c r="H2546" s="155"/>
      <c r="I2546" s="33" t="str">
        <f t="shared" si="746"/>
        <v>Cancel</v>
      </c>
      <c r="J2546" s="186" t="s">
        <v>2064</v>
      </c>
      <c r="K2546" s="155" t="s">
        <v>905</v>
      </c>
      <c r="L2546" s="17" t="s">
        <v>92</v>
      </c>
      <c r="M2546" s="13" t="s">
        <v>60</v>
      </c>
      <c r="N2546" s="13">
        <v>1</v>
      </c>
      <c r="O2546" s="13"/>
      <c r="P2546" s="33" t="str">
        <f t="shared" si="757"/>
        <v>MAIN UNIT</v>
      </c>
      <c r="Q2546" s="13" t="s">
        <v>61</v>
      </c>
      <c r="R2546" s="13" t="s">
        <v>62</v>
      </c>
      <c r="S2546" s="13" t="s">
        <v>49</v>
      </c>
      <c r="T2546" s="13" t="s">
        <v>78</v>
      </c>
      <c r="U2546" s="13" t="s">
        <v>79</v>
      </c>
      <c r="V2546" s="13" t="s">
        <v>80</v>
      </c>
      <c r="W2546" s="13" t="s">
        <v>109</v>
      </c>
      <c r="X2546" s="135">
        <v>11570000</v>
      </c>
      <c r="Y2546" s="157" t="str">
        <f t="shared" si="759"/>
        <v>1</v>
      </c>
      <c r="Z2546" s="18">
        <f t="shared" si="755"/>
        <v>11570000</v>
      </c>
      <c r="AA2546" s="13">
        <v>7.2400000000000006E-2</v>
      </c>
      <c r="AB2546" s="21">
        <f t="shared" si="758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2"/>
        <v>499582152.5142017</v>
      </c>
      <c r="AJ2546" s="19">
        <f t="shared" si="743"/>
        <v>59520528.679470733</v>
      </c>
      <c r="AK2546" s="20">
        <f t="shared" si="749"/>
        <v>0.11914062257814291</v>
      </c>
      <c r="AL2546" s="17"/>
      <c r="AM2546" s="17"/>
      <c r="AN2546" s="17"/>
      <c r="AO2546" s="17"/>
      <c r="AP2546" s="28" t="str">
        <f t="shared" si="750"/>
        <v>CancelCancel</v>
      </c>
      <c r="AQ2546" s="28" t="str">
        <f t="shared" si="751"/>
        <v>CancelCancelJPY</v>
      </c>
      <c r="AR2546" s="206" t="str">
        <f t="shared" si="752"/>
        <v>YAMAHA_Mounter</v>
      </c>
      <c r="AS2546" s="22" t="str">
        <f t="shared" si="753"/>
        <v/>
      </c>
      <c r="AT2546" s="24" t="str">
        <f t="shared" si="754"/>
        <v/>
      </c>
      <c r="AU2546" s="22" t="s">
        <v>3745</v>
      </c>
    </row>
    <row r="2547" spans="1:47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185</v>
      </c>
      <c r="F2547" s="13" t="s">
        <v>185</v>
      </c>
      <c r="G2547" s="152" t="s">
        <v>185</v>
      </c>
      <c r="H2547" s="155"/>
      <c r="I2547" s="33" t="str">
        <f t="shared" si="746"/>
        <v>Cancel</v>
      </c>
      <c r="J2547" s="186" t="s">
        <v>2064</v>
      </c>
      <c r="K2547" s="155" t="s">
        <v>905</v>
      </c>
      <c r="L2547" s="17" t="s">
        <v>92</v>
      </c>
      <c r="M2547" s="13" t="s">
        <v>60</v>
      </c>
      <c r="N2547" s="13">
        <v>1</v>
      </c>
      <c r="O2547" s="13"/>
      <c r="P2547" s="33" t="str">
        <f t="shared" si="757"/>
        <v>MAIN UNIT</v>
      </c>
      <c r="Q2547" s="13" t="s">
        <v>61</v>
      </c>
      <c r="R2547" s="13" t="s">
        <v>62</v>
      </c>
      <c r="S2547" s="13" t="s">
        <v>49</v>
      </c>
      <c r="T2547" s="13" t="s">
        <v>78</v>
      </c>
      <c r="U2547" s="13" t="s">
        <v>79</v>
      </c>
      <c r="V2547" s="13" t="s">
        <v>80</v>
      </c>
      <c r="W2547" s="13" t="s">
        <v>109</v>
      </c>
      <c r="X2547" s="135">
        <v>11570000</v>
      </c>
      <c r="Y2547" s="157" t="str">
        <f t="shared" si="759"/>
        <v>1</v>
      </c>
      <c r="Z2547" s="18">
        <f t="shared" si="755"/>
        <v>11570000</v>
      </c>
      <c r="AA2547" s="13">
        <v>7.2400000000000006E-2</v>
      </c>
      <c r="AB2547" s="21">
        <f t="shared" si="758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2"/>
        <v>499582152.5142017</v>
      </c>
      <c r="AJ2547" s="19">
        <f t="shared" si="743"/>
        <v>59520528.679470733</v>
      </c>
      <c r="AK2547" s="20">
        <f t="shared" si="749"/>
        <v>0.11914062257814291</v>
      </c>
      <c r="AL2547" s="17"/>
      <c r="AM2547" s="17"/>
      <c r="AN2547" s="17"/>
      <c r="AO2547" s="17"/>
      <c r="AP2547" s="28" t="str">
        <f t="shared" si="750"/>
        <v>CancelCancel</v>
      </c>
      <c r="AQ2547" s="28" t="str">
        <f t="shared" si="751"/>
        <v>CancelCancelJPY</v>
      </c>
      <c r="AR2547" s="206" t="str">
        <f t="shared" si="752"/>
        <v>YAMAHA_Mounter</v>
      </c>
      <c r="AS2547" s="22" t="str">
        <f t="shared" si="753"/>
        <v/>
      </c>
      <c r="AT2547" s="24" t="str">
        <f t="shared" si="754"/>
        <v/>
      </c>
      <c r="AU2547" s="22" t="s">
        <v>3745</v>
      </c>
    </row>
    <row r="2548" spans="1:47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185</v>
      </c>
      <c r="F2548" s="13" t="s">
        <v>185</v>
      </c>
      <c r="G2548" s="152" t="s">
        <v>185</v>
      </c>
      <c r="H2548" s="155"/>
      <c r="I2548" s="33" t="str">
        <f t="shared" si="746"/>
        <v>Cancel</v>
      </c>
      <c r="J2548" s="186" t="s">
        <v>2064</v>
      </c>
      <c r="K2548" s="155" t="s">
        <v>905</v>
      </c>
      <c r="L2548" s="17" t="s">
        <v>92</v>
      </c>
      <c r="M2548" s="13" t="s">
        <v>60</v>
      </c>
      <c r="N2548" s="13">
        <v>1</v>
      </c>
      <c r="O2548" s="13"/>
      <c r="P2548" s="33" t="str">
        <f t="shared" si="757"/>
        <v>MAIN UNIT</v>
      </c>
      <c r="Q2548" s="13" t="s">
        <v>61</v>
      </c>
      <c r="R2548" s="13" t="s">
        <v>62</v>
      </c>
      <c r="S2548" s="13" t="s">
        <v>49</v>
      </c>
      <c r="T2548" s="13" t="s">
        <v>78</v>
      </c>
      <c r="U2548" s="13" t="s">
        <v>79</v>
      </c>
      <c r="V2548" s="13" t="s">
        <v>80</v>
      </c>
      <c r="W2548" s="13" t="s">
        <v>109</v>
      </c>
      <c r="X2548" s="135">
        <v>11570000</v>
      </c>
      <c r="Y2548" s="157" t="str">
        <f t="shared" si="759"/>
        <v>1</v>
      </c>
      <c r="Z2548" s="18">
        <f t="shared" si="755"/>
        <v>11570000</v>
      </c>
      <c r="AA2548" s="13">
        <v>7.2400000000000006E-2</v>
      </c>
      <c r="AB2548" s="21">
        <f t="shared" si="758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2"/>
        <v>499582152.5142017</v>
      </c>
      <c r="AJ2548" s="19">
        <f t="shared" si="743"/>
        <v>59520528.679470733</v>
      </c>
      <c r="AK2548" s="20">
        <f t="shared" si="749"/>
        <v>0.11914062257814291</v>
      </c>
      <c r="AL2548" s="17"/>
      <c r="AM2548" s="17"/>
      <c r="AN2548" s="17"/>
      <c r="AO2548" s="17"/>
      <c r="AP2548" s="28" t="str">
        <f t="shared" si="750"/>
        <v>CancelCancel</v>
      </c>
      <c r="AQ2548" s="28" t="str">
        <f t="shared" si="751"/>
        <v>CancelCancelJPY</v>
      </c>
      <c r="AR2548" s="206" t="str">
        <f t="shared" si="752"/>
        <v>YAMAHA_Mounter</v>
      </c>
      <c r="AS2548" s="22" t="str">
        <f t="shared" si="753"/>
        <v/>
      </c>
      <c r="AT2548" s="24" t="str">
        <f t="shared" si="754"/>
        <v/>
      </c>
      <c r="AU2548" s="22" t="s">
        <v>3745</v>
      </c>
    </row>
    <row r="2549" spans="1:47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185</v>
      </c>
      <c r="F2549" s="13" t="s">
        <v>185</v>
      </c>
      <c r="G2549" s="152" t="s">
        <v>185</v>
      </c>
      <c r="H2549" s="155"/>
      <c r="I2549" s="33" t="str">
        <f t="shared" si="746"/>
        <v>Cancel</v>
      </c>
      <c r="J2549" s="186" t="s">
        <v>2064</v>
      </c>
      <c r="K2549" s="155" t="s">
        <v>905</v>
      </c>
      <c r="L2549" s="17" t="s">
        <v>67</v>
      </c>
      <c r="M2549" s="13" t="s">
        <v>60</v>
      </c>
      <c r="N2549" s="13">
        <v>1</v>
      </c>
      <c r="O2549" s="13"/>
      <c r="P2549" s="33" t="str">
        <f t="shared" si="757"/>
        <v>MAIN UNIT</v>
      </c>
      <c r="Q2549" s="13" t="s">
        <v>61</v>
      </c>
      <c r="R2549" s="13" t="s">
        <v>62</v>
      </c>
      <c r="S2549" s="13" t="s">
        <v>49</v>
      </c>
      <c r="T2549" s="13" t="s">
        <v>78</v>
      </c>
      <c r="U2549" s="13" t="s">
        <v>79</v>
      </c>
      <c r="V2549" s="13" t="s">
        <v>80</v>
      </c>
      <c r="W2549" s="13" t="s">
        <v>109</v>
      </c>
      <c r="X2549" s="135">
        <v>8150000</v>
      </c>
      <c r="Y2549" s="157" t="str">
        <f t="shared" si="759"/>
        <v>1</v>
      </c>
      <c r="Z2549" s="18">
        <f t="shared" si="755"/>
        <v>8150000</v>
      </c>
      <c r="AA2549" s="13">
        <v>7.2400000000000006E-2</v>
      </c>
      <c r="AB2549" s="21">
        <f t="shared" si="758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2"/>
        <v>499582152.5142017</v>
      </c>
      <c r="AJ2549" s="19">
        <f t="shared" si="743"/>
        <v>59520528.679470733</v>
      </c>
      <c r="AK2549" s="20">
        <f t="shared" si="749"/>
        <v>0.11914062257814291</v>
      </c>
      <c r="AL2549" s="17"/>
      <c r="AM2549" s="17"/>
      <c r="AN2549" s="17"/>
      <c r="AO2549" s="17"/>
      <c r="AP2549" s="28" t="str">
        <f t="shared" si="750"/>
        <v>CancelCancel</v>
      </c>
      <c r="AQ2549" s="28" t="str">
        <f t="shared" si="751"/>
        <v>CancelCancelJPY</v>
      </c>
      <c r="AR2549" s="206" t="str">
        <f t="shared" si="752"/>
        <v>YAMAHA_Mounter</v>
      </c>
      <c r="AS2549" s="22" t="str">
        <f t="shared" si="753"/>
        <v/>
      </c>
      <c r="AT2549" s="24" t="str">
        <f t="shared" si="754"/>
        <v/>
      </c>
      <c r="AU2549" s="22" t="s">
        <v>3745</v>
      </c>
    </row>
    <row r="2550" spans="1:47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53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2131</v>
      </c>
      <c r="K2550" s="155" t="s">
        <v>905</v>
      </c>
      <c r="L2550" s="17" t="s">
        <v>92</v>
      </c>
      <c r="M2550" s="13" t="s">
        <v>60</v>
      </c>
      <c r="N2550" s="13">
        <v>1</v>
      </c>
      <c r="O2550" s="13"/>
      <c r="P2550" s="33" t="str">
        <f t="shared" si="757"/>
        <v>MAIN UNIT</v>
      </c>
      <c r="Q2550" s="13" t="s">
        <v>61</v>
      </c>
      <c r="R2550" s="13" t="s">
        <v>62</v>
      </c>
      <c r="S2550" s="13" t="s">
        <v>49</v>
      </c>
      <c r="T2550" s="13" t="s">
        <v>78</v>
      </c>
      <c r="U2550" s="13" t="s">
        <v>79</v>
      </c>
      <c r="V2550" s="13" t="s">
        <v>80</v>
      </c>
      <c r="W2550" s="13" t="s">
        <v>109</v>
      </c>
      <c r="X2550" s="135">
        <v>14390000</v>
      </c>
      <c r="Y2550" s="157" t="str">
        <f t="shared" si="759"/>
        <v>1</v>
      </c>
      <c r="Z2550" s="18">
        <f t="shared" si="755"/>
        <v>14390000</v>
      </c>
      <c r="AA2550" s="13">
        <v>6.9199999999999998E-2</v>
      </c>
      <c r="AB2550" s="21">
        <f t="shared" si="758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2"/>
        <v>31750699.113741599</v>
      </c>
      <c r="AJ2550" s="19">
        <f t="shared" si="743"/>
        <v>4396077.3195289988</v>
      </c>
      <c r="AK2550" s="20">
        <f t="shared" si="749"/>
        <v>0.13845607946397598</v>
      </c>
      <c r="AL2550" s="17"/>
      <c r="AM2550" s="17"/>
      <c r="AN2550" s="17"/>
      <c r="AO2550" s="17"/>
      <c r="AP2550" s="28" t="str">
        <f t="shared" si="750"/>
        <v>20222</v>
      </c>
      <c r="AQ2550" s="28" t="str">
        <f t="shared" si="751"/>
        <v>20222JPY</v>
      </c>
      <c r="AR2550" s="206" t="str">
        <f t="shared" si="752"/>
        <v>YAMAHA_Mounter</v>
      </c>
      <c r="AS2550" s="22">
        <f t="shared" si="753"/>
        <v>1</v>
      </c>
      <c r="AT2550" s="24" t="str">
        <f t="shared" si="754"/>
        <v>0-3 months</v>
      </c>
      <c r="AU2550" s="22" t="s">
        <v>3745</v>
      </c>
    </row>
    <row r="2551" spans="1:47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54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2131</v>
      </c>
      <c r="K2551" s="155" t="s">
        <v>905</v>
      </c>
      <c r="L2551" s="17" t="s">
        <v>92</v>
      </c>
      <c r="M2551" s="13" t="s">
        <v>60</v>
      </c>
      <c r="N2551" s="13">
        <v>1</v>
      </c>
      <c r="O2551" s="13"/>
      <c r="P2551" s="33" t="str">
        <f t="shared" si="757"/>
        <v>MAIN UNIT</v>
      </c>
      <c r="Q2551" s="13" t="s">
        <v>61</v>
      </c>
      <c r="R2551" s="13" t="s">
        <v>62</v>
      </c>
      <c r="S2551" s="13" t="s">
        <v>49</v>
      </c>
      <c r="T2551" s="13" t="s">
        <v>78</v>
      </c>
      <c r="U2551" s="13" t="s">
        <v>79</v>
      </c>
      <c r="V2551" s="13" t="s">
        <v>80</v>
      </c>
      <c r="W2551" s="13" t="s">
        <v>109</v>
      </c>
      <c r="X2551" s="135">
        <v>14390000</v>
      </c>
      <c r="Y2551" s="157" t="str">
        <f t="shared" si="759"/>
        <v>1</v>
      </c>
      <c r="Z2551" s="18">
        <f t="shared" si="755"/>
        <v>14390000</v>
      </c>
      <c r="AA2551" s="13">
        <v>6.54E-2</v>
      </c>
      <c r="AB2551" s="21">
        <f t="shared" si="758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2"/>
        <v>46600814.041769907</v>
      </c>
      <c r="AJ2551" s="19">
        <f t="shared" si="743"/>
        <v>5956366.3435927071</v>
      </c>
      <c r="AK2551" s="20">
        <f t="shared" si="749"/>
        <v>0.1278167874546958</v>
      </c>
      <c r="AL2551" s="17"/>
      <c r="AM2551" s="17"/>
      <c r="AN2551" s="17"/>
      <c r="AO2551" s="17"/>
      <c r="AP2551" s="28" t="str">
        <f t="shared" si="750"/>
        <v>20224</v>
      </c>
      <c r="AQ2551" s="28" t="str">
        <f t="shared" si="751"/>
        <v>20224JPY</v>
      </c>
      <c r="AR2551" s="206" t="str">
        <f t="shared" si="752"/>
        <v>YAMAHA_Mounter</v>
      </c>
      <c r="AS2551" s="22">
        <f t="shared" si="753"/>
        <v>3</v>
      </c>
      <c r="AT2551" s="24" t="str">
        <f t="shared" si="754"/>
        <v>0-3 months</v>
      </c>
      <c r="AU2551" s="22" t="s">
        <v>3745</v>
      </c>
    </row>
    <row r="2552" spans="1:47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185</v>
      </c>
      <c r="F2552" s="13" t="s">
        <v>185</v>
      </c>
      <c r="G2552" s="152" t="s">
        <v>185</v>
      </c>
      <c r="H2552" s="155"/>
      <c r="I2552" s="33" t="str">
        <f t="shared" si="746"/>
        <v>Cancel</v>
      </c>
      <c r="J2552" s="186" t="s">
        <v>598</v>
      </c>
      <c r="K2552" s="155" t="s">
        <v>599</v>
      </c>
      <c r="L2552" s="17" t="s">
        <v>92</v>
      </c>
      <c r="M2552" s="13" t="s">
        <v>60</v>
      </c>
      <c r="N2552" s="13">
        <v>2</v>
      </c>
      <c r="O2552" s="13"/>
      <c r="P2552" s="33" t="str">
        <f t="shared" si="757"/>
        <v>MAIN UNIT</v>
      </c>
      <c r="Q2552" s="13" t="s">
        <v>68</v>
      </c>
      <c r="R2552" s="13" t="s">
        <v>260</v>
      </c>
      <c r="S2552" s="13" t="s">
        <v>261</v>
      </c>
      <c r="T2552" s="13" t="s">
        <v>262</v>
      </c>
      <c r="U2552" s="13" t="s">
        <v>263</v>
      </c>
      <c r="V2552" s="13"/>
      <c r="W2552" s="13" t="s">
        <v>265</v>
      </c>
      <c r="X2552" s="135">
        <v>12724000</v>
      </c>
      <c r="Y2552" s="156">
        <v>1</v>
      </c>
      <c r="Z2552" s="18">
        <f t="shared" si="755"/>
        <v>25448000</v>
      </c>
      <c r="AA2552" s="13">
        <v>7.2099999999999997E-2</v>
      </c>
      <c r="AB2552" s="21">
        <f t="shared" si="758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2"/>
        <v>499582152.5142017</v>
      </c>
      <c r="AJ2552" s="19">
        <f t="shared" si="743"/>
        <v>59520528.679470733</v>
      </c>
      <c r="AK2552" s="20">
        <f t="shared" si="749"/>
        <v>0.11914062257814291</v>
      </c>
      <c r="AL2552" s="17"/>
      <c r="AM2552" s="17"/>
      <c r="AN2552" s="17"/>
      <c r="AO2552" s="17"/>
      <c r="AP2552" s="28" t="str">
        <f t="shared" si="750"/>
        <v>CancelCancel</v>
      </c>
      <c r="AQ2552" s="28" t="str">
        <f t="shared" si="751"/>
        <v>CancelCancelJPY</v>
      </c>
      <c r="AR2552" s="206" t="str">
        <f t="shared" si="752"/>
        <v>YAMAHA_Mounter</v>
      </c>
      <c r="AS2552" s="22" t="str">
        <f t="shared" si="753"/>
        <v/>
      </c>
      <c r="AT2552" s="24" t="str">
        <f t="shared" si="754"/>
        <v/>
      </c>
      <c r="AU2552" s="22" t="s">
        <v>3745</v>
      </c>
    </row>
    <row r="2553" spans="1:47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185</v>
      </c>
      <c r="F2553" s="13" t="s">
        <v>185</v>
      </c>
      <c r="G2553" s="152" t="s">
        <v>185</v>
      </c>
      <c r="H2553" s="155"/>
      <c r="I2553" s="33" t="str">
        <f t="shared" si="746"/>
        <v>Cancel</v>
      </c>
      <c r="J2553" s="186" t="s">
        <v>600</v>
      </c>
      <c r="K2553" s="155" t="s">
        <v>599</v>
      </c>
      <c r="L2553" s="17" t="s">
        <v>92</v>
      </c>
      <c r="M2553" s="13" t="s">
        <v>60</v>
      </c>
      <c r="N2553" s="13">
        <v>1</v>
      </c>
      <c r="O2553" s="13"/>
      <c r="P2553" s="33" t="str">
        <f t="shared" si="757"/>
        <v>MAIN UNIT</v>
      </c>
      <c r="Q2553" s="13" t="s">
        <v>68</v>
      </c>
      <c r="R2553" s="13" t="s">
        <v>260</v>
      </c>
      <c r="S2553" s="13" t="s">
        <v>261</v>
      </c>
      <c r="T2553" s="13" t="s">
        <v>262</v>
      </c>
      <c r="U2553" s="13" t="s">
        <v>263</v>
      </c>
      <c r="V2553" s="13"/>
      <c r="W2553" s="13" t="s">
        <v>265</v>
      </c>
      <c r="X2553" s="135">
        <v>12724000</v>
      </c>
      <c r="Y2553" s="156">
        <v>1</v>
      </c>
      <c r="Z2553" s="18">
        <f t="shared" si="755"/>
        <v>12724000</v>
      </c>
      <c r="AA2553" s="13">
        <v>7.2099999999999997E-2</v>
      </c>
      <c r="AB2553" s="21">
        <f t="shared" si="758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2"/>
        <v>499582152.5142017</v>
      </c>
      <c r="AJ2553" s="19">
        <f t="shared" si="743"/>
        <v>59520528.679470733</v>
      </c>
      <c r="AK2553" s="20">
        <f t="shared" si="749"/>
        <v>0.11914062257814291</v>
      </c>
      <c r="AL2553" s="17"/>
      <c r="AM2553" s="17"/>
      <c r="AN2553" s="17"/>
      <c r="AO2553" s="17"/>
      <c r="AP2553" s="28" t="str">
        <f t="shared" si="750"/>
        <v>CancelCancel</v>
      </c>
      <c r="AQ2553" s="28" t="str">
        <f t="shared" si="751"/>
        <v>CancelCancelJPY</v>
      </c>
      <c r="AR2553" s="206" t="str">
        <f t="shared" si="752"/>
        <v>YAMAHA_Mounter</v>
      </c>
      <c r="AS2553" s="22" t="str">
        <f t="shared" si="753"/>
        <v/>
      </c>
      <c r="AT2553" s="24" t="str">
        <f t="shared" si="754"/>
        <v/>
      </c>
      <c r="AU2553" s="22" t="s">
        <v>3745</v>
      </c>
    </row>
    <row r="2554" spans="1:47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48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1098</v>
      </c>
      <c r="K2554" s="155" t="s">
        <v>1099</v>
      </c>
      <c r="L2554" s="17" t="s">
        <v>92</v>
      </c>
      <c r="M2554" s="13" t="s">
        <v>60</v>
      </c>
      <c r="N2554" s="13">
        <v>1</v>
      </c>
      <c r="O2554" s="13"/>
      <c r="P2554" s="33" t="str">
        <f t="shared" si="757"/>
        <v>MAIN UNIT</v>
      </c>
      <c r="Q2554" s="13" t="s">
        <v>61</v>
      </c>
      <c r="R2554" s="13" t="s">
        <v>62</v>
      </c>
      <c r="S2554" s="13" t="s">
        <v>49</v>
      </c>
      <c r="T2554" s="13" t="s">
        <v>78</v>
      </c>
      <c r="U2554" s="13" t="s">
        <v>79</v>
      </c>
      <c r="V2554" s="13" t="s">
        <v>1100</v>
      </c>
      <c r="W2554" s="13" t="s">
        <v>1101</v>
      </c>
      <c r="X2554" s="135">
        <v>1000000</v>
      </c>
      <c r="Y2554" s="156">
        <v>1.1299999999999999</v>
      </c>
      <c r="Z2554" s="18">
        <f t="shared" si="755"/>
        <v>1000000</v>
      </c>
      <c r="AA2554" s="13">
        <v>1.105</v>
      </c>
      <c r="AB2554" s="21">
        <f t="shared" si="758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2"/>
        <v>37969334.083628319</v>
      </c>
      <c r="AJ2554" s="19">
        <f t="shared" si="743"/>
        <v>5097226.4551657084</v>
      </c>
      <c r="AK2554" s="20">
        <f t="shared" si="749"/>
        <v>0.13424587441904964</v>
      </c>
      <c r="AL2554" s="17"/>
      <c r="AM2554" s="17"/>
      <c r="AN2554" s="17"/>
      <c r="AO2554" s="17"/>
      <c r="AP2554" s="28" t="str">
        <f t="shared" si="750"/>
        <v>20208</v>
      </c>
      <c r="AQ2554" s="28" t="str">
        <f t="shared" si="751"/>
        <v>20208RMB</v>
      </c>
      <c r="AR2554" s="206" t="str">
        <f t="shared" si="752"/>
        <v>YAMAHA_Mounter</v>
      </c>
      <c r="AS2554" s="22">
        <f t="shared" si="753"/>
        <v>2</v>
      </c>
      <c r="AT2554" s="24" t="str">
        <f t="shared" si="754"/>
        <v>0-3 months</v>
      </c>
      <c r="AU2554" s="22" t="s">
        <v>3744</v>
      </c>
    </row>
    <row r="2555" spans="1:47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48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1098</v>
      </c>
      <c r="K2555" s="155" t="s">
        <v>1099</v>
      </c>
      <c r="L2555" s="17" t="s">
        <v>67</v>
      </c>
      <c r="M2555" s="13" t="s">
        <v>60</v>
      </c>
      <c r="N2555" s="13">
        <v>1</v>
      </c>
      <c r="O2555" s="13"/>
      <c r="P2555" s="33" t="str">
        <f t="shared" si="757"/>
        <v>MAIN UNIT</v>
      </c>
      <c r="Q2555" s="13" t="s">
        <v>68</v>
      </c>
      <c r="R2555" s="13" t="s">
        <v>62</v>
      </c>
      <c r="S2555" s="13" t="s">
        <v>49</v>
      </c>
      <c r="T2555" s="13" t="s">
        <v>78</v>
      </c>
      <c r="U2555" s="13" t="s">
        <v>79</v>
      </c>
      <c r="V2555" s="13" t="s">
        <v>1100</v>
      </c>
      <c r="W2555" s="13" t="s">
        <v>1101</v>
      </c>
      <c r="X2555" s="135">
        <v>800000</v>
      </c>
      <c r="Y2555" s="156">
        <v>1.1299999999999999</v>
      </c>
      <c r="Z2555" s="18">
        <f t="shared" si="755"/>
        <v>800000</v>
      </c>
      <c r="AA2555" s="13">
        <v>1.095</v>
      </c>
      <c r="AB2555" s="21">
        <f t="shared" si="758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2"/>
        <v>35384300.169380538</v>
      </c>
      <c r="AJ2555" s="19">
        <f t="shared" si="743"/>
        <v>5044538.8896988509</v>
      </c>
      <c r="AK2555" s="20">
        <f t="shared" si="749"/>
        <v>0.14256432557804533</v>
      </c>
      <c r="AL2555" s="17"/>
      <c r="AM2555" s="17"/>
      <c r="AN2555" s="17"/>
      <c r="AO2555" s="17"/>
      <c r="AP2555" s="28" t="str">
        <f t="shared" si="750"/>
        <v>20207</v>
      </c>
      <c r="AQ2555" s="28" t="str">
        <f t="shared" si="751"/>
        <v>20207RMB</v>
      </c>
      <c r="AR2555" s="206" t="str">
        <f t="shared" si="752"/>
        <v>YAMAHA_Mounter</v>
      </c>
      <c r="AS2555" s="22">
        <f t="shared" si="753"/>
        <v>1</v>
      </c>
      <c r="AT2555" s="24" t="str">
        <f t="shared" si="754"/>
        <v>0-3 months</v>
      </c>
      <c r="AU2555" s="22" t="s">
        <v>3744</v>
      </c>
    </row>
    <row r="2556" spans="1:47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48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1461</v>
      </c>
      <c r="K2556" s="155" t="s">
        <v>1462</v>
      </c>
      <c r="L2556" s="17" t="s">
        <v>92</v>
      </c>
      <c r="M2556" s="13" t="s">
        <v>60</v>
      </c>
      <c r="N2556" s="13">
        <v>1</v>
      </c>
      <c r="O2556" s="13"/>
      <c r="P2556" s="33" t="str">
        <f t="shared" si="757"/>
        <v>MAIN UNIT</v>
      </c>
      <c r="Q2556" s="13" t="s">
        <v>61</v>
      </c>
      <c r="R2556" s="13" t="s">
        <v>62</v>
      </c>
      <c r="S2556" s="13" t="s">
        <v>49</v>
      </c>
      <c r="T2556" s="13" t="s">
        <v>78</v>
      </c>
      <c r="U2556" s="13" t="s">
        <v>79</v>
      </c>
      <c r="V2556" s="13" t="s">
        <v>112</v>
      </c>
      <c r="W2556" s="13" t="s">
        <v>901</v>
      </c>
      <c r="X2556" s="135">
        <v>140000</v>
      </c>
      <c r="Y2556" s="157" t="str">
        <f>IF(W2556="RMB","1.13", "1")</f>
        <v>1</v>
      </c>
      <c r="Z2556" s="18">
        <f t="shared" si="755"/>
        <v>140000</v>
      </c>
      <c r="AA2556" s="13">
        <v>7.8</v>
      </c>
      <c r="AB2556" s="21">
        <f t="shared" si="758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2"/>
        <v>28011162.254106201</v>
      </c>
      <c r="AJ2556" s="19">
        <f t="shared" si="743"/>
        <v>3401347.1124888416</v>
      </c>
      <c r="AK2556" s="20">
        <f t="shared" si="749"/>
        <v>0.12142827497242578</v>
      </c>
      <c r="AL2556" s="17"/>
      <c r="AM2556" s="17"/>
      <c r="AN2556" s="17"/>
      <c r="AO2556" s="17"/>
      <c r="AP2556" s="28" t="str">
        <f t="shared" si="750"/>
        <v>202010</v>
      </c>
      <c r="AQ2556" s="28" t="str">
        <f t="shared" si="751"/>
        <v>202010USD</v>
      </c>
      <c r="AR2556" s="206" t="str">
        <f t="shared" si="752"/>
        <v>YAMAHA_Mounter</v>
      </c>
      <c r="AS2556" s="22">
        <f t="shared" si="753"/>
        <v>0</v>
      </c>
      <c r="AT2556" s="24" t="str">
        <f t="shared" si="754"/>
        <v>0-3 months</v>
      </c>
      <c r="AU2556" s="22" t="s">
        <v>3745</v>
      </c>
    </row>
    <row r="2557" spans="1:47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53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1956</v>
      </c>
      <c r="K2557" s="155" t="s">
        <v>1462</v>
      </c>
      <c r="L2557" s="17" t="s">
        <v>92</v>
      </c>
      <c r="M2557" s="13" t="s">
        <v>60</v>
      </c>
      <c r="N2557" s="13">
        <v>1</v>
      </c>
      <c r="O2557" s="13"/>
      <c r="P2557" s="33" t="str">
        <f t="shared" si="757"/>
        <v>MAIN UNIT</v>
      </c>
      <c r="Q2557" s="13" t="s">
        <v>61</v>
      </c>
      <c r="R2557" s="13" t="s">
        <v>62</v>
      </c>
      <c r="S2557" s="13" t="s">
        <v>49</v>
      </c>
      <c r="T2557" s="13" t="s">
        <v>78</v>
      </c>
      <c r="U2557" s="13" t="s">
        <v>79</v>
      </c>
      <c r="V2557" s="13" t="s">
        <v>112</v>
      </c>
      <c r="W2557" s="13" t="s">
        <v>109</v>
      </c>
      <c r="X2557" s="135">
        <v>15000000</v>
      </c>
      <c r="Y2557" s="157" t="str">
        <f>IF(W2557="RMB","1.13", "1")</f>
        <v>1</v>
      </c>
      <c r="Z2557" s="18">
        <f t="shared" si="755"/>
        <v>15000000</v>
      </c>
      <c r="AA2557" s="13">
        <v>6.9199999999999998E-2</v>
      </c>
      <c r="AB2557" s="21">
        <f t="shared" si="758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2"/>
        <v>31750699.113741599</v>
      </c>
      <c r="AJ2557" s="19">
        <f t="shared" si="743"/>
        <v>4396077.3195289988</v>
      </c>
      <c r="AK2557" s="20">
        <f t="shared" si="749"/>
        <v>0.13845607946397598</v>
      </c>
      <c r="AL2557" s="17"/>
      <c r="AM2557" s="17"/>
      <c r="AN2557" s="17"/>
      <c r="AO2557" s="17"/>
      <c r="AP2557" s="28" t="str">
        <f t="shared" si="750"/>
        <v>20222</v>
      </c>
      <c r="AQ2557" s="28" t="str">
        <f t="shared" si="751"/>
        <v>20222JPY</v>
      </c>
      <c r="AR2557" s="206" t="str">
        <f t="shared" si="752"/>
        <v>YAMAHA_Mounter</v>
      </c>
      <c r="AS2557" s="22">
        <f t="shared" si="753"/>
        <v>8</v>
      </c>
      <c r="AT2557" s="24" t="str">
        <f t="shared" si="754"/>
        <v>&gt; 6 months</v>
      </c>
      <c r="AU2557" s="22" t="s">
        <v>3745</v>
      </c>
    </row>
    <row r="2558" spans="1:47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53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1956</v>
      </c>
      <c r="K2558" s="155" t="s">
        <v>1462</v>
      </c>
      <c r="L2558" s="17" t="s">
        <v>92</v>
      </c>
      <c r="M2558" s="13" t="s">
        <v>60</v>
      </c>
      <c r="N2558" s="13">
        <v>1</v>
      </c>
      <c r="O2558" s="13"/>
      <c r="P2558" s="33" t="str">
        <f t="shared" si="757"/>
        <v>MAIN UNIT</v>
      </c>
      <c r="Q2558" s="13" t="s">
        <v>61</v>
      </c>
      <c r="R2558" s="13" t="s">
        <v>62</v>
      </c>
      <c r="S2558" s="13" t="s">
        <v>49</v>
      </c>
      <c r="T2558" s="13" t="s">
        <v>78</v>
      </c>
      <c r="U2558" s="13" t="s">
        <v>79</v>
      </c>
      <c r="V2558" s="13" t="s">
        <v>112</v>
      </c>
      <c r="W2558" s="13" t="s">
        <v>109</v>
      </c>
      <c r="X2558" s="135">
        <v>15000000</v>
      </c>
      <c r="Y2558" s="157" t="str">
        <f>IF(W2558="RMB","1.13", "1")</f>
        <v>1</v>
      </c>
      <c r="Z2558" s="18">
        <f t="shared" si="755"/>
        <v>15000000</v>
      </c>
      <c r="AA2558" s="13">
        <v>6.9199999999999998E-2</v>
      </c>
      <c r="AB2558" s="21">
        <f t="shared" si="758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2"/>
        <v>31750699.113741599</v>
      </c>
      <c r="AJ2558" s="19">
        <f t="shared" si="743"/>
        <v>4396077.3195289988</v>
      </c>
      <c r="AK2558" s="20">
        <f t="shared" si="749"/>
        <v>0.13845607946397598</v>
      </c>
      <c r="AL2558" s="17"/>
      <c r="AM2558" s="17"/>
      <c r="AN2558" s="17"/>
      <c r="AO2558" s="17"/>
      <c r="AP2558" s="28" t="str">
        <f t="shared" si="750"/>
        <v>20222</v>
      </c>
      <c r="AQ2558" s="28" t="str">
        <f t="shared" si="751"/>
        <v>20222JPY</v>
      </c>
      <c r="AR2558" s="206" t="str">
        <f t="shared" si="752"/>
        <v>YAMAHA_Mounter</v>
      </c>
      <c r="AS2558" s="22">
        <f t="shared" si="753"/>
        <v>8</v>
      </c>
      <c r="AT2558" s="24" t="str">
        <f t="shared" si="754"/>
        <v>&gt; 6 months</v>
      </c>
      <c r="AU2558" s="22" t="s">
        <v>3745</v>
      </c>
    </row>
    <row r="2559" spans="1:47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53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1956</v>
      </c>
      <c r="K2559" s="155" t="s">
        <v>1462</v>
      </c>
      <c r="L2559" s="17" t="s">
        <v>67</v>
      </c>
      <c r="M2559" s="13" t="s">
        <v>60</v>
      </c>
      <c r="N2559" s="13">
        <v>1</v>
      </c>
      <c r="O2559" s="13"/>
      <c r="P2559" s="33" t="str">
        <f t="shared" si="757"/>
        <v>MAIN UNIT</v>
      </c>
      <c r="Q2559" s="13" t="s">
        <v>61</v>
      </c>
      <c r="R2559" s="13" t="s">
        <v>62</v>
      </c>
      <c r="S2559" s="13" t="s">
        <v>49</v>
      </c>
      <c r="T2559" s="13" t="s">
        <v>78</v>
      </c>
      <c r="U2559" s="13" t="s">
        <v>79</v>
      </c>
      <c r="V2559" s="13" t="s">
        <v>112</v>
      </c>
      <c r="W2559" s="13" t="s">
        <v>109</v>
      </c>
      <c r="X2559" s="135">
        <v>7689768</v>
      </c>
      <c r="Y2559" s="157" t="str">
        <f>IF(W2559="RMB","1.13", "1")</f>
        <v>1</v>
      </c>
      <c r="Z2559" s="18">
        <f t="shared" si="755"/>
        <v>7689768</v>
      </c>
      <c r="AA2559" s="13">
        <v>6.9199999999999998E-2</v>
      </c>
      <c r="AB2559" s="21">
        <f t="shared" si="758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2"/>
        <v>31750699.113741599</v>
      </c>
      <c r="AJ2559" s="19">
        <f t="shared" si="743"/>
        <v>4396077.3195289988</v>
      </c>
      <c r="AK2559" s="20">
        <f t="shared" si="749"/>
        <v>0.13845607946397598</v>
      </c>
      <c r="AL2559" s="17"/>
      <c r="AM2559" s="17"/>
      <c r="AN2559" s="17"/>
      <c r="AO2559" s="17"/>
      <c r="AP2559" s="28" t="str">
        <f t="shared" si="750"/>
        <v>20222</v>
      </c>
      <c r="AQ2559" s="28" t="str">
        <f t="shared" si="751"/>
        <v>20222JPY</v>
      </c>
      <c r="AR2559" s="206" t="str">
        <f t="shared" si="752"/>
        <v>YAMAHA_Mounter</v>
      </c>
      <c r="AS2559" s="22">
        <f t="shared" si="753"/>
        <v>8</v>
      </c>
      <c r="AT2559" s="24" t="str">
        <f t="shared" si="754"/>
        <v>&gt; 6 months</v>
      </c>
      <c r="AU2559" s="22" t="s">
        <v>3745</v>
      </c>
    </row>
    <row r="2560" spans="1:47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53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2982</v>
      </c>
      <c r="K2560" s="155" t="s">
        <v>1462</v>
      </c>
      <c r="L2560" s="17" t="s">
        <v>2609</v>
      </c>
      <c r="M2560" s="13" t="s">
        <v>2607</v>
      </c>
      <c r="N2560" s="13">
        <v>1</v>
      </c>
      <c r="O2560" s="13"/>
      <c r="P2560" s="33" t="str">
        <f t="shared" si="757"/>
        <v>MAIN UNIT</v>
      </c>
      <c r="Q2560" s="13" t="s">
        <v>61</v>
      </c>
      <c r="R2560" s="13" t="s">
        <v>2055</v>
      </c>
      <c r="S2560" s="13" t="s">
        <v>49</v>
      </c>
      <c r="T2560" s="13" t="s">
        <v>78</v>
      </c>
      <c r="U2560" s="13" t="s">
        <v>79</v>
      </c>
      <c r="V2560" s="13" t="s">
        <v>112</v>
      </c>
      <c r="W2560" s="13" t="s">
        <v>64</v>
      </c>
      <c r="X2560" s="135">
        <v>406243</v>
      </c>
      <c r="Y2560" s="157" t="str">
        <f>IF(W2560="RMB","1.13", "1")</f>
        <v>1.13</v>
      </c>
      <c r="Z2560" s="18">
        <f t="shared" si="755"/>
        <v>406243</v>
      </c>
      <c r="AA2560" s="13">
        <v>1.22</v>
      </c>
      <c r="AB2560" s="21">
        <f t="shared" si="758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2"/>
        <v>31750699.113741599</v>
      </c>
      <c r="AJ2560" s="19">
        <f t="shared" si="743"/>
        <v>4396077.3195289988</v>
      </c>
      <c r="AK2560" s="20">
        <f t="shared" si="749"/>
        <v>0.13845607946397598</v>
      </c>
      <c r="AL2560" s="17"/>
      <c r="AM2560" s="17"/>
      <c r="AN2560" s="17"/>
      <c r="AO2560" s="17"/>
      <c r="AP2560" s="28" t="str">
        <f t="shared" si="750"/>
        <v>20222</v>
      </c>
      <c r="AQ2560" s="28" t="str">
        <f t="shared" si="751"/>
        <v>20222RMB</v>
      </c>
      <c r="AR2560" s="206" t="str">
        <f t="shared" si="752"/>
        <v>HELLER</v>
      </c>
      <c r="AS2560" s="22">
        <f t="shared" si="753"/>
        <v>2</v>
      </c>
      <c r="AT2560" s="24" t="str">
        <f t="shared" si="754"/>
        <v>0-3 months</v>
      </c>
      <c r="AU2560" s="22" t="s">
        <v>3751</v>
      </c>
    </row>
    <row r="2561" spans="1:47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3323</v>
      </c>
      <c r="K2561" s="29" t="s">
        <v>1462</v>
      </c>
      <c r="L2561" s="17" t="s">
        <v>92</v>
      </c>
      <c r="M2561" s="13" t="s">
        <v>60</v>
      </c>
      <c r="N2561" s="22">
        <v>1</v>
      </c>
      <c r="O2561" s="22"/>
      <c r="P2561" s="33" t="str">
        <f t="shared" si="757"/>
        <v>MAIN UNIT</v>
      </c>
      <c r="Q2561" s="13" t="s">
        <v>61</v>
      </c>
      <c r="R2561" s="22" t="s">
        <v>62</v>
      </c>
      <c r="S2561" s="22" t="s">
        <v>49</v>
      </c>
      <c r="T2561" s="22" t="s">
        <v>78</v>
      </c>
      <c r="U2561" s="22" t="s">
        <v>78</v>
      </c>
      <c r="V2561" s="22" t="s">
        <v>112</v>
      </c>
      <c r="W2561" s="22" t="s">
        <v>64</v>
      </c>
      <c r="X2561" s="30">
        <v>750000</v>
      </c>
      <c r="Y2561" s="31" t="str">
        <f>IF(W2561="","",IF(W2561="RMB","1.13", "1"))</f>
        <v>1.13</v>
      </c>
      <c r="Z2561" s="18">
        <f t="shared" si="755"/>
        <v>750000</v>
      </c>
      <c r="AA2561" s="22">
        <v>1.0900000000000001</v>
      </c>
      <c r="AB2561" s="21">
        <f t="shared" si="758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2"/>
        <v>21241742.157380536</v>
      </c>
      <c r="AJ2561" s="27">
        <f t="shared" si="743"/>
        <v>2987081.1613773629</v>
      </c>
      <c r="AK2561" s="28">
        <f t="shared" si="749"/>
        <v>0.14062317201884914</v>
      </c>
      <c r="AL2561" s="24"/>
      <c r="AM2561" s="24"/>
      <c r="AN2561" s="24"/>
      <c r="AO2561" s="24"/>
      <c r="AP2561" s="28" t="str">
        <f t="shared" si="750"/>
        <v>20243</v>
      </c>
      <c r="AQ2561" s="28" t="str">
        <f t="shared" si="751"/>
        <v>20243RMB</v>
      </c>
      <c r="AR2561" s="206" t="str">
        <f t="shared" si="752"/>
        <v>YAMAHA_Mounter</v>
      </c>
      <c r="AS2561" s="22">
        <f t="shared" si="753"/>
        <v>0</v>
      </c>
      <c r="AT2561" s="24" t="str">
        <f t="shared" si="754"/>
        <v>0-3 months</v>
      </c>
      <c r="AU2561" s="22" t="s">
        <v>3751</v>
      </c>
    </row>
    <row r="2562" spans="1:47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47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788</v>
      </c>
      <c r="K2562" s="155" t="s">
        <v>789</v>
      </c>
      <c r="L2562" s="17" t="s">
        <v>92</v>
      </c>
      <c r="M2562" s="13" t="s">
        <v>60</v>
      </c>
      <c r="N2562" s="13">
        <v>1</v>
      </c>
      <c r="O2562" s="13"/>
      <c r="P2562" s="33" t="str">
        <f t="shared" si="757"/>
        <v>MAIN UNIT</v>
      </c>
      <c r="Q2562" s="13" t="s">
        <v>68</v>
      </c>
      <c r="R2562" s="13" t="s">
        <v>62</v>
      </c>
      <c r="S2562" s="13" t="s">
        <v>49</v>
      </c>
      <c r="T2562" s="13" t="s">
        <v>78</v>
      </c>
      <c r="U2562" s="13" t="s">
        <v>79</v>
      </c>
      <c r="V2562" s="13" t="s">
        <v>134</v>
      </c>
      <c r="W2562" s="13" t="s">
        <v>109</v>
      </c>
      <c r="X2562" s="135">
        <v>13350000</v>
      </c>
      <c r="Y2562" s="156">
        <v>1</v>
      </c>
      <c r="Z2562" s="18">
        <f t="shared" si="755"/>
        <v>13350000</v>
      </c>
      <c r="AA2562" s="13">
        <v>7.3999999999999996E-2</v>
      </c>
      <c r="AB2562" s="21">
        <f t="shared" si="758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ref="AI2562:AI2625" si="760">IF(P2562="C66 SERVICE","",SUMIFS(AB:AB,F:F,F2562,G:G,G2562,E:E,E2562))</f>
        <v>34015877.71150443</v>
      </c>
      <c r="AJ2562" s="19">
        <f t="shared" ref="AJ2562:AJ2625" si="761">IF(P2562="C66 SERVICE","",SUMIFS(AC:AC,F:F,F2562,G:G,G2562,E:E,E2562))</f>
        <v>4446292.375441948</v>
      </c>
      <c r="AK2562" s="20">
        <f t="shared" si="749"/>
        <v>0.13071226364205143</v>
      </c>
      <c r="AL2562" s="17"/>
      <c r="AM2562" s="17"/>
      <c r="AN2562" s="17"/>
      <c r="AO2562" s="17"/>
      <c r="AP2562" s="28" t="str">
        <f t="shared" si="750"/>
        <v>20197</v>
      </c>
      <c r="AQ2562" s="28" t="str">
        <f t="shared" si="751"/>
        <v>20197JPY</v>
      </c>
      <c r="AR2562" s="206" t="str">
        <f t="shared" si="752"/>
        <v>YAMAHA_Mounter</v>
      </c>
      <c r="AS2562" s="22">
        <f t="shared" si="753"/>
        <v>2</v>
      </c>
      <c r="AT2562" s="24" t="str">
        <f t="shared" si="754"/>
        <v>0-3 months</v>
      </c>
      <c r="AU2562" s="22" t="s">
        <v>3745</v>
      </c>
    </row>
    <row r="2563" spans="1:47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47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788</v>
      </c>
      <c r="K2563" s="155" t="s">
        <v>789</v>
      </c>
      <c r="L2563" s="17" t="s">
        <v>92</v>
      </c>
      <c r="M2563" s="13" t="s">
        <v>60</v>
      </c>
      <c r="N2563" s="13">
        <v>1</v>
      </c>
      <c r="O2563" s="13"/>
      <c r="P2563" s="33" t="str">
        <f t="shared" si="757"/>
        <v>MAIN UNIT</v>
      </c>
      <c r="Q2563" s="13" t="s">
        <v>68</v>
      </c>
      <c r="R2563" s="13" t="s">
        <v>62</v>
      </c>
      <c r="S2563" s="13" t="s">
        <v>49</v>
      </c>
      <c r="T2563" s="13" t="s">
        <v>78</v>
      </c>
      <c r="U2563" s="13" t="s">
        <v>79</v>
      </c>
      <c r="V2563" s="13" t="s">
        <v>134</v>
      </c>
      <c r="W2563" s="13" t="s">
        <v>109</v>
      </c>
      <c r="X2563" s="135">
        <v>13350000</v>
      </c>
      <c r="Y2563" s="156">
        <v>1</v>
      </c>
      <c r="Z2563" s="18">
        <f t="shared" si="755"/>
        <v>13350000</v>
      </c>
      <c r="AA2563" s="13">
        <v>7.3999999999999996E-2</v>
      </c>
      <c r="AB2563" s="21">
        <f t="shared" si="758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60"/>
        <v>34015877.71150443</v>
      </c>
      <c r="AJ2563" s="19">
        <f t="shared" si="761"/>
        <v>4446292.375441948</v>
      </c>
      <c r="AK2563" s="20">
        <f t="shared" si="749"/>
        <v>0.13071226364205143</v>
      </c>
      <c r="AL2563" s="17"/>
      <c r="AM2563" s="17"/>
      <c r="AN2563" s="17"/>
      <c r="AO2563" s="17"/>
      <c r="AP2563" s="28" t="str">
        <f t="shared" si="750"/>
        <v>20197</v>
      </c>
      <c r="AQ2563" s="28" t="str">
        <f t="shared" si="751"/>
        <v>20197JPY</v>
      </c>
      <c r="AR2563" s="206" t="str">
        <f t="shared" si="752"/>
        <v>YAMAHA_Mounter</v>
      </c>
      <c r="AS2563" s="22">
        <f t="shared" si="753"/>
        <v>2</v>
      </c>
      <c r="AT2563" s="24" t="str">
        <f t="shared" si="754"/>
        <v>0-3 months</v>
      </c>
      <c r="AU2563" s="22" t="s">
        <v>3745</v>
      </c>
    </row>
    <row r="2564" spans="1:47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41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562</v>
      </c>
      <c r="K2564" s="155" t="s">
        <v>563</v>
      </c>
      <c r="L2564" s="17" t="s">
        <v>67</v>
      </c>
      <c r="M2564" s="13" t="s">
        <v>60</v>
      </c>
      <c r="N2564" s="13">
        <v>1</v>
      </c>
      <c r="O2564" s="13"/>
      <c r="P2564" s="33" t="str">
        <f t="shared" si="757"/>
        <v>MAIN UNIT</v>
      </c>
      <c r="Q2564" s="13" t="s">
        <v>61</v>
      </c>
      <c r="R2564" s="13" t="s">
        <v>62</v>
      </c>
      <c r="S2564" s="13" t="s">
        <v>51</v>
      </c>
      <c r="T2564" s="13" t="s">
        <v>349</v>
      </c>
      <c r="U2564" s="13" t="s">
        <v>149</v>
      </c>
      <c r="V2564" s="13" t="s">
        <v>564</v>
      </c>
      <c r="W2564" s="13" t="s">
        <v>64</v>
      </c>
      <c r="X2564" s="135">
        <v>811500</v>
      </c>
      <c r="Y2564" s="156">
        <v>1.1599999999999999</v>
      </c>
      <c r="Z2564" s="18">
        <f t="shared" si="755"/>
        <v>811500</v>
      </c>
      <c r="AA2564" s="13">
        <v>1.1499999999999999</v>
      </c>
      <c r="AB2564" s="21">
        <f t="shared" si="758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60"/>
        <v>16455710.386637932</v>
      </c>
      <c r="AJ2564" s="19">
        <f t="shared" si="761"/>
        <v>2150644.6466930606</v>
      </c>
      <c r="AK2564" s="20">
        <f t="shared" si="749"/>
        <v>0.13069290818580451</v>
      </c>
      <c r="AL2564" s="17"/>
      <c r="AM2564" s="17"/>
      <c r="AN2564" s="17"/>
      <c r="AO2564" s="17"/>
      <c r="AP2564" s="28" t="str">
        <f t="shared" si="750"/>
        <v>20192</v>
      </c>
      <c r="AQ2564" s="28" t="str">
        <f t="shared" si="751"/>
        <v>20192RMB</v>
      </c>
      <c r="AR2564" s="206" t="str">
        <f t="shared" si="752"/>
        <v>YAMAHA_Mounter</v>
      </c>
      <c r="AS2564" s="22">
        <f t="shared" si="753"/>
        <v>3</v>
      </c>
      <c r="AT2564" s="24" t="str">
        <f t="shared" si="754"/>
        <v>0-3 months</v>
      </c>
      <c r="AU2564" s="22" t="s">
        <v>3240</v>
      </c>
    </row>
    <row r="2565" spans="1:47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53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2125</v>
      </c>
      <c r="K2565" s="155" t="s">
        <v>2126</v>
      </c>
      <c r="L2565" s="17" t="s">
        <v>293</v>
      </c>
      <c r="M2565" s="13" t="s">
        <v>60</v>
      </c>
      <c r="N2565" s="13">
        <v>1</v>
      </c>
      <c r="O2565" s="13"/>
      <c r="P2565" s="33" t="str">
        <f t="shared" si="757"/>
        <v>MAIN UNIT</v>
      </c>
      <c r="Q2565" s="13" t="s">
        <v>61</v>
      </c>
      <c r="R2565" s="13" t="s">
        <v>62</v>
      </c>
      <c r="S2565" s="13" t="s">
        <v>49</v>
      </c>
      <c r="T2565" s="13" t="s">
        <v>78</v>
      </c>
      <c r="U2565" s="13" t="s">
        <v>79</v>
      </c>
      <c r="V2565" s="13" t="s">
        <v>311</v>
      </c>
      <c r="W2565" s="13" t="s">
        <v>64</v>
      </c>
      <c r="X2565" s="135">
        <v>1298000</v>
      </c>
      <c r="Y2565" s="157" t="str">
        <f>IF(W2565="RMB","1.13", "1")</f>
        <v>1.13</v>
      </c>
      <c r="Z2565" s="18">
        <f t="shared" si="755"/>
        <v>1298000</v>
      </c>
      <c r="AA2565" s="13">
        <v>1.22</v>
      </c>
      <c r="AB2565" s="21">
        <f t="shared" si="758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60"/>
        <v>26407088.359292038</v>
      </c>
      <c r="AJ2565" s="19">
        <f t="shared" si="761"/>
        <v>3424510.6998470789</v>
      </c>
      <c r="AK2565" s="20">
        <f t="shared" si="749"/>
        <v>0.12968149510667554</v>
      </c>
      <c r="AL2565" s="17"/>
      <c r="AM2565" s="17"/>
      <c r="AN2565" s="17"/>
      <c r="AO2565" s="17"/>
      <c r="AP2565" s="28" t="str">
        <f t="shared" si="750"/>
        <v>20221</v>
      </c>
      <c r="AQ2565" s="28" t="str">
        <f t="shared" si="751"/>
        <v>20221RMB</v>
      </c>
      <c r="AR2565" s="206" t="str">
        <f t="shared" si="752"/>
        <v>YAMAHA_Mounter</v>
      </c>
      <c r="AS2565" s="22">
        <f t="shared" si="753"/>
        <v>0</v>
      </c>
      <c r="AT2565" s="24" t="str">
        <f t="shared" si="754"/>
        <v>0-3 months</v>
      </c>
      <c r="AU2565" s="22" t="s">
        <v>3751</v>
      </c>
    </row>
    <row r="2566" spans="1:47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47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930</v>
      </c>
      <c r="K2566" s="155" t="s">
        <v>931</v>
      </c>
      <c r="L2566" s="17" t="s">
        <v>92</v>
      </c>
      <c r="M2566" s="13" t="s">
        <v>60</v>
      </c>
      <c r="N2566" s="13">
        <v>1</v>
      </c>
      <c r="O2566" s="13"/>
      <c r="P2566" s="33" t="str">
        <f t="shared" si="757"/>
        <v>MAIN UNIT</v>
      </c>
      <c r="Q2566" s="13" t="s">
        <v>68</v>
      </c>
      <c r="R2566" s="13" t="s">
        <v>62</v>
      </c>
      <c r="S2566" s="13" t="s">
        <v>50</v>
      </c>
      <c r="T2566" s="13" t="s">
        <v>212</v>
      </c>
      <c r="U2566" s="13" t="s">
        <v>213</v>
      </c>
      <c r="V2566" s="13" t="s">
        <v>214</v>
      </c>
      <c r="W2566" s="13" t="s">
        <v>64</v>
      </c>
      <c r="X2566" s="135">
        <v>780000</v>
      </c>
      <c r="Y2566" s="156">
        <v>1.1299999999999999</v>
      </c>
      <c r="Z2566" s="18">
        <f t="shared" si="755"/>
        <v>780000</v>
      </c>
      <c r="AA2566" s="13">
        <v>1.095</v>
      </c>
      <c r="AB2566" s="21">
        <f t="shared" si="758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si="760"/>
        <v>28647263.974455759</v>
      </c>
      <c r="AJ2566" s="19">
        <f t="shared" si="761"/>
        <v>3219855.6912513468</v>
      </c>
      <c r="AK2566" s="20">
        <f t="shared" ref="AK2566:AK2629" si="767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68">IF(F2566="","",F2566&amp;G2566)</f>
        <v>201910</v>
      </c>
      <c r="AQ2566" s="28" t="str">
        <f t="shared" ref="AQ2566:AQ2629" si="769">IF(W2566="","",F2566&amp;G2566&amp;W2566)</f>
        <v>201910RMB</v>
      </c>
      <c r="AR2566" s="206" t="str">
        <f t="shared" ref="AR2566:AR2629" si="770">IFERROR(IF(AND(M2566="YAMAHA", R2566="C28"), "YAMAHA_Non_Mounter", IF(AND(M2566="YAMAHA", R2566="C49"), "YAMAHA_Mounter", M2566)),"")</f>
        <v>YAMAHA_Mounter</v>
      </c>
      <c r="AS2566" s="22">
        <f t="shared" ref="AS2566:AS2629" si="771">IFERROR(IF(OR(G2566="TBA", G2566=""), "", DATEDIF(DATE(B2566, C2566, 1), DATE(F2566, G2566, 1), "M")),"")</f>
        <v>0</v>
      </c>
      <c r="AT2566" s="24" t="str">
        <f t="shared" ref="AT2566:AT2629" si="772">IF(ISNUMBER(AS2566), IF(AS2566&gt;=0, IF(AS2566&lt;=3, "0-3 months", IF(AS2566&lt;=6, "4-6 months", "&gt; 6 months"))), "")</f>
        <v>0-3 months</v>
      </c>
      <c r="AU2566" s="22" t="s">
        <v>3240</v>
      </c>
    </row>
    <row r="2567" spans="1:47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47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930</v>
      </c>
      <c r="K2567" s="155" t="s">
        <v>931</v>
      </c>
      <c r="L2567" s="17" t="s">
        <v>92</v>
      </c>
      <c r="M2567" s="13" t="s">
        <v>60</v>
      </c>
      <c r="N2567" s="13">
        <v>1</v>
      </c>
      <c r="O2567" s="13"/>
      <c r="P2567" s="33" t="str">
        <f t="shared" si="757"/>
        <v>MAIN UNIT</v>
      </c>
      <c r="Q2567" s="13" t="s">
        <v>68</v>
      </c>
      <c r="R2567" s="13" t="s">
        <v>62</v>
      </c>
      <c r="S2567" s="13" t="s">
        <v>50</v>
      </c>
      <c r="T2567" s="13" t="s">
        <v>212</v>
      </c>
      <c r="U2567" s="13" t="s">
        <v>213</v>
      </c>
      <c r="V2567" s="13" t="s">
        <v>214</v>
      </c>
      <c r="W2567" s="13" t="s">
        <v>64</v>
      </c>
      <c r="X2567" s="135">
        <v>780000</v>
      </c>
      <c r="Y2567" s="156">
        <v>1.1299999999999999</v>
      </c>
      <c r="Z2567" s="18">
        <f t="shared" si="755"/>
        <v>780000</v>
      </c>
      <c r="AA2567" s="13">
        <v>1.095</v>
      </c>
      <c r="AB2567" s="21">
        <f t="shared" si="758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0"/>
        <v>28647263.974455759</v>
      </c>
      <c r="AJ2567" s="19">
        <f t="shared" si="761"/>
        <v>3219855.6912513468</v>
      </c>
      <c r="AK2567" s="20">
        <f t="shared" si="767"/>
        <v>0.11239662168514358</v>
      </c>
      <c r="AL2567" s="17"/>
      <c r="AM2567" s="17"/>
      <c r="AN2567" s="17"/>
      <c r="AO2567" s="17"/>
      <c r="AP2567" s="28" t="str">
        <f t="shared" si="768"/>
        <v>201910</v>
      </c>
      <c r="AQ2567" s="28" t="str">
        <f t="shared" si="769"/>
        <v>201910RMB</v>
      </c>
      <c r="AR2567" s="206" t="str">
        <f t="shared" si="770"/>
        <v>YAMAHA_Mounter</v>
      </c>
      <c r="AS2567" s="22">
        <f t="shared" si="771"/>
        <v>0</v>
      </c>
      <c r="AT2567" s="24" t="str">
        <f t="shared" si="772"/>
        <v>0-3 months</v>
      </c>
      <c r="AU2567" s="22" t="s">
        <v>3240</v>
      </c>
    </row>
    <row r="2568" spans="1:47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47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930</v>
      </c>
      <c r="K2568" s="155" t="s">
        <v>931</v>
      </c>
      <c r="L2568" s="17" t="s">
        <v>67</v>
      </c>
      <c r="M2568" s="13" t="s">
        <v>60</v>
      </c>
      <c r="N2568" s="13">
        <v>1</v>
      </c>
      <c r="O2568" s="13"/>
      <c r="P2568" s="33" t="str">
        <f t="shared" si="757"/>
        <v>MAIN UNIT</v>
      </c>
      <c r="Q2568" s="13" t="s">
        <v>68</v>
      </c>
      <c r="R2568" s="13" t="s">
        <v>62</v>
      </c>
      <c r="S2568" s="13" t="s">
        <v>50</v>
      </c>
      <c r="T2568" s="13" t="s">
        <v>212</v>
      </c>
      <c r="U2568" s="13" t="s">
        <v>213</v>
      </c>
      <c r="V2568" s="13" t="s">
        <v>214</v>
      </c>
      <c r="W2568" s="13" t="s">
        <v>64</v>
      </c>
      <c r="X2568" s="135">
        <v>610000</v>
      </c>
      <c r="Y2568" s="156">
        <v>1.1299999999999999</v>
      </c>
      <c r="Z2568" s="18">
        <f t="shared" si="755"/>
        <v>610000</v>
      </c>
      <c r="AA2568" s="13">
        <v>1.095</v>
      </c>
      <c r="AB2568" s="21">
        <f t="shared" si="758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0"/>
        <v>28647263.974455759</v>
      </c>
      <c r="AJ2568" s="19">
        <f t="shared" si="761"/>
        <v>3219855.6912513468</v>
      </c>
      <c r="AK2568" s="20">
        <f t="shared" si="767"/>
        <v>0.11239662168514358</v>
      </c>
      <c r="AL2568" s="17"/>
      <c r="AM2568" s="17"/>
      <c r="AN2568" s="17"/>
      <c r="AO2568" s="17"/>
      <c r="AP2568" s="28" t="str">
        <f t="shared" si="768"/>
        <v>201910</v>
      </c>
      <c r="AQ2568" s="28" t="str">
        <f t="shared" si="769"/>
        <v>201910RMB</v>
      </c>
      <c r="AR2568" s="206" t="str">
        <f t="shared" si="770"/>
        <v>YAMAHA_Mounter</v>
      </c>
      <c r="AS2568" s="22">
        <f t="shared" si="771"/>
        <v>0</v>
      </c>
      <c r="AT2568" s="24" t="str">
        <f t="shared" si="772"/>
        <v>0-3 months</v>
      </c>
      <c r="AU2568" s="22" t="s">
        <v>3240</v>
      </c>
    </row>
    <row r="2569" spans="1:47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185</v>
      </c>
      <c r="F2569" s="13" t="s">
        <v>185</v>
      </c>
      <c r="G2569" s="152" t="s">
        <v>185</v>
      </c>
      <c r="H2569" s="155"/>
      <c r="I2569" s="33" t="str">
        <f t="shared" si="764"/>
        <v>Cancel</v>
      </c>
      <c r="J2569" s="186" t="s">
        <v>926</v>
      </c>
      <c r="K2569" s="155" t="s">
        <v>1032</v>
      </c>
      <c r="L2569" s="17" t="s">
        <v>100</v>
      </c>
      <c r="M2569" s="13" t="s">
        <v>60</v>
      </c>
      <c r="N2569" s="13">
        <v>2</v>
      </c>
      <c r="O2569" s="13"/>
      <c r="P2569" s="33" t="str">
        <f t="shared" si="757"/>
        <v>MAIN UNIT</v>
      </c>
      <c r="Q2569" s="13" t="s">
        <v>61</v>
      </c>
      <c r="R2569" s="13" t="s">
        <v>62</v>
      </c>
      <c r="S2569" s="13" t="s">
        <v>49</v>
      </c>
      <c r="T2569" s="13" t="s">
        <v>262</v>
      </c>
      <c r="U2569" s="13" t="s">
        <v>263</v>
      </c>
      <c r="V2569" s="13" t="s">
        <v>126</v>
      </c>
      <c r="W2569" s="13" t="s">
        <v>109</v>
      </c>
      <c r="X2569" s="135">
        <v>8800000</v>
      </c>
      <c r="Y2569" s="156">
        <v>1</v>
      </c>
      <c r="Z2569" s="18">
        <f t="shared" si="755"/>
        <v>17600000</v>
      </c>
      <c r="AA2569" s="13">
        <v>7.0199999999999999E-2</v>
      </c>
      <c r="AB2569" s="21">
        <f t="shared" si="758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0"/>
        <v>499582152.5142017</v>
      </c>
      <c r="AJ2569" s="19">
        <f t="shared" si="761"/>
        <v>59520528.679470733</v>
      </c>
      <c r="AK2569" s="20">
        <f t="shared" si="767"/>
        <v>0.11914062257814291</v>
      </c>
      <c r="AL2569" s="17"/>
      <c r="AM2569" s="17"/>
      <c r="AN2569" s="17"/>
      <c r="AO2569" s="17"/>
      <c r="AP2569" s="28" t="str">
        <f t="shared" si="768"/>
        <v>CancelCancel</v>
      </c>
      <c r="AQ2569" s="28" t="str">
        <f t="shared" si="769"/>
        <v>CancelCancelJPY</v>
      </c>
      <c r="AR2569" s="206" t="str">
        <f t="shared" si="770"/>
        <v>YAMAHA_Mounter</v>
      </c>
      <c r="AS2569" s="22" t="str">
        <f t="shared" si="771"/>
        <v/>
      </c>
      <c r="AT2569" s="24" t="str">
        <f t="shared" si="772"/>
        <v/>
      </c>
      <c r="AU2569" s="22" t="s">
        <v>3240</v>
      </c>
    </row>
    <row r="2570" spans="1:47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55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2478</v>
      </c>
      <c r="K2570" s="155" t="s">
        <v>2479</v>
      </c>
      <c r="L2570" s="17" t="s">
        <v>92</v>
      </c>
      <c r="M2570" s="13" t="s">
        <v>60</v>
      </c>
      <c r="N2570" s="13">
        <v>1</v>
      </c>
      <c r="O2570" s="13"/>
      <c r="P2570" s="33" t="str">
        <f t="shared" si="757"/>
        <v>MAIN UNIT</v>
      </c>
      <c r="Q2570" s="13" t="s">
        <v>68</v>
      </c>
      <c r="R2570" s="13" t="s">
        <v>62</v>
      </c>
      <c r="S2570" s="13" t="s">
        <v>52</v>
      </c>
      <c r="T2570" s="13" t="s">
        <v>78</v>
      </c>
      <c r="U2570" s="13" t="s">
        <v>177</v>
      </c>
      <c r="V2570" s="13" t="s">
        <v>178</v>
      </c>
      <c r="W2570" s="13" t="s">
        <v>64</v>
      </c>
      <c r="X2570" s="135">
        <v>800000</v>
      </c>
      <c r="Y2570" s="157" t="str">
        <f t="shared" ref="Y2570:Y2580" si="773">IF(W2570="RMB","1.13", "1")</f>
        <v>1.13</v>
      </c>
      <c r="Z2570" s="18">
        <f t="shared" ref="Z2570:Z2633" si="774">IF(X2570="","",X2570*MAX(O2570,N2570))</f>
        <v>800000</v>
      </c>
      <c r="AA2570" s="13">
        <v>1.1399999999999999</v>
      </c>
      <c r="AB2570" s="21">
        <f t="shared" si="758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0"/>
        <v>30573205.452778768</v>
      </c>
      <c r="AJ2570" s="19">
        <f t="shared" si="761"/>
        <v>3790930.1683151261</v>
      </c>
      <c r="AK2570" s="20">
        <f t="shared" si="767"/>
        <v>0.12399518179964254</v>
      </c>
      <c r="AL2570" s="17"/>
      <c r="AM2570" s="17"/>
      <c r="AN2570" s="17"/>
      <c r="AO2570" s="17"/>
      <c r="AP2570" s="28" t="str">
        <f t="shared" si="768"/>
        <v>20234</v>
      </c>
      <c r="AQ2570" s="28" t="str">
        <f t="shared" si="769"/>
        <v>20234RMB</v>
      </c>
      <c r="AR2570" s="206" t="str">
        <f t="shared" si="770"/>
        <v>YAMAHA_Mounter</v>
      </c>
      <c r="AS2570" s="22">
        <f t="shared" si="771"/>
        <v>0</v>
      </c>
      <c r="AT2570" s="24" t="str">
        <f t="shared" si="772"/>
        <v>0-3 months</v>
      </c>
      <c r="AU2570" s="22" t="s">
        <v>3240</v>
      </c>
    </row>
    <row r="2571" spans="1:47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55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2478</v>
      </c>
      <c r="K2571" s="155" t="s">
        <v>2479</v>
      </c>
      <c r="L2571" s="17" t="s">
        <v>67</v>
      </c>
      <c r="M2571" s="13" t="s">
        <v>60</v>
      </c>
      <c r="N2571" s="13">
        <v>1</v>
      </c>
      <c r="O2571" s="13"/>
      <c r="P2571" s="33" t="str">
        <f t="shared" si="757"/>
        <v>MAIN UNIT</v>
      </c>
      <c r="Q2571" s="13" t="s">
        <v>68</v>
      </c>
      <c r="R2571" s="13" t="s">
        <v>62</v>
      </c>
      <c r="S2571" s="13" t="s">
        <v>52</v>
      </c>
      <c r="T2571" s="13" t="s">
        <v>78</v>
      </c>
      <c r="U2571" s="13" t="s">
        <v>177</v>
      </c>
      <c r="V2571" s="13" t="s">
        <v>178</v>
      </c>
      <c r="W2571" s="13" t="s">
        <v>64</v>
      </c>
      <c r="X2571" s="135">
        <v>442500</v>
      </c>
      <c r="Y2571" s="157" t="str">
        <f t="shared" si="773"/>
        <v>1.13</v>
      </c>
      <c r="Z2571" s="18">
        <f t="shared" si="774"/>
        <v>442500</v>
      </c>
      <c r="AA2571" s="13">
        <v>1.1399999999999999</v>
      </c>
      <c r="AB2571" s="21">
        <f t="shared" si="758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0"/>
        <v>30573205.452778768</v>
      </c>
      <c r="AJ2571" s="19">
        <f t="shared" si="761"/>
        <v>3790930.1683151261</v>
      </c>
      <c r="AK2571" s="20">
        <f t="shared" si="767"/>
        <v>0.12399518179964254</v>
      </c>
      <c r="AL2571" s="17"/>
      <c r="AM2571" s="17"/>
      <c r="AN2571" s="17"/>
      <c r="AO2571" s="17"/>
      <c r="AP2571" s="28" t="str">
        <f t="shared" si="768"/>
        <v>20234</v>
      </c>
      <c r="AQ2571" s="28" t="str">
        <f t="shared" si="769"/>
        <v>20234RMB</v>
      </c>
      <c r="AR2571" s="206" t="str">
        <f t="shared" si="770"/>
        <v>YAMAHA_Mounter</v>
      </c>
      <c r="AS2571" s="22">
        <f t="shared" si="771"/>
        <v>0</v>
      </c>
      <c r="AT2571" s="24" t="str">
        <f t="shared" si="772"/>
        <v>0-3 months</v>
      </c>
      <c r="AU2571" s="22" t="s">
        <v>3240</v>
      </c>
    </row>
    <row r="2572" spans="1:47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55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2478</v>
      </c>
      <c r="K2572" s="155" t="s">
        <v>2479</v>
      </c>
      <c r="L2572" s="17" t="s">
        <v>67</v>
      </c>
      <c r="M2572" s="13" t="s">
        <v>60</v>
      </c>
      <c r="N2572" s="13">
        <v>1</v>
      </c>
      <c r="O2572" s="13"/>
      <c r="P2572" s="33" t="str">
        <f t="shared" si="757"/>
        <v>MAIN UNIT</v>
      </c>
      <c r="Q2572" s="13" t="s">
        <v>68</v>
      </c>
      <c r="R2572" s="13" t="s">
        <v>62</v>
      </c>
      <c r="S2572" s="13" t="s">
        <v>52</v>
      </c>
      <c r="T2572" s="13" t="s">
        <v>78</v>
      </c>
      <c r="U2572" s="13" t="s">
        <v>177</v>
      </c>
      <c r="V2572" s="13" t="s">
        <v>178</v>
      </c>
      <c r="W2572" s="13" t="s">
        <v>64</v>
      </c>
      <c r="X2572" s="135">
        <v>442500</v>
      </c>
      <c r="Y2572" s="157" t="str">
        <f t="shared" si="773"/>
        <v>1.13</v>
      </c>
      <c r="Z2572" s="18">
        <f t="shared" si="774"/>
        <v>442500</v>
      </c>
      <c r="AA2572" s="13">
        <v>1.1399999999999999</v>
      </c>
      <c r="AB2572" s="21">
        <f t="shared" si="758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0"/>
        <v>30573205.452778768</v>
      </c>
      <c r="AJ2572" s="19">
        <f t="shared" si="761"/>
        <v>3790930.1683151261</v>
      </c>
      <c r="AK2572" s="20">
        <f t="shared" si="767"/>
        <v>0.12399518179964254</v>
      </c>
      <c r="AL2572" s="17"/>
      <c r="AM2572" s="17"/>
      <c r="AN2572" s="17"/>
      <c r="AO2572" s="17"/>
      <c r="AP2572" s="28" t="str">
        <f t="shared" si="768"/>
        <v>20234</v>
      </c>
      <c r="AQ2572" s="28" t="str">
        <f t="shared" si="769"/>
        <v>20234RMB</v>
      </c>
      <c r="AR2572" s="206" t="str">
        <f t="shared" si="770"/>
        <v>YAMAHA_Mounter</v>
      </c>
      <c r="AS2572" s="22">
        <f t="shared" si="771"/>
        <v>0</v>
      </c>
      <c r="AT2572" s="24" t="str">
        <f t="shared" si="772"/>
        <v>0-3 months</v>
      </c>
      <c r="AU2572" s="22" t="s">
        <v>3240</v>
      </c>
    </row>
    <row r="2573" spans="1:47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55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2472</v>
      </c>
      <c r="K2573" s="155" t="s">
        <v>2473</v>
      </c>
      <c r="L2573" s="17" t="s">
        <v>67</v>
      </c>
      <c r="M2573" s="13" t="s">
        <v>60</v>
      </c>
      <c r="N2573" s="13">
        <v>1</v>
      </c>
      <c r="O2573" s="13"/>
      <c r="P2573" s="33" t="str">
        <f t="shared" si="757"/>
        <v>MAIN UNIT</v>
      </c>
      <c r="Q2573" s="13" t="s">
        <v>68</v>
      </c>
      <c r="R2573" s="13" t="s">
        <v>62</v>
      </c>
      <c r="S2573" s="13" t="s">
        <v>49</v>
      </c>
      <c r="T2573" s="13" t="s">
        <v>78</v>
      </c>
      <c r="U2573" s="13" t="s">
        <v>79</v>
      </c>
      <c r="V2573" s="13" t="s">
        <v>178</v>
      </c>
      <c r="W2573" s="13" t="s">
        <v>64</v>
      </c>
      <c r="X2573" s="135">
        <v>465000</v>
      </c>
      <c r="Y2573" s="157" t="str">
        <f t="shared" si="773"/>
        <v>1.13</v>
      </c>
      <c r="Z2573" s="18">
        <f t="shared" si="774"/>
        <v>465000</v>
      </c>
      <c r="AA2573" s="13">
        <v>1.1399999999999999</v>
      </c>
      <c r="AB2573" s="21">
        <f t="shared" si="758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0"/>
        <v>30573205.452778768</v>
      </c>
      <c r="AJ2573" s="19">
        <f t="shared" si="761"/>
        <v>3790930.1683151261</v>
      </c>
      <c r="AK2573" s="20">
        <f t="shared" si="767"/>
        <v>0.12399518179964254</v>
      </c>
      <c r="AL2573" s="17"/>
      <c r="AM2573" s="17"/>
      <c r="AN2573" s="17"/>
      <c r="AO2573" s="17"/>
      <c r="AP2573" s="28" t="str">
        <f t="shared" si="768"/>
        <v>20234</v>
      </c>
      <c r="AQ2573" s="28" t="str">
        <f t="shared" si="769"/>
        <v>20234RMB</v>
      </c>
      <c r="AR2573" s="206" t="str">
        <f t="shared" si="770"/>
        <v>YAMAHA_Mounter</v>
      </c>
      <c r="AS2573" s="22">
        <f t="shared" si="771"/>
        <v>1</v>
      </c>
      <c r="AT2573" s="24" t="str">
        <f t="shared" si="772"/>
        <v>0-3 months</v>
      </c>
      <c r="AU2573" s="22" t="s">
        <v>3240</v>
      </c>
    </row>
    <row r="2574" spans="1:47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55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2472</v>
      </c>
      <c r="K2574" s="155" t="s">
        <v>2473</v>
      </c>
      <c r="L2574" s="17" t="s">
        <v>92</v>
      </c>
      <c r="M2574" s="13" t="s">
        <v>60</v>
      </c>
      <c r="N2574" s="13">
        <v>1</v>
      </c>
      <c r="O2574" s="13"/>
      <c r="P2574" s="33" t="str">
        <f t="shared" si="757"/>
        <v>MAIN UNIT</v>
      </c>
      <c r="Q2574" s="13" t="s">
        <v>68</v>
      </c>
      <c r="R2574" s="13" t="s">
        <v>62</v>
      </c>
      <c r="S2574" s="13" t="s">
        <v>49</v>
      </c>
      <c r="T2574" s="13" t="s">
        <v>78</v>
      </c>
      <c r="U2574" s="13" t="s">
        <v>79</v>
      </c>
      <c r="V2574" s="13" t="s">
        <v>178</v>
      </c>
      <c r="W2574" s="13" t="s">
        <v>64</v>
      </c>
      <c r="X2574" s="135">
        <v>800000</v>
      </c>
      <c r="Y2574" s="157" t="str">
        <f t="shared" si="773"/>
        <v>1.13</v>
      </c>
      <c r="Z2574" s="18">
        <f t="shared" si="774"/>
        <v>800000</v>
      </c>
      <c r="AA2574" s="13">
        <v>1.1399999999999999</v>
      </c>
      <c r="AB2574" s="21">
        <f t="shared" si="758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0"/>
        <v>30573205.452778768</v>
      </c>
      <c r="AJ2574" s="19">
        <f t="shared" si="761"/>
        <v>3790930.1683151261</v>
      </c>
      <c r="AK2574" s="20">
        <f t="shared" si="767"/>
        <v>0.12399518179964254</v>
      </c>
      <c r="AL2574" s="17"/>
      <c r="AM2574" s="17"/>
      <c r="AN2574" s="17"/>
      <c r="AO2574" s="17"/>
      <c r="AP2574" s="28" t="str">
        <f t="shared" si="768"/>
        <v>20234</v>
      </c>
      <c r="AQ2574" s="28" t="str">
        <f t="shared" si="769"/>
        <v>20234RMB</v>
      </c>
      <c r="AR2574" s="206" t="str">
        <f t="shared" si="770"/>
        <v>YAMAHA_Mounter</v>
      </c>
      <c r="AS2574" s="22">
        <f t="shared" si="771"/>
        <v>1</v>
      </c>
      <c r="AT2574" s="24" t="str">
        <f t="shared" si="772"/>
        <v>0-3 months</v>
      </c>
      <c r="AU2574" s="22" t="s">
        <v>3240</v>
      </c>
    </row>
    <row r="2575" spans="1:47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53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1948</v>
      </c>
      <c r="K2575" s="155" t="s">
        <v>1949</v>
      </c>
      <c r="L2575" s="17" t="s">
        <v>293</v>
      </c>
      <c r="M2575" s="13" t="s">
        <v>60</v>
      </c>
      <c r="N2575" s="13">
        <v>1</v>
      </c>
      <c r="O2575" s="13"/>
      <c r="P2575" s="33" t="str">
        <f t="shared" si="757"/>
        <v>MAIN UNIT</v>
      </c>
      <c r="Q2575" s="13" t="s">
        <v>68</v>
      </c>
      <c r="R2575" s="13" t="s">
        <v>62</v>
      </c>
      <c r="S2575" s="13" t="s">
        <v>49</v>
      </c>
      <c r="T2575" s="13" t="s">
        <v>78</v>
      </c>
      <c r="U2575" s="13" t="s">
        <v>79</v>
      </c>
      <c r="V2575" s="13" t="s">
        <v>112</v>
      </c>
      <c r="W2575" s="13" t="s">
        <v>64</v>
      </c>
      <c r="X2575" s="135">
        <v>1310000</v>
      </c>
      <c r="Y2575" s="157" t="str">
        <f t="shared" si="773"/>
        <v>1.13</v>
      </c>
      <c r="Z2575" s="18">
        <f t="shared" si="774"/>
        <v>1310000</v>
      </c>
      <c r="AA2575" s="13">
        <v>1.22</v>
      </c>
      <c r="AB2575" s="21">
        <f t="shared" si="758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0"/>
        <v>26407088.359292038</v>
      </c>
      <c r="AJ2575" s="19">
        <f t="shared" si="761"/>
        <v>3424510.6998470789</v>
      </c>
      <c r="AK2575" s="20">
        <f t="shared" si="767"/>
        <v>0.12968149510667554</v>
      </c>
      <c r="AL2575" s="17"/>
      <c r="AM2575" s="17"/>
      <c r="AN2575" s="17"/>
      <c r="AO2575" s="17"/>
      <c r="AP2575" s="28" t="str">
        <f t="shared" si="768"/>
        <v>20221</v>
      </c>
      <c r="AQ2575" s="28" t="str">
        <f t="shared" si="769"/>
        <v>20221RMB</v>
      </c>
      <c r="AR2575" s="206" t="str">
        <f t="shared" si="770"/>
        <v>YAMAHA_Mounter</v>
      </c>
      <c r="AS2575" s="22">
        <f t="shared" si="771"/>
        <v>1</v>
      </c>
      <c r="AT2575" s="24" t="str">
        <f t="shared" si="772"/>
        <v>0-3 months</v>
      </c>
      <c r="AU2575" s="22" t="s">
        <v>3751</v>
      </c>
    </row>
    <row r="2576" spans="1:47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55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2488</v>
      </c>
      <c r="K2576" s="155" t="s">
        <v>2489</v>
      </c>
      <c r="L2576" s="17" t="s">
        <v>293</v>
      </c>
      <c r="M2576" s="13" t="s">
        <v>60</v>
      </c>
      <c r="N2576" s="13">
        <v>1</v>
      </c>
      <c r="O2576" s="13"/>
      <c r="P2576" s="33" t="str">
        <f t="shared" si="757"/>
        <v>MAIN UNIT</v>
      </c>
      <c r="Q2576" s="13" t="s">
        <v>61</v>
      </c>
      <c r="R2576" s="13" t="s">
        <v>62</v>
      </c>
      <c r="S2576" s="13" t="s">
        <v>49</v>
      </c>
      <c r="T2576" s="13" t="s">
        <v>78</v>
      </c>
      <c r="U2576" s="13" t="s">
        <v>79</v>
      </c>
      <c r="V2576" s="13" t="s">
        <v>131</v>
      </c>
      <c r="W2576" s="13" t="s">
        <v>64</v>
      </c>
      <c r="X2576" s="135">
        <v>1475000</v>
      </c>
      <c r="Y2576" s="157" t="str">
        <f t="shared" si="773"/>
        <v>1.13</v>
      </c>
      <c r="Z2576" s="18">
        <f t="shared" si="774"/>
        <v>1475000</v>
      </c>
      <c r="AA2576" s="13">
        <v>1.135</v>
      </c>
      <c r="AB2576" s="21">
        <f t="shared" si="758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0"/>
        <v>28177779.013274338</v>
      </c>
      <c r="AJ2576" s="19">
        <f t="shared" si="761"/>
        <v>4727216.6376190251</v>
      </c>
      <c r="AK2576" s="20">
        <f t="shared" si="767"/>
        <v>0.1677639900359808</v>
      </c>
      <c r="AL2576" s="17"/>
      <c r="AM2576" s="17"/>
      <c r="AN2576" s="17"/>
      <c r="AO2576" s="17"/>
      <c r="AP2576" s="28" t="str">
        <f t="shared" si="768"/>
        <v>20235</v>
      </c>
      <c r="AQ2576" s="28" t="str">
        <f t="shared" si="769"/>
        <v>20235RMB</v>
      </c>
      <c r="AR2576" s="206" t="str">
        <f t="shared" si="770"/>
        <v>YAMAHA_Mounter</v>
      </c>
      <c r="AS2576" s="22">
        <f t="shared" si="771"/>
        <v>3</v>
      </c>
      <c r="AT2576" s="24" t="str">
        <f t="shared" si="772"/>
        <v>0-3 months</v>
      </c>
      <c r="AU2576" s="22" t="s">
        <v>3751</v>
      </c>
    </row>
    <row r="2577" spans="1:47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48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1549</v>
      </c>
      <c r="K2577" s="155" t="s">
        <v>1550</v>
      </c>
      <c r="L2577" s="17" t="s">
        <v>92</v>
      </c>
      <c r="M2577" s="13" t="s">
        <v>60</v>
      </c>
      <c r="N2577" s="13">
        <v>1</v>
      </c>
      <c r="O2577" s="13"/>
      <c r="P2577" s="33" t="str">
        <f t="shared" si="757"/>
        <v>MAIN UNIT</v>
      </c>
      <c r="Q2577" s="13" t="s">
        <v>61</v>
      </c>
      <c r="R2577" s="13" t="s">
        <v>62</v>
      </c>
      <c r="S2577" s="13" t="s">
        <v>49</v>
      </c>
      <c r="T2577" s="13" t="s">
        <v>78</v>
      </c>
      <c r="U2577" s="13" t="s">
        <v>79</v>
      </c>
      <c r="V2577" s="13" t="s">
        <v>1516</v>
      </c>
      <c r="W2577" s="13" t="s">
        <v>109</v>
      </c>
      <c r="X2577" s="135">
        <v>13500000</v>
      </c>
      <c r="Y2577" s="157" t="str">
        <f t="shared" si="773"/>
        <v>1</v>
      </c>
      <c r="Z2577" s="18">
        <f t="shared" si="774"/>
        <v>13500000</v>
      </c>
      <c r="AA2577" s="13">
        <v>7.4499999999999997E-2</v>
      </c>
      <c r="AB2577" s="21">
        <f t="shared" si="758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0"/>
        <v>57778307.282035396</v>
      </c>
      <c r="AJ2577" s="19">
        <f t="shared" si="761"/>
        <v>7259860.7225420559</v>
      </c>
      <c r="AK2577" s="20">
        <f t="shared" si="767"/>
        <v>0.12565028406083667</v>
      </c>
      <c r="AL2577" s="17"/>
      <c r="AM2577" s="17"/>
      <c r="AN2577" s="17"/>
      <c r="AO2577" s="17"/>
      <c r="AP2577" s="28" t="str">
        <f t="shared" si="768"/>
        <v>20213</v>
      </c>
      <c r="AQ2577" s="28" t="str">
        <f t="shared" si="769"/>
        <v>20213JPY</v>
      </c>
      <c r="AR2577" s="206" t="str">
        <f t="shared" si="770"/>
        <v>YAMAHA_Mounter</v>
      </c>
      <c r="AS2577" s="22">
        <f t="shared" si="771"/>
        <v>4</v>
      </c>
      <c r="AT2577" s="24" t="str">
        <f t="shared" si="772"/>
        <v>4-6 months</v>
      </c>
      <c r="AU2577" s="22" t="s">
        <v>3745</v>
      </c>
    </row>
    <row r="2578" spans="1:47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53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1875</v>
      </c>
      <c r="K2578" s="155" t="s">
        <v>1550</v>
      </c>
      <c r="L2578" s="17" t="s">
        <v>92</v>
      </c>
      <c r="M2578" s="13" t="s">
        <v>60</v>
      </c>
      <c r="N2578" s="13">
        <v>1</v>
      </c>
      <c r="O2578" s="13"/>
      <c r="P2578" s="33" t="str">
        <f t="shared" si="757"/>
        <v>MAIN UNIT</v>
      </c>
      <c r="Q2578" s="13" t="s">
        <v>61</v>
      </c>
      <c r="R2578" s="13" t="s">
        <v>62</v>
      </c>
      <c r="S2578" s="13" t="s">
        <v>49</v>
      </c>
      <c r="T2578" s="13" t="s">
        <v>78</v>
      </c>
      <c r="U2578" s="13" t="s">
        <v>79</v>
      </c>
      <c r="V2578" s="13" t="s">
        <v>131</v>
      </c>
      <c r="W2578" s="13" t="s">
        <v>109</v>
      </c>
      <c r="X2578" s="135">
        <v>14500000</v>
      </c>
      <c r="Y2578" s="157" t="str">
        <f t="shared" si="773"/>
        <v>1</v>
      </c>
      <c r="Z2578" s="18">
        <f t="shared" si="774"/>
        <v>14500000</v>
      </c>
      <c r="AA2578" s="13">
        <v>7.0999999999999994E-2</v>
      </c>
      <c r="AB2578" s="21">
        <f t="shared" si="758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0"/>
        <v>15533177.71460177</v>
      </c>
      <c r="AJ2578" s="19">
        <f t="shared" si="761"/>
        <v>1819298.5437526547</v>
      </c>
      <c r="AK2578" s="20">
        <f t="shared" si="767"/>
        <v>0.11712339723265033</v>
      </c>
      <c r="AL2578" s="17"/>
      <c r="AM2578" s="17"/>
      <c r="AN2578" s="17"/>
      <c r="AO2578" s="17"/>
      <c r="AP2578" s="28" t="str">
        <f t="shared" si="768"/>
        <v>202110</v>
      </c>
      <c r="AQ2578" s="28" t="str">
        <f t="shared" si="769"/>
        <v>202110JPY</v>
      </c>
      <c r="AR2578" s="206" t="str">
        <f t="shared" si="770"/>
        <v>YAMAHA_Mounter</v>
      </c>
      <c r="AS2578" s="22">
        <f t="shared" si="771"/>
        <v>6</v>
      </c>
      <c r="AT2578" s="24" t="str">
        <f t="shared" si="772"/>
        <v>4-6 months</v>
      </c>
      <c r="AU2578" s="22" t="s">
        <v>3745</v>
      </c>
    </row>
    <row r="2579" spans="1:47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53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1875</v>
      </c>
      <c r="K2579" s="155" t="s">
        <v>1550</v>
      </c>
      <c r="L2579" s="17" t="s">
        <v>92</v>
      </c>
      <c r="M2579" s="13" t="s">
        <v>60</v>
      </c>
      <c r="N2579" s="13">
        <v>1</v>
      </c>
      <c r="O2579" s="13"/>
      <c r="P2579" s="33" t="str">
        <f t="shared" si="757"/>
        <v>MAIN UNIT</v>
      </c>
      <c r="Q2579" s="13" t="s">
        <v>61</v>
      </c>
      <c r="R2579" s="13" t="s">
        <v>62</v>
      </c>
      <c r="S2579" s="13" t="s">
        <v>49</v>
      </c>
      <c r="T2579" s="13" t="s">
        <v>78</v>
      </c>
      <c r="U2579" s="13" t="s">
        <v>79</v>
      </c>
      <c r="V2579" s="13" t="s">
        <v>131</v>
      </c>
      <c r="W2579" s="13" t="s">
        <v>109</v>
      </c>
      <c r="X2579" s="135">
        <v>14500000</v>
      </c>
      <c r="Y2579" s="157" t="str">
        <f t="shared" si="773"/>
        <v>1</v>
      </c>
      <c r="Z2579" s="18">
        <f t="shared" si="774"/>
        <v>14500000</v>
      </c>
      <c r="AA2579" s="13">
        <v>7.0999999999999994E-2</v>
      </c>
      <c r="AB2579" s="21">
        <f t="shared" si="758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0"/>
        <v>15533177.71460177</v>
      </c>
      <c r="AJ2579" s="19">
        <f t="shared" si="761"/>
        <v>1819298.5437526547</v>
      </c>
      <c r="AK2579" s="20">
        <f t="shared" si="767"/>
        <v>0.11712339723265033</v>
      </c>
      <c r="AL2579" s="17"/>
      <c r="AM2579" s="17"/>
      <c r="AN2579" s="17"/>
      <c r="AO2579" s="17"/>
      <c r="AP2579" s="28" t="str">
        <f t="shared" si="768"/>
        <v>202110</v>
      </c>
      <c r="AQ2579" s="28" t="str">
        <f t="shared" si="769"/>
        <v>202110JPY</v>
      </c>
      <c r="AR2579" s="206" t="str">
        <f t="shared" si="770"/>
        <v>YAMAHA_Mounter</v>
      </c>
      <c r="AS2579" s="22">
        <f t="shared" si="771"/>
        <v>6</v>
      </c>
      <c r="AT2579" s="24" t="str">
        <f t="shared" si="772"/>
        <v>4-6 months</v>
      </c>
      <c r="AU2579" s="22" t="s">
        <v>3745</v>
      </c>
    </row>
    <row r="2580" spans="1:47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54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2329</v>
      </c>
      <c r="K2580" s="155" t="s">
        <v>1550</v>
      </c>
      <c r="L2580" s="17" t="s">
        <v>92</v>
      </c>
      <c r="M2580" s="13" t="s">
        <v>60</v>
      </c>
      <c r="N2580" s="13">
        <v>1</v>
      </c>
      <c r="O2580" s="13"/>
      <c r="P2580" s="33" t="str">
        <f t="shared" si="757"/>
        <v>MAIN UNIT</v>
      </c>
      <c r="Q2580" s="13" t="s">
        <v>61</v>
      </c>
      <c r="R2580" s="13" t="s">
        <v>62</v>
      </c>
      <c r="S2580" s="13" t="s">
        <v>49</v>
      </c>
      <c r="T2580" s="13" t="s">
        <v>78</v>
      </c>
      <c r="U2580" s="13" t="s">
        <v>79</v>
      </c>
      <c r="V2580" s="13" t="s">
        <v>121</v>
      </c>
      <c r="W2580" s="13" t="s">
        <v>64</v>
      </c>
      <c r="X2580" s="135">
        <v>1000000</v>
      </c>
      <c r="Y2580" s="157" t="str">
        <f t="shared" si="773"/>
        <v>1.13</v>
      </c>
      <c r="Z2580" s="18">
        <f t="shared" si="774"/>
        <v>1000000</v>
      </c>
      <c r="AA2580" s="13">
        <v>1.08</v>
      </c>
      <c r="AB2580" s="21">
        <f t="shared" si="758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0"/>
        <v>31017966.201968137</v>
      </c>
      <c r="AJ2580" s="19">
        <f t="shared" si="761"/>
        <v>4704250.3347305888</v>
      </c>
      <c r="AK2580" s="20">
        <f t="shared" si="767"/>
        <v>0.15166211427595458</v>
      </c>
      <c r="AL2580" s="17"/>
      <c r="AM2580" s="17"/>
      <c r="AN2580" s="17"/>
      <c r="AO2580" s="17"/>
      <c r="AP2580" s="28" t="str">
        <f t="shared" si="768"/>
        <v>202211</v>
      </c>
      <c r="AQ2580" s="28" t="str">
        <f t="shared" si="769"/>
        <v>202211RMB</v>
      </c>
      <c r="AR2580" s="206" t="str">
        <f t="shared" si="770"/>
        <v>YAMAHA_Mounter</v>
      </c>
      <c r="AS2580" s="22">
        <f t="shared" si="771"/>
        <v>0</v>
      </c>
      <c r="AT2580" s="24" t="str">
        <f t="shared" si="772"/>
        <v>0-3 months</v>
      </c>
      <c r="AU2580" s="22" t="s">
        <v>3751</v>
      </c>
    </row>
    <row r="2581" spans="1:47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3498</v>
      </c>
      <c r="K2581" s="29" t="s">
        <v>256</v>
      </c>
      <c r="L2581" s="17" t="s">
        <v>67</v>
      </c>
      <c r="M2581" s="13" t="s">
        <v>60</v>
      </c>
      <c r="N2581" s="13">
        <v>1</v>
      </c>
      <c r="O2581" s="22"/>
      <c r="P2581" s="202" t="str">
        <f t="shared" si="757"/>
        <v>MAIN UNIT</v>
      </c>
      <c r="Q2581" s="22" t="s">
        <v>61</v>
      </c>
      <c r="R2581" s="22" t="s">
        <v>62</v>
      </c>
      <c r="S2581" s="22" t="s">
        <v>50</v>
      </c>
      <c r="T2581" s="22" t="s">
        <v>101</v>
      </c>
      <c r="U2581" s="22" t="s">
        <v>70</v>
      </c>
      <c r="V2581" s="22" t="s">
        <v>71</v>
      </c>
      <c r="W2581" s="22" t="s">
        <v>64</v>
      </c>
      <c r="X2581" s="104">
        <v>455000</v>
      </c>
      <c r="Y2581" s="195" t="str">
        <f>IF(W2581="","",IF(W2581="RMB","1.13", "1"))</f>
        <v>1.13</v>
      </c>
      <c r="Z2581" s="196">
        <f t="shared" si="774"/>
        <v>455000</v>
      </c>
      <c r="AA2581" s="22">
        <v>1.075</v>
      </c>
      <c r="AB2581" s="197">
        <f t="shared" si="758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0"/>
        <v>25458266.694690265</v>
      </c>
      <c r="AJ2581" s="200">
        <f t="shared" si="761"/>
        <v>4116526.778578762</v>
      </c>
      <c r="AK2581" s="201">
        <f t="shared" si="767"/>
        <v>0.16169705612508689</v>
      </c>
      <c r="AL2581" s="24"/>
      <c r="AM2581" s="24"/>
      <c r="AN2581" s="24"/>
      <c r="AO2581" s="24"/>
      <c r="AP2581" s="105" t="str">
        <f t="shared" si="768"/>
        <v>20247</v>
      </c>
      <c r="AQ2581" s="28" t="str">
        <f t="shared" si="769"/>
        <v>20247RMB</v>
      </c>
      <c r="AR2581" s="206" t="str">
        <f t="shared" si="770"/>
        <v>YAMAHA_Mounter</v>
      </c>
      <c r="AS2581" s="22">
        <f t="shared" si="771"/>
        <v>0</v>
      </c>
      <c r="AT2581" s="24" t="str">
        <f t="shared" si="772"/>
        <v>0-3 months</v>
      </c>
      <c r="AU2581" s="22" t="s">
        <v>3240</v>
      </c>
    </row>
    <row r="2582" spans="1:47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55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2476</v>
      </c>
      <c r="K2582" s="155" t="s">
        <v>2477</v>
      </c>
      <c r="L2582" s="17" t="s">
        <v>92</v>
      </c>
      <c r="M2582" s="13" t="s">
        <v>60</v>
      </c>
      <c r="N2582" s="13">
        <v>1</v>
      </c>
      <c r="O2582" s="13"/>
      <c r="P2582" s="33" t="str">
        <f t="shared" ref="P2582:P2645" si="775">IF(M2582="","",IF(AND(N2582&gt;0,L2582&lt;&gt;""),"MAIN UNIT",IF(AND(O2582&gt;0,L2582&lt;&gt;""),"SERVICE/ PARTS","C66 SERVICE/OTHERS")))</f>
        <v>MAIN UNIT</v>
      </c>
      <c r="Q2582" s="13" t="s">
        <v>68</v>
      </c>
      <c r="R2582" s="13" t="s">
        <v>62</v>
      </c>
      <c r="S2582" s="13" t="s">
        <v>49</v>
      </c>
      <c r="T2582" s="13" t="s">
        <v>78</v>
      </c>
      <c r="U2582" s="13" t="s">
        <v>79</v>
      </c>
      <c r="V2582" s="13" t="s">
        <v>2011</v>
      </c>
      <c r="W2582" s="13" t="s">
        <v>64</v>
      </c>
      <c r="X2582" s="135">
        <v>822900</v>
      </c>
      <c r="Y2582" s="157" t="str">
        <f t="shared" ref="Y2582:Y2590" si="776">IF(W2582="RMB","1.13", "1")</f>
        <v>1.13</v>
      </c>
      <c r="Z2582" s="18">
        <f t="shared" si="774"/>
        <v>822900</v>
      </c>
      <c r="AA2582" s="13">
        <v>1.1399999999999999</v>
      </c>
      <c r="AB2582" s="21">
        <f t="shared" ref="AB2582:AB2617" si="777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0"/>
        <v>30573205.452778768</v>
      </c>
      <c r="AJ2582" s="19">
        <f t="shared" si="761"/>
        <v>3790930.1683151261</v>
      </c>
      <c r="AK2582" s="20">
        <f t="shared" si="767"/>
        <v>0.12399518179964254</v>
      </c>
      <c r="AL2582" s="17"/>
      <c r="AM2582" s="17"/>
      <c r="AN2582" s="17"/>
      <c r="AO2582" s="17"/>
      <c r="AP2582" s="28" t="str">
        <f t="shared" si="768"/>
        <v>20234</v>
      </c>
      <c r="AQ2582" s="28" t="str">
        <f t="shared" si="769"/>
        <v>20234RMB</v>
      </c>
      <c r="AR2582" s="206" t="str">
        <f t="shared" si="770"/>
        <v>YAMAHA_Mounter</v>
      </c>
      <c r="AS2582" s="22">
        <f t="shared" si="771"/>
        <v>0</v>
      </c>
      <c r="AT2582" s="24" t="str">
        <f t="shared" si="772"/>
        <v>0-3 months</v>
      </c>
      <c r="AU2582" s="22" t="s">
        <v>3751</v>
      </c>
    </row>
    <row r="2583" spans="1:47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55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2476</v>
      </c>
      <c r="K2583" s="155" t="s">
        <v>2477</v>
      </c>
      <c r="L2583" s="17" t="s">
        <v>92</v>
      </c>
      <c r="M2583" s="13" t="s">
        <v>60</v>
      </c>
      <c r="N2583" s="13">
        <v>1</v>
      </c>
      <c r="O2583" s="13"/>
      <c r="P2583" s="33" t="str">
        <f t="shared" si="775"/>
        <v>MAIN UNIT</v>
      </c>
      <c r="Q2583" s="13" t="s">
        <v>68</v>
      </c>
      <c r="R2583" s="13" t="s">
        <v>62</v>
      </c>
      <c r="S2583" s="13" t="s">
        <v>49</v>
      </c>
      <c r="T2583" s="13" t="s">
        <v>78</v>
      </c>
      <c r="U2583" s="13" t="s">
        <v>79</v>
      </c>
      <c r="V2583" s="13" t="s">
        <v>2011</v>
      </c>
      <c r="W2583" s="13" t="s">
        <v>64</v>
      </c>
      <c r="X2583" s="135">
        <v>822900</v>
      </c>
      <c r="Y2583" s="157" t="str">
        <f t="shared" si="776"/>
        <v>1.13</v>
      </c>
      <c r="Z2583" s="18">
        <f t="shared" si="774"/>
        <v>822900</v>
      </c>
      <c r="AA2583" s="13">
        <v>1.1399999999999999</v>
      </c>
      <c r="AB2583" s="21">
        <f t="shared" si="777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0"/>
        <v>30573205.452778768</v>
      </c>
      <c r="AJ2583" s="19">
        <f t="shared" si="761"/>
        <v>3790930.1683151261</v>
      </c>
      <c r="AK2583" s="20">
        <f t="shared" si="767"/>
        <v>0.12399518179964254</v>
      </c>
      <c r="AL2583" s="17"/>
      <c r="AM2583" s="17"/>
      <c r="AN2583" s="17"/>
      <c r="AO2583" s="17"/>
      <c r="AP2583" s="28" t="str">
        <f t="shared" si="768"/>
        <v>20234</v>
      </c>
      <c r="AQ2583" s="28" t="str">
        <f t="shared" si="769"/>
        <v>20234RMB</v>
      </c>
      <c r="AR2583" s="206" t="str">
        <f t="shared" si="770"/>
        <v>YAMAHA_Mounter</v>
      </c>
      <c r="AS2583" s="22">
        <f t="shared" si="771"/>
        <v>0</v>
      </c>
      <c r="AT2583" s="24" t="str">
        <f t="shared" si="772"/>
        <v>0-3 months</v>
      </c>
      <c r="AU2583" s="22" t="s">
        <v>3751</v>
      </c>
    </row>
    <row r="2584" spans="1:47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55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2476</v>
      </c>
      <c r="K2584" s="155" t="s">
        <v>2477</v>
      </c>
      <c r="L2584" s="17" t="s">
        <v>67</v>
      </c>
      <c r="M2584" s="13" t="s">
        <v>60</v>
      </c>
      <c r="N2584" s="13">
        <v>1</v>
      </c>
      <c r="O2584" s="13"/>
      <c r="P2584" s="33" t="str">
        <f t="shared" si="775"/>
        <v>MAIN UNIT</v>
      </c>
      <c r="Q2584" s="13" t="s">
        <v>68</v>
      </c>
      <c r="R2584" s="13" t="s">
        <v>62</v>
      </c>
      <c r="S2584" s="13" t="s">
        <v>49</v>
      </c>
      <c r="T2584" s="13" t="s">
        <v>78</v>
      </c>
      <c r="U2584" s="13" t="s">
        <v>79</v>
      </c>
      <c r="V2584" s="13" t="s">
        <v>2011</v>
      </c>
      <c r="W2584" s="13" t="s">
        <v>64</v>
      </c>
      <c r="X2584" s="135">
        <v>601000</v>
      </c>
      <c r="Y2584" s="157" t="str">
        <f t="shared" si="776"/>
        <v>1.13</v>
      </c>
      <c r="Z2584" s="18">
        <f t="shared" si="774"/>
        <v>601000</v>
      </c>
      <c r="AA2584" s="13">
        <v>1.1399999999999999</v>
      </c>
      <c r="AB2584" s="21">
        <f t="shared" si="777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0"/>
        <v>30573205.452778768</v>
      </c>
      <c r="AJ2584" s="19">
        <f t="shared" si="761"/>
        <v>3790930.1683151261</v>
      </c>
      <c r="AK2584" s="20">
        <f t="shared" si="767"/>
        <v>0.12399518179964254</v>
      </c>
      <c r="AL2584" s="17"/>
      <c r="AM2584" s="17"/>
      <c r="AN2584" s="17"/>
      <c r="AO2584" s="17"/>
      <c r="AP2584" s="28" t="str">
        <f t="shared" si="768"/>
        <v>20234</v>
      </c>
      <c r="AQ2584" s="28" t="str">
        <f t="shared" si="769"/>
        <v>20234RMB</v>
      </c>
      <c r="AR2584" s="206" t="str">
        <f t="shared" si="770"/>
        <v>YAMAHA_Mounter</v>
      </c>
      <c r="AS2584" s="22">
        <f t="shared" si="771"/>
        <v>0</v>
      </c>
      <c r="AT2584" s="24" t="str">
        <f t="shared" si="772"/>
        <v>0-3 months</v>
      </c>
      <c r="AU2584" s="22" t="s">
        <v>3751</v>
      </c>
    </row>
    <row r="2585" spans="1:47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55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2476</v>
      </c>
      <c r="K2585" s="155" t="s">
        <v>2477</v>
      </c>
      <c r="L2585" s="17" t="s">
        <v>67</v>
      </c>
      <c r="M2585" s="13" t="s">
        <v>60</v>
      </c>
      <c r="N2585" s="13">
        <v>1</v>
      </c>
      <c r="O2585" s="13"/>
      <c r="P2585" s="33" t="str">
        <f t="shared" si="775"/>
        <v>MAIN UNIT</v>
      </c>
      <c r="Q2585" s="13" t="s">
        <v>68</v>
      </c>
      <c r="R2585" s="13" t="s">
        <v>62</v>
      </c>
      <c r="S2585" s="13" t="s">
        <v>49</v>
      </c>
      <c r="T2585" s="13" t="s">
        <v>78</v>
      </c>
      <c r="U2585" s="13" t="s">
        <v>79</v>
      </c>
      <c r="V2585" s="13" t="s">
        <v>2011</v>
      </c>
      <c r="W2585" s="13" t="s">
        <v>64</v>
      </c>
      <c r="X2585" s="135">
        <v>601000</v>
      </c>
      <c r="Y2585" s="157" t="str">
        <f t="shared" si="776"/>
        <v>1.13</v>
      </c>
      <c r="Z2585" s="18">
        <f t="shared" si="774"/>
        <v>601000</v>
      </c>
      <c r="AA2585" s="13">
        <v>1.1399999999999999</v>
      </c>
      <c r="AB2585" s="21">
        <f t="shared" si="777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0"/>
        <v>30573205.452778768</v>
      </c>
      <c r="AJ2585" s="19">
        <f t="shared" si="761"/>
        <v>3790930.1683151261</v>
      </c>
      <c r="AK2585" s="20">
        <f t="shared" si="767"/>
        <v>0.12399518179964254</v>
      </c>
      <c r="AL2585" s="17"/>
      <c r="AM2585" s="17"/>
      <c r="AN2585" s="17"/>
      <c r="AO2585" s="17"/>
      <c r="AP2585" s="28" t="str">
        <f t="shared" si="768"/>
        <v>20234</v>
      </c>
      <c r="AQ2585" s="28" t="str">
        <f t="shared" si="769"/>
        <v>20234RMB</v>
      </c>
      <c r="AR2585" s="206" t="str">
        <f t="shared" si="770"/>
        <v>YAMAHA_Mounter</v>
      </c>
      <c r="AS2585" s="22">
        <f t="shared" si="771"/>
        <v>0</v>
      </c>
      <c r="AT2585" s="24" t="str">
        <f t="shared" si="772"/>
        <v>0-3 months</v>
      </c>
      <c r="AU2585" s="22" t="s">
        <v>3751</v>
      </c>
    </row>
    <row r="2586" spans="1:47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54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1994</v>
      </c>
      <c r="K2586" s="155" t="s">
        <v>1995</v>
      </c>
      <c r="L2586" s="17" t="s">
        <v>67</v>
      </c>
      <c r="M2586" s="13" t="s">
        <v>60</v>
      </c>
      <c r="N2586" s="13">
        <v>1</v>
      </c>
      <c r="O2586" s="13"/>
      <c r="P2586" s="33" t="str">
        <f t="shared" si="775"/>
        <v>MAIN UNIT</v>
      </c>
      <c r="Q2586" s="13" t="s">
        <v>68</v>
      </c>
      <c r="R2586" s="13" t="s">
        <v>62</v>
      </c>
      <c r="S2586" s="13" t="s">
        <v>49</v>
      </c>
      <c r="T2586" s="13" t="s">
        <v>78</v>
      </c>
      <c r="U2586" s="13" t="s">
        <v>79</v>
      </c>
      <c r="V2586" s="13" t="s">
        <v>1885</v>
      </c>
      <c r="W2586" s="13" t="s">
        <v>64</v>
      </c>
      <c r="X2586" s="135">
        <v>529000</v>
      </c>
      <c r="Y2586" s="157" t="str">
        <f t="shared" si="776"/>
        <v>1.13</v>
      </c>
      <c r="Z2586" s="18">
        <f t="shared" si="774"/>
        <v>529000</v>
      </c>
      <c r="AA2586" s="13">
        <v>1.22</v>
      </c>
      <c r="AB2586" s="21">
        <f t="shared" si="777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0"/>
        <v>46600814.041769907</v>
      </c>
      <c r="AJ2586" s="19">
        <f t="shared" si="761"/>
        <v>5956366.3435927071</v>
      </c>
      <c r="AK2586" s="20">
        <f t="shared" si="767"/>
        <v>0.1278167874546958</v>
      </c>
      <c r="AL2586" s="17"/>
      <c r="AM2586" s="17"/>
      <c r="AN2586" s="17"/>
      <c r="AO2586" s="17"/>
      <c r="AP2586" s="28" t="str">
        <f t="shared" si="768"/>
        <v>20224</v>
      </c>
      <c r="AQ2586" s="28" t="str">
        <f t="shared" si="769"/>
        <v>20224RMB</v>
      </c>
      <c r="AR2586" s="206" t="str">
        <f t="shared" si="770"/>
        <v>YAMAHA_Mounter</v>
      </c>
      <c r="AS2586" s="22">
        <f t="shared" si="771"/>
        <v>10</v>
      </c>
      <c r="AT2586" s="24" t="str">
        <f t="shared" si="772"/>
        <v>&gt; 6 months</v>
      </c>
      <c r="AU2586" s="22" t="s">
        <v>3751</v>
      </c>
    </row>
    <row r="2587" spans="1:47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54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2445</v>
      </c>
      <c r="K2587" s="155" t="s">
        <v>2446</v>
      </c>
      <c r="L2587" s="17" t="s">
        <v>67</v>
      </c>
      <c r="M2587" s="13" t="s">
        <v>60</v>
      </c>
      <c r="N2587" s="13">
        <v>1</v>
      </c>
      <c r="O2587" s="13"/>
      <c r="P2587" s="33" t="str">
        <f t="shared" si="775"/>
        <v>MAIN UNIT</v>
      </c>
      <c r="Q2587" s="13" t="s">
        <v>68</v>
      </c>
      <c r="R2587" s="13" t="s">
        <v>62</v>
      </c>
      <c r="S2587" s="13" t="s">
        <v>49</v>
      </c>
      <c r="T2587" s="13" t="s">
        <v>78</v>
      </c>
      <c r="U2587" s="13" t="s">
        <v>79</v>
      </c>
      <c r="V2587" s="13" t="s">
        <v>311</v>
      </c>
      <c r="W2587" s="13" t="s">
        <v>64</v>
      </c>
      <c r="X2587" s="135">
        <v>460000</v>
      </c>
      <c r="Y2587" s="157" t="str">
        <f t="shared" si="776"/>
        <v>1.13</v>
      </c>
      <c r="Z2587" s="18">
        <f t="shared" si="774"/>
        <v>460000</v>
      </c>
      <c r="AA2587" s="13">
        <v>1.1299999999999999</v>
      </c>
      <c r="AB2587" s="21">
        <f t="shared" si="777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0"/>
        <v>33543315.897345133</v>
      </c>
      <c r="AJ2587" s="19">
        <f t="shared" si="761"/>
        <v>4706169.3252984071</v>
      </c>
      <c r="AK2587" s="20">
        <f t="shared" si="767"/>
        <v>0.14030125523967318</v>
      </c>
      <c r="AL2587" s="17"/>
      <c r="AM2587" s="17"/>
      <c r="AN2587" s="17"/>
      <c r="AO2587" s="17"/>
      <c r="AP2587" s="28" t="str">
        <f t="shared" si="768"/>
        <v>20233</v>
      </c>
      <c r="AQ2587" s="28" t="str">
        <f t="shared" si="769"/>
        <v>20233RMB</v>
      </c>
      <c r="AR2587" s="206" t="str">
        <f t="shared" si="770"/>
        <v>YAMAHA_Mounter</v>
      </c>
      <c r="AS2587" s="22">
        <f t="shared" si="771"/>
        <v>0</v>
      </c>
      <c r="AT2587" s="24" t="str">
        <f t="shared" si="772"/>
        <v>0-3 months</v>
      </c>
      <c r="AU2587" s="22" t="s">
        <v>3751</v>
      </c>
    </row>
    <row r="2588" spans="1:47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54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2443</v>
      </c>
      <c r="K2588" s="155" t="s">
        <v>2444</v>
      </c>
      <c r="L2588" s="17" t="s">
        <v>67</v>
      </c>
      <c r="M2588" s="13" t="s">
        <v>60</v>
      </c>
      <c r="N2588" s="13">
        <v>1</v>
      </c>
      <c r="O2588" s="13"/>
      <c r="P2588" s="33" t="str">
        <f t="shared" si="775"/>
        <v>MAIN UNIT</v>
      </c>
      <c r="Q2588" s="13" t="s">
        <v>61</v>
      </c>
      <c r="R2588" s="13" t="s">
        <v>62</v>
      </c>
      <c r="S2588" s="13" t="s">
        <v>49</v>
      </c>
      <c r="T2588" s="13" t="s">
        <v>78</v>
      </c>
      <c r="U2588" s="13" t="s">
        <v>79</v>
      </c>
      <c r="V2588" s="13" t="s">
        <v>311</v>
      </c>
      <c r="W2588" s="13" t="s">
        <v>64</v>
      </c>
      <c r="X2588" s="135">
        <v>510000</v>
      </c>
      <c r="Y2588" s="157" t="str">
        <f t="shared" si="776"/>
        <v>1.13</v>
      </c>
      <c r="Z2588" s="18">
        <f t="shared" si="774"/>
        <v>510000</v>
      </c>
      <c r="AA2588" s="13">
        <v>1.1299999999999999</v>
      </c>
      <c r="AB2588" s="21">
        <f t="shared" si="777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0"/>
        <v>33543315.897345133</v>
      </c>
      <c r="AJ2588" s="19">
        <f t="shared" si="761"/>
        <v>4706169.3252984071</v>
      </c>
      <c r="AK2588" s="20">
        <f t="shared" si="767"/>
        <v>0.14030125523967318</v>
      </c>
      <c r="AL2588" s="17"/>
      <c r="AM2588" s="17"/>
      <c r="AN2588" s="17"/>
      <c r="AO2588" s="17"/>
      <c r="AP2588" s="28" t="str">
        <f t="shared" si="768"/>
        <v>20233</v>
      </c>
      <c r="AQ2588" s="28" t="str">
        <f t="shared" si="769"/>
        <v>20233RMB</v>
      </c>
      <c r="AR2588" s="206" t="str">
        <f t="shared" si="770"/>
        <v>YAMAHA_Mounter</v>
      </c>
      <c r="AS2588" s="22">
        <f t="shared" si="771"/>
        <v>0</v>
      </c>
      <c r="AT2588" s="24" t="str">
        <f t="shared" si="772"/>
        <v>0-3 months</v>
      </c>
      <c r="AU2588" s="22" t="s">
        <v>3751</v>
      </c>
    </row>
    <row r="2589" spans="1:47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54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2247</v>
      </c>
      <c r="K2589" s="155" t="s">
        <v>2248</v>
      </c>
      <c r="L2589" s="17" t="s">
        <v>92</v>
      </c>
      <c r="M2589" s="13" t="s">
        <v>60</v>
      </c>
      <c r="N2589" s="13">
        <v>1</v>
      </c>
      <c r="O2589" s="13"/>
      <c r="P2589" s="33" t="str">
        <f t="shared" si="775"/>
        <v>MAIN UNIT</v>
      </c>
      <c r="Q2589" s="13" t="s">
        <v>68</v>
      </c>
      <c r="R2589" s="13" t="s">
        <v>62</v>
      </c>
      <c r="S2589" s="13" t="s">
        <v>51</v>
      </c>
      <c r="T2589" s="13" t="s">
        <v>2168</v>
      </c>
      <c r="U2589" s="13" t="s">
        <v>149</v>
      </c>
      <c r="V2589" s="13" t="s">
        <v>954</v>
      </c>
      <c r="W2589" s="13" t="s">
        <v>64</v>
      </c>
      <c r="X2589" s="135">
        <v>900000</v>
      </c>
      <c r="Y2589" s="157" t="str">
        <f t="shared" si="776"/>
        <v>1.13</v>
      </c>
      <c r="Z2589" s="18">
        <f t="shared" si="774"/>
        <v>900000</v>
      </c>
      <c r="AA2589" s="13">
        <v>1.163</v>
      </c>
      <c r="AB2589" s="21">
        <f t="shared" si="777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0"/>
        <v>35073581.838938057</v>
      </c>
      <c r="AJ2589" s="19">
        <f t="shared" si="761"/>
        <v>5034113.9728989396</v>
      </c>
      <c r="AK2589" s="20">
        <f t="shared" si="767"/>
        <v>0.14353007902118958</v>
      </c>
      <c r="AL2589" s="17"/>
      <c r="AM2589" s="17"/>
      <c r="AN2589" s="17"/>
      <c r="AO2589" s="17"/>
      <c r="AP2589" s="28" t="str">
        <f t="shared" si="768"/>
        <v>20228</v>
      </c>
      <c r="AQ2589" s="28" t="str">
        <f t="shared" si="769"/>
        <v>20228RMB</v>
      </c>
      <c r="AR2589" s="206" t="str">
        <f t="shared" si="770"/>
        <v>YAMAHA_Mounter</v>
      </c>
      <c r="AS2589" s="22">
        <f t="shared" si="771"/>
        <v>3</v>
      </c>
      <c r="AT2589" s="24" t="str">
        <f t="shared" si="772"/>
        <v>0-3 months</v>
      </c>
      <c r="AU2589" s="22" t="s">
        <v>3240</v>
      </c>
    </row>
    <row r="2590" spans="1:47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54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2247</v>
      </c>
      <c r="K2590" s="155" t="s">
        <v>2248</v>
      </c>
      <c r="L2590" s="17" t="s">
        <v>67</v>
      </c>
      <c r="M2590" s="13" t="s">
        <v>60</v>
      </c>
      <c r="N2590" s="13">
        <v>1</v>
      </c>
      <c r="O2590" s="13"/>
      <c r="P2590" s="33" t="str">
        <f t="shared" si="775"/>
        <v>MAIN UNIT</v>
      </c>
      <c r="Q2590" s="13" t="s">
        <v>68</v>
      </c>
      <c r="R2590" s="13" t="s">
        <v>62</v>
      </c>
      <c r="S2590" s="13" t="s">
        <v>51</v>
      </c>
      <c r="T2590" s="13" t="s">
        <v>2168</v>
      </c>
      <c r="U2590" s="13" t="s">
        <v>149</v>
      </c>
      <c r="V2590" s="13" t="s">
        <v>954</v>
      </c>
      <c r="W2590" s="13" t="s">
        <v>64</v>
      </c>
      <c r="X2590" s="135">
        <v>665000</v>
      </c>
      <c r="Y2590" s="157" t="str">
        <f t="shared" si="776"/>
        <v>1.13</v>
      </c>
      <c r="Z2590" s="18">
        <f t="shared" si="774"/>
        <v>665000</v>
      </c>
      <c r="AA2590" s="13">
        <v>1.163</v>
      </c>
      <c r="AB2590" s="21">
        <f t="shared" si="777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0"/>
        <v>35073581.838938057</v>
      </c>
      <c r="AJ2590" s="19">
        <f t="shared" si="761"/>
        <v>5034113.9728989396</v>
      </c>
      <c r="AK2590" s="20">
        <f t="shared" si="767"/>
        <v>0.14353007902118958</v>
      </c>
      <c r="AL2590" s="17"/>
      <c r="AM2590" s="17"/>
      <c r="AN2590" s="17"/>
      <c r="AO2590" s="17"/>
      <c r="AP2590" s="28" t="str">
        <f t="shared" si="768"/>
        <v>20228</v>
      </c>
      <c r="AQ2590" s="28" t="str">
        <f t="shared" si="769"/>
        <v>20228RMB</v>
      </c>
      <c r="AR2590" s="206" t="str">
        <f t="shared" si="770"/>
        <v>YAMAHA_Mounter</v>
      </c>
      <c r="AS2590" s="22">
        <f t="shared" si="771"/>
        <v>3</v>
      </c>
      <c r="AT2590" s="24" t="str">
        <f t="shared" si="772"/>
        <v>0-3 months</v>
      </c>
      <c r="AU2590" s="22" t="s">
        <v>3240</v>
      </c>
    </row>
    <row r="2591" spans="1:47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48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1222</v>
      </c>
      <c r="K2591" s="155" t="s">
        <v>1223</v>
      </c>
      <c r="L2591" s="17" t="s">
        <v>92</v>
      </c>
      <c r="M2591" s="13" t="s">
        <v>60</v>
      </c>
      <c r="N2591" s="13">
        <v>1</v>
      </c>
      <c r="O2591" s="13"/>
      <c r="P2591" s="33" t="str">
        <f t="shared" si="775"/>
        <v>MAIN UNIT</v>
      </c>
      <c r="Q2591" s="13" t="s">
        <v>68</v>
      </c>
      <c r="R2591" s="13" t="s">
        <v>62</v>
      </c>
      <c r="S2591" s="13" t="s">
        <v>51</v>
      </c>
      <c r="T2591" s="13" t="s">
        <v>1224</v>
      </c>
      <c r="U2591" s="13" t="s">
        <v>149</v>
      </c>
      <c r="V2591" s="13" t="s">
        <v>564</v>
      </c>
      <c r="W2591" s="13" t="s">
        <v>64</v>
      </c>
      <c r="X2591" s="135">
        <v>1000000</v>
      </c>
      <c r="Y2591" s="156">
        <v>1.1299999999999999</v>
      </c>
      <c r="Z2591" s="18">
        <f t="shared" si="774"/>
        <v>1000000</v>
      </c>
      <c r="AA2591" s="13">
        <v>1.089</v>
      </c>
      <c r="AB2591" s="21">
        <f t="shared" si="777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0"/>
        <v>29183109.05575221</v>
      </c>
      <c r="AJ2591" s="19">
        <f t="shared" si="761"/>
        <v>3741266.5648721238</v>
      </c>
      <c r="AK2591" s="20">
        <f t="shared" si="767"/>
        <v>0.12819972531798121</v>
      </c>
      <c r="AL2591" s="17"/>
      <c r="AM2591" s="17"/>
      <c r="AN2591" s="17"/>
      <c r="AO2591" s="17"/>
      <c r="AP2591" s="28" t="str">
        <f t="shared" si="768"/>
        <v>20206</v>
      </c>
      <c r="AQ2591" s="28" t="str">
        <f t="shared" si="769"/>
        <v>20206RMB</v>
      </c>
      <c r="AR2591" s="206" t="str">
        <f t="shared" si="770"/>
        <v>YAMAHA_Mounter</v>
      </c>
      <c r="AS2591" s="22">
        <f t="shared" si="771"/>
        <v>2</v>
      </c>
      <c r="AT2591" s="24" t="str">
        <f t="shared" si="772"/>
        <v>0-3 months</v>
      </c>
      <c r="AU2591" s="22" t="s">
        <v>3240</v>
      </c>
    </row>
    <row r="2592" spans="1:47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48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1222</v>
      </c>
      <c r="K2592" s="155" t="s">
        <v>1223</v>
      </c>
      <c r="L2592" s="17" t="s">
        <v>67</v>
      </c>
      <c r="M2592" s="13" t="s">
        <v>60</v>
      </c>
      <c r="N2592" s="13">
        <v>1</v>
      </c>
      <c r="O2592" s="13"/>
      <c r="P2592" s="33" t="str">
        <f t="shared" si="775"/>
        <v>MAIN UNIT</v>
      </c>
      <c r="Q2592" s="13" t="s">
        <v>68</v>
      </c>
      <c r="R2592" s="13" t="s">
        <v>62</v>
      </c>
      <c r="S2592" s="13" t="s">
        <v>51</v>
      </c>
      <c r="T2592" s="13" t="s">
        <v>1224</v>
      </c>
      <c r="U2592" s="13" t="s">
        <v>149</v>
      </c>
      <c r="V2592" s="13" t="s">
        <v>564</v>
      </c>
      <c r="W2592" s="13" t="s">
        <v>64</v>
      </c>
      <c r="X2592" s="135">
        <v>899000</v>
      </c>
      <c r="Y2592" s="156">
        <v>1.1299999999999999</v>
      </c>
      <c r="Z2592" s="18">
        <f t="shared" si="774"/>
        <v>899000</v>
      </c>
      <c r="AA2592" s="13">
        <v>1.089</v>
      </c>
      <c r="AB2592" s="21">
        <f t="shared" si="777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0"/>
        <v>29183109.05575221</v>
      </c>
      <c r="AJ2592" s="19">
        <f t="shared" si="761"/>
        <v>3741266.5648721238</v>
      </c>
      <c r="AK2592" s="20">
        <f t="shared" si="767"/>
        <v>0.12819972531798121</v>
      </c>
      <c r="AL2592" s="17"/>
      <c r="AM2592" s="17"/>
      <c r="AN2592" s="17"/>
      <c r="AO2592" s="17"/>
      <c r="AP2592" s="28" t="str">
        <f t="shared" si="768"/>
        <v>20206</v>
      </c>
      <c r="AQ2592" s="28" t="str">
        <f t="shared" si="769"/>
        <v>20206RMB</v>
      </c>
      <c r="AR2592" s="206" t="str">
        <f t="shared" si="770"/>
        <v>YAMAHA_Mounter</v>
      </c>
      <c r="AS2592" s="22">
        <f t="shared" si="771"/>
        <v>2</v>
      </c>
      <c r="AT2592" s="24" t="str">
        <f t="shared" si="772"/>
        <v>0-3 months</v>
      </c>
      <c r="AU2592" s="22" t="s">
        <v>3240</v>
      </c>
    </row>
    <row r="2593" spans="1:47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47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887</v>
      </c>
      <c r="K2593" s="155" t="s">
        <v>888</v>
      </c>
      <c r="L2593" s="17" t="s">
        <v>67</v>
      </c>
      <c r="M2593" s="13" t="s">
        <v>60</v>
      </c>
      <c r="N2593" s="13">
        <v>1</v>
      </c>
      <c r="O2593" s="13"/>
      <c r="P2593" s="33" t="str">
        <f t="shared" si="775"/>
        <v>MAIN UNIT</v>
      </c>
      <c r="Q2593" s="13" t="s">
        <v>61</v>
      </c>
      <c r="R2593" s="13" t="s">
        <v>62</v>
      </c>
      <c r="S2593" s="13" t="s">
        <v>49</v>
      </c>
      <c r="T2593" s="13" t="s">
        <v>78</v>
      </c>
      <c r="U2593" s="13" t="s">
        <v>79</v>
      </c>
      <c r="V2593" s="13" t="s">
        <v>80</v>
      </c>
      <c r="W2593" s="13" t="s">
        <v>64</v>
      </c>
      <c r="X2593" s="135">
        <v>530000</v>
      </c>
      <c r="Y2593" s="156">
        <v>1.1299999999999999</v>
      </c>
      <c r="Z2593" s="18">
        <f t="shared" si="774"/>
        <v>530000</v>
      </c>
      <c r="AA2593" s="13">
        <v>1.1100000000000001</v>
      </c>
      <c r="AB2593" s="21">
        <f t="shared" si="777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0"/>
        <v>26147030.909862842</v>
      </c>
      <c r="AJ2593" s="19">
        <f t="shared" si="761"/>
        <v>2743862.8630715334</v>
      </c>
      <c r="AK2593" s="20">
        <f t="shared" si="767"/>
        <v>0.10493974908778378</v>
      </c>
      <c r="AL2593" s="17"/>
      <c r="AM2593" s="17"/>
      <c r="AN2593" s="17"/>
      <c r="AO2593" s="17"/>
      <c r="AP2593" s="28" t="str">
        <f t="shared" si="768"/>
        <v>201911</v>
      </c>
      <c r="AQ2593" s="28" t="str">
        <f t="shared" si="769"/>
        <v>201911RMB</v>
      </c>
      <c r="AR2593" s="206" t="str">
        <f t="shared" si="770"/>
        <v>YAMAHA_Mounter</v>
      </c>
      <c r="AS2593" s="22">
        <f t="shared" si="771"/>
        <v>0</v>
      </c>
      <c r="AT2593" s="24" t="str">
        <f t="shared" si="772"/>
        <v>0-3 months</v>
      </c>
      <c r="AU2593" s="22" t="s">
        <v>3744</v>
      </c>
    </row>
    <row r="2594" spans="1:47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47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887</v>
      </c>
      <c r="K2594" s="155" t="s">
        <v>888</v>
      </c>
      <c r="L2594" s="17" t="s">
        <v>67</v>
      </c>
      <c r="M2594" s="13" t="s">
        <v>60</v>
      </c>
      <c r="N2594" s="13">
        <v>1</v>
      </c>
      <c r="O2594" s="13"/>
      <c r="P2594" s="33" t="str">
        <f t="shared" si="775"/>
        <v>MAIN UNIT</v>
      </c>
      <c r="Q2594" s="13" t="s">
        <v>61</v>
      </c>
      <c r="R2594" s="13" t="s">
        <v>62</v>
      </c>
      <c r="S2594" s="13" t="s">
        <v>49</v>
      </c>
      <c r="T2594" s="13" t="s">
        <v>78</v>
      </c>
      <c r="U2594" s="13" t="s">
        <v>79</v>
      </c>
      <c r="V2594" s="13" t="s">
        <v>80</v>
      </c>
      <c r="W2594" s="13" t="s">
        <v>64</v>
      </c>
      <c r="X2594" s="135">
        <v>530000</v>
      </c>
      <c r="Y2594" s="156">
        <v>1.1299999999999999</v>
      </c>
      <c r="Z2594" s="18">
        <f t="shared" si="774"/>
        <v>530000</v>
      </c>
      <c r="AA2594" s="13">
        <v>1.1100000000000001</v>
      </c>
      <c r="AB2594" s="21">
        <f t="shared" si="777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0"/>
        <v>26147030.909862842</v>
      </c>
      <c r="AJ2594" s="19">
        <f t="shared" si="761"/>
        <v>2743862.8630715334</v>
      </c>
      <c r="AK2594" s="20">
        <f t="shared" si="767"/>
        <v>0.10493974908778378</v>
      </c>
      <c r="AL2594" s="17"/>
      <c r="AM2594" s="17"/>
      <c r="AN2594" s="17"/>
      <c r="AO2594" s="17"/>
      <c r="AP2594" s="28" t="str">
        <f t="shared" si="768"/>
        <v>201911</v>
      </c>
      <c r="AQ2594" s="28" t="str">
        <f t="shared" si="769"/>
        <v>201911RMB</v>
      </c>
      <c r="AR2594" s="206" t="str">
        <f t="shared" si="770"/>
        <v>YAMAHA_Mounter</v>
      </c>
      <c r="AS2594" s="22">
        <f t="shared" si="771"/>
        <v>0</v>
      </c>
      <c r="AT2594" s="24" t="str">
        <f t="shared" si="772"/>
        <v>0-3 months</v>
      </c>
      <c r="AU2594" s="22" t="s">
        <v>3744</v>
      </c>
    </row>
    <row r="2595" spans="1:47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41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312</v>
      </c>
      <c r="K2595" s="155" t="s">
        <v>313</v>
      </c>
      <c r="L2595" s="17" t="s">
        <v>77</v>
      </c>
      <c r="M2595" s="13" t="s">
        <v>60</v>
      </c>
      <c r="N2595" s="13">
        <v>1</v>
      </c>
      <c r="O2595" s="13"/>
      <c r="P2595" s="33" t="str">
        <f t="shared" si="775"/>
        <v>MAIN UNIT</v>
      </c>
      <c r="Q2595" s="13" t="s">
        <v>68</v>
      </c>
      <c r="R2595" s="13" t="s">
        <v>62</v>
      </c>
      <c r="S2595" s="13" t="s">
        <v>49</v>
      </c>
      <c r="T2595" s="13" t="s">
        <v>78</v>
      </c>
      <c r="U2595" s="13" t="s">
        <v>79</v>
      </c>
      <c r="V2595" s="13" t="s">
        <v>311</v>
      </c>
      <c r="W2595" s="13" t="s">
        <v>109</v>
      </c>
      <c r="X2595" s="135">
        <v>12280000</v>
      </c>
      <c r="Y2595" s="156">
        <v>1</v>
      </c>
      <c r="Z2595" s="18">
        <f t="shared" si="774"/>
        <v>12280000</v>
      </c>
      <c r="AA2595" s="13">
        <v>7.0400000000000004E-2</v>
      </c>
      <c r="AB2595" s="21">
        <f t="shared" si="777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0"/>
        <v>29840797.698275864</v>
      </c>
      <c r="AJ2595" s="19">
        <f t="shared" si="761"/>
        <v>3940167.6555448272</v>
      </c>
      <c r="AK2595" s="20">
        <f t="shared" si="767"/>
        <v>0.13203962224416277</v>
      </c>
      <c r="AL2595" s="17"/>
      <c r="AM2595" s="17"/>
      <c r="AN2595" s="17"/>
      <c r="AO2595" s="17"/>
      <c r="AP2595" s="28" t="str">
        <f t="shared" si="768"/>
        <v>201812</v>
      </c>
      <c r="AQ2595" s="28" t="str">
        <f t="shared" si="769"/>
        <v>201812JPY</v>
      </c>
      <c r="AR2595" s="206" t="str">
        <f t="shared" si="770"/>
        <v>YAMAHA_Mounter</v>
      </c>
      <c r="AS2595" s="22">
        <f t="shared" si="771"/>
        <v>10</v>
      </c>
      <c r="AT2595" s="24" t="str">
        <f t="shared" si="772"/>
        <v>&gt; 6 months</v>
      </c>
      <c r="AU2595" s="22" t="s">
        <v>3745</v>
      </c>
    </row>
    <row r="2596" spans="1:47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53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1955</v>
      </c>
      <c r="K2596" s="155" t="s">
        <v>313</v>
      </c>
      <c r="L2596" s="17" t="s">
        <v>67</v>
      </c>
      <c r="M2596" s="13" t="s">
        <v>60</v>
      </c>
      <c r="N2596" s="13">
        <v>1</v>
      </c>
      <c r="O2596" s="13"/>
      <c r="P2596" s="33" t="str">
        <f t="shared" si="775"/>
        <v>MAIN UNIT</v>
      </c>
      <c r="Q2596" s="13" t="s">
        <v>61</v>
      </c>
      <c r="R2596" s="13" t="s">
        <v>62</v>
      </c>
      <c r="S2596" s="13" t="s">
        <v>49</v>
      </c>
      <c r="T2596" s="13" t="s">
        <v>78</v>
      </c>
      <c r="U2596" s="13" t="s">
        <v>79</v>
      </c>
      <c r="V2596" s="13" t="s">
        <v>311</v>
      </c>
      <c r="W2596" s="13" t="s">
        <v>109</v>
      </c>
      <c r="X2596" s="135">
        <v>7300000</v>
      </c>
      <c r="Y2596" s="157" t="str">
        <f>IF(W2596="RMB","1.13", "1")</f>
        <v>1</v>
      </c>
      <c r="Z2596" s="18">
        <f t="shared" si="774"/>
        <v>7300000</v>
      </c>
      <c r="AA2596" s="13">
        <v>6.9199999999999998E-2</v>
      </c>
      <c r="AB2596" s="21">
        <f t="shared" si="777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0"/>
        <v>31750699.113741599</v>
      </c>
      <c r="AJ2596" s="19">
        <f t="shared" si="761"/>
        <v>4396077.3195289988</v>
      </c>
      <c r="AK2596" s="20">
        <f t="shared" si="767"/>
        <v>0.13845607946397598</v>
      </c>
      <c r="AL2596" s="17"/>
      <c r="AM2596" s="17"/>
      <c r="AN2596" s="17"/>
      <c r="AO2596" s="17"/>
      <c r="AP2596" s="28" t="str">
        <f t="shared" si="768"/>
        <v>20222</v>
      </c>
      <c r="AQ2596" s="28" t="str">
        <f t="shared" si="769"/>
        <v>20222JPY</v>
      </c>
      <c r="AR2596" s="206" t="str">
        <f t="shared" si="770"/>
        <v>YAMAHA_Mounter</v>
      </c>
      <c r="AS2596" s="22">
        <f t="shared" si="771"/>
        <v>11</v>
      </c>
      <c r="AT2596" s="24" t="str">
        <f t="shared" si="772"/>
        <v>&gt; 6 months</v>
      </c>
      <c r="AU2596" s="22" t="s">
        <v>3745</v>
      </c>
    </row>
    <row r="2597" spans="1:47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41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268</v>
      </c>
      <c r="K2597" s="155" t="s">
        <v>269</v>
      </c>
      <c r="L2597" s="17" t="s">
        <v>67</v>
      </c>
      <c r="M2597" s="13" t="s">
        <v>60</v>
      </c>
      <c r="N2597" s="13">
        <v>1</v>
      </c>
      <c r="O2597" s="13"/>
      <c r="P2597" s="33" t="str">
        <f t="shared" si="775"/>
        <v>MAIN UNIT</v>
      </c>
      <c r="Q2597" s="13" t="s">
        <v>61</v>
      </c>
      <c r="R2597" s="13" t="s">
        <v>62</v>
      </c>
      <c r="S2597" s="13" t="s">
        <v>49</v>
      </c>
      <c r="T2597" s="13" t="s">
        <v>249</v>
      </c>
      <c r="U2597" s="13" t="s">
        <v>79</v>
      </c>
      <c r="V2597" s="13" t="s">
        <v>270</v>
      </c>
      <c r="W2597" s="13" t="s">
        <v>109</v>
      </c>
      <c r="X2597" s="135">
        <v>10100000</v>
      </c>
      <c r="Y2597" s="156">
        <v>1</v>
      </c>
      <c r="Z2597" s="18">
        <f t="shared" si="774"/>
        <v>10100000</v>
      </c>
      <c r="AA2597" s="13">
        <v>7.0400000000000004E-2</v>
      </c>
      <c r="AB2597" s="21">
        <f t="shared" si="777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0"/>
        <v>29840797.698275864</v>
      </c>
      <c r="AJ2597" s="19">
        <f t="shared" si="761"/>
        <v>3940167.6555448272</v>
      </c>
      <c r="AK2597" s="20">
        <f t="shared" si="767"/>
        <v>0.13203962224416277</v>
      </c>
      <c r="AL2597" s="17"/>
      <c r="AM2597" s="17"/>
      <c r="AN2597" s="17"/>
      <c r="AO2597" s="17"/>
      <c r="AP2597" s="28" t="str">
        <f t="shared" si="768"/>
        <v>201812</v>
      </c>
      <c r="AQ2597" s="28" t="str">
        <f t="shared" si="769"/>
        <v>201812JPY</v>
      </c>
      <c r="AR2597" s="206" t="str">
        <f t="shared" si="770"/>
        <v>YAMAHA_Mounter</v>
      </c>
      <c r="AS2597" s="22">
        <f t="shared" si="771"/>
        <v>4</v>
      </c>
      <c r="AT2597" s="24" t="str">
        <f t="shared" si="772"/>
        <v>4-6 months</v>
      </c>
      <c r="AU2597" s="22" t="s">
        <v>3240</v>
      </c>
    </row>
    <row r="2598" spans="1:47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41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268</v>
      </c>
      <c r="K2598" s="155" t="s">
        <v>269</v>
      </c>
      <c r="L2598" s="17" t="s">
        <v>67</v>
      </c>
      <c r="M2598" s="13" t="s">
        <v>60</v>
      </c>
      <c r="N2598" s="13">
        <v>1</v>
      </c>
      <c r="O2598" s="13"/>
      <c r="P2598" s="33" t="str">
        <f t="shared" si="775"/>
        <v>MAIN UNIT</v>
      </c>
      <c r="Q2598" s="13" t="s">
        <v>61</v>
      </c>
      <c r="R2598" s="13" t="s">
        <v>62</v>
      </c>
      <c r="S2598" s="13" t="s">
        <v>49</v>
      </c>
      <c r="T2598" s="13" t="s">
        <v>249</v>
      </c>
      <c r="U2598" s="13" t="s">
        <v>79</v>
      </c>
      <c r="V2598" s="13" t="s">
        <v>270</v>
      </c>
      <c r="W2598" s="13" t="s">
        <v>109</v>
      </c>
      <c r="X2598" s="135">
        <v>10100000</v>
      </c>
      <c r="Y2598" s="156">
        <v>1</v>
      </c>
      <c r="Z2598" s="18">
        <f t="shared" si="774"/>
        <v>10100000</v>
      </c>
      <c r="AA2598" s="13">
        <v>7.0400000000000004E-2</v>
      </c>
      <c r="AB2598" s="21">
        <f t="shared" si="777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0"/>
        <v>29840797.698275864</v>
      </c>
      <c r="AJ2598" s="19">
        <f t="shared" si="761"/>
        <v>3940167.6555448272</v>
      </c>
      <c r="AK2598" s="20">
        <f t="shared" si="767"/>
        <v>0.13203962224416277</v>
      </c>
      <c r="AL2598" s="17"/>
      <c r="AM2598" s="17"/>
      <c r="AN2598" s="17"/>
      <c r="AO2598" s="17"/>
      <c r="AP2598" s="28" t="str">
        <f t="shared" si="768"/>
        <v>201812</v>
      </c>
      <c r="AQ2598" s="28" t="str">
        <f t="shared" si="769"/>
        <v>201812JPY</v>
      </c>
      <c r="AR2598" s="206" t="str">
        <f t="shared" si="770"/>
        <v>YAMAHA_Mounter</v>
      </c>
      <c r="AS2598" s="22">
        <f t="shared" si="771"/>
        <v>4</v>
      </c>
      <c r="AT2598" s="24" t="str">
        <f t="shared" si="772"/>
        <v>4-6 months</v>
      </c>
      <c r="AU2598" s="22" t="s">
        <v>3240</v>
      </c>
    </row>
    <row r="2599" spans="1:47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41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271</v>
      </c>
      <c r="K2599" s="155" t="s">
        <v>269</v>
      </c>
      <c r="L2599" s="17" t="s">
        <v>67</v>
      </c>
      <c r="M2599" s="13" t="s">
        <v>60</v>
      </c>
      <c r="N2599" s="13">
        <v>1</v>
      </c>
      <c r="O2599" s="13"/>
      <c r="P2599" s="33" t="str">
        <f t="shared" si="775"/>
        <v>MAIN UNIT</v>
      </c>
      <c r="Q2599" s="13" t="s">
        <v>61</v>
      </c>
      <c r="R2599" s="13" t="s">
        <v>62</v>
      </c>
      <c r="S2599" s="13" t="s">
        <v>49</v>
      </c>
      <c r="T2599" s="13" t="s">
        <v>249</v>
      </c>
      <c r="U2599" s="13" t="s">
        <v>79</v>
      </c>
      <c r="V2599" s="13" t="s">
        <v>270</v>
      </c>
      <c r="W2599" s="13" t="s">
        <v>109</v>
      </c>
      <c r="X2599" s="135">
        <v>10100000</v>
      </c>
      <c r="Y2599" s="156">
        <v>1</v>
      </c>
      <c r="Z2599" s="18">
        <f t="shared" si="774"/>
        <v>10100000</v>
      </c>
      <c r="AA2599" s="13">
        <v>7.0400000000000004E-2</v>
      </c>
      <c r="AB2599" s="21">
        <f t="shared" si="777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0"/>
        <v>29840797.698275864</v>
      </c>
      <c r="AJ2599" s="19">
        <f t="shared" si="761"/>
        <v>3940167.6555448272</v>
      </c>
      <c r="AK2599" s="20">
        <f t="shared" si="767"/>
        <v>0.13203962224416277</v>
      </c>
      <c r="AL2599" s="17"/>
      <c r="AM2599" s="17"/>
      <c r="AN2599" s="17"/>
      <c r="AO2599" s="17"/>
      <c r="AP2599" s="28" t="str">
        <f t="shared" si="768"/>
        <v>201812</v>
      </c>
      <c r="AQ2599" s="28" t="str">
        <f t="shared" si="769"/>
        <v>201812JPY</v>
      </c>
      <c r="AR2599" s="206" t="str">
        <f t="shared" si="770"/>
        <v>YAMAHA_Mounter</v>
      </c>
      <c r="AS2599" s="22">
        <f t="shared" si="771"/>
        <v>4</v>
      </c>
      <c r="AT2599" s="24" t="str">
        <f t="shared" si="772"/>
        <v>4-6 months</v>
      </c>
      <c r="AU2599" s="22" t="s">
        <v>3240</v>
      </c>
    </row>
    <row r="2600" spans="1:47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185</v>
      </c>
      <c r="F2600" s="13" t="s">
        <v>185</v>
      </c>
      <c r="G2600" s="152" t="s">
        <v>185</v>
      </c>
      <c r="H2600" s="155"/>
      <c r="I2600" s="33" t="str">
        <f t="shared" si="764"/>
        <v>Cancel</v>
      </c>
      <c r="J2600" s="186" t="s">
        <v>601</v>
      </c>
      <c r="K2600" s="155" t="s">
        <v>269</v>
      </c>
      <c r="L2600" s="17" t="s">
        <v>92</v>
      </c>
      <c r="M2600" s="13" t="s">
        <v>60</v>
      </c>
      <c r="N2600" s="13">
        <v>1</v>
      </c>
      <c r="O2600" s="13"/>
      <c r="P2600" s="33" t="str">
        <f t="shared" si="775"/>
        <v>MAIN UNIT</v>
      </c>
      <c r="Q2600" s="13" t="s">
        <v>61</v>
      </c>
      <c r="R2600" s="13" t="s">
        <v>62</v>
      </c>
      <c r="S2600" s="13" t="s">
        <v>49</v>
      </c>
      <c r="T2600" s="13" t="s">
        <v>249</v>
      </c>
      <c r="U2600" s="13" t="s">
        <v>79</v>
      </c>
      <c r="V2600" s="13" t="s">
        <v>270</v>
      </c>
      <c r="W2600" s="13" t="s">
        <v>109</v>
      </c>
      <c r="X2600" s="135">
        <v>12120000</v>
      </c>
      <c r="Y2600" s="156">
        <v>1</v>
      </c>
      <c r="Z2600" s="18">
        <f t="shared" si="774"/>
        <v>12120000</v>
      </c>
      <c r="AA2600" s="13">
        <v>7.22E-2</v>
      </c>
      <c r="AB2600" s="21">
        <f t="shared" si="777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0"/>
        <v>499582152.5142017</v>
      </c>
      <c r="AJ2600" s="19">
        <f t="shared" si="761"/>
        <v>59520528.679470733</v>
      </c>
      <c r="AK2600" s="20">
        <f t="shared" si="767"/>
        <v>0.11914062257814291</v>
      </c>
      <c r="AL2600" s="17"/>
      <c r="AM2600" s="17"/>
      <c r="AN2600" s="17"/>
      <c r="AO2600" s="17"/>
      <c r="AP2600" s="28" t="str">
        <f t="shared" si="768"/>
        <v>CancelCancel</v>
      </c>
      <c r="AQ2600" s="28" t="str">
        <f t="shared" si="769"/>
        <v>CancelCancelJPY</v>
      </c>
      <c r="AR2600" s="206" t="str">
        <f t="shared" si="770"/>
        <v>YAMAHA_Mounter</v>
      </c>
      <c r="AS2600" s="22" t="str">
        <f t="shared" si="771"/>
        <v/>
      </c>
      <c r="AT2600" s="24" t="str">
        <f t="shared" si="772"/>
        <v/>
      </c>
      <c r="AU2600" s="22" t="s">
        <v>3240</v>
      </c>
    </row>
    <row r="2601" spans="1:47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185</v>
      </c>
      <c r="F2601" s="13" t="s">
        <v>185</v>
      </c>
      <c r="G2601" s="152" t="s">
        <v>185</v>
      </c>
      <c r="H2601" s="155"/>
      <c r="I2601" s="33" t="str">
        <f t="shared" si="764"/>
        <v>Cancel</v>
      </c>
      <c r="J2601" s="186" t="s">
        <v>601</v>
      </c>
      <c r="K2601" s="155" t="s">
        <v>269</v>
      </c>
      <c r="L2601" s="17" t="s">
        <v>92</v>
      </c>
      <c r="M2601" s="13" t="s">
        <v>60</v>
      </c>
      <c r="N2601" s="13">
        <v>1</v>
      </c>
      <c r="O2601" s="13"/>
      <c r="P2601" s="33" t="str">
        <f t="shared" si="775"/>
        <v>MAIN UNIT</v>
      </c>
      <c r="Q2601" s="13" t="s">
        <v>61</v>
      </c>
      <c r="R2601" s="13" t="s">
        <v>62</v>
      </c>
      <c r="S2601" s="13" t="s">
        <v>49</v>
      </c>
      <c r="T2601" s="13" t="s">
        <v>249</v>
      </c>
      <c r="U2601" s="13" t="s">
        <v>79</v>
      </c>
      <c r="V2601" s="13" t="s">
        <v>270</v>
      </c>
      <c r="W2601" s="13" t="s">
        <v>109</v>
      </c>
      <c r="X2601" s="135">
        <v>12120000</v>
      </c>
      <c r="Y2601" s="156">
        <v>1</v>
      </c>
      <c r="Z2601" s="18">
        <f t="shared" si="774"/>
        <v>12120000</v>
      </c>
      <c r="AA2601" s="13">
        <v>7.22E-2</v>
      </c>
      <c r="AB2601" s="21">
        <f t="shared" si="777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0"/>
        <v>499582152.5142017</v>
      </c>
      <c r="AJ2601" s="19">
        <f t="shared" si="761"/>
        <v>59520528.679470733</v>
      </c>
      <c r="AK2601" s="20">
        <f t="shared" si="767"/>
        <v>0.11914062257814291</v>
      </c>
      <c r="AL2601" s="17"/>
      <c r="AM2601" s="17"/>
      <c r="AN2601" s="17"/>
      <c r="AO2601" s="17"/>
      <c r="AP2601" s="28" t="str">
        <f t="shared" si="768"/>
        <v>CancelCancel</v>
      </c>
      <c r="AQ2601" s="28" t="str">
        <f t="shared" si="769"/>
        <v>CancelCancelJPY</v>
      </c>
      <c r="AR2601" s="206" t="str">
        <f t="shared" si="770"/>
        <v>YAMAHA_Mounter</v>
      </c>
      <c r="AS2601" s="22" t="str">
        <f t="shared" si="771"/>
        <v/>
      </c>
      <c r="AT2601" s="24" t="str">
        <f t="shared" si="772"/>
        <v/>
      </c>
      <c r="AU2601" s="22" t="s">
        <v>3240</v>
      </c>
    </row>
    <row r="2602" spans="1:47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47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663</v>
      </c>
      <c r="K2602" s="155" t="s">
        <v>664</v>
      </c>
      <c r="L2602" s="17" t="s">
        <v>92</v>
      </c>
      <c r="M2602" s="13" t="s">
        <v>60</v>
      </c>
      <c r="N2602" s="13">
        <v>1</v>
      </c>
      <c r="O2602" s="13"/>
      <c r="P2602" s="33" t="str">
        <f t="shared" si="775"/>
        <v>MAIN UNIT</v>
      </c>
      <c r="Q2602" s="13" t="s">
        <v>61</v>
      </c>
      <c r="R2602" s="13" t="s">
        <v>62</v>
      </c>
      <c r="S2602" s="13" t="s">
        <v>49</v>
      </c>
      <c r="T2602" s="13" t="s">
        <v>78</v>
      </c>
      <c r="U2602" s="13" t="s">
        <v>79</v>
      </c>
      <c r="V2602" s="13" t="s">
        <v>112</v>
      </c>
      <c r="W2602" s="13" t="s">
        <v>109</v>
      </c>
      <c r="X2602" s="135">
        <v>12320000</v>
      </c>
      <c r="Y2602" s="156">
        <v>1</v>
      </c>
      <c r="Z2602" s="18">
        <f t="shared" si="774"/>
        <v>12320000</v>
      </c>
      <c r="AA2602" s="13">
        <v>7.2300000000000003E-2</v>
      </c>
      <c r="AB2602" s="21">
        <f t="shared" si="777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0"/>
        <v>32843736.557277881</v>
      </c>
      <c r="AJ2602" s="19">
        <f t="shared" si="761"/>
        <v>3921470.6822663117</v>
      </c>
      <c r="AK2602" s="20">
        <f t="shared" si="767"/>
        <v>0.11939782416131177</v>
      </c>
      <c r="AL2602" s="17"/>
      <c r="AM2602" s="17"/>
      <c r="AN2602" s="17"/>
      <c r="AO2602" s="17"/>
      <c r="AP2602" s="28" t="str">
        <f t="shared" si="768"/>
        <v>20194</v>
      </c>
      <c r="AQ2602" s="28" t="str">
        <f t="shared" si="769"/>
        <v>20194JPY</v>
      </c>
      <c r="AR2602" s="206" t="str">
        <f t="shared" si="770"/>
        <v>YAMAHA_Mounter</v>
      </c>
      <c r="AS2602" s="22">
        <f t="shared" si="771"/>
        <v>1</v>
      </c>
      <c r="AT2602" s="24" t="str">
        <f t="shared" si="772"/>
        <v>0-3 months</v>
      </c>
      <c r="AU2602" s="22" t="s">
        <v>3745</v>
      </c>
    </row>
    <row r="2603" spans="1:47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47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663</v>
      </c>
      <c r="K2603" s="155" t="s">
        <v>664</v>
      </c>
      <c r="L2603" s="17" t="s">
        <v>92</v>
      </c>
      <c r="M2603" s="13" t="s">
        <v>60</v>
      </c>
      <c r="N2603" s="13">
        <v>1</v>
      </c>
      <c r="O2603" s="13"/>
      <c r="P2603" s="33" t="str">
        <f t="shared" si="775"/>
        <v>MAIN UNIT</v>
      </c>
      <c r="Q2603" s="13" t="s">
        <v>61</v>
      </c>
      <c r="R2603" s="13" t="s">
        <v>62</v>
      </c>
      <c r="S2603" s="13" t="s">
        <v>49</v>
      </c>
      <c r="T2603" s="13" t="s">
        <v>78</v>
      </c>
      <c r="U2603" s="13" t="s">
        <v>79</v>
      </c>
      <c r="V2603" s="13" t="s">
        <v>112</v>
      </c>
      <c r="W2603" s="13" t="s">
        <v>109</v>
      </c>
      <c r="X2603" s="135">
        <v>12320000</v>
      </c>
      <c r="Y2603" s="156">
        <v>1</v>
      </c>
      <c r="Z2603" s="18">
        <f t="shared" si="774"/>
        <v>12320000</v>
      </c>
      <c r="AA2603" s="13">
        <v>7.2300000000000003E-2</v>
      </c>
      <c r="AB2603" s="21">
        <f t="shared" si="777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0"/>
        <v>32843736.557277881</v>
      </c>
      <c r="AJ2603" s="19">
        <f t="shared" si="761"/>
        <v>3921470.6822663117</v>
      </c>
      <c r="AK2603" s="20">
        <f t="shared" si="767"/>
        <v>0.11939782416131177</v>
      </c>
      <c r="AL2603" s="17"/>
      <c r="AM2603" s="17"/>
      <c r="AN2603" s="17"/>
      <c r="AO2603" s="17"/>
      <c r="AP2603" s="28" t="str">
        <f t="shared" si="768"/>
        <v>20194</v>
      </c>
      <c r="AQ2603" s="28" t="str">
        <f t="shared" si="769"/>
        <v>20194JPY</v>
      </c>
      <c r="AR2603" s="206" t="str">
        <f t="shared" si="770"/>
        <v>YAMAHA_Mounter</v>
      </c>
      <c r="AS2603" s="22">
        <f t="shared" si="771"/>
        <v>1</v>
      </c>
      <c r="AT2603" s="24" t="str">
        <f t="shared" si="772"/>
        <v>0-3 months</v>
      </c>
      <c r="AU2603" s="22" t="s">
        <v>3745</v>
      </c>
    </row>
    <row r="2604" spans="1:47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54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2286</v>
      </c>
      <c r="K2604" s="155" t="s">
        <v>2287</v>
      </c>
      <c r="L2604" s="17" t="s">
        <v>67</v>
      </c>
      <c r="M2604" s="13" t="s">
        <v>60</v>
      </c>
      <c r="N2604" s="13">
        <v>1</v>
      </c>
      <c r="O2604" s="13"/>
      <c r="P2604" s="33" t="str">
        <f t="shared" si="775"/>
        <v>MAIN UNIT</v>
      </c>
      <c r="Q2604" s="13" t="s">
        <v>68</v>
      </c>
      <c r="R2604" s="13" t="s">
        <v>62</v>
      </c>
      <c r="S2604" s="13" t="s">
        <v>49</v>
      </c>
      <c r="T2604" s="13" t="s">
        <v>78</v>
      </c>
      <c r="U2604" s="13" t="s">
        <v>79</v>
      </c>
      <c r="V2604" s="13" t="s">
        <v>2011</v>
      </c>
      <c r="W2604" s="13" t="s">
        <v>64</v>
      </c>
      <c r="X2604" s="135">
        <v>570000</v>
      </c>
      <c r="Y2604" s="157" t="str">
        <f>IF(W2604="RMB","1.13", "1")</f>
        <v>1.13</v>
      </c>
      <c r="Z2604" s="18">
        <f t="shared" si="774"/>
        <v>570000</v>
      </c>
      <c r="AA2604" s="13">
        <v>1.135</v>
      </c>
      <c r="AB2604" s="21">
        <f t="shared" si="777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0"/>
        <v>15948576.102654871</v>
      </c>
      <c r="AJ2604" s="19">
        <f t="shared" si="761"/>
        <v>2739848.7004853105</v>
      </c>
      <c r="AK2604" s="20">
        <f t="shared" si="767"/>
        <v>0.17179268436567344</v>
      </c>
      <c r="AL2604" s="17"/>
      <c r="AM2604" s="17"/>
      <c r="AN2604" s="17"/>
      <c r="AO2604" s="17"/>
      <c r="AP2604" s="28" t="str">
        <f t="shared" si="768"/>
        <v>20229</v>
      </c>
      <c r="AQ2604" s="28" t="str">
        <f t="shared" si="769"/>
        <v>20229RMB</v>
      </c>
      <c r="AR2604" s="206" t="str">
        <f t="shared" si="770"/>
        <v>YAMAHA_Mounter</v>
      </c>
      <c r="AS2604" s="22">
        <f t="shared" si="771"/>
        <v>1</v>
      </c>
      <c r="AT2604" s="24" t="str">
        <f t="shared" si="772"/>
        <v>0-3 months</v>
      </c>
      <c r="AU2604" s="22" t="s">
        <v>3751</v>
      </c>
    </row>
    <row r="2605" spans="1:47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54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2286</v>
      </c>
      <c r="K2605" s="155" t="s">
        <v>2287</v>
      </c>
      <c r="L2605" s="17" t="s">
        <v>92</v>
      </c>
      <c r="M2605" s="13" t="s">
        <v>60</v>
      </c>
      <c r="N2605" s="13">
        <v>1</v>
      </c>
      <c r="O2605" s="13"/>
      <c r="P2605" s="33" t="str">
        <f t="shared" si="775"/>
        <v>MAIN UNIT</v>
      </c>
      <c r="Q2605" s="13" t="s">
        <v>68</v>
      </c>
      <c r="R2605" s="13" t="s">
        <v>62</v>
      </c>
      <c r="S2605" s="13" t="s">
        <v>49</v>
      </c>
      <c r="T2605" s="13" t="s">
        <v>78</v>
      </c>
      <c r="U2605" s="13" t="s">
        <v>79</v>
      </c>
      <c r="V2605" s="13" t="s">
        <v>2011</v>
      </c>
      <c r="W2605" s="13" t="s">
        <v>64</v>
      </c>
      <c r="X2605" s="135">
        <v>800000</v>
      </c>
      <c r="Y2605" s="157" t="str">
        <f>IF(W2605="RMB","1.13", "1")</f>
        <v>1.13</v>
      </c>
      <c r="Z2605" s="18">
        <f t="shared" si="774"/>
        <v>800000</v>
      </c>
      <c r="AA2605" s="13">
        <v>1.135</v>
      </c>
      <c r="AB2605" s="21">
        <f t="shared" si="777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0"/>
        <v>15948576.102654871</v>
      </c>
      <c r="AJ2605" s="19">
        <f t="shared" si="761"/>
        <v>2739848.7004853105</v>
      </c>
      <c r="AK2605" s="20">
        <f t="shared" si="767"/>
        <v>0.17179268436567344</v>
      </c>
      <c r="AL2605" s="17"/>
      <c r="AM2605" s="17"/>
      <c r="AN2605" s="17"/>
      <c r="AO2605" s="17"/>
      <c r="AP2605" s="28" t="str">
        <f t="shared" si="768"/>
        <v>20229</v>
      </c>
      <c r="AQ2605" s="28" t="str">
        <f t="shared" si="769"/>
        <v>20229RMB</v>
      </c>
      <c r="AR2605" s="206" t="str">
        <f t="shared" si="770"/>
        <v>YAMAHA_Mounter</v>
      </c>
      <c r="AS2605" s="22">
        <f t="shared" si="771"/>
        <v>1</v>
      </c>
      <c r="AT2605" s="24" t="str">
        <f t="shared" si="772"/>
        <v>0-3 months</v>
      </c>
      <c r="AU2605" s="22" t="s">
        <v>3751</v>
      </c>
    </row>
    <row r="2606" spans="1:47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41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360</v>
      </c>
      <c r="K2606" s="155" t="s">
        <v>361</v>
      </c>
      <c r="L2606" s="17" t="s">
        <v>77</v>
      </c>
      <c r="M2606" s="13" t="s">
        <v>60</v>
      </c>
      <c r="N2606" s="13">
        <v>1</v>
      </c>
      <c r="O2606" s="13"/>
      <c r="P2606" s="33" t="str">
        <f t="shared" si="775"/>
        <v>MAIN UNIT</v>
      </c>
      <c r="Q2606" s="13" t="s">
        <v>68</v>
      </c>
      <c r="R2606" s="13" t="s">
        <v>62</v>
      </c>
      <c r="S2606" s="13" t="s">
        <v>49</v>
      </c>
      <c r="T2606" s="13" t="s">
        <v>249</v>
      </c>
      <c r="U2606" s="13" t="s">
        <v>79</v>
      </c>
      <c r="V2606" s="13" t="s">
        <v>311</v>
      </c>
      <c r="W2606" s="13" t="s">
        <v>109</v>
      </c>
      <c r="X2606" s="135">
        <v>10140000</v>
      </c>
      <c r="Y2606" s="156">
        <v>1</v>
      </c>
      <c r="Z2606" s="18">
        <f t="shared" si="774"/>
        <v>10140000</v>
      </c>
      <c r="AA2606" s="13">
        <v>7.2099999999999997E-2</v>
      </c>
      <c r="AB2606" s="21">
        <f t="shared" si="777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0"/>
        <v>26492741.106427077</v>
      </c>
      <c r="AJ2606" s="19">
        <f t="shared" si="761"/>
        <v>3348032.1325698122</v>
      </c>
      <c r="AK2606" s="20">
        <f t="shared" si="767"/>
        <v>0.12637545201985867</v>
      </c>
      <c r="AL2606" s="17"/>
      <c r="AM2606" s="17"/>
      <c r="AN2606" s="17"/>
      <c r="AO2606" s="17"/>
      <c r="AP2606" s="28" t="str">
        <f t="shared" si="768"/>
        <v>20189</v>
      </c>
      <c r="AQ2606" s="28" t="str">
        <f t="shared" si="769"/>
        <v>20189JPY</v>
      </c>
      <c r="AR2606" s="206" t="str">
        <f t="shared" si="770"/>
        <v>YAMAHA_Mounter</v>
      </c>
      <c r="AS2606" s="22">
        <f t="shared" si="771"/>
        <v>8</v>
      </c>
      <c r="AT2606" s="24" t="str">
        <f t="shared" si="772"/>
        <v>&gt; 6 months</v>
      </c>
      <c r="AU2606" s="22" t="s">
        <v>3746</v>
      </c>
    </row>
    <row r="2607" spans="1:47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48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1460</v>
      </c>
      <c r="K2607" s="155" t="s">
        <v>361</v>
      </c>
      <c r="L2607" s="17" t="s">
        <v>92</v>
      </c>
      <c r="M2607" s="13" t="s">
        <v>60</v>
      </c>
      <c r="N2607" s="13">
        <v>1</v>
      </c>
      <c r="O2607" s="13"/>
      <c r="P2607" s="33" t="str">
        <f t="shared" si="775"/>
        <v>MAIN UNIT</v>
      </c>
      <c r="Q2607" s="13" t="s">
        <v>61</v>
      </c>
      <c r="R2607" s="13" t="s">
        <v>62</v>
      </c>
      <c r="S2607" s="13" t="s">
        <v>49</v>
      </c>
      <c r="T2607" s="13" t="s">
        <v>78</v>
      </c>
      <c r="U2607" s="13" t="s">
        <v>79</v>
      </c>
      <c r="V2607" s="13" t="s">
        <v>311</v>
      </c>
      <c r="W2607" s="13" t="s">
        <v>109</v>
      </c>
      <c r="X2607" s="135">
        <v>11930000</v>
      </c>
      <c r="Y2607" s="157" t="str">
        <f>IF(W2607="RMB","1.13", "1")</f>
        <v>1</v>
      </c>
      <c r="Z2607" s="18">
        <f t="shared" si="774"/>
        <v>11930000</v>
      </c>
      <c r="AA2607" s="13">
        <v>7.6100000000000001E-2</v>
      </c>
      <c r="AB2607" s="21">
        <f t="shared" si="777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0"/>
        <v>48763143.537654862</v>
      </c>
      <c r="AJ2607" s="19">
        <f t="shared" si="761"/>
        <v>5924029.9702154724</v>
      </c>
      <c r="AK2607" s="20">
        <f t="shared" si="767"/>
        <v>0.1214858095774925</v>
      </c>
      <c r="AL2607" s="17"/>
      <c r="AM2607" s="17"/>
      <c r="AN2607" s="17"/>
      <c r="AO2607" s="17"/>
      <c r="AP2607" s="28" t="str">
        <f t="shared" si="768"/>
        <v>202012</v>
      </c>
      <c r="AQ2607" s="28" t="str">
        <f t="shared" si="769"/>
        <v>202012JPY</v>
      </c>
      <c r="AR2607" s="206" t="str">
        <f t="shared" si="770"/>
        <v>YAMAHA_Mounter</v>
      </c>
      <c r="AS2607" s="22">
        <f t="shared" si="771"/>
        <v>2</v>
      </c>
      <c r="AT2607" s="24" t="str">
        <f t="shared" si="772"/>
        <v>0-3 months</v>
      </c>
      <c r="AU2607" s="22" t="s">
        <v>3745</v>
      </c>
    </row>
    <row r="2608" spans="1:47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54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2012</v>
      </c>
      <c r="K2608" s="155" t="s">
        <v>361</v>
      </c>
      <c r="L2608" s="17" t="s">
        <v>67</v>
      </c>
      <c r="M2608" s="13" t="s">
        <v>60</v>
      </c>
      <c r="N2608" s="13">
        <v>1</v>
      </c>
      <c r="O2608" s="13"/>
      <c r="P2608" s="33" t="str">
        <f t="shared" si="775"/>
        <v>MAIN UNIT</v>
      </c>
      <c r="Q2608" s="13" t="s">
        <v>61</v>
      </c>
      <c r="R2608" s="13" t="s">
        <v>62</v>
      </c>
      <c r="S2608" s="13" t="s">
        <v>49</v>
      </c>
      <c r="T2608" s="13" t="s">
        <v>78</v>
      </c>
      <c r="U2608" s="13" t="s">
        <v>79</v>
      </c>
      <c r="V2608" s="13" t="s">
        <v>311</v>
      </c>
      <c r="W2608" s="13" t="s">
        <v>109</v>
      </c>
      <c r="X2608" s="135">
        <v>8500000</v>
      </c>
      <c r="Y2608" s="157" t="str">
        <f>IF(W2608="RMB","1.13", "1")</f>
        <v>1</v>
      </c>
      <c r="Z2608" s="18">
        <f t="shared" si="774"/>
        <v>8500000</v>
      </c>
      <c r="AA2608" s="13">
        <v>6.54E-2</v>
      </c>
      <c r="AB2608" s="21">
        <f t="shared" si="777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0"/>
        <v>46600814.041769907</v>
      </c>
      <c r="AJ2608" s="19">
        <f t="shared" si="761"/>
        <v>5956366.3435927071</v>
      </c>
      <c r="AK2608" s="20">
        <f t="shared" si="767"/>
        <v>0.1278167874546958</v>
      </c>
      <c r="AL2608" s="17"/>
      <c r="AM2608" s="17"/>
      <c r="AN2608" s="17"/>
      <c r="AO2608" s="17"/>
      <c r="AP2608" s="28" t="str">
        <f t="shared" si="768"/>
        <v>20224</v>
      </c>
      <c r="AQ2608" s="28" t="str">
        <f t="shared" si="769"/>
        <v>20224JPY</v>
      </c>
      <c r="AR2608" s="206" t="str">
        <f t="shared" si="770"/>
        <v>YAMAHA_Mounter</v>
      </c>
      <c r="AS2608" s="22">
        <f t="shared" si="771"/>
        <v>4</v>
      </c>
      <c r="AT2608" s="24" t="str">
        <f t="shared" si="772"/>
        <v>4-6 months</v>
      </c>
      <c r="AU2608" s="22" t="s">
        <v>3745</v>
      </c>
    </row>
    <row r="2609" spans="1:47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3308</v>
      </c>
      <c r="K2609" s="29" t="s">
        <v>361</v>
      </c>
      <c r="L2609" s="17" t="s">
        <v>67</v>
      </c>
      <c r="M2609" s="13" t="s">
        <v>60</v>
      </c>
      <c r="N2609" s="22">
        <v>1</v>
      </c>
      <c r="O2609" s="22"/>
      <c r="P2609" s="33" t="str">
        <f t="shared" si="775"/>
        <v>MAIN UNIT</v>
      </c>
      <c r="Q2609" s="13" t="s">
        <v>61</v>
      </c>
      <c r="R2609" s="22" t="s">
        <v>62</v>
      </c>
      <c r="S2609" s="22" t="s">
        <v>49</v>
      </c>
      <c r="T2609" s="22" t="s">
        <v>78</v>
      </c>
      <c r="U2609" s="22" t="s">
        <v>1071</v>
      </c>
      <c r="V2609" s="22" t="s">
        <v>311</v>
      </c>
      <c r="W2609" s="22" t="s">
        <v>109</v>
      </c>
      <c r="X2609" s="30">
        <v>6900000</v>
      </c>
      <c r="Y2609" s="31" t="str">
        <f>IF(W2609="","",IF(W2609="RMB","1.13", "1"))</f>
        <v>1</v>
      </c>
      <c r="Z2609" s="18">
        <f t="shared" si="774"/>
        <v>6900000</v>
      </c>
      <c r="AA2609" s="22">
        <v>5.3100000000000001E-2</v>
      </c>
      <c r="AB2609" s="21">
        <f t="shared" si="777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0"/>
        <v>21241742.157380536</v>
      </c>
      <c r="AJ2609" s="27">
        <f t="shared" si="761"/>
        <v>2987081.1613773629</v>
      </c>
      <c r="AK2609" s="28">
        <f t="shared" si="767"/>
        <v>0.14062317201884914</v>
      </c>
      <c r="AL2609" s="24"/>
      <c r="AM2609" s="24"/>
      <c r="AN2609" s="24"/>
      <c r="AO2609" s="24"/>
      <c r="AP2609" s="28" t="str">
        <f t="shared" si="768"/>
        <v>20243</v>
      </c>
      <c r="AQ2609" s="28" t="str">
        <f t="shared" si="769"/>
        <v>20243JPY</v>
      </c>
      <c r="AR2609" s="206" t="str">
        <f t="shared" si="770"/>
        <v>YAMAHA_Mounter</v>
      </c>
      <c r="AS2609" s="22">
        <f t="shared" si="771"/>
        <v>0</v>
      </c>
      <c r="AT2609" s="24" t="str">
        <f t="shared" si="772"/>
        <v>0-3 months</v>
      </c>
      <c r="AU2609" s="22" t="s">
        <v>3745</v>
      </c>
    </row>
    <row r="2610" spans="1:47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3498</v>
      </c>
      <c r="K2610" s="29" t="s">
        <v>256</v>
      </c>
      <c r="L2610" s="17" t="s">
        <v>67</v>
      </c>
      <c r="M2610" s="13" t="s">
        <v>60</v>
      </c>
      <c r="N2610" s="13">
        <v>1</v>
      </c>
      <c r="O2610" s="22"/>
      <c r="P2610" s="202" t="str">
        <f t="shared" si="775"/>
        <v>MAIN UNIT</v>
      </c>
      <c r="Q2610" s="22" t="s">
        <v>61</v>
      </c>
      <c r="R2610" s="22" t="s">
        <v>62</v>
      </c>
      <c r="S2610" s="22" t="s">
        <v>50</v>
      </c>
      <c r="T2610" s="22" t="s">
        <v>101</v>
      </c>
      <c r="U2610" s="22" t="s">
        <v>70</v>
      </c>
      <c r="V2610" s="22" t="s">
        <v>71</v>
      </c>
      <c r="W2610" s="22" t="s">
        <v>64</v>
      </c>
      <c r="X2610" s="104">
        <v>455000</v>
      </c>
      <c r="Y2610" s="195" t="str">
        <f>IF(W2610="","",IF(W2610="RMB","1.13", "1"))</f>
        <v>1.13</v>
      </c>
      <c r="Z2610" s="196">
        <f t="shared" si="774"/>
        <v>455000</v>
      </c>
      <c r="AA2610" s="22">
        <v>1.075</v>
      </c>
      <c r="AB2610" s="197">
        <f t="shared" si="777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0"/>
        <v>25458266.694690265</v>
      </c>
      <c r="AJ2610" s="200">
        <f t="shared" si="761"/>
        <v>4116526.778578762</v>
      </c>
      <c r="AK2610" s="201">
        <f t="shared" si="767"/>
        <v>0.16169705612508689</v>
      </c>
      <c r="AL2610" s="24"/>
      <c r="AM2610" s="24"/>
      <c r="AN2610" s="24"/>
      <c r="AO2610" s="24"/>
      <c r="AP2610" s="105" t="str">
        <f t="shared" si="768"/>
        <v>20247</v>
      </c>
      <c r="AQ2610" s="28" t="str">
        <f t="shared" si="769"/>
        <v>20247RMB</v>
      </c>
      <c r="AR2610" s="206" t="str">
        <f t="shared" si="770"/>
        <v>YAMAHA_Mounter</v>
      </c>
      <c r="AS2610" s="22">
        <f t="shared" si="771"/>
        <v>0</v>
      </c>
      <c r="AT2610" s="24" t="str">
        <f t="shared" si="772"/>
        <v>0-3 months</v>
      </c>
      <c r="AU2610" s="22" t="s">
        <v>3240</v>
      </c>
    </row>
    <row r="2611" spans="1:47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3514</v>
      </c>
      <c r="K2611" s="29" t="s">
        <v>411</v>
      </c>
      <c r="L2611" s="17" t="s">
        <v>2620</v>
      </c>
      <c r="M2611" s="22" t="s">
        <v>60</v>
      </c>
      <c r="N2611" s="22">
        <v>1</v>
      </c>
      <c r="O2611" s="22"/>
      <c r="P2611" s="33" t="str">
        <f t="shared" si="775"/>
        <v>MAIN UNIT</v>
      </c>
      <c r="Q2611" s="13" t="s">
        <v>61</v>
      </c>
      <c r="R2611" s="22" t="s">
        <v>2055</v>
      </c>
      <c r="S2611" s="22" t="s">
        <v>52</v>
      </c>
      <c r="T2611" s="22" t="s">
        <v>412</v>
      </c>
      <c r="U2611" s="22" t="s">
        <v>1077</v>
      </c>
      <c r="V2611" s="22" t="s">
        <v>143</v>
      </c>
      <c r="W2611" s="22" t="s">
        <v>64</v>
      </c>
      <c r="X2611" s="30">
        <v>350000</v>
      </c>
      <c r="Y2611" s="31" t="str">
        <f>IF(W2611="","",IF(W2611="RMB","1.13", "1"))</f>
        <v>1.13</v>
      </c>
      <c r="Z2611" s="18">
        <f t="shared" si="774"/>
        <v>350000</v>
      </c>
      <c r="AA2611" s="22">
        <v>1.075</v>
      </c>
      <c r="AB2611" s="21">
        <f t="shared" si="777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0"/>
        <v>25458266.694690265</v>
      </c>
      <c r="AJ2611" s="27">
        <f t="shared" si="761"/>
        <v>4116526.778578762</v>
      </c>
      <c r="AK2611" s="28">
        <f t="shared" si="767"/>
        <v>0.16169705612508689</v>
      </c>
      <c r="AL2611" s="24"/>
      <c r="AM2611" s="24"/>
      <c r="AN2611" s="24"/>
      <c r="AO2611" s="24"/>
      <c r="AP2611" s="28" t="str">
        <f t="shared" si="768"/>
        <v>20247</v>
      </c>
      <c r="AQ2611" s="28" t="str">
        <f t="shared" si="769"/>
        <v>20247RMB</v>
      </c>
      <c r="AR2611" s="206" t="str">
        <f t="shared" si="770"/>
        <v>YAMAHA_Non_Mounter</v>
      </c>
      <c r="AS2611" s="22">
        <f t="shared" si="771"/>
        <v>7</v>
      </c>
      <c r="AT2611" s="24" t="str">
        <f t="shared" si="772"/>
        <v>&gt; 6 months</v>
      </c>
      <c r="AU2611" s="22" t="s">
        <v>3240</v>
      </c>
    </row>
    <row r="2612" spans="1:47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185</v>
      </c>
      <c r="G2612" s="23" t="s">
        <v>185</v>
      </c>
      <c r="H2612" s="29"/>
      <c r="I2612" s="33" t="str">
        <f t="shared" si="764"/>
        <v>Cancel</v>
      </c>
      <c r="J2612" s="188" t="s">
        <v>3331</v>
      </c>
      <c r="K2612" s="29" t="s">
        <v>3163</v>
      </c>
      <c r="L2612" s="17" t="s">
        <v>2620</v>
      </c>
      <c r="M2612" s="22" t="s">
        <v>60</v>
      </c>
      <c r="N2612" s="22">
        <v>1</v>
      </c>
      <c r="O2612" s="22"/>
      <c r="P2612" s="33" t="str">
        <f t="shared" si="775"/>
        <v>MAIN UNIT</v>
      </c>
      <c r="Q2612" s="13" t="s">
        <v>61</v>
      </c>
      <c r="R2612" s="22" t="s">
        <v>2055</v>
      </c>
      <c r="S2612" s="22" t="s">
        <v>49</v>
      </c>
      <c r="T2612" s="22" t="s">
        <v>78</v>
      </c>
      <c r="U2612" s="22" t="s">
        <v>2533</v>
      </c>
      <c r="V2612" s="22" t="s">
        <v>126</v>
      </c>
      <c r="W2612" s="22" t="s">
        <v>109</v>
      </c>
      <c r="X2612" s="30">
        <v>7800000</v>
      </c>
      <c r="Y2612" s="31" t="str">
        <f>IF(W2612="","",IF(W2612="RMB","1.13", "1"))</f>
        <v>1</v>
      </c>
      <c r="Z2612" s="18">
        <f t="shared" si="774"/>
        <v>7800000</v>
      </c>
      <c r="AA2612" s="13">
        <v>5.2900000000000003E-2</v>
      </c>
      <c r="AB2612" s="21">
        <f t="shared" si="777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0"/>
        <v>499582152.5142017</v>
      </c>
      <c r="AJ2612" s="27">
        <f t="shared" si="761"/>
        <v>59520528.679470733</v>
      </c>
      <c r="AK2612" s="28">
        <f t="shared" si="767"/>
        <v>0.11914062257814291</v>
      </c>
      <c r="AL2612" s="24"/>
      <c r="AM2612" s="24"/>
      <c r="AN2612" s="24"/>
      <c r="AO2612" s="24"/>
      <c r="AP2612" s="28" t="str">
        <f t="shared" si="768"/>
        <v>CancelCancel</v>
      </c>
      <c r="AQ2612" s="28" t="str">
        <f t="shared" si="769"/>
        <v>CancelCancelJPY</v>
      </c>
      <c r="AR2612" s="206" t="str">
        <f t="shared" si="770"/>
        <v>YAMAHA_Non_Mounter</v>
      </c>
      <c r="AS2612" s="22" t="str">
        <f t="shared" si="771"/>
        <v/>
      </c>
      <c r="AT2612" s="24" t="str">
        <f t="shared" si="772"/>
        <v/>
      </c>
      <c r="AU2612" s="22" t="s">
        <v>3745</v>
      </c>
    </row>
    <row r="2613" spans="1:47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185</v>
      </c>
      <c r="G2613" s="23" t="s">
        <v>185</v>
      </c>
      <c r="H2613" s="29"/>
      <c r="I2613" s="33" t="str">
        <f t="shared" si="764"/>
        <v>Cancel</v>
      </c>
      <c r="J2613" s="188" t="s">
        <v>3331</v>
      </c>
      <c r="K2613" s="29" t="s">
        <v>3163</v>
      </c>
      <c r="L2613" s="17" t="s">
        <v>2620</v>
      </c>
      <c r="M2613" s="22" t="s">
        <v>60</v>
      </c>
      <c r="N2613" s="22">
        <v>1</v>
      </c>
      <c r="O2613" s="22"/>
      <c r="P2613" s="33" t="str">
        <f t="shared" si="775"/>
        <v>MAIN UNIT</v>
      </c>
      <c r="Q2613" s="13" t="s">
        <v>61</v>
      </c>
      <c r="R2613" s="22" t="s">
        <v>2055</v>
      </c>
      <c r="S2613" s="22" t="s">
        <v>49</v>
      </c>
      <c r="T2613" s="22" t="s">
        <v>78</v>
      </c>
      <c r="U2613" s="22" t="s">
        <v>2533</v>
      </c>
      <c r="V2613" s="22" t="s">
        <v>126</v>
      </c>
      <c r="W2613" s="22" t="s">
        <v>109</v>
      </c>
      <c r="X2613" s="30">
        <v>7800000</v>
      </c>
      <c r="Y2613" s="31" t="str">
        <f>IF(W2613="","",IF(W2613="RMB","1.13", "1"))</f>
        <v>1</v>
      </c>
      <c r="Z2613" s="18">
        <f t="shared" si="774"/>
        <v>7800000</v>
      </c>
      <c r="AA2613" s="13">
        <v>5.2900000000000003E-2</v>
      </c>
      <c r="AB2613" s="21">
        <f t="shared" si="777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0"/>
        <v>499582152.5142017</v>
      </c>
      <c r="AJ2613" s="27">
        <f t="shared" si="761"/>
        <v>59520528.679470733</v>
      </c>
      <c r="AK2613" s="28">
        <f t="shared" si="767"/>
        <v>0.11914062257814291</v>
      </c>
      <c r="AL2613" s="24"/>
      <c r="AM2613" s="24"/>
      <c r="AN2613" s="24"/>
      <c r="AO2613" s="24"/>
      <c r="AP2613" s="28" t="str">
        <f t="shared" si="768"/>
        <v>CancelCancel</v>
      </c>
      <c r="AQ2613" s="28" t="str">
        <f t="shared" si="769"/>
        <v>CancelCancelJPY</v>
      </c>
      <c r="AR2613" s="206" t="str">
        <f t="shared" si="770"/>
        <v>YAMAHA_Non_Mounter</v>
      </c>
      <c r="AS2613" s="22" t="str">
        <f t="shared" si="771"/>
        <v/>
      </c>
      <c r="AT2613" s="24" t="str">
        <f t="shared" si="772"/>
        <v/>
      </c>
      <c r="AU2613" s="22" t="s">
        <v>3745</v>
      </c>
    </row>
    <row r="2614" spans="1:47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53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1931</v>
      </c>
      <c r="K2614" s="155" t="s">
        <v>1932</v>
      </c>
      <c r="L2614" s="17" t="s">
        <v>67</v>
      </c>
      <c r="M2614" s="13" t="s">
        <v>60</v>
      </c>
      <c r="N2614" s="13">
        <v>1</v>
      </c>
      <c r="O2614" s="13"/>
      <c r="P2614" s="33" t="str">
        <f t="shared" si="775"/>
        <v>MAIN UNIT</v>
      </c>
      <c r="Q2614" s="13" t="s">
        <v>68</v>
      </c>
      <c r="R2614" s="13" t="s">
        <v>62</v>
      </c>
      <c r="S2614" s="13" t="s">
        <v>49</v>
      </c>
      <c r="T2614" s="13" t="s">
        <v>78</v>
      </c>
      <c r="U2614" s="13" t="s">
        <v>79</v>
      </c>
      <c r="V2614" s="13" t="s">
        <v>112</v>
      </c>
      <c r="W2614" s="13" t="s">
        <v>109</v>
      </c>
      <c r="X2614" s="135">
        <v>8221500</v>
      </c>
      <c r="Y2614" s="157" t="str">
        <f>IF(W2614="RMB","1.13", "1")</f>
        <v>1</v>
      </c>
      <c r="Z2614" s="18">
        <f t="shared" si="774"/>
        <v>8221500</v>
      </c>
      <c r="AA2614" s="13">
        <v>6.9199999999999998E-2</v>
      </c>
      <c r="AB2614" s="21">
        <f t="shared" si="777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0"/>
        <v>26407088.359292038</v>
      </c>
      <c r="AJ2614" s="19">
        <f t="shared" si="761"/>
        <v>3424510.6998470789</v>
      </c>
      <c r="AK2614" s="20">
        <f t="shared" si="767"/>
        <v>0.12968149510667554</v>
      </c>
      <c r="AL2614" s="17"/>
      <c r="AM2614" s="17"/>
      <c r="AN2614" s="17"/>
      <c r="AO2614" s="17"/>
      <c r="AP2614" s="28" t="str">
        <f t="shared" si="768"/>
        <v>20221</v>
      </c>
      <c r="AQ2614" s="28" t="str">
        <f t="shared" si="769"/>
        <v>20221JPY</v>
      </c>
      <c r="AR2614" s="206" t="str">
        <f t="shared" si="770"/>
        <v>YAMAHA_Mounter</v>
      </c>
      <c r="AS2614" s="22">
        <f t="shared" si="771"/>
        <v>8</v>
      </c>
      <c r="AT2614" s="24" t="str">
        <f t="shared" si="772"/>
        <v>&gt; 6 months</v>
      </c>
      <c r="AU2614" s="22" t="s">
        <v>3745</v>
      </c>
    </row>
    <row r="2615" spans="1:47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54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2391</v>
      </c>
      <c r="K2615" s="155" t="s">
        <v>1932</v>
      </c>
      <c r="L2615" s="17" t="s">
        <v>67</v>
      </c>
      <c r="M2615" s="13" t="s">
        <v>60</v>
      </c>
      <c r="N2615" s="13">
        <v>1</v>
      </c>
      <c r="O2615" s="13"/>
      <c r="P2615" s="33" t="str">
        <f t="shared" si="775"/>
        <v>MAIN UNIT</v>
      </c>
      <c r="Q2615" s="13" t="s">
        <v>61</v>
      </c>
      <c r="R2615" s="13" t="s">
        <v>62</v>
      </c>
      <c r="S2615" s="13" t="s">
        <v>49</v>
      </c>
      <c r="T2615" s="13" t="s">
        <v>78</v>
      </c>
      <c r="U2615" s="13" t="s">
        <v>79</v>
      </c>
      <c r="V2615" s="13" t="s">
        <v>112</v>
      </c>
      <c r="W2615" s="13" t="s">
        <v>64</v>
      </c>
      <c r="X2615" s="135">
        <v>600000</v>
      </c>
      <c r="Y2615" s="157" t="str">
        <f>IF(W2615="RMB","1.13", "1")</f>
        <v>1.13</v>
      </c>
      <c r="Z2615" s="18">
        <f t="shared" si="774"/>
        <v>600000</v>
      </c>
      <c r="AA2615" s="13">
        <v>1.0900000000000001</v>
      </c>
      <c r="AB2615" s="21">
        <f t="shared" si="777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0"/>
        <v>17329060.066371687</v>
      </c>
      <c r="AJ2615" s="19">
        <f t="shared" si="761"/>
        <v>2472600.2142256643</v>
      </c>
      <c r="AK2615" s="20">
        <f t="shared" si="767"/>
        <v>0.14268518919984163</v>
      </c>
      <c r="AL2615" s="17"/>
      <c r="AM2615" s="17"/>
      <c r="AN2615" s="17"/>
      <c r="AO2615" s="17"/>
      <c r="AP2615" s="28" t="str">
        <f t="shared" si="768"/>
        <v>202212</v>
      </c>
      <c r="AQ2615" s="28" t="str">
        <f t="shared" si="769"/>
        <v>202212RMB</v>
      </c>
      <c r="AR2615" s="206" t="str">
        <f t="shared" si="770"/>
        <v>YAMAHA_Mounter</v>
      </c>
      <c r="AS2615" s="22">
        <f t="shared" si="771"/>
        <v>1</v>
      </c>
      <c r="AT2615" s="24" t="str">
        <f t="shared" si="772"/>
        <v>0-3 months</v>
      </c>
      <c r="AU2615" s="22" t="s">
        <v>3751</v>
      </c>
    </row>
    <row r="2616" spans="1:47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3127</v>
      </c>
      <c r="K2616" s="29" t="s">
        <v>1932</v>
      </c>
      <c r="L2616" s="17" t="s">
        <v>92</v>
      </c>
      <c r="M2616" s="22" t="s">
        <v>60</v>
      </c>
      <c r="N2616" s="22">
        <v>1</v>
      </c>
      <c r="O2616" s="22"/>
      <c r="P2616" s="33" t="str">
        <f t="shared" si="775"/>
        <v>MAIN UNIT</v>
      </c>
      <c r="Q2616" s="13" t="s">
        <v>61</v>
      </c>
      <c r="R2616" s="22" t="s">
        <v>62</v>
      </c>
      <c r="S2616" s="22" t="s">
        <v>49</v>
      </c>
      <c r="T2616" s="22" t="s">
        <v>120</v>
      </c>
      <c r="U2616" s="22" t="s">
        <v>2370</v>
      </c>
      <c r="V2616" s="22" t="s">
        <v>112</v>
      </c>
      <c r="W2616" s="22" t="s">
        <v>64</v>
      </c>
      <c r="X2616" s="30">
        <v>660000</v>
      </c>
      <c r="Y2616" s="31" t="str">
        <f>IF(W2616="","",IF(W2616="RMB","1.13", "1"))</f>
        <v>1.13</v>
      </c>
      <c r="Z2616" s="18">
        <f t="shared" si="774"/>
        <v>660000</v>
      </c>
      <c r="AA2616" s="22">
        <v>1.095</v>
      </c>
      <c r="AB2616" s="21">
        <f t="shared" si="777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0"/>
        <v>10271727.486725664</v>
      </c>
      <c r="AJ2616" s="27">
        <f t="shared" si="761"/>
        <v>1227228.7260761063</v>
      </c>
      <c r="AK2616" s="28">
        <f t="shared" si="767"/>
        <v>0.11947637120066472</v>
      </c>
      <c r="AL2616" s="24"/>
      <c r="AM2616" s="24"/>
      <c r="AN2616" s="24"/>
      <c r="AO2616" s="24"/>
      <c r="AP2616" s="28" t="str">
        <f t="shared" si="768"/>
        <v>202312</v>
      </c>
      <c r="AQ2616" s="28" t="str">
        <f t="shared" si="769"/>
        <v>202312RMB</v>
      </c>
      <c r="AR2616" s="206" t="str">
        <f t="shared" si="770"/>
        <v>YAMAHA_Mounter</v>
      </c>
      <c r="AS2616" s="22">
        <f t="shared" si="771"/>
        <v>0</v>
      </c>
      <c r="AT2616" s="24" t="str">
        <f t="shared" si="772"/>
        <v>0-3 months</v>
      </c>
      <c r="AU2616" s="22" t="s">
        <v>3751</v>
      </c>
    </row>
    <row r="2617" spans="1:47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3482</v>
      </c>
      <c r="K2617" s="29" t="s">
        <v>3483</v>
      </c>
      <c r="L2617" s="17" t="s">
        <v>2060</v>
      </c>
      <c r="M2617" s="13" t="s">
        <v>2054</v>
      </c>
      <c r="N2617" s="13">
        <v>1</v>
      </c>
      <c r="O2617" s="22"/>
      <c r="P2617" s="33" t="str">
        <f t="shared" si="775"/>
        <v>MAIN UNIT</v>
      </c>
      <c r="Q2617" s="22" t="s">
        <v>68</v>
      </c>
      <c r="R2617" s="22" t="s">
        <v>2055</v>
      </c>
      <c r="S2617" s="22" t="s">
        <v>51</v>
      </c>
      <c r="T2617" s="22" t="s">
        <v>349</v>
      </c>
      <c r="U2617" s="22" t="s">
        <v>149</v>
      </c>
      <c r="V2617" s="22" t="s">
        <v>2998</v>
      </c>
      <c r="W2617" s="22" t="s">
        <v>64</v>
      </c>
      <c r="X2617" s="104">
        <v>39697</v>
      </c>
      <c r="Y2617" s="195" t="str">
        <f>IF(W2617="","",IF(W2617="RMB","1.13", "1"))</f>
        <v>1.13</v>
      </c>
      <c r="Z2617" s="196">
        <f t="shared" si="774"/>
        <v>39697</v>
      </c>
      <c r="AA2617" s="22">
        <v>1.075</v>
      </c>
      <c r="AB2617" s="197">
        <f t="shared" si="777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0"/>
        <v>25458266.694690265</v>
      </c>
      <c r="AJ2617" s="200">
        <f t="shared" si="761"/>
        <v>4116526.778578762</v>
      </c>
      <c r="AK2617" s="201">
        <f t="shared" si="767"/>
        <v>0.16169705612508689</v>
      </c>
      <c r="AL2617" s="24"/>
      <c r="AM2617" s="24"/>
      <c r="AN2617" s="24"/>
      <c r="AO2617" s="24"/>
      <c r="AP2617" s="105" t="str">
        <f t="shared" si="768"/>
        <v>20247</v>
      </c>
      <c r="AQ2617" s="28" t="str">
        <f t="shared" si="769"/>
        <v>20247RMB</v>
      </c>
      <c r="AR2617" s="206" t="str">
        <f t="shared" si="770"/>
        <v>SOLDERSTAR</v>
      </c>
      <c r="AS2617" s="22">
        <f t="shared" si="771"/>
        <v>1</v>
      </c>
      <c r="AT2617" s="24" t="str">
        <f t="shared" si="772"/>
        <v>0-3 months</v>
      </c>
      <c r="AU2617" s="22" t="s">
        <v>3240</v>
      </c>
    </row>
    <row r="2618" spans="1:47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43</v>
      </c>
      <c r="M2618" s="22" t="s">
        <v>43</v>
      </c>
      <c r="N2618" s="22">
        <v>0</v>
      </c>
      <c r="O2618" s="22"/>
      <c r="P2618" s="202" t="str">
        <f t="shared" si="775"/>
        <v>C66 SERVICE/OTHERS</v>
      </c>
      <c r="Q2618" s="22" t="s">
        <v>45</v>
      </c>
      <c r="R2618" s="22" t="s">
        <v>45</v>
      </c>
      <c r="S2618" s="22" t="s">
        <v>52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4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0"/>
        <v>25458266.694690265</v>
      </c>
      <c r="AJ2618" s="200">
        <f t="shared" si="761"/>
        <v>4116526.778578762</v>
      </c>
      <c r="AK2618" s="201">
        <f t="shared" si="767"/>
        <v>0.16169705612508689</v>
      </c>
      <c r="AL2618" s="24"/>
      <c r="AM2618" s="24"/>
      <c r="AN2618" s="24"/>
      <c r="AO2618" s="24"/>
      <c r="AP2618" s="105" t="str">
        <f t="shared" si="768"/>
        <v>20247</v>
      </c>
      <c r="AQ2618" s="28" t="str">
        <f t="shared" si="769"/>
        <v/>
      </c>
      <c r="AR2618" s="206" t="str">
        <f t="shared" si="770"/>
        <v>C66 SERVICE</v>
      </c>
      <c r="AS2618" s="22" t="str">
        <f t="shared" si="771"/>
        <v/>
      </c>
      <c r="AT2618" s="24" t="str">
        <f t="shared" si="772"/>
        <v/>
      </c>
      <c r="AU2618" s="22">
        <v>0</v>
      </c>
    </row>
    <row r="2619" spans="1:47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3172</v>
      </c>
      <c r="F2619" s="152" t="s">
        <v>185</v>
      </c>
      <c r="G2619" s="152" t="s">
        <v>185</v>
      </c>
      <c r="H2619" s="155"/>
      <c r="I2619" s="33" t="str">
        <f t="shared" si="764"/>
        <v>Cancel</v>
      </c>
      <c r="J2619" s="186" t="s">
        <v>3079</v>
      </c>
      <c r="K2619" s="155" t="s">
        <v>3080</v>
      </c>
      <c r="L2619" s="17" t="s">
        <v>67</v>
      </c>
      <c r="M2619" s="22" t="s">
        <v>60</v>
      </c>
      <c r="N2619" s="13">
        <v>1</v>
      </c>
      <c r="O2619" s="13"/>
      <c r="P2619" s="33" t="str">
        <f t="shared" si="775"/>
        <v>MAIN UNIT</v>
      </c>
      <c r="Q2619" s="13" t="s">
        <v>68</v>
      </c>
      <c r="R2619" s="13" t="s">
        <v>62</v>
      </c>
      <c r="S2619" s="13" t="s">
        <v>49</v>
      </c>
      <c r="T2619" s="13" t="s">
        <v>78</v>
      </c>
      <c r="U2619" s="13" t="s">
        <v>79</v>
      </c>
      <c r="V2619" s="13" t="s">
        <v>1885</v>
      </c>
      <c r="W2619" s="13" t="s">
        <v>109</v>
      </c>
      <c r="X2619" s="135">
        <v>8900000</v>
      </c>
      <c r="Y2619" s="157" t="str">
        <f>IF(W2619="RMB","1.13", "1")</f>
        <v>1</v>
      </c>
      <c r="Z2619" s="18">
        <f t="shared" si="774"/>
        <v>8900000</v>
      </c>
      <c r="AA2619" s="13">
        <v>5.0599999999999999E-2</v>
      </c>
      <c r="AB2619" s="21">
        <f t="shared" ref="AB2619:AB2647" si="778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0"/>
        <v>4327756</v>
      </c>
      <c r="AJ2619" s="19">
        <f t="shared" si="761"/>
        <v>519330.72</v>
      </c>
      <c r="AK2619" s="20">
        <f t="shared" si="767"/>
        <v>0.12</v>
      </c>
      <c r="AL2619" s="17"/>
      <c r="AM2619" s="17"/>
      <c r="AN2619" s="17"/>
      <c r="AO2619" s="17"/>
      <c r="AP2619" s="28" t="str">
        <f t="shared" si="768"/>
        <v>CancelCancel</v>
      </c>
      <c r="AQ2619" s="28" t="str">
        <f t="shared" si="769"/>
        <v>CancelCancelJPY</v>
      </c>
      <c r="AR2619" s="206" t="str">
        <f t="shared" si="770"/>
        <v>YAMAHA_Mounter</v>
      </c>
      <c r="AS2619" s="22" t="str">
        <f t="shared" si="771"/>
        <v/>
      </c>
      <c r="AT2619" s="24" t="str">
        <f t="shared" si="772"/>
        <v/>
      </c>
      <c r="AU2619" s="22" t="s">
        <v>3745</v>
      </c>
    </row>
    <row r="2620" spans="1:47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54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2186</v>
      </c>
      <c r="K2620" s="155" t="s">
        <v>2187</v>
      </c>
      <c r="L2620" s="17" t="s">
        <v>92</v>
      </c>
      <c r="M2620" s="13" t="s">
        <v>60</v>
      </c>
      <c r="N2620" s="13">
        <v>1</v>
      </c>
      <c r="O2620" s="13"/>
      <c r="P2620" s="33" t="str">
        <f t="shared" si="775"/>
        <v>MAIN UNIT</v>
      </c>
      <c r="Q2620" s="13" t="s">
        <v>68</v>
      </c>
      <c r="R2620" s="13" t="s">
        <v>62</v>
      </c>
      <c r="S2620" s="13" t="s">
        <v>49</v>
      </c>
      <c r="T2620" s="13" t="s">
        <v>78</v>
      </c>
      <c r="U2620" s="13" t="s">
        <v>79</v>
      </c>
      <c r="V2620" s="13" t="s">
        <v>112</v>
      </c>
      <c r="W2620" s="13" t="s">
        <v>109</v>
      </c>
      <c r="X2620" s="135">
        <v>25000000</v>
      </c>
      <c r="Y2620" s="157" t="str">
        <f>IF(W2620="RMB","1.13", "1")</f>
        <v>1</v>
      </c>
      <c r="Z2620" s="18">
        <f t="shared" si="774"/>
        <v>25000000</v>
      </c>
      <c r="AA2620" s="13">
        <v>6.25E-2</v>
      </c>
      <c r="AB2620" s="21">
        <f t="shared" si="778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0"/>
        <v>35682787.057522126</v>
      </c>
      <c r="AJ2620" s="19">
        <f t="shared" si="761"/>
        <v>5833368.3789623892</v>
      </c>
      <c r="AK2620" s="20">
        <f t="shared" si="767"/>
        <v>0.16347849649632912</v>
      </c>
      <c r="AL2620" s="17"/>
      <c r="AM2620" s="17"/>
      <c r="AN2620" s="17"/>
      <c r="AO2620" s="17"/>
      <c r="AP2620" s="28" t="str">
        <f t="shared" si="768"/>
        <v>20226</v>
      </c>
      <c r="AQ2620" s="28" t="str">
        <f t="shared" si="769"/>
        <v>20226JPY</v>
      </c>
      <c r="AR2620" s="206" t="str">
        <f t="shared" si="770"/>
        <v>YAMAHA_Mounter</v>
      </c>
      <c r="AS2620" s="22">
        <f t="shared" si="771"/>
        <v>3</v>
      </c>
      <c r="AT2620" s="24" t="str">
        <f t="shared" si="772"/>
        <v>0-3 months</v>
      </c>
      <c r="AU2620" s="22" t="s">
        <v>3240</v>
      </c>
    </row>
    <row r="2621" spans="1:47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54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2186</v>
      </c>
      <c r="K2621" s="155" t="s">
        <v>2187</v>
      </c>
      <c r="L2621" s="17" t="s">
        <v>2780</v>
      </c>
      <c r="M2621" s="13" t="s">
        <v>60</v>
      </c>
      <c r="N2621" s="13">
        <v>1</v>
      </c>
      <c r="O2621" s="13"/>
      <c r="P2621" s="33" t="str">
        <f t="shared" si="775"/>
        <v>MAIN UNIT</v>
      </c>
      <c r="Q2621" s="13" t="s">
        <v>68</v>
      </c>
      <c r="R2621" s="13" t="s">
        <v>2055</v>
      </c>
      <c r="S2621" s="13" t="s">
        <v>49</v>
      </c>
      <c r="T2621" s="13" t="s">
        <v>78</v>
      </c>
      <c r="U2621" s="13" t="s">
        <v>79</v>
      </c>
      <c r="V2621" s="13" t="s">
        <v>112</v>
      </c>
      <c r="W2621" s="13" t="s">
        <v>109</v>
      </c>
      <c r="X2621" s="135">
        <v>6700000</v>
      </c>
      <c r="Y2621" s="157" t="str">
        <f>IF(W2621="RMB","1.13", "1")</f>
        <v>1</v>
      </c>
      <c r="Z2621" s="18">
        <f t="shared" si="774"/>
        <v>6700000</v>
      </c>
      <c r="AA2621" s="13">
        <v>6.25E-2</v>
      </c>
      <c r="AB2621" s="21">
        <f t="shared" si="778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0"/>
        <v>35682787.057522126</v>
      </c>
      <c r="AJ2621" s="19">
        <f t="shared" si="761"/>
        <v>5833368.3789623892</v>
      </c>
      <c r="AK2621" s="20">
        <f t="shared" si="767"/>
        <v>0.16347849649632912</v>
      </c>
      <c r="AL2621" s="17"/>
      <c r="AM2621" s="17"/>
      <c r="AN2621" s="17"/>
      <c r="AO2621" s="17"/>
      <c r="AP2621" s="28" t="str">
        <f t="shared" si="768"/>
        <v>20226</v>
      </c>
      <c r="AQ2621" s="28" t="str">
        <f t="shared" si="769"/>
        <v>20226JPY</v>
      </c>
      <c r="AR2621" s="206" t="str">
        <f t="shared" si="770"/>
        <v>YAMAHA_Non_Mounter</v>
      </c>
      <c r="AS2621" s="22">
        <f t="shared" si="771"/>
        <v>3</v>
      </c>
      <c r="AT2621" s="24" t="str">
        <f t="shared" si="772"/>
        <v>0-3 months</v>
      </c>
      <c r="AU2621" s="22" t="s">
        <v>3240</v>
      </c>
    </row>
    <row r="2622" spans="1:47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54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2186</v>
      </c>
      <c r="K2622" s="155" t="s">
        <v>2187</v>
      </c>
      <c r="L2622" s="17" t="s">
        <v>2620</v>
      </c>
      <c r="M2622" s="13" t="s">
        <v>60</v>
      </c>
      <c r="N2622" s="13">
        <v>1</v>
      </c>
      <c r="O2622" s="13"/>
      <c r="P2622" s="33" t="str">
        <f t="shared" si="775"/>
        <v>MAIN UNIT</v>
      </c>
      <c r="Q2622" s="13" t="s">
        <v>68</v>
      </c>
      <c r="R2622" s="13" t="s">
        <v>2055</v>
      </c>
      <c r="S2622" s="13" t="s">
        <v>49</v>
      </c>
      <c r="T2622" s="13" t="s">
        <v>78</v>
      </c>
      <c r="U2622" s="13" t="s">
        <v>79</v>
      </c>
      <c r="V2622" s="13" t="s">
        <v>112</v>
      </c>
      <c r="W2622" s="13" t="s">
        <v>109</v>
      </c>
      <c r="X2622" s="135">
        <v>12800000</v>
      </c>
      <c r="Y2622" s="157" t="str">
        <f>IF(W2622="RMB","1.13", "1")</f>
        <v>1</v>
      </c>
      <c r="Z2622" s="18">
        <f t="shared" si="774"/>
        <v>12800000</v>
      </c>
      <c r="AA2622" s="13">
        <v>6.25E-2</v>
      </c>
      <c r="AB2622" s="21">
        <f t="shared" si="778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0"/>
        <v>35682787.057522126</v>
      </c>
      <c r="AJ2622" s="19">
        <f t="shared" si="761"/>
        <v>5833368.3789623892</v>
      </c>
      <c r="AK2622" s="20">
        <f t="shared" si="767"/>
        <v>0.16347849649632912</v>
      </c>
      <c r="AL2622" s="17"/>
      <c r="AM2622" s="17"/>
      <c r="AN2622" s="17"/>
      <c r="AO2622" s="17"/>
      <c r="AP2622" s="28" t="str">
        <f t="shared" si="768"/>
        <v>20226</v>
      </c>
      <c r="AQ2622" s="28" t="str">
        <f t="shared" si="769"/>
        <v>20226JPY</v>
      </c>
      <c r="AR2622" s="206" t="str">
        <f t="shared" si="770"/>
        <v>YAMAHA_Non_Mounter</v>
      </c>
      <c r="AS2622" s="22">
        <f t="shared" si="771"/>
        <v>3</v>
      </c>
      <c r="AT2622" s="24" t="str">
        <f t="shared" si="772"/>
        <v>0-3 months</v>
      </c>
      <c r="AU2622" s="22" t="s">
        <v>3240</v>
      </c>
    </row>
    <row r="2623" spans="1:47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54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2999</v>
      </c>
      <c r="K2623" s="155" t="s">
        <v>2187</v>
      </c>
      <c r="L2623" s="17" t="s">
        <v>2609</v>
      </c>
      <c r="M2623" s="13" t="s">
        <v>2607</v>
      </c>
      <c r="N2623" s="13">
        <v>1</v>
      </c>
      <c r="O2623" s="13"/>
      <c r="P2623" s="33" t="str">
        <f t="shared" si="775"/>
        <v>MAIN UNIT</v>
      </c>
      <c r="Q2623" s="13" t="s">
        <v>68</v>
      </c>
      <c r="R2623" s="13" t="s">
        <v>2055</v>
      </c>
      <c r="S2623" s="13" t="s">
        <v>49</v>
      </c>
      <c r="T2623" s="13" t="s">
        <v>78</v>
      </c>
      <c r="U2623" s="13" t="s">
        <v>79</v>
      </c>
      <c r="V2623" s="13" t="s">
        <v>112</v>
      </c>
      <c r="W2623" s="13" t="s">
        <v>901</v>
      </c>
      <c r="X2623" s="135">
        <v>57000</v>
      </c>
      <c r="Y2623" s="157" t="str">
        <f>IF(W2623="RMB","1.13", "1")</f>
        <v>1</v>
      </c>
      <c r="Z2623" s="18">
        <f t="shared" si="774"/>
        <v>57000</v>
      </c>
      <c r="AA2623" s="13">
        <v>7.8</v>
      </c>
      <c r="AB2623" s="21">
        <f t="shared" si="778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0"/>
        <v>35682787.057522126</v>
      </c>
      <c r="AJ2623" s="19">
        <f t="shared" si="761"/>
        <v>5833368.3789623892</v>
      </c>
      <c r="AK2623" s="20">
        <f t="shared" si="767"/>
        <v>0.16347849649632912</v>
      </c>
      <c r="AL2623" s="17"/>
      <c r="AM2623" s="17"/>
      <c r="AN2623" s="17"/>
      <c r="AO2623" s="17"/>
      <c r="AP2623" s="28" t="str">
        <f t="shared" si="768"/>
        <v>20226</v>
      </c>
      <c r="AQ2623" s="28" t="str">
        <f t="shared" si="769"/>
        <v>20226USD</v>
      </c>
      <c r="AR2623" s="206" t="str">
        <f t="shared" si="770"/>
        <v>HELLER</v>
      </c>
      <c r="AS2623" s="22">
        <f t="shared" si="771"/>
        <v>3</v>
      </c>
      <c r="AT2623" s="24" t="str">
        <f t="shared" si="772"/>
        <v>0-3 months</v>
      </c>
      <c r="AU2623" s="22" t="s">
        <v>3240</v>
      </c>
    </row>
    <row r="2624" spans="1:47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41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107</v>
      </c>
      <c r="K2624" s="155" t="s">
        <v>108</v>
      </c>
      <c r="L2624" s="17" t="s">
        <v>77</v>
      </c>
      <c r="M2624" s="13" t="s">
        <v>60</v>
      </c>
      <c r="N2624" s="13">
        <v>1</v>
      </c>
      <c r="O2624" s="13"/>
      <c r="P2624" s="33" t="str">
        <f t="shared" si="775"/>
        <v>MAIN UNIT</v>
      </c>
      <c r="Q2624" s="13" t="s">
        <v>68</v>
      </c>
      <c r="R2624" s="13" t="s">
        <v>62</v>
      </c>
      <c r="S2624" s="13" t="s">
        <v>49</v>
      </c>
      <c r="T2624" s="13" t="s">
        <v>78</v>
      </c>
      <c r="U2624" s="13" t="s">
        <v>79</v>
      </c>
      <c r="V2624" s="13" t="s">
        <v>80</v>
      </c>
      <c r="W2624" s="13" t="s">
        <v>109</v>
      </c>
      <c r="X2624" s="135">
        <v>11820000</v>
      </c>
      <c r="Y2624" s="156">
        <v>1</v>
      </c>
      <c r="Z2624" s="18">
        <f t="shared" si="774"/>
        <v>11820000</v>
      </c>
      <c r="AA2624" s="13">
        <v>7.2099999999999997E-2</v>
      </c>
      <c r="AB2624" s="21">
        <f t="shared" si="778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0"/>
        <v>26754147.763010349</v>
      </c>
      <c r="AJ2624" s="19">
        <f t="shared" si="761"/>
        <v>3429137.9965357962</v>
      </c>
      <c r="AK2624" s="20">
        <f t="shared" si="767"/>
        <v>0.12817220069617921</v>
      </c>
      <c r="AL2624" s="17"/>
      <c r="AM2624" s="17"/>
      <c r="AN2624" s="17"/>
      <c r="AO2624" s="17"/>
      <c r="AP2624" s="28" t="str">
        <f t="shared" si="768"/>
        <v>20188</v>
      </c>
      <c r="AQ2624" s="28" t="str">
        <f t="shared" si="769"/>
        <v>20188JPY</v>
      </c>
      <c r="AR2624" s="206" t="str">
        <f t="shared" si="770"/>
        <v>YAMAHA_Mounter</v>
      </c>
      <c r="AS2624" s="22">
        <f t="shared" si="771"/>
        <v>8</v>
      </c>
      <c r="AT2624" s="24" t="str">
        <f t="shared" si="772"/>
        <v>&gt; 6 months</v>
      </c>
      <c r="AU2624" s="22" t="s">
        <v>3746</v>
      </c>
    </row>
    <row r="2625" spans="1:47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41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282</v>
      </c>
      <c r="K2625" s="155" t="s">
        <v>108</v>
      </c>
      <c r="L2625" s="17" t="s">
        <v>92</v>
      </c>
      <c r="M2625" s="13" t="s">
        <v>60</v>
      </c>
      <c r="N2625" s="13">
        <v>1</v>
      </c>
      <c r="O2625" s="13"/>
      <c r="P2625" s="33" t="str">
        <f t="shared" si="775"/>
        <v>MAIN UNIT</v>
      </c>
      <c r="Q2625" s="13" t="s">
        <v>61</v>
      </c>
      <c r="R2625" s="13" t="s">
        <v>62</v>
      </c>
      <c r="S2625" s="13" t="s">
        <v>49</v>
      </c>
      <c r="T2625" s="13" t="s">
        <v>78</v>
      </c>
      <c r="U2625" s="13" t="s">
        <v>79</v>
      </c>
      <c r="V2625" s="13" t="s">
        <v>80</v>
      </c>
      <c r="W2625" s="13" t="s">
        <v>109</v>
      </c>
      <c r="X2625" s="135">
        <v>11000000</v>
      </c>
      <c r="Y2625" s="156">
        <v>1</v>
      </c>
      <c r="Z2625" s="18">
        <f t="shared" si="774"/>
        <v>11000000</v>
      </c>
      <c r="AA2625" s="13">
        <v>7.0199999999999999E-2</v>
      </c>
      <c r="AB2625" s="21">
        <f t="shared" si="778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0"/>
        <v>10786543.370020689</v>
      </c>
      <c r="AJ2625" s="19">
        <f t="shared" si="761"/>
        <v>1330367.5841569281</v>
      </c>
      <c r="AK2625" s="20">
        <f t="shared" si="767"/>
        <v>0.123335858255987</v>
      </c>
      <c r="AL2625" s="17"/>
      <c r="AM2625" s="17"/>
      <c r="AN2625" s="17"/>
      <c r="AO2625" s="17"/>
      <c r="AP2625" s="28" t="str">
        <f t="shared" si="768"/>
        <v>201810</v>
      </c>
      <c r="AQ2625" s="28" t="str">
        <f t="shared" si="769"/>
        <v>201810JPY</v>
      </c>
      <c r="AR2625" s="206" t="str">
        <f t="shared" si="770"/>
        <v>YAMAHA_Mounter</v>
      </c>
      <c r="AS2625" s="22">
        <f t="shared" si="771"/>
        <v>2</v>
      </c>
      <c r="AT2625" s="24" t="str">
        <f t="shared" si="772"/>
        <v>0-3 months</v>
      </c>
      <c r="AU2625" s="22" t="s">
        <v>3746</v>
      </c>
    </row>
    <row r="2626" spans="1:47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48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1309</v>
      </c>
      <c r="K2626" s="155" t="s">
        <v>1310</v>
      </c>
      <c r="L2626" s="17" t="s">
        <v>67</v>
      </c>
      <c r="M2626" s="13" t="s">
        <v>60</v>
      </c>
      <c r="N2626" s="13">
        <v>1</v>
      </c>
      <c r="O2626" s="13"/>
      <c r="P2626" s="33" t="str">
        <f t="shared" si="775"/>
        <v>MAIN UNIT</v>
      </c>
      <c r="Q2626" s="13" t="s">
        <v>61</v>
      </c>
      <c r="R2626" s="13" t="s">
        <v>62</v>
      </c>
      <c r="S2626" s="13" t="s">
        <v>49</v>
      </c>
      <c r="T2626" s="13" t="s">
        <v>78</v>
      </c>
      <c r="U2626" s="13" t="s">
        <v>79</v>
      </c>
      <c r="V2626" s="13" t="s">
        <v>1311</v>
      </c>
      <c r="W2626" s="13" t="s">
        <v>1308</v>
      </c>
      <c r="X2626" s="135">
        <v>500000</v>
      </c>
      <c r="Y2626" s="156">
        <v>1.1299999999999999</v>
      </c>
      <c r="Z2626" s="18">
        <f t="shared" si="774"/>
        <v>500000</v>
      </c>
      <c r="AA2626" s="13">
        <v>1.155</v>
      </c>
      <c r="AB2626" s="21">
        <f t="shared" si="778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ref="AI2626:AI2689" si="779">IF(P2626="C66 SERVICE","",SUMIFS(AB:AB,F:F,F2626,G:G,G2626,E:E,E2626))</f>
        <v>44078731.611185849</v>
      </c>
      <c r="AJ2626" s="19">
        <f t="shared" ref="AJ2626:AJ2689" si="780">IF(P2626="C66 SERVICE","",SUMIFS(AC:AC,F:F,F2626,G:G,G2626,E:E,E2626))</f>
        <v>5508173.2163771465</v>
      </c>
      <c r="AK2626" s="20">
        <f t="shared" si="767"/>
        <v>0.12496215328889679</v>
      </c>
      <c r="AL2626" s="17"/>
      <c r="AM2626" s="17"/>
      <c r="AN2626" s="17"/>
      <c r="AO2626" s="17"/>
      <c r="AP2626" s="28" t="str">
        <f t="shared" si="768"/>
        <v>202011</v>
      </c>
      <c r="AQ2626" s="28" t="str">
        <f t="shared" si="769"/>
        <v>202011RMB</v>
      </c>
      <c r="AR2626" s="206" t="str">
        <f t="shared" si="770"/>
        <v>YAMAHA_Mounter</v>
      </c>
      <c r="AS2626" s="22">
        <f t="shared" si="771"/>
        <v>3</v>
      </c>
      <c r="AT2626" s="24" t="str">
        <f t="shared" si="772"/>
        <v>0-3 months</v>
      </c>
      <c r="AU2626" s="22" t="s">
        <v>3744</v>
      </c>
    </row>
    <row r="2627" spans="1:47" s="12" customFormat="1">
      <c r="A2627" s="33" t="str">
        <f t="shared" si="762"/>
        <v>cancel</v>
      </c>
      <c r="B2627" s="152"/>
      <c r="C2627" s="152" t="s">
        <v>185</v>
      </c>
      <c r="D2627" s="33" t="str">
        <f t="shared" si="763"/>
        <v/>
      </c>
      <c r="E2627" s="33" t="s">
        <v>185</v>
      </c>
      <c r="F2627" s="13" t="s">
        <v>185</v>
      </c>
      <c r="G2627" s="152" t="s">
        <v>185</v>
      </c>
      <c r="H2627" s="155"/>
      <c r="I2627" s="33" t="str">
        <f t="shared" si="764"/>
        <v>Cancel</v>
      </c>
      <c r="J2627" s="186" t="s">
        <v>2699</v>
      </c>
      <c r="K2627" s="155" t="s">
        <v>108</v>
      </c>
      <c r="L2627" s="17" t="s">
        <v>92</v>
      </c>
      <c r="M2627" s="13" t="s">
        <v>60</v>
      </c>
      <c r="N2627" s="13">
        <v>1</v>
      </c>
      <c r="O2627" s="13"/>
      <c r="P2627" s="33" t="str">
        <f t="shared" si="775"/>
        <v>MAIN UNIT</v>
      </c>
      <c r="Q2627" s="13" t="s">
        <v>61</v>
      </c>
      <c r="R2627" s="13" t="s">
        <v>62</v>
      </c>
      <c r="S2627" s="13" t="s">
        <v>49</v>
      </c>
      <c r="T2627" s="13" t="s">
        <v>78</v>
      </c>
      <c r="U2627" s="13" t="s">
        <v>79</v>
      </c>
      <c r="V2627" s="13" t="s">
        <v>80</v>
      </c>
      <c r="W2627" s="13" t="s">
        <v>109</v>
      </c>
      <c r="X2627" s="135">
        <v>11000000</v>
      </c>
      <c r="Y2627" s="156">
        <v>1</v>
      </c>
      <c r="Z2627" s="18">
        <f t="shared" si="774"/>
        <v>11000000</v>
      </c>
      <c r="AA2627" s="13">
        <v>7.0199999999999999E-2</v>
      </c>
      <c r="AB2627" s="21">
        <f t="shared" si="778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79"/>
        <v>499582152.5142017</v>
      </c>
      <c r="AJ2627" s="19">
        <f t="shared" si="780"/>
        <v>59520528.679470733</v>
      </c>
      <c r="AK2627" s="20">
        <f t="shared" si="767"/>
        <v>0.11914062257814291</v>
      </c>
      <c r="AL2627" s="17"/>
      <c r="AM2627" s="17"/>
      <c r="AN2627" s="17"/>
      <c r="AO2627" s="17"/>
      <c r="AP2627" s="28" t="str">
        <f t="shared" si="768"/>
        <v>CancelCancel</v>
      </c>
      <c r="AQ2627" s="28" t="str">
        <f t="shared" si="769"/>
        <v>CancelCancelJPY</v>
      </c>
      <c r="AR2627" s="206" t="str">
        <f t="shared" si="770"/>
        <v>YAMAHA_Mounter</v>
      </c>
      <c r="AS2627" s="22" t="str">
        <f t="shared" si="771"/>
        <v/>
      </c>
      <c r="AT2627" s="24" t="str">
        <f t="shared" si="772"/>
        <v/>
      </c>
      <c r="AU2627" s="22" t="s">
        <v>3746</v>
      </c>
    </row>
    <row r="2628" spans="1:47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53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1883</v>
      </c>
      <c r="K2628" s="155" t="s">
        <v>1884</v>
      </c>
      <c r="L2628" s="17" t="s">
        <v>67</v>
      </c>
      <c r="M2628" s="13" t="s">
        <v>60</v>
      </c>
      <c r="N2628" s="13">
        <v>1</v>
      </c>
      <c r="O2628" s="13"/>
      <c r="P2628" s="33" t="str">
        <f t="shared" si="775"/>
        <v>MAIN UNIT</v>
      </c>
      <c r="Q2628" s="13" t="s">
        <v>68</v>
      </c>
      <c r="R2628" s="13" t="s">
        <v>62</v>
      </c>
      <c r="S2628" s="13" t="s">
        <v>49</v>
      </c>
      <c r="T2628" s="13" t="s">
        <v>78</v>
      </c>
      <c r="U2628" s="13" t="s">
        <v>79</v>
      </c>
      <c r="V2628" s="13" t="s">
        <v>1885</v>
      </c>
      <c r="W2628" s="13" t="s">
        <v>109</v>
      </c>
      <c r="X2628" s="135">
        <v>10100000</v>
      </c>
      <c r="Y2628" s="157" t="str">
        <f>IF(W2628="RMB","1.13", "1")</f>
        <v>1</v>
      </c>
      <c r="Z2628" s="18">
        <f t="shared" si="774"/>
        <v>10100000</v>
      </c>
      <c r="AA2628" s="13">
        <v>7.0000000000000007E-2</v>
      </c>
      <c r="AB2628" s="21">
        <f t="shared" si="778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79"/>
        <v>29500529.005044252</v>
      </c>
      <c r="AJ2628" s="19">
        <f t="shared" si="780"/>
        <v>3253064.846231177</v>
      </c>
      <c r="AK2628" s="20">
        <f t="shared" si="767"/>
        <v>0.11027140718984871</v>
      </c>
      <c r="AL2628" s="17"/>
      <c r="AM2628" s="17"/>
      <c r="AN2628" s="17"/>
      <c r="AO2628" s="17"/>
      <c r="AP2628" s="28" t="str">
        <f t="shared" si="768"/>
        <v>202111</v>
      </c>
      <c r="AQ2628" s="28" t="str">
        <f t="shared" si="769"/>
        <v>202111JPY</v>
      </c>
      <c r="AR2628" s="206" t="str">
        <f t="shared" si="770"/>
        <v>YAMAHA_Mounter</v>
      </c>
      <c r="AS2628" s="22">
        <f t="shared" si="771"/>
        <v>8</v>
      </c>
      <c r="AT2628" s="24" t="str">
        <f t="shared" si="772"/>
        <v>&gt; 6 months</v>
      </c>
      <c r="AU2628" s="22" t="s">
        <v>3745</v>
      </c>
    </row>
    <row r="2629" spans="1:47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55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2549</v>
      </c>
      <c r="K2629" s="155" t="s">
        <v>1884</v>
      </c>
      <c r="L2629" s="17" t="s">
        <v>67</v>
      </c>
      <c r="M2629" s="13" t="s">
        <v>60</v>
      </c>
      <c r="N2629" s="13">
        <v>1</v>
      </c>
      <c r="O2629" s="13"/>
      <c r="P2629" s="33" t="str">
        <f t="shared" si="775"/>
        <v>MAIN UNIT</v>
      </c>
      <c r="Q2629" s="13" t="s">
        <v>61</v>
      </c>
      <c r="R2629" s="13" t="s">
        <v>62</v>
      </c>
      <c r="S2629" s="13" t="s">
        <v>49</v>
      </c>
      <c r="T2629" s="13" t="s">
        <v>78</v>
      </c>
      <c r="U2629" s="13" t="s">
        <v>79</v>
      </c>
      <c r="V2629" s="13" t="s">
        <v>311</v>
      </c>
      <c r="W2629" s="13" t="s">
        <v>64</v>
      </c>
      <c r="X2629" s="135">
        <v>420000</v>
      </c>
      <c r="Y2629" s="157" t="str">
        <f>IF(W2629="RMB","1.13", "1")</f>
        <v>1.13</v>
      </c>
      <c r="Z2629" s="18">
        <f t="shared" si="774"/>
        <v>420000</v>
      </c>
      <c r="AA2629" s="13">
        <v>1.0920000000000001</v>
      </c>
      <c r="AB2629" s="21">
        <f t="shared" si="778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79"/>
        <v>22953677.784070797</v>
      </c>
      <c r="AJ2629" s="19">
        <f t="shared" si="780"/>
        <v>4168706.6744155753</v>
      </c>
      <c r="AK2629" s="20">
        <f t="shared" si="767"/>
        <v>0.18161388835511752</v>
      </c>
      <c r="AL2629" s="17"/>
      <c r="AM2629" s="17"/>
      <c r="AN2629" s="17"/>
      <c r="AO2629" s="17"/>
      <c r="AP2629" s="28" t="str">
        <f t="shared" si="768"/>
        <v>20238</v>
      </c>
      <c r="AQ2629" s="28" t="str">
        <f t="shared" si="769"/>
        <v>20238RMB</v>
      </c>
      <c r="AR2629" s="206" t="str">
        <f t="shared" si="770"/>
        <v>YAMAHA_Mounter</v>
      </c>
      <c r="AS2629" s="22">
        <f t="shared" si="771"/>
        <v>1</v>
      </c>
      <c r="AT2629" s="24" t="str">
        <f t="shared" si="772"/>
        <v>0-3 months</v>
      </c>
      <c r="AU2629" s="22" t="s">
        <v>3751</v>
      </c>
    </row>
    <row r="2630" spans="1:47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47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962</v>
      </c>
      <c r="K2630" s="155" t="s">
        <v>963</v>
      </c>
      <c r="L2630" s="17" t="s">
        <v>92</v>
      </c>
      <c r="M2630" s="13" t="s">
        <v>60</v>
      </c>
      <c r="N2630" s="13">
        <v>1</v>
      </c>
      <c r="O2630" s="13"/>
      <c r="P2630" s="33" t="str">
        <f t="shared" si="775"/>
        <v>MAIN UNIT</v>
      </c>
      <c r="Q2630" s="13" t="s">
        <v>68</v>
      </c>
      <c r="R2630" s="13" t="s">
        <v>62</v>
      </c>
      <c r="S2630" s="13" t="s">
        <v>49</v>
      </c>
      <c r="T2630" s="13" t="s">
        <v>78</v>
      </c>
      <c r="U2630" s="13" t="s">
        <v>79</v>
      </c>
      <c r="V2630" s="13" t="s">
        <v>80</v>
      </c>
      <c r="W2630" s="13" t="s">
        <v>64</v>
      </c>
      <c r="X2630" s="135">
        <v>785000</v>
      </c>
      <c r="Y2630" s="156">
        <v>1.1299999999999999</v>
      </c>
      <c r="Z2630" s="18">
        <f t="shared" si="774"/>
        <v>785000</v>
      </c>
      <c r="AA2630" s="13">
        <v>1.095</v>
      </c>
      <c r="AB2630" s="21">
        <f t="shared" si="778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si="779"/>
        <v>37599388.802345134</v>
      </c>
      <c r="AJ2630" s="19">
        <f t="shared" si="780"/>
        <v>4866784.3630338367</v>
      </c>
      <c r="AK2630" s="20">
        <f t="shared" ref="AK2630:AK2693" si="786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7">IF(F2630="","",F2630&amp;G2630)</f>
        <v>20199</v>
      </c>
      <c r="AQ2630" s="28" t="str">
        <f t="shared" ref="AQ2630:AQ2693" si="788">IF(W2630="","",F2630&amp;G2630&amp;W2630)</f>
        <v>20199RMB</v>
      </c>
      <c r="AR2630" s="206" t="str">
        <f t="shared" ref="AR2630:AR2693" si="789">IFERROR(IF(AND(M2630="YAMAHA", R2630="C28"), "YAMAHA_Non_Mounter", IF(AND(M2630="YAMAHA", R2630="C49"), "YAMAHA_Mounter", M2630)),"")</f>
        <v>YAMAHA_Mounter</v>
      </c>
      <c r="AS2630" s="22">
        <f t="shared" ref="AS2630:AS2693" si="790">IFERROR(IF(OR(G2630="TBA", G2630=""), "", DATEDIF(DATE(B2630, C2630, 1), DATE(F2630, G2630, 1), "M")),"")</f>
        <v>1</v>
      </c>
      <c r="AT2630" s="24" t="str">
        <f t="shared" ref="AT2630:AT2693" si="791">IF(ISNUMBER(AS2630), IF(AS2630&gt;=0, IF(AS2630&lt;=3, "0-3 months", IF(AS2630&lt;=6, "4-6 months", "&gt; 6 months"))), "")</f>
        <v>0-3 months</v>
      </c>
      <c r="AU2630" s="22" t="s">
        <v>3744</v>
      </c>
    </row>
    <row r="2631" spans="1:47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48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1181</v>
      </c>
      <c r="K2631" s="155" t="s">
        <v>1182</v>
      </c>
      <c r="L2631" s="17" t="s">
        <v>67</v>
      </c>
      <c r="M2631" s="13" t="s">
        <v>60</v>
      </c>
      <c r="N2631" s="13">
        <v>1</v>
      </c>
      <c r="O2631" s="13"/>
      <c r="P2631" s="33" t="str">
        <f t="shared" si="775"/>
        <v>MAIN UNIT</v>
      </c>
      <c r="Q2631" s="13" t="s">
        <v>61</v>
      </c>
      <c r="R2631" s="13" t="s">
        <v>62</v>
      </c>
      <c r="S2631" s="13" t="s">
        <v>49</v>
      </c>
      <c r="T2631" s="13" t="s">
        <v>78</v>
      </c>
      <c r="U2631" s="13" t="s">
        <v>79</v>
      </c>
      <c r="V2631" s="13" t="s">
        <v>1140</v>
      </c>
      <c r="W2631" s="13" t="s">
        <v>1101</v>
      </c>
      <c r="X2631" s="135">
        <v>590000</v>
      </c>
      <c r="Y2631" s="156">
        <v>1.1299999999999999</v>
      </c>
      <c r="Z2631" s="18">
        <f t="shared" si="774"/>
        <v>590000</v>
      </c>
      <c r="AA2631" s="13">
        <v>1.095</v>
      </c>
      <c r="AB2631" s="21">
        <f t="shared" si="778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79"/>
        <v>35384300.169380538</v>
      </c>
      <c r="AJ2631" s="19">
        <f t="shared" si="780"/>
        <v>5044538.8896988509</v>
      </c>
      <c r="AK2631" s="20">
        <f t="shared" si="786"/>
        <v>0.14256432557804533</v>
      </c>
      <c r="AL2631" s="17"/>
      <c r="AM2631" s="17"/>
      <c r="AN2631" s="17"/>
      <c r="AO2631" s="17"/>
      <c r="AP2631" s="28" t="str">
        <f t="shared" si="787"/>
        <v>20207</v>
      </c>
      <c r="AQ2631" s="28" t="str">
        <f t="shared" si="788"/>
        <v>20207RMB</v>
      </c>
      <c r="AR2631" s="206" t="str">
        <f t="shared" si="789"/>
        <v>YAMAHA_Mounter</v>
      </c>
      <c r="AS2631" s="22">
        <f t="shared" si="790"/>
        <v>1</v>
      </c>
      <c r="AT2631" s="24" t="str">
        <f t="shared" si="791"/>
        <v>0-3 months</v>
      </c>
      <c r="AU2631" s="22" t="s">
        <v>3744</v>
      </c>
    </row>
    <row r="2632" spans="1:47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48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1069</v>
      </c>
      <c r="K2632" s="155" t="s">
        <v>1070</v>
      </c>
      <c r="L2632" s="17" t="s">
        <v>67</v>
      </c>
      <c r="M2632" s="13" t="s">
        <v>60</v>
      </c>
      <c r="N2632" s="13">
        <v>1</v>
      </c>
      <c r="O2632" s="13"/>
      <c r="P2632" s="33" t="str">
        <f t="shared" si="775"/>
        <v>MAIN UNIT</v>
      </c>
      <c r="Q2632" s="13" t="s">
        <v>61</v>
      </c>
      <c r="R2632" s="13" t="s">
        <v>62</v>
      </c>
      <c r="S2632" s="13" t="s">
        <v>49</v>
      </c>
      <c r="T2632" s="13" t="s">
        <v>1071</v>
      </c>
      <c r="U2632" s="13" t="s">
        <v>79</v>
      </c>
      <c r="V2632" s="13" t="s">
        <v>80</v>
      </c>
      <c r="W2632" s="13" t="s">
        <v>64</v>
      </c>
      <c r="X2632" s="135">
        <v>530000</v>
      </c>
      <c r="Y2632" s="156">
        <v>1.1299999999999999</v>
      </c>
      <c r="Z2632" s="18">
        <f t="shared" si="774"/>
        <v>530000</v>
      </c>
      <c r="AA2632" s="13">
        <v>1.095</v>
      </c>
      <c r="AB2632" s="21">
        <f t="shared" si="778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79"/>
        <v>33477255.428389374</v>
      </c>
      <c r="AJ2632" s="19">
        <f t="shared" si="780"/>
        <v>4578663.362915583</v>
      </c>
      <c r="AK2632" s="20">
        <f t="shared" si="786"/>
        <v>0.13676937682988152</v>
      </c>
      <c r="AL2632" s="17"/>
      <c r="AM2632" s="17"/>
      <c r="AN2632" s="17"/>
      <c r="AO2632" s="17"/>
      <c r="AP2632" s="28" t="str">
        <f t="shared" si="787"/>
        <v>20204</v>
      </c>
      <c r="AQ2632" s="28" t="str">
        <f t="shared" si="788"/>
        <v>20204RMB</v>
      </c>
      <c r="AR2632" s="206" t="str">
        <f t="shared" si="789"/>
        <v>YAMAHA_Mounter</v>
      </c>
      <c r="AS2632" s="22">
        <f t="shared" si="790"/>
        <v>0</v>
      </c>
      <c r="AT2632" s="24" t="str">
        <f t="shared" si="791"/>
        <v>0-3 months</v>
      </c>
      <c r="AU2632" s="22" t="s">
        <v>3744</v>
      </c>
    </row>
    <row r="2633" spans="1:47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53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1686</v>
      </c>
      <c r="K2633" s="155" t="s">
        <v>1070</v>
      </c>
      <c r="L2633" s="17" t="s">
        <v>67</v>
      </c>
      <c r="M2633" s="13" t="s">
        <v>60</v>
      </c>
      <c r="N2633" s="13">
        <v>1</v>
      </c>
      <c r="O2633" s="13"/>
      <c r="P2633" s="33" t="str">
        <f t="shared" si="775"/>
        <v>MAIN UNIT</v>
      </c>
      <c r="Q2633" s="13" t="s">
        <v>61</v>
      </c>
      <c r="R2633" s="13" t="s">
        <v>62</v>
      </c>
      <c r="S2633" s="13" t="s">
        <v>49</v>
      </c>
      <c r="T2633" s="13" t="s">
        <v>78</v>
      </c>
      <c r="U2633" s="13" t="s">
        <v>79</v>
      </c>
      <c r="V2633" s="13" t="s">
        <v>80</v>
      </c>
      <c r="W2633" s="13" t="s">
        <v>64</v>
      </c>
      <c r="X2633" s="135">
        <v>500000</v>
      </c>
      <c r="Y2633" s="157" t="str">
        <f>IF(W2633="RMB","1.13", "1")</f>
        <v>1.13</v>
      </c>
      <c r="Z2633" s="18">
        <f t="shared" si="774"/>
        <v>500000</v>
      </c>
      <c r="AA2633" s="13">
        <v>1.18</v>
      </c>
      <c r="AB2633" s="21">
        <f t="shared" si="778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79"/>
        <v>43684091.636631854</v>
      </c>
      <c r="AJ2633" s="19">
        <f t="shared" si="780"/>
        <v>6483951.8242071122</v>
      </c>
      <c r="AK2633" s="20">
        <f t="shared" si="786"/>
        <v>0.14842821680123736</v>
      </c>
      <c r="AL2633" s="17"/>
      <c r="AM2633" s="17"/>
      <c r="AN2633" s="17"/>
      <c r="AO2633" s="17"/>
      <c r="AP2633" s="28" t="str">
        <f t="shared" si="787"/>
        <v>20214</v>
      </c>
      <c r="AQ2633" s="28" t="str">
        <f t="shared" si="788"/>
        <v>20214RMB</v>
      </c>
      <c r="AR2633" s="206" t="str">
        <f t="shared" si="789"/>
        <v>YAMAHA_Mounter</v>
      </c>
      <c r="AS2633" s="22">
        <f t="shared" si="790"/>
        <v>2</v>
      </c>
      <c r="AT2633" s="24" t="str">
        <f t="shared" si="791"/>
        <v>0-3 months</v>
      </c>
      <c r="AU2633" s="22" t="s">
        <v>3744</v>
      </c>
    </row>
    <row r="2634" spans="1:47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54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2257</v>
      </c>
      <c r="K2634" s="155" t="s">
        <v>1070</v>
      </c>
      <c r="L2634" s="17" t="s">
        <v>67</v>
      </c>
      <c r="M2634" s="13" t="s">
        <v>60</v>
      </c>
      <c r="N2634" s="13">
        <v>1</v>
      </c>
      <c r="O2634" s="13"/>
      <c r="P2634" s="33" t="str">
        <f t="shared" si="775"/>
        <v>MAIN UNIT</v>
      </c>
      <c r="Q2634" s="13" t="s">
        <v>61</v>
      </c>
      <c r="R2634" s="13" t="s">
        <v>62</v>
      </c>
      <c r="S2634" s="13" t="s">
        <v>49</v>
      </c>
      <c r="T2634" s="13" t="s">
        <v>78</v>
      </c>
      <c r="U2634" s="13" t="s">
        <v>79</v>
      </c>
      <c r="V2634" s="13" t="s">
        <v>80</v>
      </c>
      <c r="W2634" s="13" t="s">
        <v>64</v>
      </c>
      <c r="X2634" s="135">
        <v>475000</v>
      </c>
      <c r="Y2634" s="157" t="str">
        <f>IF(W2634="RMB","1.13", "1")</f>
        <v>1.13</v>
      </c>
      <c r="Z2634" s="18">
        <f t="shared" ref="Z2634:Z2697" si="792">IF(X2634="","",X2634*MAX(O2634,N2634))</f>
        <v>475000</v>
      </c>
      <c r="AA2634" s="13">
        <v>1.163</v>
      </c>
      <c r="AB2634" s="21">
        <f t="shared" si="778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79"/>
        <v>35073581.838938057</v>
      </c>
      <c r="AJ2634" s="19">
        <f t="shared" si="780"/>
        <v>5034113.9728989396</v>
      </c>
      <c r="AK2634" s="20">
        <f t="shared" si="786"/>
        <v>0.14353007902118958</v>
      </c>
      <c r="AL2634" s="17"/>
      <c r="AM2634" s="17"/>
      <c r="AN2634" s="17"/>
      <c r="AO2634" s="17"/>
      <c r="AP2634" s="28" t="str">
        <f t="shared" si="787"/>
        <v>20228</v>
      </c>
      <c r="AQ2634" s="28" t="str">
        <f t="shared" si="788"/>
        <v>20228RMB</v>
      </c>
      <c r="AR2634" s="206" t="str">
        <f t="shared" si="789"/>
        <v>YAMAHA_Mounter</v>
      </c>
      <c r="AS2634" s="22">
        <f t="shared" si="790"/>
        <v>1</v>
      </c>
      <c r="AT2634" s="24" t="str">
        <f t="shared" si="791"/>
        <v>0-3 months</v>
      </c>
      <c r="AU2634" s="22" t="s">
        <v>3240</v>
      </c>
    </row>
    <row r="2635" spans="1:47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54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2257</v>
      </c>
      <c r="K2635" s="155" t="s">
        <v>1070</v>
      </c>
      <c r="L2635" s="17" t="s">
        <v>67</v>
      </c>
      <c r="M2635" s="13" t="s">
        <v>60</v>
      </c>
      <c r="N2635" s="13">
        <v>1</v>
      </c>
      <c r="O2635" s="13"/>
      <c r="P2635" s="33" t="str">
        <f t="shared" si="775"/>
        <v>MAIN UNIT</v>
      </c>
      <c r="Q2635" s="13" t="s">
        <v>61</v>
      </c>
      <c r="R2635" s="13" t="s">
        <v>62</v>
      </c>
      <c r="S2635" s="13" t="s">
        <v>49</v>
      </c>
      <c r="T2635" s="13" t="s">
        <v>78</v>
      </c>
      <c r="U2635" s="13" t="s">
        <v>79</v>
      </c>
      <c r="V2635" s="13" t="s">
        <v>80</v>
      </c>
      <c r="W2635" s="13" t="s">
        <v>64</v>
      </c>
      <c r="X2635" s="135">
        <v>475000</v>
      </c>
      <c r="Y2635" s="157" t="str">
        <f>IF(W2635="RMB","1.13", "1")</f>
        <v>1.13</v>
      </c>
      <c r="Z2635" s="18">
        <f t="shared" si="792"/>
        <v>475000</v>
      </c>
      <c r="AA2635" s="13">
        <v>1.135</v>
      </c>
      <c r="AB2635" s="21">
        <f t="shared" si="778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79"/>
        <v>15948576.102654871</v>
      </c>
      <c r="AJ2635" s="19">
        <f t="shared" si="780"/>
        <v>2739848.7004853105</v>
      </c>
      <c r="AK2635" s="20">
        <f t="shared" si="786"/>
        <v>0.17179268436567344</v>
      </c>
      <c r="AL2635" s="17"/>
      <c r="AM2635" s="17"/>
      <c r="AN2635" s="17"/>
      <c r="AO2635" s="17"/>
      <c r="AP2635" s="28" t="str">
        <f t="shared" si="787"/>
        <v>20229</v>
      </c>
      <c r="AQ2635" s="28" t="str">
        <f t="shared" si="788"/>
        <v>20229RMB</v>
      </c>
      <c r="AR2635" s="206" t="str">
        <f t="shared" si="789"/>
        <v>YAMAHA_Mounter</v>
      </c>
      <c r="AS2635" s="22">
        <f t="shared" si="790"/>
        <v>2</v>
      </c>
      <c r="AT2635" s="24" t="str">
        <f t="shared" si="791"/>
        <v>0-3 months</v>
      </c>
      <c r="AU2635" s="22" t="s">
        <v>3240</v>
      </c>
    </row>
    <row r="2636" spans="1:47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54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2308</v>
      </c>
      <c r="K2636" s="155" t="s">
        <v>2309</v>
      </c>
      <c r="L2636" s="17" t="s">
        <v>92</v>
      </c>
      <c r="M2636" s="13" t="s">
        <v>60</v>
      </c>
      <c r="N2636" s="13">
        <v>1</v>
      </c>
      <c r="O2636" s="13"/>
      <c r="P2636" s="33" t="str">
        <f t="shared" si="775"/>
        <v>MAIN UNIT</v>
      </c>
      <c r="Q2636" s="13" t="s">
        <v>68</v>
      </c>
      <c r="R2636" s="13" t="s">
        <v>62</v>
      </c>
      <c r="S2636" s="13" t="s">
        <v>49</v>
      </c>
      <c r="T2636" s="13" t="s">
        <v>78</v>
      </c>
      <c r="U2636" s="13" t="s">
        <v>79</v>
      </c>
      <c r="V2636" s="13" t="s">
        <v>311</v>
      </c>
      <c r="W2636" s="13" t="s">
        <v>109</v>
      </c>
      <c r="X2636" s="135">
        <v>18000000</v>
      </c>
      <c r="Y2636" s="157" t="str">
        <f>IF(W2636="RMB","1.13", "1")</f>
        <v>1</v>
      </c>
      <c r="Z2636" s="18">
        <f t="shared" si="792"/>
        <v>18000000</v>
      </c>
      <c r="AA2636" s="13">
        <v>5.5399999999999998E-2</v>
      </c>
      <c r="AB2636" s="21">
        <f t="shared" si="778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79"/>
        <v>22717528.991150443</v>
      </c>
      <c r="AJ2636" s="19">
        <f t="shared" si="780"/>
        <v>3947747.192555753</v>
      </c>
      <c r="AK2636" s="20">
        <f t="shared" si="786"/>
        <v>0.1737753782153679</v>
      </c>
      <c r="AL2636" s="17"/>
      <c r="AM2636" s="17"/>
      <c r="AN2636" s="17"/>
      <c r="AO2636" s="17"/>
      <c r="AP2636" s="28" t="str">
        <f t="shared" si="787"/>
        <v>202210</v>
      </c>
      <c r="AQ2636" s="28" t="str">
        <f t="shared" si="788"/>
        <v>202210JPY</v>
      </c>
      <c r="AR2636" s="206" t="str">
        <f t="shared" si="789"/>
        <v>YAMAHA_Mounter</v>
      </c>
      <c r="AS2636" s="22">
        <f t="shared" si="790"/>
        <v>0</v>
      </c>
      <c r="AT2636" s="24" t="str">
        <f t="shared" si="791"/>
        <v>0-3 months</v>
      </c>
      <c r="AU2636" s="22" t="s">
        <v>3745</v>
      </c>
    </row>
    <row r="2637" spans="1:47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54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2308</v>
      </c>
      <c r="K2637" s="155" t="s">
        <v>2309</v>
      </c>
      <c r="L2637" s="17" t="s">
        <v>67</v>
      </c>
      <c r="M2637" s="13" t="s">
        <v>60</v>
      </c>
      <c r="N2637" s="13">
        <v>1</v>
      </c>
      <c r="O2637" s="13"/>
      <c r="P2637" s="33" t="str">
        <f t="shared" si="775"/>
        <v>MAIN UNIT</v>
      </c>
      <c r="Q2637" s="13" t="s">
        <v>68</v>
      </c>
      <c r="R2637" s="13" t="s">
        <v>62</v>
      </c>
      <c r="S2637" s="13" t="s">
        <v>49</v>
      </c>
      <c r="T2637" s="13" t="s">
        <v>78</v>
      </c>
      <c r="U2637" s="13" t="s">
        <v>79</v>
      </c>
      <c r="V2637" s="13" t="s">
        <v>311</v>
      </c>
      <c r="W2637" s="13" t="s">
        <v>109</v>
      </c>
      <c r="X2637" s="135">
        <v>11500000</v>
      </c>
      <c r="Y2637" s="157" t="str">
        <f>IF(W2637="RMB","1.13", "1")</f>
        <v>1</v>
      </c>
      <c r="Z2637" s="18">
        <f t="shared" si="792"/>
        <v>11500000</v>
      </c>
      <c r="AA2637" s="13">
        <v>5.5399999999999998E-2</v>
      </c>
      <c r="AB2637" s="21">
        <f t="shared" si="778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79"/>
        <v>22717528.991150443</v>
      </c>
      <c r="AJ2637" s="19">
        <f t="shared" si="780"/>
        <v>3947747.192555753</v>
      </c>
      <c r="AK2637" s="20">
        <f t="shared" si="786"/>
        <v>0.1737753782153679</v>
      </c>
      <c r="AL2637" s="17"/>
      <c r="AM2637" s="17"/>
      <c r="AN2637" s="17"/>
      <c r="AO2637" s="17"/>
      <c r="AP2637" s="28" t="str">
        <f t="shared" si="787"/>
        <v>202210</v>
      </c>
      <c r="AQ2637" s="28" t="str">
        <f t="shared" si="788"/>
        <v>202210JPY</v>
      </c>
      <c r="AR2637" s="206" t="str">
        <f t="shared" si="789"/>
        <v>YAMAHA_Mounter</v>
      </c>
      <c r="AS2637" s="22">
        <f t="shared" si="790"/>
        <v>0</v>
      </c>
      <c r="AT2637" s="24" t="str">
        <f t="shared" si="791"/>
        <v>0-3 months</v>
      </c>
      <c r="AU2637" s="22" t="s">
        <v>3745</v>
      </c>
    </row>
    <row r="2638" spans="1:47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48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1299</v>
      </c>
      <c r="K2638" s="155" t="s">
        <v>1300</v>
      </c>
      <c r="L2638" s="17" t="s">
        <v>1301</v>
      </c>
      <c r="M2638" s="13" t="s">
        <v>60</v>
      </c>
      <c r="N2638" s="13">
        <v>1</v>
      </c>
      <c r="O2638" s="13"/>
      <c r="P2638" s="33" t="str">
        <f t="shared" si="775"/>
        <v>MAIN UNIT</v>
      </c>
      <c r="Q2638" s="13" t="s">
        <v>68</v>
      </c>
      <c r="R2638" s="13" t="s">
        <v>62</v>
      </c>
      <c r="S2638" s="13" t="s">
        <v>49</v>
      </c>
      <c r="T2638" s="13" t="s">
        <v>78</v>
      </c>
      <c r="U2638" s="13" t="s">
        <v>79</v>
      </c>
      <c r="V2638" s="13" t="s">
        <v>1302</v>
      </c>
      <c r="W2638" s="13" t="s">
        <v>1101</v>
      </c>
      <c r="X2638" s="135">
        <v>1600000</v>
      </c>
      <c r="Y2638" s="156">
        <v>1.1299999999999999</v>
      </c>
      <c r="Z2638" s="18">
        <f t="shared" si="792"/>
        <v>1600000</v>
      </c>
      <c r="AA2638" s="13">
        <v>1.135</v>
      </c>
      <c r="AB2638" s="21">
        <f t="shared" si="778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79"/>
        <v>28011162.254106201</v>
      </c>
      <c r="AJ2638" s="19">
        <f t="shared" si="780"/>
        <v>3401347.1124888416</v>
      </c>
      <c r="AK2638" s="20">
        <f t="shared" si="786"/>
        <v>0.12142827497242578</v>
      </c>
      <c r="AL2638" s="17"/>
      <c r="AM2638" s="17"/>
      <c r="AN2638" s="17"/>
      <c r="AO2638" s="17"/>
      <c r="AP2638" s="28" t="str">
        <f t="shared" si="787"/>
        <v>202010</v>
      </c>
      <c r="AQ2638" s="28" t="str">
        <f t="shared" si="788"/>
        <v>202010RMB</v>
      </c>
      <c r="AR2638" s="206" t="str">
        <f t="shared" si="789"/>
        <v>YAMAHA_Mounter</v>
      </c>
      <c r="AS2638" s="22">
        <f t="shared" si="790"/>
        <v>3</v>
      </c>
      <c r="AT2638" s="24" t="str">
        <f t="shared" si="791"/>
        <v>0-3 months</v>
      </c>
      <c r="AU2638" s="22" t="s">
        <v>3751</v>
      </c>
    </row>
    <row r="2639" spans="1:47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53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1967</v>
      </c>
      <c r="K2639" s="155" t="s">
        <v>1968</v>
      </c>
      <c r="L2639" s="17" t="s">
        <v>92</v>
      </c>
      <c r="M2639" s="13" t="s">
        <v>60</v>
      </c>
      <c r="N2639" s="13">
        <v>1</v>
      </c>
      <c r="O2639" s="13"/>
      <c r="P2639" s="33" t="str">
        <f t="shared" si="775"/>
        <v>MAIN UNIT</v>
      </c>
      <c r="Q2639" s="13" t="s">
        <v>61</v>
      </c>
      <c r="R2639" s="13" t="s">
        <v>62</v>
      </c>
      <c r="S2639" s="13" t="s">
        <v>49</v>
      </c>
      <c r="T2639" s="13" t="s">
        <v>78</v>
      </c>
      <c r="U2639" s="13" t="s">
        <v>79</v>
      </c>
      <c r="V2639" s="13" t="s">
        <v>1407</v>
      </c>
      <c r="W2639" s="13" t="s">
        <v>109</v>
      </c>
      <c r="X2639" s="135">
        <v>14500000</v>
      </c>
      <c r="Y2639" s="157" t="str">
        <f t="shared" ref="Y2639:Y2647" si="793">IF(W2639="RMB","1.13", "1")</f>
        <v>1</v>
      </c>
      <c r="Z2639" s="18">
        <f t="shared" si="792"/>
        <v>14500000</v>
      </c>
      <c r="AA2639" s="13">
        <v>6.9199999999999998E-2</v>
      </c>
      <c r="AB2639" s="21">
        <f t="shared" si="778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79"/>
        <v>31750699.113741599</v>
      </c>
      <c r="AJ2639" s="19">
        <f t="shared" si="780"/>
        <v>4396077.3195289988</v>
      </c>
      <c r="AK2639" s="20">
        <f t="shared" si="786"/>
        <v>0.13845607946397598</v>
      </c>
      <c r="AL2639" s="17"/>
      <c r="AM2639" s="17"/>
      <c r="AN2639" s="17"/>
      <c r="AO2639" s="17"/>
      <c r="AP2639" s="28" t="str">
        <f t="shared" si="787"/>
        <v>20222</v>
      </c>
      <c r="AQ2639" s="28" t="str">
        <f t="shared" si="788"/>
        <v>20222JPY</v>
      </c>
      <c r="AR2639" s="206" t="str">
        <f t="shared" si="789"/>
        <v>YAMAHA_Mounter</v>
      </c>
      <c r="AS2639" s="22">
        <f t="shared" si="790"/>
        <v>3</v>
      </c>
      <c r="AT2639" s="24" t="str">
        <f t="shared" si="791"/>
        <v>0-3 months</v>
      </c>
      <c r="AU2639" s="22" t="s">
        <v>3745</v>
      </c>
    </row>
    <row r="2640" spans="1:47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53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1967</v>
      </c>
      <c r="K2640" s="155" t="s">
        <v>1968</v>
      </c>
      <c r="L2640" s="17" t="s">
        <v>92</v>
      </c>
      <c r="M2640" s="13" t="s">
        <v>60</v>
      </c>
      <c r="N2640" s="13">
        <v>1</v>
      </c>
      <c r="O2640" s="13"/>
      <c r="P2640" s="33" t="str">
        <f t="shared" si="775"/>
        <v>MAIN UNIT</v>
      </c>
      <c r="Q2640" s="13" t="s">
        <v>61</v>
      </c>
      <c r="R2640" s="13" t="s">
        <v>62</v>
      </c>
      <c r="S2640" s="13" t="s">
        <v>49</v>
      </c>
      <c r="T2640" s="13" t="s">
        <v>78</v>
      </c>
      <c r="U2640" s="13" t="s">
        <v>79</v>
      </c>
      <c r="V2640" s="13" t="s">
        <v>1407</v>
      </c>
      <c r="W2640" s="13" t="s">
        <v>109</v>
      </c>
      <c r="X2640" s="135">
        <v>14500000</v>
      </c>
      <c r="Y2640" s="157" t="str">
        <f t="shared" si="793"/>
        <v>1</v>
      </c>
      <c r="Z2640" s="18">
        <f t="shared" si="792"/>
        <v>14500000</v>
      </c>
      <c r="AA2640" s="13">
        <v>6.9199999999999998E-2</v>
      </c>
      <c r="AB2640" s="21">
        <f t="shared" si="778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79"/>
        <v>31750699.113741599</v>
      </c>
      <c r="AJ2640" s="19">
        <f t="shared" si="780"/>
        <v>4396077.3195289988</v>
      </c>
      <c r="AK2640" s="20">
        <f t="shared" si="786"/>
        <v>0.13845607946397598</v>
      </c>
      <c r="AL2640" s="17"/>
      <c r="AM2640" s="17"/>
      <c r="AN2640" s="17"/>
      <c r="AO2640" s="17"/>
      <c r="AP2640" s="28" t="str">
        <f t="shared" si="787"/>
        <v>20222</v>
      </c>
      <c r="AQ2640" s="28" t="str">
        <f t="shared" si="788"/>
        <v>20222JPY</v>
      </c>
      <c r="AR2640" s="206" t="str">
        <f t="shared" si="789"/>
        <v>YAMAHA_Mounter</v>
      </c>
      <c r="AS2640" s="22">
        <f t="shared" si="790"/>
        <v>3</v>
      </c>
      <c r="AT2640" s="24" t="str">
        <f t="shared" si="791"/>
        <v>0-3 months</v>
      </c>
      <c r="AU2640" s="22" t="s">
        <v>3745</v>
      </c>
    </row>
    <row r="2641" spans="1:47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53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1967</v>
      </c>
      <c r="K2641" s="155" t="s">
        <v>1968</v>
      </c>
      <c r="L2641" s="17" t="s">
        <v>67</v>
      </c>
      <c r="M2641" s="13" t="s">
        <v>60</v>
      </c>
      <c r="N2641" s="13">
        <v>1</v>
      </c>
      <c r="O2641" s="13"/>
      <c r="P2641" s="33" t="str">
        <f t="shared" si="775"/>
        <v>MAIN UNIT</v>
      </c>
      <c r="Q2641" s="13" t="s">
        <v>61</v>
      </c>
      <c r="R2641" s="13" t="s">
        <v>62</v>
      </c>
      <c r="S2641" s="13" t="s">
        <v>49</v>
      </c>
      <c r="T2641" s="13" t="s">
        <v>78</v>
      </c>
      <c r="U2641" s="13" t="s">
        <v>79</v>
      </c>
      <c r="V2641" s="13" t="s">
        <v>1407</v>
      </c>
      <c r="W2641" s="13" t="s">
        <v>109</v>
      </c>
      <c r="X2641" s="135">
        <v>10000000</v>
      </c>
      <c r="Y2641" s="157" t="str">
        <f t="shared" si="793"/>
        <v>1</v>
      </c>
      <c r="Z2641" s="18">
        <f t="shared" si="792"/>
        <v>10000000</v>
      </c>
      <c r="AA2641" s="13">
        <v>6.9199999999999998E-2</v>
      </c>
      <c r="AB2641" s="21">
        <f t="shared" si="778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79"/>
        <v>31750699.113741599</v>
      </c>
      <c r="AJ2641" s="19">
        <f t="shared" si="780"/>
        <v>4396077.3195289988</v>
      </c>
      <c r="AK2641" s="20">
        <f t="shared" si="786"/>
        <v>0.13845607946397598</v>
      </c>
      <c r="AL2641" s="17"/>
      <c r="AM2641" s="17"/>
      <c r="AN2641" s="17"/>
      <c r="AO2641" s="17"/>
      <c r="AP2641" s="28" t="str">
        <f t="shared" si="787"/>
        <v>20222</v>
      </c>
      <c r="AQ2641" s="28" t="str">
        <f t="shared" si="788"/>
        <v>20222JPY</v>
      </c>
      <c r="AR2641" s="206" t="str">
        <f t="shared" si="789"/>
        <v>YAMAHA_Mounter</v>
      </c>
      <c r="AS2641" s="22">
        <f t="shared" si="790"/>
        <v>3</v>
      </c>
      <c r="AT2641" s="24" t="str">
        <f t="shared" si="791"/>
        <v>0-3 months</v>
      </c>
      <c r="AU2641" s="22" t="s">
        <v>3745</v>
      </c>
    </row>
    <row r="2642" spans="1:47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185</v>
      </c>
      <c r="F2642" s="13" t="s">
        <v>185</v>
      </c>
      <c r="G2642" s="152" t="s">
        <v>185</v>
      </c>
      <c r="H2642" s="155"/>
      <c r="I2642" s="33" t="str">
        <f t="shared" si="783"/>
        <v>Cancel</v>
      </c>
      <c r="J2642" s="186" t="s">
        <v>2612</v>
      </c>
      <c r="K2642" s="155" t="s">
        <v>1968</v>
      </c>
      <c r="L2642" s="17" t="s">
        <v>92</v>
      </c>
      <c r="M2642" s="13" t="s">
        <v>60</v>
      </c>
      <c r="N2642" s="13">
        <v>1</v>
      </c>
      <c r="O2642" s="13"/>
      <c r="P2642" s="33" t="str">
        <f t="shared" si="775"/>
        <v>MAIN UNIT</v>
      </c>
      <c r="Q2642" s="13" t="s">
        <v>61</v>
      </c>
      <c r="R2642" s="13" t="s">
        <v>62</v>
      </c>
      <c r="S2642" s="13" t="s">
        <v>49</v>
      </c>
      <c r="T2642" s="13" t="s">
        <v>78</v>
      </c>
      <c r="U2642" s="13" t="s">
        <v>79</v>
      </c>
      <c r="V2642" s="13" t="s">
        <v>1407</v>
      </c>
      <c r="W2642" s="13" t="s">
        <v>109</v>
      </c>
      <c r="X2642" s="135">
        <v>15000000</v>
      </c>
      <c r="Y2642" s="157" t="str">
        <f t="shared" si="793"/>
        <v>1</v>
      </c>
      <c r="Z2642" s="18">
        <f t="shared" si="792"/>
        <v>15000000</v>
      </c>
      <c r="AA2642" s="13">
        <v>5.3400000000000003E-2</v>
      </c>
      <c r="AB2642" s="21">
        <f t="shared" si="778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79"/>
        <v>499582152.5142017</v>
      </c>
      <c r="AJ2642" s="19">
        <f t="shared" si="780"/>
        <v>59520528.679470733</v>
      </c>
      <c r="AK2642" s="20">
        <f t="shared" si="786"/>
        <v>0.11914062257814291</v>
      </c>
      <c r="AL2642" s="17"/>
      <c r="AM2642" s="17"/>
      <c r="AN2642" s="17"/>
      <c r="AO2642" s="17"/>
      <c r="AP2642" s="28" t="str">
        <f t="shared" si="787"/>
        <v>CancelCancel</v>
      </c>
      <c r="AQ2642" s="28" t="str">
        <f t="shared" si="788"/>
        <v>CancelCancelJPY</v>
      </c>
      <c r="AR2642" s="206" t="str">
        <f t="shared" si="789"/>
        <v>YAMAHA_Mounter</v>
      </c>
      <c r="AS2642" s="22" t="str">
        <f t="shared" si="790"/>
        <v/>
      </c>
      <c r="AT2642" s="24" t="str">
        <f t="shared" si="791"/>
        <v/>
      </c>
      <c r="AU2642" s="22" t="s">
        <v>3745</v>
      </c>
    </row>
    <row r="2643" spans="1:47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185</v>
      </c>
      <c r="F2643" s="13" t="s">
        <v>185</v>
      </c>
      <c r="G2643" s="152" t="s">
        <v>185</v>
      </c>
      <c r="H2643" s="155"/>
      <c r="I2643" s="33" t="str">
        <f t="shared" si="783"/>
        <v>Cancel</v>
      </c>
      <c r="J2643" s="186" t="s">
        <v>2612</v>
      </c>
      <c r="K2643" s="155" t="s">
        <v>1968</v>
      </c>
      <c r="L2643" s="17" t="s">
        <v>92</v>
      </c>
      <c r="M2643" s="13" t="s">
        <v>60</v>
      </c>
      <c r="N2643" s="13">
        <v>1</v>
      </c>
      <c r="O2643" s="13"/>
      <c r="P2643" s="33" t="str">
        <f t="shared" si="775"/>
        <v>MAIN UNIT</v>
      </c>
      <c r="Q2643" s="13" t="s">
        <v>61</v>
      </c>
      <c r="R2643" s="13" t="s">
        <v>62</v>
      </c>
      <c r="S2643" s="13" t="s">
        <v>49</v>
      </c>
      <c r="T2643" s="13" t="s">
        <v>78</v>
      </c>
      <c r="U2643" s="13" t="s">
        <v>79</v>
      </c>
      <c r="V2643" s="13" t="s">
        <v>1407</v>
      </c>
      <c r="W2643" s="13" t="s">
        <v>109</v>
      </c>
      <c r="X2643" s="135">
        <v>15000000</v>
      </c>
      <c r="Y2643" s="157" t="str">
        <f t="shared" si="793"/>
        <v>1</v>
      </c>
      <c r="Z2643" s="18">
        <f t="shared" si="792"/>
        <v>15000000</v>
      </c>
      <c r="AA2643" s="13">
        <v>5.3400000000000003E-2</v>
      </c>
      <c r="AB2643" s="21">
        <f t="shared" si="778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79"/>
        <v>499582152.5142017</v>
      </c>
      <c r="AJ2643" s="19">
        <f t="shared" si="780"/>
        <v>59520528.679470733</v>
      </c>
      <c r="AK2643" s="20">
        <f t="shared" si="786"/>
        <v>0.11914062257814291</v>
      </c>
      <c r="AL2643" s="17"/>
      <c r="AM2643" s="17"/>
      <c r="AN2643" s="17"/>
      <c r="AO2643" s="17"/>
      <c r="AP2643" s="28" t="str">
        <f t="shared" si="787"/>
        <v>CancelCancel</v>
      </c>
      <c r="AQ2643" s="28" t="str">
        <f t="shared" si="788"/>
        <v>CancelCancelJPY</v>
      </c>
      <c r="AR2643" s="206" t="str">
        <f t="shared" si="789"/>
        <v>YAMAHA_Mounter</v>
      </c>
      <c r="AS2643" s="22" t="str">
        <f t="shared" si="790"/>
        <v/>
      </c>
      <c r="AT2643" s="24" t="str">
        <f t="shared" si="791"/>
        <v/>
      </c>
      <c r="AU2643" s="22" t="s">
        <v>3745</v>
      </c>
    </row>
    <row r="2644" spans="1:47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55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2618</v>
      </c>
      <c r="K2644" s="155" t="s">
        <v>1968</v>
      </c>
      <c r="L2644" s="17" t="s">
        <v>92</v>
      </c>
      <c r="M2644" s="13" t="s">
        <v>60</v>
      </c>
      <c r="N2644" s="13">
        <v>1</v>
      </c>
      <c r="O2644" s="13"/>
      <c r="P2644" s="33" t="str">
        <f t="shared" si="775"/>
        <v>MAIN UNIT</v>
      </c>
      <c r="Q2644" s="13" t="s">
        <v>61</v>
      </c>
      <c r="R2644" s="13" t="s">
        <v>62</v>
      </c>
      <c r="S2644" s="13" t="s">
        <v>49</v>
      </c>
      <c r="T2644" s="13" t="s">
        <v>78</v>
      </c>
      <c r="U2644" s="13" t="s">
        <v>79</v>
      </c>
      <c r="V2644" s="13" t="s">
        <v>1407</v>
      </c>
      <c r="W2644" s="13" t="s">
        <v>109</v>
      </c>
      <c r="X2644" s="135">
        <v>15000000</v>
      </c>
      <c r="Y2644" s="157" t="str">
        <f t="shared" si="793"/>
        <v>1</v>
      </c>
      <c r="Z2644" s="18">
        <f t="shared" si="792"/>
        <v>15000000</v>
      </c>
      <c r="AA2644" s="13">
        <v>5.3400000000000003E-2</v>
      </c>
      <c r="AB2644" s="21">
        <f t="shared" si="778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79"/>
        <v>11730565.00042478</v>
      </c>
      <c r="AJ2644" s="19">
        <f t="shared" si="780"/>
        <v>1439625.5685810833</v>
      </c>
      <c r="AK2644" s="20">
        <f t="shared" si="786"/>
        <v>0.12272431622253084</v>
      </c>
      <c r="AL2644" s="17"/>
      <c r="AM2644" s="17"/>
      <c r="AN2644" s="17"/>
      <c r="AO2644" s="17"/>
      <c r="AP2644" s="28" t="str">
        <f t="shared" si="787"/>
        <v>202311</v>
      </c>
      <c r="AQ2644" s="28" t="str">
        <f t="shared" si="788"/>
        <v>202311JPY</v>
      </c>
      <c r="AR2644" s="206" t="str">
        <f t="shared" si="789"/>
        <v>YAMAHA_Mounter</v>
      </c>
      <c r="AS2644" s="22">
        <f t="shared" si="790"/>
        <v>4</v>
      </c>
      <c r="AT2644" s="24" t="str">
        <f t="shared" si="791"/>
        <v>4-6 months</v>
      </c>
      <c r="AU2644" s="22" t="s">
        <v>3745</v>
      </c>
    </row>
    <row r="2645" spans="1:47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2618</v>
      </c>
      <c r="K2645" s="155" t="s">
        <v>1968</v>
      </c>
      <c r="L2645" s="17" t="s">
        <v>92</v>
      </c>
      <c r="M2645" s="13" t="s">
        <v>60</v>
      </c>
      <c r="N2645" s="13">
        <v>1</v>
      </c>
      <c r="O2645" s="13"/>
      <c r="P2645" s="33" t="str">
        <f t="shared" si="775"/>
        <v>MAIN UNIT</v>
      </c>
      <c r="Q2645" s="13" t="s">
        <v>61</v>
      </c>
      <c r="R2645" s="13" t="s">
        <v>62</v>
      </c>
      <c r="S2645" s="13" t="s">
        <v>49</v>
      </c>
      <c r="T2645" s="13" t="s">
        <v>78</v>
      </c>
      <c r="U2645" s="13" t="s">
        <v>79</v>
      </c>
      <c r="V2645" s="13" t="s">
        <v>1407</v>
      </c>
      <c r="W2645" s="13" t="s">
        <v>109</v>
      </c>
      <c r="X2645" s="135">
        <v>15000000</v>
      </c>
      <c r="Y2645" s="157" t="str">
        <f t="shared" si="793"/>
        <v>1</v>
      </c>
      <c r="Z2645" s="18">
        <f t="shared" si="792"/>
        <v>15000000</v>
      </c>
      <c r="AA2645" s="13">
        <v>5.3400000000000003E-2</v>
      </c>
      <c r="AB2645" s="21">
        <f t="shared" si="778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79"/>
        <v>11730565.00042478</v>
      </c>
      <c r="AJ2645" s="19">
        <f t="shared" si="780"/>
        <v>1439625.5685810833</v>
      </c>
      <c r="AK2645" s="20">
        <f t="shared" si="786"/>
        <v>0.12272431622253084</v>
      </c>
      <c r="AL2645" s="17"/>
      <c r="AM2645" s="17"/>
      <c r="AN2645" s="17"/>
      <c r="AO2645" s="17"/>
      <c r="AP2645" s="28" t="str">
        <f t="shared" si="787"/>
        <v>202311</v>
      </c>
      <c r="AQ2645" s="28" t="str">
        <f t="shared" si="788"/>
        <v>202311JPY</v>
      </c>
      <c r="AR2645" s="206" t="str">
        <f t="shared" si="789"/>
        <v>YAMAHA_Mounter</v>
      </c>
      <c r="AS2645" s="22">
        <f t="shared" si="790"/>
        <v>4</v>
      </c>
      <c r="AT2645" s="24" t="str">
        <f t="shared" si="791"/>
        <v>4-6 months</v>
      </c>
      <c r="AU2645" s="22" t="s">
        <v>3745</v>
      </c>
    </row>
    <row r="2646" spans="1:47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185</v>
      </c>
      <c r="G2646" s="152" t="s">
        <v>185</v>
      </c>
      <c r="H2646" s="155"/>
      <c r="I2646" s="33" t="str">
        <f t="shared" si="783"/>
        <v>Cancel</v>
      </c>
      <c r="J2646" s="186" t="s">
        <v>2612</v>
      </c>
      <c r="K2646" s="155" t="s">
        <v>1968</v>
      </c>
      <c r="L2646" s="17" t="s">
        <v>92</v>
      </c>
      <c r="M2646" s="13" t="s">
        <v>60</v>
      </c>
      <c r="N2646" s="13">
        <v>1</v>
      </c>
      <c r="O2646" s="13"/>
      <c r="P2646" s="33" t="str">
        <f t="shared" ref="P2646:P2709" si="794">IF(M2646="","",IF(AND(N2646&gt;0,L2646&lt;&gt;""),"MAIN UNIT",IF(AND(O2646&gt;0,L2646&lt;&gt;""),"SERVICE/ PARTS","C66 SERVICE/OTHERS")))</f>
        <v>MAIN UNIT</v>
      </c>
      <c r="Q2646" s="13" t="s">
        <v>61</v>
      </c>
      <c r="R2646" s="13" t="s">
        <v>62</v>
      </c>
      <c r="S2646" s="13" t="s">
        <v>49</v>
      </c>
      <c r="T2646" s="13" t="s">
        <v>78</v>
      </c>
      <c r="U2646" s="13" t="s">
        <v>79</v>
      </c>
      <c r="V2646" s="13" t="s">
        <v>1407</v>
      </c>
      <c r="W2646" s="13" t="s">
        <v>109</v>
      </c>
      <c r="X2646" s="135">
        <v>15000000</v>
      </c>
      <c r="Y2646" s="157" t="str">
        <f t="shared" si="793"/>
        <v>1</v>
      </c>
      <c r="Z2646" s="18">
        <f t="shared" si="792"/>
        <v>15000000</v>
      </c>
      <c r="AA2646" s="13">
        <v>5.4199999999999998E-2</v>
      </c>
      <c r="AB2646" s="21">
        <f t="shared" si="778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79"/>
        <v>499582152.5142017</v>
      </c>
      <c r="AJ2646" s="19">
        <f t="shared" si="780"/>
        <v>59520528.679470733</v>
      </c>
      <c r="AK2646" s="20">
        <f t="shared" si="786"/>
        <v>0.11914062257814291</v>
      </c>
      <c r="AL2646" s="17"/>
      <c r="AM2646" s="17"/>
      <c r="AN2646" s="17"/>
      <c r="AO2646" s="17"/>
      <c r="AP2646" s="28" t="str">
        <f t="shared" si="787"/>
        <v>CancelCancel</v>
      </c>
      <c r="AQ2646" s="28" t="str">
        <f t="shared" si="788"/>
        <v>CancelCancelJPY</v>
      </c>
      <c r="AR2646" s="206" t="str">
        <f t="shared" si="789"/>
        <v>YAMAHA_Mounter</v>
      </c>
      <c r="AS2646" s="22" t="str">
        <f t="shared" si="790"/>
        <v/>
      </c>
      <c r="AT2646" s="24" t="str">
        <f t="shared" si="791"/>
        <v/>
      </c>
      <c r="AU2646" s="22" t="s">
        <v>3745</v>
      </c>
    </row>
    <row r="2647" spans="1:47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185</v>
      </c>
      <c r="G2647" s="152" t="s">
        <v>185</v>
      </c>
      <c r="H2647" s="155"/>
      <c r="I2647" s="33" t="str">
        <f t="shared" si="783"/>
        <v>Cancel</v>
      </c>
      <c r="J2647" s="186" t="s">
        <v>2612</v>
      </c>
      <c r="K2647" s="155" t="s">
        <v>1968</v>
      </c>
      <c r="L2647" s="17" t="s">
        <v>92</v>
      </c>
      <c r="M2647" s="13" t="s">
        <v>60</v>
      </c>
      <c r="N2647" s="13">
        <v>1</v>
      </c>
      <c r="O2647" s="13"/>
      <c r="P2647" s="33" t="str">
        <f t="shared" si="794"/>
        <v>MAIN UNIT</v>
      </c>
      <c r="Q2647" s="13" t="s">
        <v>61</v>
      </c>
      <c r="R2647" s="13" t="s">
        <v>62</v>
      </c>
      <c r="S2647" s="13" t="s">
        <v>49</v>
      </c>
      <c r="T2647" s="13" t="s">
        <v>78</v>
      </c>
      <c r="U2647" s="13" t="s">
        <v>79</v>
      </c>
      <c r="V2647" s="13" t="s">
        <v>1407</v>
      </c>
      <c r="W2647" s="13" t="s">
        <v>109</v>
      </c>
      <c r="X2647" s="135">
        <v>15000000</v>
      </c>
      <c r="Y2647" s="157" t="str">
        <f t="shared" si="793"/>
        <v>1</v>
      </c>
      <c r="Z2647" s="18">
        <f t="shared" si="792"/>
        <v>15000000</v>
      </c>
      <c r="AA2647" s="13">
        <v>5.4199999999999998E-2</v>
      </c>
      <c r="AB2647" s="21">
        <f t="shared" si="778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79"/>
        <v>499582152.5142017</v>
      </c>
      <c r="AJ2647" s="19">
        <f t="shared" si="780"/>
        <v>59520528.679470733</v>
      </c>
      <c r="AK2647" s="20">
        <f t="shared" si="786"/>
        <v>0.11914062257814291</v>
      </c>
      <c r="AL2647" s="17"/>
      <c r="AM2647" s="17"/>
      <c r="AN2647" s="17"/>
      <c r="AO2647" s="17"/>
      <c r="AP2647" s="28" t="str">
        <f t="shared" si="787"/>
        <v>CancelCancel</v>
      </c>
      <c r="AQ2647" s="28" t="str">
        <f t="shared" si="788"/>
        <v>CancelCancelJPY</v>
      </c>
      <c r="AR2647" s="206" t="str">
        <f t="shared" si="789"/>
        <v>YAMAHA_Mounter</v>
      </c>
      <c r="AS2647" s="22" t="str">
        <f t="shared" si="790"/>
        <v/>
      </c>
      <c r="AT2647" s="24" t="str">
        <f t="shared" si="791"/>
        <v/>
      </c>
      <c r="AU2647" s="22" t="s">
        <v>3745</v>
      </c>
    </row>
    <row r="2648" spans="1:47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43</v>
      </c>
      <c r="M2648" s="22" t="s">
        <v>43</v>
      </c>
      <c r="N2648" s="22">
        <v>0</v>
      </c>
      <c r="O2648" s="22"/>
      <c r="P2648" s="202" t="str">
        <f t="shared" si="794"/>
        <v>C66 SERVICE/OTHERS</v>
      </c>
      <c r="Q2648" s="22" t="s">
        <v>45</v>
      </c>
      <c r="R2648" s="22" t="s">
        <v>45</v>
      </c>
      <c r="S2648" s="22" t="s">
        <v>51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2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79"/>
        <v>25458266.694690265</v>
      </c>
      <c r="AJ2648" s="200">
        <f t="shared" si="780"/>
        <v>4116526.778578762</v>
      </c>
      <c r="AK2648" s="201">
        <f t="shared" si="786"/>
        <v>0.16169705612508689</v>
      </c>
      <c r="AL2648" s="24"/>
      <c r="AM2648" s="24"/>
      <c r="AN2648" s="24"/>
      <c r="AO2648" s="24"/>
      <c r="AP2648" s="105" t="str">
        <f t="shared" si="787"/>
        <v>20247</v>
      </c>
      <c r="AQ2648" s="28" t="str">
        <f t="shared" si="788"/>
        <v/>
      </c>
      <c r="AR2648" s="206" t="str">
        <f t="shared" si="789"/>
        <v>C66 SERVICE</v>
      </c>
      <c r="AS2648" s="22" t="str">
        <f t="shared" si="790"/>
        <v/>
      </c>
      <c r="AT2648" s="24" t="str">
        <f t="shared" si="791"/>
        <v/>
      </c>
      <c r="AU2648" s="22">
        <v>0</v>
      </c>
    </row>
    <row r="2649" spans="1:47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54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2023</v>
      </c>
      <c r="K2649" s="155" t="s">
        <v>2024</v>
      </c>
      <c r="L2649" s="17" t="s">
        <v>67</v>
      </c>
      <c r="M2649" s="13" t="s">
        <v>60</v>
      </c>
      <c r="N2649" s="13">
        <v>1</v>
      </c>
      <c r="O2649" s="13"/>
      <c r="P2649" s="33" t="str">
        <f t="shared" si="794"/>
        <v>MAIN UNIT</v>
      </c>
      <c r="Q2649" s="13" t="s">
        <v>68</v>
      </c>
      <c r="R2649" s="13" t="s">
        <v>62</v>
      </c>
      <c r="S2649" s="13" t="s">
        <v>51</v>
      </c>
      <c r="T2649" s="13" t="s">
        <v>349</v>
      </c>
      <c r="U2649" s="13" t="s">
        <v>149</v>
      </c>
      <c r="V2649" s="13" t="s">
        <v>954</v>
      </c>
      <c r="W2649" s="13" t="s">
        <v>64</v>
      </c>
      <c r="X2649" s="135">
        <v>768000</v>
      </c>
      <c r="Y2649" s="157" t="str">
        <f>IF(W2649="RMB","1.13", "1")</f>
        <v>1.13</v>
      </c>
      <c r="Z2649" s="18">
        <f t="shared" si="792"/>
        <v>768000</v>
      </c>
      <c r="AA2649" s="13">
        <v>1.1950000000000001</v>
      </c>
      <c r="AB2649" s="21">
        <f t="shared" ref="AB2649:AB2677" si="795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79"/>
        <v>44014086.982070789</v>
      </c>
      <c r="AJ2649" s="19">
        <f t="shared" si="780"/>
        <v>6419974.0221889298</v>
      </c>
      <c r="AK2649" s="20">
        <f t="shared" si="786"/>
        <v>0.14586180158193709</v>
      </c>
      <c r="AL2649" s="17"/>
      <c r="AM2649" s="17"/>
      <c r="AN2649" s="17"/>
      <c r="AO2649" s="17"/>
      <c r="AP2649" s="28" t="str">
        <f t="shared" si="787"/>
        <v>20225</v>
      </c>
      <c r="AQ2649" s="28" t="str">
        <f t="shared" si="788"/>
        <v>20225RMB</v>
      </c>
      <c r="AR2649" s="206" t="str">
        <f t="shared" si="789"/>
        <v>YAMAHA_Mounter</v>
      </c>
      <c r="AS2649" s="22">
        <f t="shared" si="790"/>
        <v>5</v>
      </c>
      <c r="AT2649" s="24" t="str">
        <f t="shared" si="791"/>
        <v>4-6 months</v>
      </c>
      <c r="AU2649" s="22" t="s">
        <v>3240</v>
      </c>
    </row>
    <row r="2650" spans="1:47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41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424</v>
      </c>
      <c r="K2650" s="155" t="s">
        <v>425</v>
      </c>
      <c r="L2650" s="17" t="s">
        <v>77</v>
      </c>
      <c r="M2650" s="13" t="s">
        <v>60</v>
      </c>
      <c r="N2650" s="13">
        <v>1</v>
      </c>
      <c r="O2650" s="13"/>
      <c r="P2650" s="33" t="str">
        <f t="shared" si="794"/>
        <v>MAIN UNIT</v>
      </c>
      <c r="Q2650" s="13" t="s">
        <v>61</v>
      </c>
      <c r="R2650" s="13" t="s">
        <v>62</v>
      </c>
      <c r="S2650" s="13" t="s">
        <v>49</v>
      </c>
      <c r="T2650" s="13" t="s">
        <v>78</v>
      </c>
      <c r="U2650" s="13" t="s">
        <v>79</v>
      </c>
      <c r="V2650" s="13" t="s">
        <v>121</v>
      </c>
      <c r="W2650" s="13" t="s">
        <v>109</v>
      </c>
      <c r="X2650" s="135">
        <v>11400000</v>
      </c>
      <c r="Y2650" s="156">
        <v>1</v>
      </c>
      <c r="Z2650" s="18">
        <f t="shared" si="792"/>
        <v>11400000</v>
      </c>
      <c r="AA2650" s="13">
        <v>7.2099999999999997E-2</v>
      </c>
      <c r="AB2650" s="21">
        <f t="shared" si="795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79"/>
        <v>26492741.106427077</v>
      </c>
      <c r="AJ2650" s="19">
        <f t="shared" si="780"/>
        <v>3348032.1325698122</v>
      </c>
      <c r="AK2650" s="20">
        <f t="shared" si="786"/>
        <v>0.12637545201985867</v>
      </c>
      <c r="AL2650" s="17"/>
      <c r="AM2650" s="17"/>
      <c r="AN2650" s="17"/>
      <c r="AO2650" s="17"/>
      <c r="AP2650" s="28" t="str">
        <f t="shared" si="787"/>
        <v>20189</v>
      </c>
      <c r="AQ2650" s="28" t="str">
        <f t="shared" si="788"/>
        <v>20189JPY</v>
      </c>
      <c r="AR2650" s="206" t="str">
        <f t="shared" si="789"/>
        <v>YAMAHA_Mounter</v>
      </c>
      <c r="AS2650" s="22">
        <f t="shared" si="790"/>
        <v>3</v>
      </c>
      <c r="AT2650" s="24" t="str">
        <f t="shared" si="791"/>
        <v>0-3 months</v>
      </c>
      <c r="AU2650" s="22" t="s">
        <v>3746</v>
      </c>
    </row>
    <row r="2651" spans="1:47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41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424</v>
      </c>
      <c r="K2651" s="155" t="s">
        <v>425</v>
      </c>
      <c r="L2651" s="17" t="s">
        <v>67</v>
      </c>
      <c r="M2651" s="13" t="s">
        <v>60</v>
      </c>
      <c r="N2651" s="13">
        <v>1</v>
      </c>
      <c r="O2651" s="13"/>
      <c r="P2651" s="33" t="str">
        <f t="shared" si="794"/>
        <v>MAIN UNIT</v>
      </c>
      <c r="Q2651" s="13" t="s">
        <v>61</v>
      </c>
      <c r="R2651" s="13" t="s">
        <v>62</v>
      </c>
      <c r="S2651" s="13" t="s">
        <v>49</v>
      </c>
      <c r="T2651" s="13" t="s">
        <v>78</v>
      </c>
      <c r="U2651" s="13" t="s">
        <v>79</v>
      </c>
      <c r="V2651" s="13" t="s">
        <v>121</v>
      </c>
      <c r="W2651" s="13" t="s">
        <v>109</v>
      </c>
      <c r="X2651" s="135">
        <v>9400000</v>
      </c>
      <c r="Y2651" s="156">
        <v>1</v>
      </c>
      <c r="Z2651" s="18">
        <f t="shared" si="792"/>
        <v>9400000</v>
      </c>
      <c r="AA2651" s="13">
        <v>7.2099999999999997E-2</v>
      </c>
      <c r="AB2651" s="21">
        <f t="shared" si="795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79"/>
        <v>26492741.106427077</v>
      </c>
      <c r="AJ2651" s="19">
        <f t="shared" si="780"/>
        <v>3348032.1325698122</v>
      </c>
      <c r="AK2651" s="20">
        <f t="shared" si="786"/>
        <v>0.12637545201985867</v>
      </c>
      <c r="AL2651" s="17"/>
      <c r="AM2651" s="17"/>
      <c r="AN2651" s="17"/>
      <c r="AO2651" s="17"/>
      <c r="AP2651" s="28" t="str">
        <f t="shared" si="787"/>
        <v>20189</v>
      </c>
      <c r="AQ2651" s="28" t="str">
        <f t="shared" si="788"/>
        <v>20189JPY</v>
      </c>
      <c r="AR2651" s="206" t="str">
        <f t="shared" si="789"/>
        <v>YAMAHA_Mounter</v>
      </c>
      <c r="AS2651" s="22">
        <f t="shared" si="790"/>
        <v>3</v>
      </c>
      <c r="AT2651" s="24" t="str">
        <f t="shared" si="791"/>
        <v>0-3 months</v>
      </c>
      <c r="AU2651" s="22" t="s">
        <v>3746</v>
      </c>
    </row>
    <row r="2652" spans="1:47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185</v>
      </c>
      <c r="F2652" s="13" t="s">
        <v>185</v>
      </c>
      <c r="G2652" s="152" t="s">
        <v>185</v>
      </c>
      <c r="H2652" s="155"/>
      <c r="I2652" s="33" t="str">
        <f t="shared" si="783"/>
        <v>Cancel</v>
      </c>
      <c r="J2652" s="186" t="s">
        <v>619</v>
      </c>
      <c r="K2652" s="155" t="s">
        <v>425</v>
      </c>
      <c r="L2652" s="17" t="s">
        <v>67</v>
      </c>
      <c r="M2652" s="13" t="s">
        <v>60</v>
      </c>
      <c r="N2652" s="13">
        <v>2</v>
      </c>
      <c r="O2652" s="13"/>
      <c r="P2652" s="33" t="str">
        <f t="shared" si="794"/>
        <v>MAIN UNIT</v>
      </c>
      <c r="Q2652" s="13" t="s">
        <v>61</v>
      </c>
      <c r="R2652" s="13" t="s">
        <v>62</v>
      </c>
      <c r="S2652" s="13" t="s">
        <v>49</v>
      </c>
      <c r="T2652" s="13" t="s">
        <v>78</v>
      </c>
      <c r="U2652" s="13" t="s">
        <v>79</v>
      </c>
      <c r="V2652" s="13" t="s">
        <v>121</v>
      </c>
      <c r="W2652" s="13" t="s">
        <v>109</v>
      </c>
      <c r="X2652" s="135">
        <v>8500000</v>
      </c>
      <c r="Y2652" s="156">
        <v>1</v>
      </c>
      <c r="Z2652" s="18">
        <f t="shared" si="792"/>
        <v>17000000</v>
      </c>
      <c r="AA2652" s="13">
        <v>7.2099999999999997E-2</v>
      </c>
      <c r="AB2652" s="21">
        <f t="shared" si="795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79"/>
        <v>499582152.5142017</v>
      </c>
      <c r="AJ2652" s="19">
        <f t="shared" si="780"/>
        <v>59520528.679470733</v>
      </c>
      <c r="AK2652" s="20">
        <f t="shared" si="786"/>
        <v>0.11914062257814291</v>
      </c>
      <c r="AL2652" s="17"/>
      <c r="AM2652" s="17"/>
      <c r="AN2652" s="17"/>
      <c r="AO2652" s="17"/>
      <c r="AP2652" s="28" t="str">
        <f t="shared" si="787"/>
        <v>CancelCancel</v>
      </c>
      <c r="AQ2652" s="28" t="str">
        <f t="shared" si="788"/>
        <v>CancelCancelJPY</v>
      </c>
      <c r="AR2652" s="206" t="str">
        <f t="shared" si="789"/>
        <v>YAMAHA_Mounter</v>
      </c>
      <c r="AS2652" s="22" t="str">
        <f t="shared" si="790"/>
        <v/>
      </c>
      <c r="AT2652" s="24" t="str">
        <f t="shared" si="791"/>
        <v/>
      </c>
      <c r="AU2652" s="22" t="s">
        <v>3746</v>
      </c>
    </row>
    <row r="2653" spans="1:47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47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881</v>
      </c>
      <c r="K2653" s="155" t="s">
        <v>425</v>
      </c>
      <c r="L2653" s="17" t="s">
        <v>92</v>
      </c>
      <c r="M2653" s="13" t="s">
        <v>60</v>
      </c>
      <c r="N2653" s="13">
        <v>1</v>
      </c>
      <c r="O2653" s="13"/>
      <c r="P2653" s="33" t="str">
        <f t="shared" si="794"/>
        <v>MAIN UNIT</v>
      </c>
      <c r="Q2653" s="13" t="s">
        <v>61</v>
      </c>
      <c r="R2653" s="13" t="s">
        <v>62</v>
      </c>
      <c r="S2653" s="13" t="s">
        <v>49</v>
      </c>
      <c r="T2653" s="13" t="s">
        <v>78</v>
      </c>
      <c r="U2653" s="13" t="s">
        <v>79</v>
      </c>
      <c r="V2653" s="13" t="s">
        <v>121</v>
      </c>
      <c r="W2653" s="13" t="s">
        <v>109</v>
      </c>
      <c r="X2653" s="135">
        <v>13200000</v>
      </c>
      <c r="Y2653" s="156">
        <v>1</v>
      </c>
      <c r="Z2653" s="18">
        <f t="shared" si="792"/>
        <v>13200000</v>
      </c>
      <c r="AA2653" s="13">
        <v>7.17E-2</v>
      </c>
      <c r="AB2653" s="21">
        <f t="shared" si="795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79"/>
        <v>14593788.187146019</v>
      </c>
      <c r="AJ2653" s="19">
        <f t="shared" si="780"/>
        <v>1868647.7321969916</v>
      </c>
      <c r="AK2653" s="20">
        <f t="shared" si="786"/>
        <v>0.12804404916900652</v>
      </c>
      <c r="AL2653" s="17"/>
      <c r="AM2653" s="17"/>
      <c r="AN2653" s="17"/>
      <c r="AO2653" s="17"/>
      <c r="AP2653" s="28" t="str">
        <f t="shared" si="787"/>
        <v>20195</v>
      </c>
      <c r="AQ2653" s="28" t="str">
        <f t="shared" si="788"/>
        <v>20195JPY</v>
      </c>
      <c r="AR2653" s="206" t="str">
        <f t="shared" si="789"/>
        <v>YAMAHA_Mounter</v>
      </c>
      <c r="AS2653" s="22">
        <f t="shared" si="790"/>
        <v>2</v>
      </c>
      <c r="AT2653" s="24" t="str">
        <f t="shared" si="791"/>
        <v>0-3 months</v>
      </c>
      <c r="AU2653" s="22" t="s">
        <v>3746</v>
      </c>
    </row>
    <row r="2654" spans="1:47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47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881</v>
      </c>
      <c r="K2654" s="155" t="s">
        <v>425</v>
      </c>
      <c r="L2654" s="17" t="s">
        <v>92</v>
      </c>
      <c r="M2654" s="13" t="s">
        <v>60</v>
      </c>
      <c r="N2654" s="13">
        <v>1</v>
      </c>
      <c r="O2654" s="13"/>
      <c r="P2654" s="33" t="str">
        <f t="shared" si="794"/>
        <v>MAIN UNIT</v>
      </c>
      <c r="Q2654" s="13" t="s">
        <v>61</v>
      </c>
      <c r="R2654" s="13" t="s">
        <v>62</v>
      </c>
      <c r="S2654" s="13" t="s">
        <v>49</v>
      </c>
      <c r="T2654" s="13" t="s">
        <v>78</v>
      </c>
      <c r="U2654" s="13" t="s">
        <v>79</v>
      </c>
      <c r="V2654" s="13" t="s">
        <v>121</v>
      </c>
      <c r="W2654" s="13" t="s">
        <v>109</v>
      </c>
      <c r="X2654" s="135">
        <v>13200000</v>
      </c>
      <c r="Y2654" s="156">
        <v>1</v>
      </c>
      <c r="Z2654" s="18">
        <f t="shared" si="792"/>
        <v>13200000</v>
      </c>
      <c r="AA2654" s="13">
        <v>7.17E-2</v>
      </c>
      <c r="AB2654" s="21">
        <f t="shared" si="795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79"/>
        <v>14593788.187146019</v>
      </c>
      <c r="AJ2654" s="19">
        <f t="shared" si="780"/>
        <v>1868647.7321969916</v>
      </c>
      <c r="AK2654" s="20">
        <f t="shared" si="786"/>
        <v>0.12804404916900652</v>
      </c>
      <c r="AL2654" s="17"/>
      <c r="AM2654" s="17"/>
      <c r="AN2654" s="17"/>
      <c r="AO2654" s="17"/>
      <c r="AP2654" s="28" t="str">
        <f t="shared" si="787"/>
        <v>20195</v>
      </c>
      <c r="AQ2654" s="28" t="str">
        <f t="shared" si="788"/>
        <v>20195JPY</v>
      </c>
      <c r="AR2654" s="206" t="str">
        <f t="shared" si="789"/>
        <v>YAMAHA_Mounter</v>
      </c>
      <c r="AS2654" s="22">
        <f t="shared" si="790"/>
        <v>2</v>
      </c>
      <c r="AT2654" s="24" t="str">
        <f t="shared" si="791"/>
        <v>0-3 months</v>
      </c>
      <c r="AU2654" s="22" t="s">
        <v>3746</v>
      </c>
    </row>
    <row r="2655" spans="1:47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47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881</v>
      </c>
      <c r="K2655" s="155" t="s">
        <v>425</v>
      </c>
      <c r="L2655" s="17" t="s">
        <v>67</v>
      </c>
      <c r="M2655" s="13" t="s">
        <v>60</v>
      </c>
      <c r="N2655" s="13">
        <v>1</v>
      </c>
      <c r="O2655" s="13"/>
      <c r="P2655" s="33" t="str">
        <f t="shared" si="794"/>
        <v>MAIN UNIT</v>
      </c>
      <c r="Q2655" s="13" t="s">
        <v>61</v>
      </c>
      <c r="R2655" s="13" t="s">
        <v>62</v>
      </c>
      <c r="S2655" s="13" t="s">
        <v>49</v>
      </c>
      <c r="T2655" s="13" t="s">
        <v>78</v>
      </c>
      <c r="U2655" s="13" t="s">
        <v>79</v>
      </c>
      <c r="V2655" s="13" t="s">
        <v>121</v>
      </c>
      <c r="W2655" s="13" t="s">
        <v>109</v>
      </c>
      <c r="X2655" s="135">
        <v>9400000</v>
      </c>
      <c r="Y2655" s="156">
        <v>1</v>
      </c>
      <c r="Z2655" s="18">
        <f t="shared" si="792"/>
        <v>9400000</v>
      </c>
      <c r="AA2655" s="13">
        <v>7.17E-2</v>
      </c>
      <c r="AB2655" s="21">
        <f t="shared" si="795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79"/>
        <v>14593788.187146019</v>
      </c>
      <c r="AJ2655" s="19">
        <f t="shared" si="780"/>
        <v>1868647.7321969916</v>
      </c>
      <c r="AK2655" s="20">
        <f t="shared" si="786"/>
        <v>0.12804404916900652</v>
      </c>
      <c r="AL2655" s="17"/>
      <c r="AM2655" s="17"/>
      <c r="AN2655" s="17"/>
      <c r="AO2655" s="17"/>
      <c r="AP2655" s="28" t="str">
        <f t="shared" si="787"/>
        <v>20195</v>
      </c>
      <c r="AQ2655" s="28" t="str">
        <f t="shared" si="788"/>
        <v>20195JPY</v>
      </c>
      <c r="AR2655" s="206" t="str">
        <f t="shared" si="789"/>
        <v>YAMAHA_Mounter</v>
      </c>
      <c r="AS2655" s="22">
        <f t="shared" si="790"/>
        <v>2</v>
      </c>
      <c r="AT2655" s="24" t="str">
        <f t="shared" si="791"/>
        <v>0-3 months</v>
      </c>
      <c r="AU2655" s="22" t="s">
        <v>3746</v>
      </c>
    </row>
    <row r="2656" spans="1:47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47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881</v>
      </c>
      <c r="K2656" s="155" t="s">
        <v>425</v>
      </c>
      <c r="L2656" s="17" t="s">
        <v>67</v>
      </c>
      <c r="M2656" s="13" t="s">
        <v>60</v>
      </c>
      <c r="N2656" s="13">
        <v>1</v>
      </c>
      <c r="O2656" s="13"/>
      <c r="P2656" s="33" t="str">
        <f t="shared" si="794"/>
        <v>MAIN UNIT</v>
      </c>
      <c r="Q2656" s="13" t="s">
        <v>61</v>
      </c>
      <c r="R2656" s="13" t="s">
        <v>62</v>
      </c>
      <c r="S2656" s="13" t="s">
        <v>49</v>
      </c>
      <c r="T2656" s="13" t="s">
        <v>78</v>
      </c>
      <c r="U2656" s="13" t="s">
        <v>79</v>
      </c>
      <c r="V2656" s="13" t="s">
        <v>121</v>
      </c>
      <c r="W2656" s="13" t="s">
        <v>109</v>
      </c>
      <c r="X2656" s="135">
        <v>9400000</v>
      </c>
      <c r="Y2656" s="156">
        <v>1</v>
      </c>
      <c r="Z2656" s="18">
        <f t="shared" si="792"/>
        <v>9400000</v>
      </c>
      <c r="AA2656" s="13">
        <v>7.17E-2</v>
      </c>
      <c r="AB2656" s="21">
        <f t="shared" si="795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79"/>
        <v>14593788.187146019</v>
      </c>
      <c r="AJ2656" s="19">
        <f t="shared" si="780"/>
        <v>1868647.7321969916</v>
      </c>
      <c r="AK2656" s="20">
        <f t="shared" si="786"/>
        <v>0.12804404916900652</v>
      </c>
      <c r="AL2656" s="17"/>
      <c r="AM2656" s="17"/>
      <c r="AN2656" s="17"/>
      <c r="AO2656" s="17"/>
      <c r="AP2656" s="28" t="str">
        <f t="shared" si="787"/>
        <v>20195</v>
      </c>
      <c r="AQ2656" s="28" t="str">
        <f t="shared" si="788"/>
        <v>20195JPY</v>
      </c>
      <c r="AR2656" s="206" t="str">
        <f t="shared" si="789"/>
        <v>YAMAHA_Mounter</v>
      </c>
      <c r="AS2656" s="22">
        <f t="shared" si="790"/>
        <v>2</v>
      </c>
      <c r="AT2656" s="24" t="str">
        <f t="shared" si="791"/>
        <v>0-3 months</v>
      </c>
      <c r="AU2656" s="22" t="s">
        <v>3746</v>
      </c>
    </row>
    <row r="2657" spans="1:47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48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1443</v>
      </c>
      <c r="K2657" s="155" t="s">
        <v>425</v>
      </c>
      <c r="L2657" s="17" t="s">
        <v>67</v>
      </c>
      <c r="M2657" s="13" t="s">
        <v>60</v>
      </c>
      <c r="N2657" s="13">
        <v>1</v>
      </c>
      <c r="O2657" s="13"/>
      <c r="P2657" s="33" t="str">
        <f t="shared" si="794"/>
        <v>MAIN UNIT</v>
      </c>
      <c r="Q2657" s="13" t="s">
        <v>61</v>
      </c>
      <c r="R2657" s="13" t="s">
        <v>62</v>
      </c>
      <c r="S2657" s="13" t="s">
        <v>49</v>
      </c>
      <c r="T2657" s="13" t="s">
        <v>78</v>
      </c>
      <c r="U2657" s="13" t="s">
        <v>79</v>
      </c>
      <c r="V2657" s="13" t="s">
        <v>121</v>
      </c>
      <c r="W2657" s="13" t="s">
        <v>109</v>
      </c>
      <c r="X2657" s="135">
        <v>9000000</v>
      </c>
      <c r="Y2657" s="157" t="str">
        <f>IF(W2657="RMB","1.13", "1")</f>
        <v>1</v>
      </c>
      <c r="Z2657" s="18">
        <f t="shared" si="792"/>
        <v>9000000</v>
      </c>
      <c r="AA2657" s="13">
        <v>7.6100000000000001E-2</v>
      </c>
      <c r="AB2657" s="21">
        <f t="shared" si="795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79"/>
        <v>48763143.537654862</v>
      </c>
      <c r="AJ2657" s="19">
        <f t="shared" si="780"/>
        <v>5924029.9702154724</v>
      </c>
      <c r="AK2657" s="20">
        <f t="shared" si="786"/>
        <v>0.1214858095774925</v>
      </c>
      <c r="AL2657" s="17"/>
      <c r="AM2657" s="17"/>
      <c r="AN2657" s="17"/>
      <c r="AO2657" s="17"/>
      <c r="AP2657" s="28" t="str">
        <f t="shared" si="787"/>
        <v>202012</v>
      </c>
      <c r="AQ2657" s="28" t="str">
        <f t="shared" si="788"/>
        <v>202012JPY</v>
      </c>
      <c r="AR2657" s="206" t="str">
        <f t="shared" si="789"/>
        <v>YAMAHA_Mounter</v>
      </c>
      <c r="AS2657" s="22">
        <f t="shared" si="790"/>
        <v>3</v>
      </c>
      <c r="AT2657" s="24" t="str">
        <f t="shared" si="791"/>
        <v>0-3 months</v>
      </c>
      <c r="AU2657" s="22" t="s">
        <v>3746</v>
      </c>
    </row>
    <row r="2658" spans="1:47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48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1443</v>
      </c>
      <c r="K2658" s="155" t="s">
        <v>425</v>
      </c>
      <c r="L2658" s="17" t="s">
        <v>92</v>
      </c>
      <c r="M2658" s="13" t="s">
        <v>60</v>
      </c>
      <c r="N2658" s="13">
        <v>1</v>
      </c>
      <c r="O2658" s="13"/>
      <c r="P2658" s="33" t="str">
        <f t="shared" si="794"/>
        <v>MAIN UNIT</v>
      </c>
      <c r="Q2658" s="13" t="s">
        <v>61</v>
      </c>
      <c r="R2658" s="13" t="s">
        <v>62</v>
      </c>
      <c r="S2658" s="13" t="s">
        <v>49</v>
      </c>
      <c r="T2658" s="13" t="s">
        <v>78</v>
      </c>
      <c r="U2658" s="13" t="s">
        <v>79</v>
      </c>
      <c r="V2658" s="13" t="s">
        <v>121</v>
      </c>
      <c r="W2658" s="13" t="s">
        <v>109</v>
      </c>
      <c r="X2658" s="135">
        <v>13300000</v>
      </c>
      <c r="Y2658" s="157" t="str">
        <f>IF(W2658="RMB","1.13", "1")</f>
        <v>1</v>
      </c>
      <c r="Z2658" s="18">
        <f t="shared" si="792"/>
        <v>13300000</v>
      </c>
      <c r="AA2658" s="13">
        <v>7.6100000000000001E-2</v>
      </c>
      <c r="AB2658" s="21">
        <f t="shared" si="795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79"/>
        <v>48763143.537654862</v>
      </c>
      <c r="AJ2658" s="19">
        <f t="shared" si="780"/>
        <v>5924029.9702154724</v>
      </c>
      <c r="AK2658" s="20">
        <f t="shared" si="786"/>
        <v>0.1214858095774925</v>
      </c>
      <c r="AL2658" s="17"/>
      <c r="AM2658" s="17"/>
      <c r="AN2658" s="17"/>
      <c r="AO2658" s="17"/>
      <c r="AP2658" s="28" t="str">
        <f t="shared" si="787"/>
        <v>202012</v>
      </c>
      <c r="AQ2658" s="28" t="str">
        <f t="shared" si="788"/>
        <v>202012JPY</v>
      </c>
      <c r="AR2658" s="206" t="str">
        <f t="shared" si="789"/>
        <v>YAMAHA_Mounter</v>
      </c>
      <c r="AS2658" s="22">
        <f t="shared" si="790"/>
        <v>3</v>
      </c>
      <c r="AT2658" s="24" t="str">
        <f t="shared" si="791"/>
        <v>0-3 months</v>
      </c>
      <c r="AU2658" s="22" t="s">
        <v>3746</v>
      </c>
    </row>
    <row r="2659" spans="1:47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48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1517</v>
      </c>
      <c r="K2659" s="155" t="s">
        <v>425</v>
      </c>
      <c r="L2659" s="17" t="s">
        <v>92</v>
      </c>
      <c r="M2659" s="13" t="s">
        <v>60</v>
      </c>
      <c r="N2659" s="13">
        <v>1</v>
      </c>
      <c r="O2659" s="13"/>
      <c r="P2659" s="33" t="str">
        <f t="shared" si="794"/>
        <v>MAIN UNIT</v>
      </c>
      <c r="Q2659" s="13" t="s">
        <v>61</v>
      </c>
      <c r="R2659" s="13" t="s">
        <v>62</v>
      </c>
      <c r="S2659" s="13" t="s">
        <v>49</v>
      </c>
      <c r="T2659" s="13" t="s">
        <v>78</v>
      </c>
      <c r="U2659" s="13" t="s">
        <v>79</v>
      </c>
      <c r="V2659" s="13" t="s">
        <v>121</v>
      </c>
      <c r="W2659" s="13" t="s">
        <v>109</v>
      </c>
      <c r="X2659" s="135">
        <v>12000000</v>
      </c>
      <c r="Y2659" s="157" t="str">
        <f>IF(W2659="RMB","1.13", "1")</f>
        <v>1</v>
      </c>
      <c r="Z2659" s="18">
        <f t="shared" si="792"/>
        <v>12000000</v>
      </c>
      <c r="AA2659" s="13">
        <v>7.6799999999999993E-2</v>
      </c>
      <c r="AB2659" s="21">
        <f t="shared" si="795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79"/>
        <v>45803245.025628321</v>
      </c>
      <c r="AJ2659" s="19">
        <f t="shared" si="780"/>
        <v>5664636.2584379362</v>
      </c>
      <c r="AK2659" s="20">
        <f t="shared" si="786"/>
        <v>0.12367325186825515</v>
      </c>
      <c r="AL2659" s="17"/>
      <c r="AM2659" s="17"/>
      <c r="AN2659" s="17"/>
      <c r="AO2659" s="17"/>
      <c r="AP2659" s="28" t="str">
        <f t="shared" si="787"/>
        <v>20211</v>
      </c>
      <c r="AQ2659" s="28" t="str">
        <f t="shared" si="788"/>
        <v>20211JPY</v>
      </c>
      <c r="AR2659" s="206" t="str">
        <f t="shared" si="789"/>
        <v>YAMAHA_Mounter</v>
      </c>
      <c r="AS2659" s="22">
        <f t="shared" si="790"/>
        <v>3</v>
      </c>
      <c r="AT2659" s="24" t="str">
        <f t="shared" si="791"/>
        <v>0-3 months</v>
      </c>
      <c r="AU2659" s="22" t="s">
        <v>3746</v>
      </c>
    </row>
    <row r="2660" spans="1:47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48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1517</v>
      </c>
      <c r="K2660" s="155" t="s">
        <v>425</v>
      </c>
      <c r="L2660" s="17" t="s">
        <v>92</v>
      </c>
      <c r="M2660" s="13" t="s">
        <v>60</v>
      </c>
      <c r="N2660" s="13">
        <v>1</v>
      </c>
      <c r="O2660" s="13"/>
      <c r="P2660" s="33" t="str">
        <f t="shared" si="794"/>
        <v>MAIN UNIT</v>
      </c>
      <c r="Q2660" s="13" t="s">
        <v>61</v>
      </c>
      <c r="R2660" s="13" t="s">
        <v>62</v>
      </c>
      <c r="S2660" s="13" t="s">
        <v>49</v>
      </c>
      <c r="T2660" s="13" t="s">
        <v>78</v>
      </c>
      <c r="U2660" s="13" t="s">
        <v>79</v>
      </c>
      <c r="V2660" s="13" t="s">
        <v>121</v>
      </c>
      <c r="W2660" s="13" t="s">
        <v>109</v>
      </c>
      <c r="X2660" s="135">
        <v>12000000</v>
      </c>
      <c r="Y2660" s="157" t="str">
        <f>IF(W2660="RMB","1.13", "1")</f>
        <v>1</v>
      </c>
      <c r="Z2660" s="18">
        <f t="shared" si="792"/>
        <v>12000000</v>
      </c>
      <c r="AA2660" s="13">
        <v>7.6799999999999993E-2</v>
      </c>
      <c r="AB2660" s="21">
        <f t="shared" si="795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79"/>
        <v>45803245.025628321</v>
      </c>
      <c r="AJ2660" s="19">
        <f t="shared" si="780"/>
        <v>5664636.2584379362</v>
      </c>
      <c r="AK2660" s="20">
        <f t="shared" si="786"/>
        <v>0.12367325186825515</v>
      </c>
      <c r="AL2660" s="17"/>
      <c r="AM2660" s="17"/>
      <c r="AN2660" s="17"/>
      <c r="AO2660" s="17"/>
      <c r="AP2660" s="28" t="str">
        <f t="shared" si="787"/>
        <v>20211</v>
      </c>
      <c r="AQ2660" s="28" t="str">
        <f t="shared" si="788"/>
        <v>20211JPY</v>
      </c>
      <c r="AR2660" s="206" t="str">
        <f t="shared" si="789"/>
        <v>YAMAHA_Mounter</v>
      </c>
      <c r="AS2660" s="22">
        <f t="shared" si="790"/>
        <v>3</v>
      </c>
      <c r="AT2660" s="24" t="str">
        <f t="shared" si="791"/>
        <v>0-3 months</v>
      </c>
      <c r="AU2660" s="22" t="s">
        <v>3746</v>
      </c>
    </row>
    <row r="2661" spans="1:47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48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1517</v>
      </c>
      <c r="K2661" s="155" t="s">
        <v>425</v>
      </c>
      <c r="L2661" s="17" t="s">
        <v>67</v>
      </c>
      <c r="M2661" s="13" t="s">
        <v>60</v>
      </c>
      <c r="N2661" s="13">
        <v>1</v>
      </c>
      <c r="O2661" s="13"/>
      <c r="P2661" s="33" t="str">
        <f t="shared" si="794"/>
        <v>MAIN UNIT</v>
      </c>
      <c r="Q2661" s="13" t="s">
        <v>61</v>
      </c>
      <c r="R2661" s="13" t="s">
        <v>62</v>
      </c>
      <c r="S2661" s="13" t="s">
        <v>49</v>
      </c>
      <c r="T2661" s="13" t="s">
        <v>78</v>
      </c>
      <c r="U2661" s="13" t="s">
        <v>79</v>
      </c>
      <c r="V2661" s="13" t="s">
        <v>121</v>
      </c>
      <c r="W2661" s="13" t="s">
        <v>109</v>
      </c>
      <c r="X2661" s="135">
        <v>9000000</v>
      </c>
      <c r="Y2661" s="157" t="str">
        <f>IF(W2661="RMB","1.13", "1")</f>
        <v>1</v>
      </c>
      <c r="Z2661" s="18">
        <f t="shared" si="792"/>
        <v>9000000</v>
      </c>
      <c r="AA2661" s="13">
        <v>7.6799999999999993E-2</v>
      </c>
      <c r="AB2661" s="21">
        <f t="shared" si="795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79"/>
        <v>45803245.025628321</v>
      </c>
      <c r="AJ2661" s="19">
        <f t="shared" si="780"/>
        <v>5664636.2584379362</v>
      </c>
      <c r="AK2661" s="20">
        <f t="shared" si="786"/>
        <v>0.12367325186825515</v>
      </c>
      <c r="AL2661" s="17"/>
      <c r="AM2661" s="17"/>
      <c r="AN2661" s="17"/>
      <c r="AO2661" s="17"/>
      <c r="AP2661" s="28" t="str">
        <f t="shared" si="787"/>
        <v>20211</v>
      </c>
      <c r="AQ2661" s="28" t="str">
        <f t="shared" si="788"/>
        <v>20211JPY</v>
      </c>
      <c r="AR2661" s="206" t="str">
        <f t="shared" si="789"/>
        <v>YAMAHA_Mounter</v>
      </c>
      <c r="AS2661" s="22">
        <f t="shared" si="790"/>
        <v>3</v>
      </c>
      <c r="AT2661" s="24" t="str">
        <f t="shared" si="791"/>
        <v>0-3 months</v>
      </c>
      <c r="AU2661" s="22" t="s">
        <v>3746</v>
      </c>
    </row>
    <row r="2662" spans="1:47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47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1006</v>
      </c>
      <c r="K2662" s="155" t="s">
        <v>1007</v>
      </c>
      <c r="L2662" s="17" t="s">
        <v>92</v>
      </c>
      <c r="M2662" s="13" t="s">
        <v>60</v>
      </c>
      <c r="N2662" s="13">
        <v>1</v>
      </c>
      <c r="O2662" s="13"/>
      <c r="P2662" s="33" t="str">
        <f t="shared" si="794"/>
        <v>MAIN UNIT</v>
      </c>
      <c r="Q2662" s="13" t="s">
        <v>61</v>
      </c>
      <c r="R2662" s="13" t="s">
        <v>62</v>
      </c>
      <c r="S2662" s="13" t="s">
        <v>49</v>
      </c>
      <c r="T2662" s="13" t="s">
        <v>78</v>
      </c>
      <c r="U2662" s="13" t="s">
        <v>79</v>
      </c>
      <c r="V2662" s="13" t="s">
        <v>121</v>
      </c>
      <c r="W2662" s="13" t="s">
        <v>109</v>
      </c>
      <c r="X2662" s="135">
        <v>12500000</v>
      </c>
      <c r="Y2662" s="156">
        <v>1</v>
      </c>
      <c r="Z2662" s="18">
        <f t="shared" si="792"/>
        <v>12500000</v>
      </c>
      <c r="AA2662" s="13">
        <v>7.2999999999999995E-2</v>
      </c>
      <c r="AB2662" s="21">
        <f t="shared" si="795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79"/>
        <v>11620538.477876106</v>
      </c>
      <c r="AJ2662" s="19">
        <f t="shared" si="780"/>
        <v>1598596.3145221241</v>
      </c>
      <c r="AK2662" s="20">
        <f t="shared" si="786"/>
        <v>0.13756645766163331</v>
      </c>
      <c r="AL2662" s="17"/>
      <c r="AM2662" s="17"/>
      <c r="AN2662" s="17"/>
      <c r="AO2662" s="17"/>
      <c r="AP2662" s="28" t="str">
        <f t="shared" si="787"/>
        <v>20201</v>
      </c>
      <c r="AQ2662" s="28" t="str">
        <f t="shared" si="788"/>
        <v>20201JPY</v>
      </c>
      <c r="AR2662" s="206" t="str">
        <f t="shared" si="789"/>
        <v>YAMAHA_Mounter</v>
      </c>
      <c r="AS2662" s="22">
        <f t="shared" si="790"/>
        <v>1</v>
      </c>
      <c r="AT2662" s="24" t="str">
        <f t="shared" si="791"/>
        <v>0-3 months</v>
      </c>
      <c r="AU2662" s="22" t="s">
        <v>3746</v>
      </c>
    </row>
    <row r="2663" spans="1:47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47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1006</v>
      </c>
      <c r="K2663" s="155" t="s">
        <v>1007</v>
      </c>
      <c r="L2663" s="17" t="s">
        <v>67</v>
      </c>
      <c r="M2663" s="13" t="s">
        <v>60</v>
      </c>
      <c r="N2663" s="13">
        <v>1</v>
      </c>
      <c r="O2663" s="13"/>
      <c r="P2663" s="33" t="str">
        <f t="shared" si="794"/>
        <v>MAIN UNIT</v>
      </c>
      <c r="Q2663" s="13" t="s">
        <v>61</v>
      </c>
      <c r="R2663" s="13" t="s">
        <v>62</v>
      </c>
      <c r="S2663" s="13" t="s">
        <v>49</v>
      </c>
      <c r="T2663" s="13" t="s">
        <v>78</v>
      </c>
      <c r="U2663" s="13" t="s">
        <v>79</v>
      </c>
      <c r="V2663" s="13" t="s">
        <v>121</v>
      </c>
      <c r="W2663" s="13" t="s">
        <v>109</v>
      </c>
      <c r="X2663" s="135">
        <v>9000000</v>
      </c>
      <c r="Y2663" s="156">
        <v>1</v>
      </c>
      <c r="Z2663" s="18">
        <f t="shared" si="792"/>
        <v>9000000</v>
      </c>
      <c r="AA2663" s="13">
        <v>7.2999999999999995E-2</v>
      </c>
      <c r="AB2663" s="21">
        <f t="shared" si="795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79"/>
        <v>11620538.477876106</v>
      </c>
      <c r="AJ2663" s="19">
        <f t="shared" si="780"/>
        <v>1598596.3145221241</v>
      </c>
      <c r="AK2663" s="20">
        <f t="shared" si="786"/>
        <v>0.13756645766163331</v>
      </c>
      <c r="AL2663" s="17"/>
      <c r="AM2663" s="17"/>
      <c r="AN2663" s="17"/>
      <c r="AO2663" s="17"/>
      <c r="AP2663" s="28" t="str">
        <f t="shared" si="787"/>
        <v>20201</v>
      </c>
      <c r="AQ2663" s="28" t="str">
        <f t="shared" si="788"/>
        <v>20201JPY</v>
      </c>
      <c r="AR2663" s="206" t="str">
        <f t="shared" si="789"/>
        <v>YAMAHA_Mounter</v>
      </c>
      <c r="AS2663" s="22">
        <f t="shared" si="790"/>
        <v>1</v>
      </c>
      <c r="AT2663" s="24" t="str">
        <f t="shared" si="791"/>
        <v>0-3 months</v>
      </c>
      <c r="AU2663" s="22" t="s">
        <v>3746</v>
      </c>
    </row>
    <row r="2664" spans="1:47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53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1939</v>
      </c>
      <c r="K2664" s="155" t="s">
        <v>1940</v>
      </c>
      <c r="L2664" s="17" t="s">
        <v>92</v>
      </c>
      <c r="M2664" s="13" t="s">
        <v>60</v>
      </c>
      <c r="N2664" s="13">
        <v>1</v>
      </c>
      <c r="O2664" s="13"/>
      <c r="P2664" s="33" t="str">
        <f t="shared" si="794"/>
        <v>MAIN UNIT</v>
      </c>
      <c r="Q2664" s="13" t="s">
        <v>61</v>
      </c>
      <c r="R2664" s="13" t="s">
        <v>62</v>
      </c>
      <c r="S2664" s="13" t="s">
        <v>49</v>
      </c>
      <c r="T2664" s="13" t="s">
        <v>78</v>
      </c>
      <c r="U2664" s="13" t="s">
        <v>79</v>
      </c>
      <c r="V2664" s="13" t="s">
        <v>131</v>
      </c>
      <c r="W2664" s="13" t="s">
        <v>109</v>
      </c>
      <c r="X2664" s="135">
        <v>12700000</v>
      </c>
      <c r="Y2664" s="157" t="str">
        <f t="shared" ref="Y2664:Y2670" si="796">IF(W2664="RMB","1.13", "1")</f>
        <v>1</v>
      </c>
      <c r="Z2664" s="18">
        <f t="shared" si="792"/>
        <v>12700000</v>
      </c>
      <c r="AA2664" s="13">
        <v>6.9199999999999998E-2</v>
      </c>
      <c r="AB2664" s="21">
        <f t="shared" si="795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79"/>
        <v>26407088.359292038</v>
      </c>
      <c r="AJ2664" s="19">
        <f t="shared" si="780"/>
        <v>3424510.6998470789</v>
      </c>
      <c r="AK2664" s="20">
        <f t="shared" si="786"/>
        <v>0.12968149510667554</v>
      </c>
      <c r="AL2664" s="17"/>
      <c r="AM2664" s="17"/>
      <c r="AN2664" s="17"/>
      <c r="AO2664" s="17"/>
      <c r="AP2664" s="28" t="str">
        <f t="shared" si="787"/>
        <v>20221</v>
      </c>
      <c r="AQ2664" s="28" t="str">
        <f t="shared" si="788"/>
        <v>20221JPY</v>
      </c>
      <c r="AR2664" s="206" t="str">
        <f t="shared" si="789"/>
        <v>YAMAHA_Mounter</v>
      </c>
      <c r="AS2664" s="22">
        <f t="shared" si="790"/>
        <v>7</v>
      </c>
      <c r="AT2664" s="24" t="str">
        <f t="shared" si="791"/>
        <v>&gt; 6 months</v>
      </c>
      <c r="AU2664" s="22" t="s">
        <v>3745</v>
      </c>
    </row>
    <row r="2665" spans="1:47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53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1939</v>
      </c>
      <c r="K2665" s="155" t="s">
        <v>1940</v>
      </c>
      <c r="L2665" s="17" t="s">
        <v>92</v>
      </c>
      <c r="M2665" s="13" t="s">
        <v>60</v>
      </c>
      <c r="N2665" s="13">
        <v>1</v>
      </c>
      <c r="O2665" s="13"/>
      <c r="P2665" s="33" t="str">
        <f t="shared" si="794"/>
        <v>MAIN UNIT</v>
      </c>
      <c r="Q2665" s="13" t="s">
        <v>61</v>
      </c>
      <c r="R2665" s="13" t="s">
        <v>62</v>
      </c>
      <c r="S2665" s="13" t="s">
        <v>49</v>
      </c>
      <c r="T2665" s="13" t="s">
        <v>78</v>
      </c>
      <c r="U2665" s="13" t="s">
        <v>79</v>
      </c>
      <c r="V2665" s="13" t="s">
        <v>131</v>
      </c>
      <c r="W2665" s="13" t="s">
        <v>109</v>
      </c>
      <c r="X2665" s="135">
        <v>12700000</v>
      </c>
      <c r="Y2665" s="157" t="str">
        <f t="shared" si="796"/>
        <v>1</v>
      </c>
      <c r="Z2665" s="18">
        <f t="shared" si="792"/>
        <v>12700000</v>
      </c>
      <c r="AA2665" s="13">
        <v>6.9199999999999998E-2</v>
      </c>
      <c r="AB2665" s="21">
        <f t="shared" si="795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79"/>
        <v>26407088.359292038</v>
      </c>
      <c r="AJ2665" s="19">
        <f t="shared" si="780"/>
        <v>3424510.6998470789</v>
      </c>
      <c r="AK2665" s="20">
        <f t="shared" si="786"/>
        <v>0.12968149510667554</v>
      </c>
      <c r="AL2665" s="17"/>
      <c r="AM2665" s="17"/>
      <c r="AN2665" s="17"/>
      <c r="AO2665" s="17"/>
      <c r="AP2665" s="28" t="str">
        <f t="shared" si="787"/>
        <v>20221</v>
      </c>
      <c r="AQ2665" s="28" t="str">
        <f t="shared" si="788"/>
        <v>20221JPY</v>
      </c>
      <c r="AR2665" s="206" t="str">
        <f t="shared" si="789"/>
        <v>YAMAHA_Mounter</v>
      </c>
      <c r="AS2665" s="22">
        <f t="shared" si="790"/>
        <v>7</v>
      </c>
      <c r="AT2665" s="24" t="str">
        <f t="shared" si="791"/>
        <v>&gt; 6 months</v>
      </c>
      <c r="AU2665" s="22" t="s">
        <v>3745</v>
      </c>
    </row>
    <row r="2666" spans="1:47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53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1939</v>
      </c>
      <c r="K2666" s="155" t="s">
        <v>1940</v>
      </c>
      <c r="L2666" s="17" t="s">
        <v>67</v>
      </c>
      <c r="M2666" s="13" t="s">
        <v>60</v>
      </c>
      <c r="N2666" s="13">
        <v>1</v>
      </c>
      <c r="O2666" s="13"/>
      <c r="P2666" s="33" t="str">
        <f t="shared" si="794"/>
        <v>MAIN UNIT</v>
      </c>
      <c r="Q2666" s="13" t="s">
        <v>61</v>
      </c>
      <c r="R2666" s="13" t="s">
        <v>62</v>
      </c>
      <c r="S2666" s="13" t="s">
        <v>49</v>
      </c>
      <c r="T2666" s="13" t="s">
        <v>78</v>
      </c>
      <c r="U2666" s="13" t="s">
        <v>79</v>
      </c>
      <c r="V2666" s="13" t="s">
        <v>131</v>
      </c>
      <c r="W2666" s="13" t="s">
        <v>109</v>
      </c>
      <c r="X2666" s="135">
        <v>9880000</v>
      </c>
      <c r="Y2666" s="157" t="str">
        <f t="shared" si="796"/>
        <v>1</v>
      </c>
      <c r="Z2666" s="18">
        <f t="shared" si="792"/>
        <v>9880000</v>
      </c>
      <c r="AA2666" s="13">
        <v>6.9199999999999998E-2</v>
      </c>
      <c r="AB2666" s="21">
        <f t="shared" si="795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79"/>
        <v>26407088.359292038</v>
      </c>
      <c r="AJ2666" s="19">
        <f t="shared" si="780"/>
        <v>3424510.6998470789</v>
      </c>
      <c r="AK2666" s="20">
        <f t="shared" si="786"/>
        <v>0.12968149510667554</v>
      </c>
      <c r="AL2666" s="17"/>
      <c r="AM2666" s="17"/>
      <c r="AN2666" s="17"/>
      <c r="AO2666" s="17"/>
      <c r="AP2666" s="28" t="str">
        <f t="shared" si="787"/>
        <v>20221</v>
      </c>
      <c r="AQ2666" s="28" t="str">
        <f t="shared" si="788"/>
        <v>20221JPY</v>
      </c>
      <c r="AR2666" s="206" t="str">
        <f t="shared" si="789"/>
        <v>YAMAHA_Mounter</v>
      </c>
      <c r="AS2666" s="22">
        <f t="shared" si="790"/>
        <v>7</v>
      </c>
      <c r="AT2666" s="24" t="str">
        <f t="shared" si="791"/>
        <v>&gt; 6 months</v>
      </c>
      <c r="AU2666" s="22" t="s">
        <v>3745</v>
      </c>
    </row>
    <row r="2667" spans="1:47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53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1939</v>
      </c>
      <c r="K2667" s="155" t="s">
        <v>1940</v>
      </c>
      <c r="L2667" s="17" t="s">
        <v>67</v>
      </c>
      <c r="M2667" s="13" t="s">
        <v>60</v>
      </c>
      <c r="N2667" s="13">
        <v>1</v>
      </c>
      <c r="O2667" s="13"/>
      <c r="P2667" s="33" t="str">
        <f t="shared" si="794"/>
        <v>MAIN UNIT</v>
      </c>
      <c r="Q2667" s="13" t="s">
        <v>61</v>
      </c>
      <c r="R2667" s="13" t="s">
        <v>62</v>
      </c>
      <c r="S2667" s="13" t="s">
        <v>49</v>
      </c>
      <c r="T2667" s="13" t="s">
        <v>78</v>
      </c>
      <c r="U2667" s="13" t="s">
        <v>79</v>
      </c>
      <c r="V2667" s="13" t="s">
        <v>131</v>
      </c>
      <c r="W2667" s="13" t="s">
        <v>109</v>
      </c>
      <c r="X2667" s="135">
        <v>9880000</v>
      </c>
      <c r="Y2667" s="157" t="str">
        <f t="shared" si="796"/>
        <v>1</v>
      </c>
      <c r="Z2667" s="18">
        <f t="shared" si="792"/>
        <v>9880000</v>
      </c>
      <c r="AA2667" s="13">
        <v>6.9199999999999998E-2</v>
      </c>
      <c r="AB2667" s="21">
        <f t="shared" si="795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79"/>
        <v>26407088.359292038</v>
      </c>
      <c r="AJ2667" s="19">
        <f t="shared" si="780"/>
        <v>3424510.6998470789</v>
      </c>
      <c r="AK2667" s="20">
        <f t="shared" si="786"/>
        <v>0.12968149510667554</v>
      </c>
      <c r="AL2667" s="17"/>
      <c r="AM2667" s="17"/>
      <c r="AN2667" s="17"/>
      <c r="AO2667" s="17"/>
      <c r="AP2667" s="28" t="str">
        <f t="shared" si="787"/>
        <v>20221</v>
      </c>
      <c r="AQ2667" s="28" t="str">
        <f t="shared" si="788"/>
        <v>20221JPY</v>
      </c>
      <c r="AR2667" s="206" t="str">
        <f t="shared" si="789"/>
        <v>YAMAHA_Mounter</v>
      </c>
      <c r="AS2667" s="22">
        <f t="shared" si="790"/>
        <v>7</v>
      </c>
      <c r="AT2667" s="24" t="str">
        <f t="shared" si="791"/>
        <v>&gt; 6 months</v>
      </c>
      <c r="AU2667" s="22" t="s">
        <v>3745</v>
      </c>
    </row>
    <row r="2668" spans="1:47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48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2942</v>
      </c>
      <c r="K2668" s="155" t="s">
        <v>1940</v>
      </c>
      <c r="L2668" s="17" t="s">
        <v>2620</v>
      </c>
      <c r="M2668" s="13" t="s">
        <v>60</v>
      </c>
      <c r="N2668" s="13">
        <v>1</v>
      </c>
      <c r="O2668" s="13"/>
      <c r="P2668" s="33" t="str">
        <f t="shared" si="794"/>
        <v>MAIN UNIT</v>
      </c>
      <c r="Q2668" s="13" t="s">
        <v>61</v>
      </c>
      <c r="R2668" s="13" t="s">
        <v>2055</v>
      </c>
      <c r="S2668" s="13" t="s">
        <v>49</v>
      </c>
      <c r="T2668" s="13" t="s">
        <v>78</v>
      </c>
      <c r="U2668" s="13" t="s">
        <v>79</v>
      </c>
      <c r="V2668" s="13" t="s">
        <v>2856</v>
      </c>
      <c r="W2668" s="13" t="s">
        <v>64</v>
      </c>
      <c r="X2668" s="135">
        <v>707000</v>
      </c>
      <c r="Y2668" s="157" t="str">
        <f t="shared" si="796"/>
        <v>1.13</v>
      </c>
      <c r="Z2668" s="18">
        <f t="shared" si="792"/>
        <v>707000</v>
      </c>
      <c r="AA2668" s="13">
        <v>1.1850000000000001</v>
      </c>
      <c r="AB2668" s="21">
        <f t="shared" si="795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79"/>
        <v>45803245.025628321</v>
      </c>
      <c r="AJ2668" s="19">
        <f t="shared" si="780"/>
        <v>5664636.2584379362</v>
      </c>
      <c r="AK2668" s="20">
        <f t="shared" si="786"/>
        <v>0.12367325186825515</v>
      </c>
      <c r="AL2668" s="17"/>
      <c r="AM2668" s="17"/>
      <c r="AN2668" s="17"/>
      <c r="AO2668" s="17"/>
      <c r="AP2668" s="28" t="str">
        <f t="shared" si="787"/>
        <v>20211</v>
      </c>
      <c r="AQ2668" s="28" t="str">
        <f t="shared" si="788"/>
        <v>20211RMB</v>
      </c>
      <c r="AR2668" s="206" t="str">
        <f t="shared" si="789"/>
        <v>YAMAHA_Non_Mounter</v>
      </c>
      <c r="AS2668" s="22">
        <f t="shared" si="790"/>
        <v>2</v>
      </c>
      <c r="AT2668" s="24" t="str">
        <f t="shared" si="791"/>
        <v>0-3 months</v>
      </c>
      <c r="AU2668" s="22" t="s">
        <v>3744</v>
      </c>
    </row>
    <row r="2669" spans="1:47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53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2942</v>
      </c>
      <c r="K2669" s="155" t="s">
        <v>1940</v>
      </c>
      <c r="L2669" s="17" t="s">
        <v>2620</v>
      </c>
      <c r="M2669" s="13" t="s">
        <v>60</v>
      </c>
      <c r="N2669" s="13">
        <v>1</v>
      </c>
      <c r="O2669" s="13"/>
      <c r="P2669" s="33" t="str">
        <f t="shared" si="794"/>
        <v>MAIN UNIT</v>
      </c>
      <c r="Q2669" s="13" t="s">
        <v>61</v>
      </c>
      <c r="R2669" s="13" t="s">
        <v>2055</v>
      </c>
      <c r="S2669" s="13" t="s">
        <v>49</v>
      </c>
      <c r="T2669" s="13" t="s">
        <v>78</v>
      </c>
      <c r="U2669" s="13" t="s">
        <v>79</v>
      </c>
      <c r="V2669" s="13" t="s">
        <v>2856</v>
      </c>
      <c r="W2669" s="13" t="s">
        <v>64</v>
      </c>
      <c r="X2669" s="135">
        <v>707000</v>
      </c>
      <c r="Y2669" s="157" t="str">
        <f t="shared" si="796"/>
        <v>1.13</v>
      </c>
      <c r="Z2669" s="18">
        <f t="shared" si="792"/>
        <v>707000</v>
      </c>
      <c r="AA2669" s="13">
        <v>1.1950000000000001</v>
      </c>
      <c r="AB2669" s="21">
        <f t="shared" si="795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79"/>
        <v>63006605.696460173</v>
      </c>
      <c r="AJ2669" s="19">
        <f t="shared" si="780"/>
        <v>8897485.660753984</v>
      </c>
      <c r="AK2669" s="20">
        <f t="shared" si="786"/>
        <v>0.141215124388995</v>
      </c>
      <c r="AL2669" s="17"/>
      <c r="AM2669" s="17"/>
      <c r="AN2669" s="17"/>
      <c r="AO2669" s="17"/>
      <c r="AP2669" s="28" t="str">
        <f t="shared" si="787"/>
        <v>20215</v>
      </c>
      <c r="AQ2669" s="28" t="str">
        <f t="shared" si="788"/>
        <v>20215RMB</v>
      </c>
      <c r="AR2669" s="206" t="str">
        <f t="shared" si="789"/>
        <v>YAMAHA_Non_Mounter</v>
      </c>
      <c r="AS2669" s="22">
        <f t="shared" si="790"/>
        <v>6</v>
      </c>
      <c r="AT2669" s="24" t="str">
        <f t="shared" si="791"/>
        <v>4-6 months</v>
      </c>
      <c r="AU2669" s="22" t="s">
        <v>3744</v>
      </c>
    </row>
    <row r="2670" spans="1:47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53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2942</v>
      </c>
      <c r="K2670" s="155" t="s">
        <v>1940</v>
      </c>
      <c r="L2670" s="17" t="s">
        <v>2620</v>
      </c>
      <c r="M2670" s="13" t="s">
        <v>60</v>
      </c>
      <c r="N2670" s="13">
        <v>1</v>
      </c>
      <c r="O2670" s="13"/>
      <c r="P2670" s="33" t="str">
        <f t="shared" si="794"/>
        <v>MAIN UNIT</v>
      </c>
      <c r="Q2670" s="13" t="s">
        <v>61</v>
      </c>
      <c r="R2670" s="13" t="s">
        <v>2055</v>
      </c>
      <c r="S2670" s="13" t="s">
        <v>49</v>
      </c>
      <c r="T2670" s="13" t="s">
        <v>78</v>
      </c>
      <c r="U2670" s="13" t="s">
        <v>79</v>
      </c>
      <c r="V2670" s="13" t="s">
        <v>2856</v>
      </c>
      <c r="W2670" s="13" t="s">
        <v>64</v>
      </c>
      <c r="X2670" s="135">
        <v>707000</v>
      </c>
      <c r="Y2670" s="157" t="str">
        <f t="shared" si="796"/>
        <v>1.13</v>
      </c>
      <c r="Z2670" s="18">
        <f t="shared" si="792"/>
        <v>707000</v>
      </c>
      <c r="AA2670" s="13">
        <v>1.1950000000000001</v>
      </c>
      <c r="AB2670" s="21">
        <f t="shared" si="795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79"/>
        <v>63006605.696460173</v>
      </c>
      <c r="AJ2670" s="19">
        <f t="shared" si="780"/>
        <v>8897485.660753984</v>
      </c>
      <c r="AK2670" s="20">
        <f t="shared" si="786"/>
        <v>0.141215124388995</v>
      </c>
      <c r="AL2670" s="17"/>
      <c r="AM2670" s="17"/>
      <c r="AN2670" s="17"/>
      <c r="AO2670" s="17"/>
      <c r="AP2670" s="28" t="str">
        <f t="shared" si="787"/>
        <v>20215</v>
      </c>
      <c r="AQ2670" s="28" t="str">
        <f t="shared" si="788"/>
        <v>20215RMB</v>
      </c>
      <c r="AR2670" s="206" t="str">
        <f t="shared" si="789"/>
        <v>YAMAHA_Non_Mounter</v>
      </c>
      <c r="AS2670" s="22">
        <f t="shared" si="790"/>
        <v>6</v>
      </c>
      <c r="AT2670" s="24" t="str">
        <f t="shared" si="791"/>
        <v>4-6 months</v>
      </c>
      <c r="AU2670" s="22" t="s">
        <v>3744</v>
      </c>
    </row>
    <row r="2671" spans="1:47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54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3026</v>
      </c>
      <c r="K2671" s="155" t="s">
        <v>1940</v>
      </c>
      <c r="L2671" s="17" t="s">
        <v>2620</v>
      </c>
      <c r="M2671" s="13" t="s">
        <v>60</v>
      </c>
      <c r="N2671" s="13">
        <v>1</v>
      </c>
      <c r="O2671" s="13"/>
      <c r="P2671" s="33" t="str">
        <f t="shared" si="794"/>
        <v>MAIN UNIT</v>
      </c>
      <c r="Q2671" s="13" t="s">
        <v>61</v>
      </c>
      <c r="R2671" s="13" t="s">
        <v>2055</v>
      </c>
      <c r="S2671" s="13" t="s">
        <v>49</v>
      </c>
      <c r="T2671" s="13" t="s">
        <v>78</v>
      </c>
      <c r="U2671" s="13" t="s">
        <v>79</v>
      </c>
      <c r="V2671" s="13" t="s">
        <v>131</v>
      </c>
      <c r="W2671" s="13" t="s">
        <v>109</v>
      </c>
      <c r="X2671" s="135">
        <v>11500000</v>
      </c>
      <c r="Y2671" s="157" t="str">
        <f>IF(W2671="","",IF(W2671="RMB","1.13", "1"))</f>
        <v>1</v>
      </c>
      <c r="Z2671" s="18">
        <f t="shared" si="792"/>
        <v>11500000</v>
      </c>
      <c r="AA2671" s="13">
        <v>5.4100000000000002E-2</v>
      </c>
      <c r="AB2671" s="21">
        <f t="shared" si="795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79"/>
        <v>31017966.201968137</v>
      </c>
      <c r="AJ2671" s="19">
        <f t="shared" si="780"/>
        <v>4704250.3347305888</v>
      </c>
      <c r="AK2671" s="20">
        <f t="shared" si="786"/>
        <v>0.15166211427595458</v>
      </c>
      <c r="AL2671" s="17"/>
      <c r="AM2671" s="17"/>
      <c r="AN2671" s="17"/>
      <c r="AO2671" s="17"/>
      <c r="AP2671" s="28" t="str">
        <f t="shared" si="787"/>
        <v>202211</v>
      </c>
      <c r="AQ2671" s="28" t="str">
        <f t="shared" si="788"/>
        <v>202211JPY</v>
      </c>
      <c r="AR2671" s="206" t="str">
        <f t="shared" si="789"/>
        <v>YAMAHA_Non_Mounter</v>
      </c>
      <c r="AS2671" s="22">
        <f t="shared" si="790"/>
        <v>3</v>
      </c>
      <c r="AT2671" s="24" t="str">
        <f t="shared" si="791"/>
        <v>0-3 months</v>
      </c>
      <c r="AU2671" s="22" t="s">
        <v>3746</v>
      </c>
    </row>
    <row r="2672" spans="1:47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53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1743</v>
      </c>
      <c r="K2672" s="155" t="s">
        <v>1744</v>
      </c>
      <c r="L2672" s="17" t="s">
        <v>67</v>
      </c>
      <c r="M2672" s="13" t="s">
        <v>60</v>
      </c>
      <c r="N2672" s="13">
        <v>1</v>
      </c>
      <c r="O2672" s="13"/>
      <c r="P2672" s="33" t="str">
        <f t="shared" si="794"/>
        <v>MAIN UNIT</v>
      </c>
      <c r="Q2672" s="13" t="s">
        <v>68</v>
      </c>
      <c r="R2672" s="13" t="s">
        <v>62</v>
      </c>
      <c r="S2672" s="13" t="s">
        <v>49</v>
      </c>
      <c r="T2672" s="13" t="s">
        <v>78</v>
      </c>
      <c r="U2672" s="13" t="s">
        <v>79</v>
      </c>
      <c r="V2672" s="13" t="s">
        <v>80</v>
      </c>
      <c r="W2672" s="13" t="s">
        <v>109</v>
      </c>
      <c r="X2672" s="135">
        <v>10540000</v>
      </c>
      <c r="Y2672" s="157" t="str">
        <f>IF(W2672="RMB","1.13", "1")</f>
        <v>1</v>
      </c>
      <c r="Z2672" s="18">
        <f t="shared" si="792"/>
        <v>10540000</v>
      </c>
      <c r="AA2672" s="13">
        <v>7.2800000000000004E-2</v>
      </c>
      <c r="AB2672" s="21">
        <f t="shared" si="795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79"/>
        <v>63006605.696460173</v>
      </c>
      <c r="AJ2672" s="19">
        <f t="shared" si="780"/>
        <v>8897485.660753984</v>
      </c>
      <c r="AK2672" s="20">
        <f t="shared" si="786"/>
        <v>0.141215124388995</v>
      </c>
      <c r="AL2672" s="17"/>
      <c r="AM2672" s="17"/>
      <c r="AN2672" s="17"/>
      <c r="AO2672" s="17"/>
      <c r="AP2672" s="28" t="str">
        <f t="shared" si="787"/>
        <v>20215</v>
      </c>
      <c r="AQ2672" s="28" t="str">
        <f t="shared" si="788"/>
        <v>20215JPY</v>
      </c>
      <c r="AR2672" s="206" t="str">
        <f t="shared" si="789"/>
        <v>YAMAHA_Mounter</v>
      </c>
      <c r="AS2672" s="22">
        <f t="shared" si="790"/>
        <v>2</v>
      </c>
      <c r="AT2672" s="24" t="str">
        <f t="shared" si="791"/>
        <v>0-3 months</v>
      </c>
      <c r="AU2672" s="22" t="s">
        <v>3745</v>
      </c>
    </row>
    <row r="2673" spans="1:47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7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3175</v>
      </c>
      <c r="K2673" s="29" t="s">
        <v>3176</v>
      </c>
      <c r="L2673" s="17" t="s">
        <v>92</v>
      </c>
      <c r="M2673" s="22" t="s">
        <v>60</v>
      </c>
      <c r="N2673" s="22">
        <v>1</v>
      </c>
      <c r="O2673" s="22"/>
      <c r="P2673" s="33" t="str">
        <f t="shared" si="794"/>
        <v>MAIN UNIT</v>
      </c>
      <c r="Q2673" s="13" t="s">
        <v>61</v>
      </c>
      <c r="R2673" s="22" t="s">
        <v>62</v>
      </c>
      <c r="S2673" s="22" t="s">
        <v>49</v>
      </c>
      <c r="T2673" s="22" t="s">
        <v>1071</v>
      </c>
      <c r="U2673" s="22" t="s">
        <v>2110</v>
      </c>
      <c r="V2673" s="22" t="s">
        <v>121</v>
      </c>
      <c r="W2673" s="22" t="s">
        <v>109</v>
      </c>
      <c r="X2673" s="30">
        <v>12750000</v>
      </c>
      <c r="Y2673" s="31" t="str">
        <f t="shared" ref="Y2673:Y2678" si="798">IF(W2673="","",IF(W2673="RMB","1.13", "1"))</f>
        <v>1</v>
      </c>
      <c r="Z2673" s="18">
        <f t="shared" si="792"/>
        <v>12750000</v>
      </c>
      <c r="AA2673" s="22">
        <v>5.3100000000000001E-2</v>
      </c>
      <c r="AB2673" s="21">
        <f t="shared" si="795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79"/>
        <v>21241742.157380536</v>
      </c>
      <c r="AJ2673" s="27">
        <f t="shared" si="780"/>
        <v>2987081.1613773629</v>
      </c>
      <c r="AK2673" s="28">
        <f t="shared" si="786"/>
        <v>0.14062317201884914</v>
      </c>
      <c r="AL2673" s="24"/>
      <c r="AM2673" s="24"/>
      <c r="AN2673" s="24"/>
      <c r="AO2673" s="24"/>
      <c r="AP2673" s="28" t="str">
        <f t="shared" si="787"/>
        <v>20243</v>
      </c>
      <c r="AQ2673" s="28" t="str">
        <f t="shared" si="788"/>
        <v>20243JPY</v>
      </c>
      <c r="AR2673" s="206" t="str">
        <f t="shared" si="789"/>
        <v>YAMAHA_Mounter</v>
      </c>
      <c r="AS2673" s="22">
        <f t="shared" si="790"/>
        <v>2</v>
      </c>
      <c r="AT2673" s="24" t="str">
        <f t="shared" si="791"/>
        <v>0-3 months</v>
      </c>
      <c r="AU2673" s="22" t="s">
        <v>3240</v>
      </c>
    </row>
    <row r="2674" spans="1:47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7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3175</v>
      </c>
      <c r="K2674" s="29" t="s">
        <v>3176</v>
      </c>
      <c r="L2674" s="17" t="s">
        <v>92</v>
      </c>
      <c r="M2674" s="22" t="s">
        <v>60</v>
      </c>
      <c r="N2674" s="22">
        <v>1</v>
      </c>
      <c r="O2674" s="22"/>
      <c r="P2674" s="33" t="str">
        <f t="shared" si="794"/>
        <v>MAIN UNIT</v>
      </c>
      <c r="Q2674" s="13" t="s">
        <v>61</v>
      </c>
      <c r="R2674" s="22" t="s">
        <v>62</v>
      </c>
      <c r="S2674" s="22" t="s">
        <v>49</v>
      </c>
      <c r="T2674" s="22" t="s">
        <v>1071</v>
      </c>
      <c r="U2674" s="22" t="s">
        <v>2110</v>
      </c>
      <c r="V2674" s="22" t="s">
        <v>121</v>
      </c>
      <c r="W2674" s="22" t="s">
        <v>109</v>
      </c>
      <c r="X2674" s="30">
        <v>12750000</v>
      </c>
      <c r="Y2674" s="31" t="str">
        <f t="shared" si="798"/>
        <v>1</v>
      </c>
      <c r="Z2674" s="18">
        <f t="shared" si="792"/>
        <v>12750000</v>
      </c>
      <c r="AA2674" s="22">
        <v>5.3100000000000001E-2</v>
      </c>
      <c r="AB2674" s="21">
        <f t="shared" si="795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79"/>
        <v>21241742.157380536</v>
      </c>
      <c r="AJ2674" s="27">
        <f t="shared" si="780"/>
        <v>2987081.1613773629</v>
      </c>
      <c r="AK2674" s="28">
        <f t="shared" si="786"/>
        <v>0.14062317201884914</v>
      </c>
      <c r="AL2674" s="24"/>
      <c r="AM2674" s="24"/>
      <c r="AN2674" s="24"/>
      <c r="AO2674" s="24"/>
      <c r="AP2674" s="28" t="str">
        <f t="shared" si="787"/>
        <v>20243</v>
      </c>
      <c r="AQ2674" s="28" t="str">
        <f t="shared" si="788"/>
        <v>20243JPY</v>
      </c>
      <c r="AR2674" s="206" t="str">
        <f t="shared" si="789"/>
        <v>YAMAHA_Mounter</v>
      </c>
      <c r="AS2674" s="22">
        <f t="shared" si="790"/>
        <v>2</v>
      </c>
      <c r="AT2674" s="24" t="str">
        <f t="shared" si="791"/>
        <v>0-3 months</v>
      </c>
      <c r="AU2674" s="22" t="s">
        <v>3240</v>
      </c>
    </row>
    <row r="2675" spans="1:47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7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3175</v>
      </c>
      <c r="K2675" s="29" t="s">
        <v>3176</v>
      </c>
      <c r="L2675" s="17" t="s">
        <v>67</v>
      </c>
      <c r="M2675" s="22" t="s">
        <v>60</v>
      </c>
      <c r="N2675" s="22">
        <v>1</v>
      </c>
      <c r="O2675" s="22"/>
      <c r="P2675" s="33" t="str">
        <f t="shared" si="794"/>
        <v>MAIN UNIT</v>
      </c>
      <c r="Q2675" s="13" t="s">
        <v>61</v>
      </c>
      <c r="R2675" s="22" t="s">
        <v>62</v>
      </c>
      <c r="S2675" s="22" t="s">
        <v>49</v>
      </c>
      <c r="T2675" s="22" t="s">
        <v>1071</v>
      </c>
      <c r="U2675" s="22" t="s">
        <v>2110</v>
      </c>
      <c r="V2675" s="22" t="s">
        <v>121</v>
      </c>
      <c r="W2675" s="22" t="s">
        <v>109</v>
      </c>
      <c r="X2675" s="30">
        <v>8000000</v>
      </c>
      <c r="Y2675" s="31" t="str">
        <f t="shared" si="798"/>
        <v>1</v>
      </c>
      <c r="Z2675" s="18">
        <f t="shared" si="792"/>
        <v>8000000</v>
      </c>
      <c r="AA2675" s="22">
        <v>5.3100000000000001E-2</v>
      </c>
      <c r="AB2675" s="21">
        <f t="shared" si="795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79"/>
        <v>21241742.157380536</v>
      </c>
      <c r="AJ2675" s="27">
        <f t="shared" si="780"/>
        <v>2987081.1613773629</v>
      </c>
      <c r="AK2675" s="28">
        <f t="shared" si="786"/>
        <v>0.14062317201884914</v>
      </c>
      <c r="AL2675" s="24"/>
      <c r="AM2675" s="24"/>
      <c r="AN2675" s="24"/>
      <c r="AO2675" s="24"/>
      <c r="AP2675" s="28" t="str">
        <f t="shared" si="787"/>
        <v>20243</v>
      </c>
      <c r="AQ2675" s="28" t="str">
        <f t="shared" si="788"/>
        <v>20243JPY</v>
      </c>
      <c r="AR2675" s="206" t="str">
        <f t="shared" si="789"/>
        <v>YAMAHA_Mounter</v>
      </c>
      <c r="AS2675" s="22">
        <f t="shared" si="790"/>
        <v>2</v>
      </c>
      <c r="AT2675" s="24" t="str">
        <f t="shared" si="791"/>
        <v>0-3 months</v>
      </c>
      <c r="AU2675" s="22" t="s">
        <v>3240</v>
      </c>
    </row>
    <row r="2676" spans="1:47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7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3175</v>
      </c>
      <c r="K2676" s="29" t="s">
        <v>3176</v>
      </c>
      <c r="L2676" s="17" t="s">
        <v>67</v>
      </c>
      <c r="M2676" s="22" t="s">
        <v>60</v>
      </c>
      <c r="N2676" s="22">
        <v>1</v>
      </c>
      <c r="O2676" s="22"/>
      <c r="P2676" s="33" t="str">
        <f t="shared" si="794"/>
        <v>MAIN UNIT</v>
      </c>
      <c r="Q2676" s="13" t="s">
        <v>61</v>
      </c>
      <c r="R2676" s="22" t="s">
        <v>62</v>
      </c>
      <c r="S2676" s="22" t="s">
        <v>49</v>
      </c>
      <c r="T2676" s="22" t="s">
        <v>1071</v>
      </c>
      <c r="U2676" s="22" t="s">
        <v>2110</v>
      </c>
      <c r="V2676" s="22" t="s">
        <v>121</v>
      </c>
      <c r="W2676" s="22" t="s">
        <v>109</v>
      </c>
      <c r="X2676" s="30">
        <v>8000000</v>
      </c>
      <c r="Y2676" s="31" t="str">
        <f t="shared" si="798"/>
        <v>1</v>
      </c>
      <c r="Z2676" s="18">
        <f t="shared" si="792"/>
        <v>8000000</v>
      </c>
      <c r="AA2676" s="22">
        <v>5.3100000000000001E-2</v>
      </c>
      <c r="AB2676" s="21">
        <f t="shared" si="795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79"/>
        <v>21241742.157380536</v>
      </c>
      <c r="AJ2676" s="27">
        <f t="shared" si="780"/>
        <v>2987081.1613773629</v>
      </c>
      <c r="AK2676" s="28">
        <f t="shared" si="786"/>
        <v>0.14062317201884914</v>
      </c>
      <c r="AL2676" s="24"/>
      <c r="AM2676" s="24"/>
      <c r="AN2676" s="24"/>
      <c r="AO2676" s="24"/>
      <c r="AP2676" s="28" t="str">
        <f t="shared" si="787"/>
        <v>20243</v>
      </c>
      <c r="AQ2676" s="28" t="str">
        <f t="shared" si="788"/>
        <v>20243JPY</v>
      </c>
      <c r="AR2676" s="206" t="str">
        <f t="shared" si="789"/>
        <v>YAMAHA_Mounter</v>
      </c>
      <c r="AS2676" s="22">
        <f t="shared" si="790"/>
        <v>2</v>
      </c>
      <c r="AT2676" s="24" t="str">
        <f t="shared" si="791"/>
        <v>0-3 months</v>
      </c>
      <c r="AU2676" s="22" t="s">
        <v>3240</v>
      </c>
    </row>
    <row r="2677" spans="1:47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7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3175</v>
      </c>
      <c r="K2677" s="29" t="s">
        <v>3176</v>
      </c>
      <c r="L2677" s="17" t="s">
        <v>67</v>
      </c>
      <c r="M2677" s="22" t="s">
        <v>60</v>
      </c>
      <c r="N2677" s="22">
        <v>1</v>
      </c>
      <c r="O2677" s="22"/>
      <c r="P2677" s="33" t="str">
        <f t="shared" si="794"/>
        <v>MAIN UNIT</v>
      </c>
      <c r="Q2677" s="13" t="s">
        <v>61</v>
      </c>
      <c r="R2677" s="22" t="s">
        <v>62</v>
      </c>
      <c r="S2677" s="22" t="s">
        <v>49</v>
      </c>
      <c r="T2677" s="22" t="s">
        <v>1071</v>
      </c>
      <c r="U2677" s="22" t="s">
        <v>2110</v>
      </c>
      <c r="V2677" s="22" t="s">
        <v>121</v>
      </c>
      <c r="W2677" s="22" t="s">
        <v>109</v>
      </c>
      <c r="X2677" s="30">
        <v>8000000</v>
      </c>
      <c r="Y2677" s="31" t="str">
        <f t="shared" si="798"/>
        <v>1</v>
      </c>
      <c r="Z2677" s="18">
        <f t="shared" si="792"/>
        <v>8000000</v>
      </c>
      <c r="AA2677" s="22">
        <v>5.3100000000000001E-2</v>
      </c>
      <c r="AB2677" s="21">
        <f t="shared" si="795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79"/>
        <v>21241742.157380536</v>
      </c>
      <c r="AJ2677" s="27">
        <f t="shared" si="780"/>
        <v>2987081.1613773629</v>
      </c>
      <c r="AK2677" s="28">
        <f t="shared" si="786"/>
        <v>0.14062317201884914</v>
      </c>
      <c r="AL2677" s="24"/>
      <c r="AM2677" s="24"/>
      <c r="AN2677" s="24"/>
      <c r="AO2677" s="24"/>
      <c r="AP2677" s="28" t="str">
        <f t="shared" si="787"/>
        <v>20243</v>
      </c>
      <c r="AQ2677" s="28" t="str">
        <f t="shared" si="788"/>
        <v>20243JPY</v>
      </c>
      <c r="AR2677" s="206" t="str">
        <f t="shared" si="789"/>
        <v>YAMAHA_Mounter</v>
      </c>
      <c r="AS2677" s="22">
        <f t="shared" si="790"/>
        <v>2</v>
      </c>
      <c r="AT2677" s="24" t="str">
        <f t="shared" si="791"/>
        <v>0-3 months</v>
      </c>
      <c r="AU2677" s="22" t="s">
        <v>3240</v>
      </c>
    </row>
    <row r="2678" spans="1:47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7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43</v>
      </c>
      <c r="M2678" s="22" t="s">
        <v>43</v>
      </c>
      <c r="N2678" s="22">
        <v>0</v>
      </c>
      <c r="O2678" s="22"/>
      <c r="P2678" s="202" t="str">
        <f t="shared" si="794"/>
        <v>C66 SERVICE/OTHERS</v>
      </c>
      <c r="Q2678" s="22" t="s">
        <v>45</v>
      </c>
      <c r="R2678" s="22" t="s">
        <v>45</v>
      </c>
      <c r="S2678" s="22" t="s">
        <v>50</v>
      </c>
      <c r="T2678" s="22"/>
      <c r="U2678" s="22"/>
      <c r="V2678" s="22"/>
      <c r="W2678" s="22"/>
      <c r="X2678" s="104"/>
      <c r="Y2678" s="195" t="str">
        <f t="shared" si="798"/>
        <v/>
      </c>
      <c r="Z2678" s="196" t="str">
        <f t="shared" si="792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79"/>
        <v>25458266.694690265</v>
      </c>
      <c r="AJ2678" s="200">
        <f t="shared" si="780"/>
        <v>4116526.778578762</v>
      </c>
      <c r="AK2678" s="201">
        <f t="shared" si="786"/>
        <v>0.16169705612508689</v>
      </c>
      <c r="AL2678" s="24"/>
      <c r="AM2678" s="24"/>
      <c r="AN2678" s="24"/>
      <c r="AO2678" s="24"/>
      <c r="AP2678" s="105" t="str">
        <f t="shared" si="787"/>
        <v>20247</v>
      </c>
      <c r="AQ2678" s="28" t="str">
        <f t="shared" si="788"/>
        <v/>
      </c>
      <c r="AR2678" s="206" t="str">
        <f t="shared" si="789"/>
        <v>C66 SERVICE</v>
      </c>
      <c r="AS2678" s="22" t="str">
        <f t="shared" si="790"/>
        <v/>
      </c>
      <c r="AT2678" s="24" t="str">
        <f t="shared" si="791"/>
        <v/>
      </c>
      <c r="AU2678" s="22">
        <v>0</v>
      </c>
    </row>
    <row r="2679" spans="1:47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3172</v>
      </c>
      <c r="F2679" s="152" t="s">
        <v>185</v>
      </c>
      <c r="G2679" s="152" t="s">
        <v>185</v>
      </c>
      <c r="H2679" s="155"/>
      <c r="I2679" s="33" t="str">
        <f t="shared" si="783"/>
        <v>Cancel</v>
      </c>
      <c r="J2679" s="186" t="s">
        <v>3079</v>
      </c>
      <c r="K2679" s="155" t="s">
        <v>3080</v>
      </c>
      <c r="L2679" s="17" t="s">
        <v>92</v>
      </c>
      <c r="M2679" s="13" t="s">
        <v>60</v>
      </c>
      <c r="N2679" s="13">
        <v>1</v>
      </c>
      <c r="O2679" s="13"/>
      <c r="P2679" s="33" t="str">
        <f t="shared" si="794"/>
        <v>MAIN UNIT</v>
      </c>
      <c r="Q2679" s="13" t="s">
        <v>68</v>
      </c>
      <c r="R2679" s="13" t="s">
        <v>62</v>
      </c>
      <c r="S2679" s="13" t="s">
        <v>49</v>
      </c>
      <c r="T2679" s="13" t="s">
        <v>78</v>
      </c>
      <c r="U2679" s="13" t="s">
        <v>79</v>
      </c>
      <c r="V2679" s="13" t="s">
        <v>1885</v>
      </c>
      <c r="W2679" s="13" t="s">
        <v>109</v>
      </c>
      <c r="X2679" s="135">
        <v>11500000</v>
      </c>
      <c r="Y2679" s="157" t="str">
        <f>IF(W2679="RMB","1.13", "1")</f>
        <v>1</v>
      </c>
      <c r="Z2679" s="18">
        <f t="shared" si="792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79"/>
        <v>4327756</v>
      </c>
      <c r="AJ2679" s="19">
        <f t="shared" si="780"/>
        <v>519330.72</v>
      </c>
      <c r="AK2679" s="20">
        <f t="shared" si="786"/>
        <v>0.12</v>
      </c>
      <c r="AL2679" s="17"/>
      <c r="AM2679" s="17"/>
      <c r="AN2679" s="17"/>
      <c r="AO2679" s="17"/>
      <c r="AP2679" s="28" t="str">
        <f t="shared" si="787"/>
        <v>CancelCancel</v>
      </c>
      <c r="AQ2679" s="28" t="str">
        <f t="shared" si="788"/>
        <v>CancelCancelJPY</v>
      </c>
      <c r="AR2679" s="206" t="str">
        <f t="shared" si="789"/>
        <v>YAMAHA_Mounter</v>
      </c>
      <c r="AS2679" s="22" t="str">
        <f t="shared" si="790"/>
        <v/>
      </c>
      <c r="AT2679" s="24" t="str">
        <f t="shared" si="791"/>
        <v/>
      </c>
      <c r="AU2679" s="22" t="s">
        <v>3745</v>
      </c>
    </row>
    <row r="2680" spans="1:47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3172</v>
      </c>
      <c r="F2680" s="152" t="s">
        <v>185</v>
      </c>
      <c r="G2680" s="23" t="s">
        <v>185</v>
      </c>
      <c r="H2680" s="29"/>
      <c r="I2680" s="202" t="str">
        <f t="shared" si="783"/>
        <v>Cancel</v>
      </c>
      <c r="J2680" s="188" t="s">
        <v>3433</v>
      </c>
      <c r="K2680" s="29" t="s">
        <v>983</v>
      </c>
      <c r="L2680" s="17" t="s">
        <v>92</v>
      </c>
      <c r="M2680" s="22" t="s">
        <v>60</v>
      </c>
      <c r="N2680" s="22">
        <v>1</v>
      </c>
      <c r="O2680" s="22"/>
      <c r="P2680" s="33" t="str">
        <f t="shared" si="794"/>
        <v>MAIN UNIT</v>
      </c>
      <c r="Q2680" s="22" t="s">
        <v>61</v>
      </c>
      <c r="R2680" s="22" t="s">
        <v>62</v>
      </c>
      <c r="S2680" s="22" t="s">
        <v>49</v>
      </c>
      <c r="T2680" s="22" t="s">
        <v>78</v>
      </c>
      <c r="U2680" s="22" t="s">
        <v>78</v>
      </c>
      <c r="V2680" s="22" t="s">
        <v>112</v>
      </c>
      <c r="W2680" s="22" t="s">
        <v>109</v>
      </c>
      <c r="X2680" s="104">
        <v>13000000</v>
      </c>
      <c r="Y2680" s="195" t="str">
        <f>IF(W2680="","",IF(W2680="RMB","1.13", "1"))</f>
        <v>1</v>
      </c>
      <c r="Z2680" s="196">
        <f t="shared" si="792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79"/>
        <v>4327756</v>
      </c>
      <c r="AJ2680" s="200">
        <f t="shared" si="780"/>
        <v>519330.72</v>
      </c>
      <c r="AK2680" s="201">
        <f t="shared" si="786"/>
        <v>0.12</v>
      </c>
      <c r="AL2680" s="24"/>
      <c r="AM2680" s="24"/>
      <c r="AN2680" s="24"/>
      <c r="AO2680" s="24"/>
      <c r="AP2680" s="105" t="str">
        <f t="shared" si="787"/>
        <v>CancelCancel</v>
      </c>
      <c r="AQ2680" s="28" t="str">
        <f t="shared" si="788"/>
        <v>CancelCancelJPY</v>
      </c>
      <c r="AR2680" s="206" t="str">
        <f t="shared" si="789"/>
        <v>YAMAHA_Mounter</v>
      </c>
      <c r="AS2680" s="22" t="str">
        <f t="shared" si="790"/>
        <v/>
      </c>
      <c r="AT2680" s="24" t="str">
        <f t="shared" si="791"/>
        <v/>
      </c>
      <c r="AU2680" s="22" t="s">
        <v>3745</v>
      </c>
    </row>
    <row r="2681" spans="1:47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3172</v>
      </c>
      <c r="F2681" s="152" t="s">
        <v>185</v>
      </c>
      <c r="G2681" s="23" t="s">
        <v>185</v>
      </c>
      <c r="H2681" s="29"/>
      <c r="I2681" s="202" t="str">
        <f t="shared" si="783"/>
        <v>Cancel</v>
      </c>
      <c r="J2681" s="188" t="s">
        <v>3433</v>
      </c>
      <c r="K2681" s="29" t="s">
        <v>983</v>
      </c>
      <c r="L2681" s="17" t="s">
        <v>92</v>
      </c>
      <c r="M2681" s="22" t="s">
        <v>60</v>
      </c>
      <c r="N2681" s="22">
        <v>1</v>
      </c>
      <c r="O2681" s="22"/>
      <c r="P2681" s="33" t="str">
        <f t="shared" si="794"/>
        <v>MAIN UNIT</v>
      </c>
      <c r="Q2681" s="22" t="s">
        <v>61</v>
      </c>
      <c r="R2681" s="22" t="s">
        <v>62</v>
      </c>
      <c r="S2681" s="22" t="s">
        <v>49</v>
      </c>
      <c r="T2681" s="22" t="s">
        <v>78</v>
      </c>
      <c r="U2681" s="22" t="s">
        <v>78</v>
      </c>
      <c r="V2681" s="22" t="s">
        <v>112</v>
      </c>
      <c r="W2681" s="22" t="s">
        <v>109</v>
      </c>
      <c r="X2681" s="104">
        <v>13000000</v>
      </c>
      <c r="Y2681" s="195" t="str">
        <f>IF(W2681="","",IF(W2681="RMB","1.13", "1"))</f>
        <v>1</v>
      </c>
      <c r="Z2681" s="196">
        <f t="shared" si="792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79"/>
        <v>4327756</v>
      </c>
      <c r="AJ2681" s="200">
        <f t="shared" si="780"/>
        <v>519330.72</v>
      </c>
      <c r="AK2681" s="201">
        <f t="shared" si="786"/>
        <v>0.12</v>
      </c>
      <c r="AL2681" s="24"/>
      <c r="AM2681" s="24"/>
      <c r="AN2681" s="24"/>
      <c r="AO2681" s="24"/>
      <c r="AP2681" s="105" t="str">
        <f t="shared" si="787"/>
        <v>CancelCancel</v>
      </c>
      <c r="AQ2681" s="28" t="str">
        <f t="shared" si="788"/>
        <v>CancelCancelJPY</v>
      </c>
      <c r="AR2681" s="206" t="str">
        <f t="shared" si="789"/>
        <v>YAMAHA_Mounter</v>
      </c>
      <c r="AS2681" s="22" t="str">
        <f t="shared" si="790"/>
        <v/>
      </c>
      <c r="AT2681" s="24" t="str">
        <f t="shared" si="791"/>
        <v/>
      </c>
      <c r="AU2681" s="22" t="s">
        <v>3745</v>
      </c>
    </row>
    <row r="2682" spans="1:47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3172</v>
      </c>
      <c r="F2682" s="152" t="s">
        <v>185</v>
      </c>
      <c r="G2682" s="23" t="s">
        <v>185</v>
      </c>
      <c r="H2682" s="29"/>
      <c r="I2682" s="202" t="str">
        <f t="shared" si="783"/>
        <v>Cancel</v>
      </c>
      <c r="J2682" s="188" t="s">
        <v>3433</v>
      </c>
      <c r="K2682" s="29" t="s">
        <v>983</v>
      </c>
      <c r="L2682" s="17" t="s">
        <v>67</v>
      </c>
      <c r="M2682" s="22" t="s">
        <v>60</v>
      </c>
      <c r="N2682" s="22">
        <v>1</v>
      </c>
      <c r="O2682" s="22"/>
      <c r="P2682" s="33" t="str">
        <f t="shared" si="794"/>
        <v>MAIN UNIT</v>
      </c>
      <c r="Q2682" s="22" t="s">
        <v>61</v>
      </c>
      <c r="R2682" s="22" t="s">
        <v>62</v>
      </c>
      <c r="S2682" s="22" t="s">
        <v>49</v>
      </c>
      <c r="T2682" s="22" t="s">
        <v>78</v>
      </c>
      <c r="U2682" s="22" t="s">
        <v>78</v>
      </c>
      <c r="V2682" s="22" t="s">
        <v>112</v>
      </c>
      <c r="W2682" s="22" t="s">
        <v>109</v>
      </c>
      <c r="X2682" s="104">
        <v>10120000</v>
      </c>
      <c r="Y2682" s="195" t="str">
        <f>IF(W2682="","",IF(W2682="RMB","1.13", "1"))</f>
        <v>1</v>
      </c>
      <c r="Z2682" s="196">
        <f t="shared" si="792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79"/>
        <v>4327756</v>
      </c>
      <c r="AJ2682" s="200">
        <f t="shared" si="780"/>
        <v>519330.72</v>
      </c>
      <c r="AK2682" s="201">
        <f t="shared" si="786"/>
        <v>0.12</v>
      </c>
      <c r="AL2682" s="24"/>
      <c r="AM2682" s="24"/>
      <c r="AN2682" s="24"/>
      <c r="AO2682" s="24"/>
      <c r="AP2682" s="105" t="str">
        <f t="shared" si="787"/>
        <v>CancelCancel</v>
      </c>
      <c r="AQ2682" s="28" t="str">
        <f t="shared" si="788"/>
        <v>CancelCancelJPY</v>
      </c>
      <c r="AR2682" s="206" t="str">
        <f t="shared" si="789"/>
        <v>YAMAHA_Mounter</v>
      </c>
      <c r="AS2682" s="22" t="str">
        <f t="shared" si="790"/>
        <v/>
      </c>
      <c r="AT2682" s="24" t="str">
        <f t="shared" si="791"/>
        <v/>
      </c>
      <c r="AU2682" s="22" t="s">
        <v>3745</v>
      </c>
    </row>
    <row r="2683" spans="1:47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43</v>
      </c>
      <c r="M2683" s="22" t="s">
        <v>43</v>
      </c>
      <c r="N2683" s="22">
        <v>0</v>
      </c>
      <c r="O2683" s="22"/>
      <c r="P2683" s="202" t="str">
        <f t="shared" si="794"/>
        <v>C66 SERVICE/OTHERS</v>
      </c>
      <c r="Q2683" s="22" t="s">
        <v>45</v>
      </c>
      <c r="R2683" s="22" t="s">
        <v>45</v>
      </c>
      <c r="S2683" s="22" t="s">
        <v>49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2"/>
        <v/>
      </c>
      <c r="AA2683" s="22"/>
      <c r="AB2683" s="197">
        <v>225000</v>
      </c>
      <c r="AC2683" s="198">
        <f t="shared" si="784"/>
        <v>67500</v>
      </c>
      <c r="AD2683" s="227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79"/>
        <v>25458266.694690265</v>
      </c>
      <c r="AJ2683" s="200">
        <f t="shared" si="780"/>
        <v>4116526.778578762</v>
      </c>
      <c r="AK2683" s="201">
        <f t="shared" si="786"/>
        <v>0.16169705612508689</v>
      </c>
      <c r="AL2683" s="24"/>
      <c r="AM2683" s="24"/>
      <c r="AN2683" s="24"/>
      <c r="AO2683" s="24"/>
      <c r="AP2683" s="105" t="str">
        <f t="shared" si="787"/>
        <v>20247</v>
      </c>
      <c r="AQ2683" s="28" t="str">
        <f t="shared" si="788"/>
        <v/>
      </c>
      <c r="AR2683" s="206" t="str">
        <f t="shared" si="789"/>
        <v>C66 SERVICE</v>
      </c>
      <c r="AS2683" s="22" t="str">
        <f t="shared" si="790"/>
        <v/>
      </c>
      <c r="AT2683" s="24" t="str">
        <f t="shared" si="791"/>
        <v/>
      </c>
      <c r="AU2683" s="22">
        <v>0</v>
      </c>
    </row>
    <row r="2684" spans="1:47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53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1831</v>
      </c>
      <c r="K2684" s="155" t="s">
        <v>1832</v>
      </c>
      <c r="L2684" s="17" t="s">
        <v>92</v>
      </c>
      <c r="M2684" s="13" t="s">
        <v>60</v>
      </c>
      <c r="N2684" s="13">
        <v>1</v>
      </c>
      <c r="O2684" s="13"/>
      <c r="P2684" s="33" t="str">
        <f t="shared" si="794"/>
        <v>MAIN UNIT</v>
      </c>
      <c r="Q2684" s="13" t="s">
        <v>68</v>
      </c>
      <c r="R2684" s="13" t="s">
        <v>62</v>
      </c>
      <c r="S2684" s="13" t="s">
        <v>50</v>
      </c>
      <c r="T2684" s="13" t="s">
        <v>238</v>
      </c>
      <c r="U2684" s="13" t="s">
        <v>70</v>
      </c>
      <c r="V2684" s="13" t="s">
        <v>71</v>
      </c>
      <c r="W2684" s="13" t="s">
        <v>64</v>
      </c>
      <c r="X2684" s="135">
        <v>900000</v>
      </c>
      <c r="Y2684" s="157" t="str">
        <f>IF(W2684="RMB","1.13", "1")</f>
        <v>1.13</v>
      </c>
      <c r="Z2684" s="18">
        <f t="shared" si="792"/>
        <v>900000</v>
      </c>
      <c r="AA2684" s="13">
        <v>1.2</v>
      </c>
      <c r="AB2684" s="21">
        <f t="shared" ref="AB2684:AB2747" si="799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79"/>
        <v>41443303.53761062</v>
      </c>
      <c r="AJ2684" s="19">
        <f t="shared" si="780"/>
        <v>6194988.76643031</v>
      </c>
      <c r="AK2684" s="20">
        <f t="shared" si="786"/>
        <v>0.1494810557466355</v>
      </c>
      <c r="AL2684" s="17"/>
      <c r="AM2684" s="17"/>
      <c r="AN2684" s="17"/>
      <c r="AO2684" s="17"/>
      <c r="AP2684" s="28" t="str">
        <f t="shared" si="787"/>
        <v>20217</v>
      </c>
      <c r="AQ2684" s="28" t="str">
        <f t="shared" si="788"/>
        <v>20217RMB</v>
      </c>
      <c r="AR2684" s="206" t="str">
        <f t="shared" si="789"/>
        <v>YAMAHA_Mounter</v>
      </c>
      <c r="AS2684" s="22">
        <f t="shared" si="790"/>
        <v>3</v>
      </c>
      <c r="AT2684" s="24" t="str">
        <f t="shared" si="791"/>
        <v>0-3 months</v>
      </c>
      <c r="AU2684" s="22" t="s">
        <v>3240</v>
      </c>
    </row>
    <row r="2685" spans="1:47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53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1831</v>
      </c>
      <c r="K2685" s="155" t="s">
        <v>1832</v>
      </c>
      <c r="L2685" s="17" t="s">
        <v>67</v>
      </c>
      <c r="M2685" s="13" t="s">
        <v>60</v>
      </c>
      <c r="N2685" s="13">
        <v>1</v>
      </c>
      <c r="O2685" s="13"/>
      <c r="P2685" s="33" t="str">
        <f t="shared" si="794"/>
        <v>MAIN UNIT</v>
      </c>
      <c r="Q2685" s="13" t="s">
        <v>68</v>
      </c>
      <c r="R2685" s="13" t="s">
        <v>62</v>
      </c>
      <c r="S2685" s="13" t="s">
        <v>50</v>
      </c>
      <c r="T2685" s="13" t="s">
        <v>238</v>
      </c>
      <c r="U2685" s="13" t="s">
        <v>70</v>
      </c>
      <c r="V2685" s="13" t="s">
        <v>71</v>
      </c>
      <c r="W2685" s="13" t="s">
        <v>64</v>
      </c>
      <c r="X2685" s="135">
        <v>710000</v>
      </c>
      <c r="Y2685" s="157" t="str">
        <f>IF(W2685="RMB","1.13", "1")</f>
        <v>1.13</v>
      </c>
      <c r="Z2685" s="18">
        <f t="shared" si="792"/>
        <v>710000</v>
      </c>
      <c r="AA2685" s="13">
        <v>1.2</v>
      </c>
      <c r="AB2685" s="21">
        <f t="shared" si="799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79"/>
        <v>15533177.71460177</v>
      </c>
      <c r="AJ2685" s="19">
        <f t="shared" si="780"/>
        <v>1819298.5437526547</v>
      </c>
      <c r="AK2685" s="20">
        <f t="shared" si="786"/>
        <v>0.11712339723265033</v>
      </c>
      <c r="AL2685" s="17"/>
      <c r="AM2685" s="17"/>
      <c r="AN2685" s="17"/>
      <c r="AO2685" s="17"/>
      <c r="AP2685" s="28" t="str">
        <f t="shared" si="787"/>
        <v>202110</v>
      </c>
      <c r="AQ2685" s="28" t="str">
        <f t="shared" si="788"/>
        <v>202110RMB</v>
      </c>
      <c r="AR2685" s="206" t="str">
        <f t="shared" si="789"/>
        <v>YAMAHA_Mounter</v>
      </c>
      <c r="AS2685" s="22">
        <f t="shared" si="790"/>
        <v>6</v>
      </c>
      <c r="AT2685" s="24" t="str">
        <f t="shared" si="791"/>
        <v>4-6 months</v>
      </c>
      <c r="AU2685" s="22" t="s">
        <v>3240</v>
      </c>
    </row>
    <row r="2686" spans="1:47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55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2544</v>
      </c>
      <c r="K2686" s="155" t="s">
        <v>2545</v>
      </c>
      <c r="L2686" s="17" t="s">
        <v>67</v>
      </c>
      <c r="M2686" s="13" t="s">
        <v>60</v>
      </c>
      <c r="N2686" s="13">
        <v>1</v>
      </c>
      <c r="O2686" s="13"/>
      <c r="P2686" s="33" t="str">
        <f t="shared" si="794"/>
        <v>MAIN UNIT</v>
      </c>
      <c r="Q2686" s="13" t="s">
        <v>61</v>
      </c>
      <c r="R2686" s="13" t="s">
        <v>62</v>
      </c>
      <c r="S2686" s="13" t="s">
        <v>50</v>
      </c>
      <c r="T2686" s="13" t="s">
        <v>238</v>
      </c>
      <c r="U2686" s="13" t="s">
        <v>70</v>
      </c>
      <c r="V2686" s="13" t="s">
        <v>71</v>
      </c>
      <c r="W2686" s="13" t="s">
        <v>64</v>
      </c>
      <c r="X2686" s="135">
        <v>520000</v>
      </c>
      <c r="Y2686" s="157" t="str">
        <f>IF(W2686="RMB","1.13", "1")</f>
        <v>1.13</v>
      </c>
      <c r="Z2686" s="18">
        <f t="shared" si="792"/>
        <v>520000</v>
      </c>
      <c r="AA2686" s="13">
        <v>1.0920000000000001</v>
      </c>
      <c r="AB2686" s="21">
        <f t="shared" si="799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79"/>
        <v>22953677.784070797</v>
      </c>
      <c r="AJ2686" s="19">
        <f t="shared" si="780"/>
        <v>4168706.6744155753</v>
      </c>
      <c r="AK2686" s="20">
        <f t="shared" si="786"/>
        <v>0.18161388835511752</v>
      </c>
      <c r="AL2686" s="17"/>
      <c r="AM2686" s="17"/>
      <c r="AN2686" s="17"/>
      <c r="AO2686" s="17"/>
      <c r="AP2686" s="28" t="str">
        <f t="shared" si="787"/>
        <v>20238</v>
      </c>
      <c r="AQ2686" s="28" t="str">
        <f t="shared" si="788"/>
        <v>20238RMB</v>
      </c>
      <c r="AR2686" s="206" t="str">
        <f t="shared" si="789"/>
        <v>YAMAHA_Mounter</v>
      </c>
      <c r="AS2686" s="22">
        <f t="shared" si="790"/>
        <v>3</v>
      </c>
      <c r="AT2686" s="24" t="str">
        <f t="shared" si="791"/>
        <v>0-3 months</v>
      </c>
      <c r="AU2686" s="22" t="s">
        <v>3240</v>
      </c>
    </row>
    <row r="2687" spans="1:47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55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2544</v>
      </c>
      <c r="K2687" s="155" t="s">
        <v>2545</v>
      </c>
      <c r="L2687" s="17" t="s">
        <v>92</v>
      </c>
      <c r="M2687" s="13" t="s">
        <v>60</v>
      </c>
      <c r="N2687" s="13">
        <v>1</v>
      </c>
      <c r="O2687" s="13"/>
      <c r="P2687" s="33" t="str">
        <f t="shared" si="794"/>
        <v>MAIN UNIT</v>
      </c>
      <c r="Q2687" s="13" t="s">
        <v>61</v>
      </c>
      <c r="R2687" s="13" t="s">
        <v>62</v>
      </c>
      <c r="S2687" s="13" t="s">
        <v>50</v>
      </c>
      <c r="T2687" s="13" t="s">
        <v>238</v>
      </c>
      <c r="U2687" s="13" t="s">
        <v>70</v>
      </c>
      <c r="V2687" s="13" t="s">
        <v>71</v>
      </c>
      <c r="W2687" s="13" t="s">
        <v>64</v>
      </c>
      <c r="X2687" s="135">
        <v>900000</v>
      </c>
      <c r="Y2687" s="157" t="str">
        <f>IF(W2687="RMB","1.13", "1")</f>
        <v>1.13</v>
      </c>
      <c r="Z2687" s="18">
        <f t="shared" si="792"/>
        <v>900000</v>
      </c>
      <c r="AA2687" s="13">
        <v>1.0920000000000001</v>
      </c>
      <c r="AB2687" s="21">
        <f t="shared" si="799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79"/>
        <v>22953677.784070797</v>
      </c>
      <c r="AJ2687" s="19">
        <f t="shared" si="780"/>
        <v>4168706.6744155753</v>
      </c>
      <c r="AK2687" s="20">
        <f t="shared" si="786"/>
        <v>0.18161388835511752</v>
      </c>
      <c r="AL2687" s="17"/>
      <c r="AM2687" s="17"/>
      <c r="AN2687" s="17"/>
      <c r="AO2687" s="17"/>
      <c r="AP2687" s="28" t="str">
        <f t="shared" si="787"/>
        <v>20238</v>
      </c>
      <c r="AQ2687" s="28" t="str">
        <f t="shared" si="788"/>
        <v>20238RMB</v>
      </c>
      <c r="AR2687" s="206" t="str">
        <f t="shared" si="789"/>
        <v>YAMAHA_Mounter</v>
      </c>
      <c r="AS2687" s="22">
        <f t="shared" si="790"/>
        <v>3</v>
      </c>
      <c r="AT2687" s="24" t="str">
        <f t="shared" si="791"/>
        <v>0-3 months</v>
      </c>
      <c r="AU2687" s="22" t="s">
        <v>3240</v>
      </c>
    </row>
    <row r="2688" spans="1:47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2544</v>
      </c>
      <c r="K2688" s="155" t="s">
        <v>2545</v>
      </c>
      <c r="L2688" s="17" t="s">
        <v>2620</v>
      </c>
      <c r="M2688" s="13" t="s">
        <v>60</v>
      </c>
      <c r="N2688" s="13">
        <v>1</v>
      </c>
      <c r="O2688" s="13"/>
      <c r="P2688" s="33" t="str">
        <f t="shared" si="794"/>
        <v>MAIN UNIT</v>
      </c>
      <c r="Q2688" s="13" t="s">
        <v>61</v>
      </c>
      <c r="R2688" s="13" t="s">
        <v>2055</v>
      </c>
      <c r="S2688" s="13" t="s">
        <v>50</v>
      </c>
      <c r="T2688" s="13" t="s">
        <v>238</v>
      </c>
      <c r="U2688" s="13" t="s">
        <v>70</v>
      </c>
      <c r="V2688" s="13" t="s">
        <v>71</v>
      </c>
      <c r="W2688" s="13" t="s">
        <v>64</v>
      </c>
      <c r="X2688" s="135">
        <v>470000</v>
      </c>
      <c r="Y2688" s="157" t="str">
        <f>IF(W2688="","",IF(W2688="RMB","1.13", "1"))</f>
        <v>1.13</v>
      </c>
      <c r="Z2688" s="18">
        <f t="shared" si="792"/>
        <v>470000</v>
      </c>
      <c r="AA2688" s="13">
        <v>1.0920000000000001</v>
      </c>
      <c r="AB2688" s="21">
        <f t="shared" si="799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79"/>
        <v>22953677.784070797</v>
      </c>
      <c r="AJ2688" s="19">
        <f t="shared" si="780"/>
        <v>4168706.6744155753</v>
      </c>
      <c r="AK2688" s="20">
        <f t="shared" si="786"/>
        <v>0.18161388835511752</v>
      </c>
      <c r="AL2688" s="17"/>
      <c r="AM2688" s="17"/>
      <c r="AN2688" s="17"/>
      <c r="AO2688" s="17"/>
      <c r="AP2688" s="28" t="str">
        <f t="shared" si="787"/>
        <v>20238</v>
      </c>
      <c r="AQ2688" s="28" t="str">
        <f t="shared" si="788"/>
        <v>20238RMB</v>
      </c>
      <c r="AR2688" s="206" t="str">
        <f t="shared" si="789"/>
        <v>YAMAHA_Non_Mounter</v>
      </c>
      <c r="AS2688" s="22">
        <f t="shared" si="790"/>
        <v>3</v>
      </c>
      <c r="AT2688" s="24" t="str">
        <f t="shared" si="791"/>
        <v>0-3 months</v>
      </c>
      <c r="AU2688" s="22" t="s">
        <v>3240</v>
      </c>
    </row>
    <row r="2689" spans="1:47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53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1864</v>
      </c>
      <c r="K2689" s="155" t="s">
        <v>1865</v>
      </c>
      <c r="L2689" s="17" t="s">
        <v>92</v>
      </c>
      <c r="M2689" s="13" t="s">
        <v>60</v>
      </c>
      <c r="N2689" s="13">
        <v>1</v>
      </c>
      <c r="O2689" s="13"/>
      <c r="P2689" s="33" t="str">
        <f t="shared" si="794"/>
        <v>MAIN UNIT</v>
      </c>
      <c r="Q2689" s="13" t="s">
        <v>68</v>
      </c>
      <c r="R2689" s="13" t="s">
        <v>62</v>
      </c>
      <c r="S2689" s="13" t="s">
        <v>51</v>
      </c>
      <c r="T2689" s="13" t="s">
        <v>1866</v>
      </c>
      <c r="U2689" s="13" t="s">
        <v>149</v>
      </c>
      <c r="V2689" s="13" t="s">
        <v>954</v>
      </c>
      <c r="W2689" s="13" t="s">
        <v>64</v>
      </c>
      <c r="X2689" s="135">
        <v>1000000</v>
      </c>
      <c r="Y2689" s="157" t="str">
        <f t="shared" ref="Y2689:Y2696" si="800">IF(W2689="RMB","1.13", "1")</f>
        <v>1.13</v>
      </c>
      <c r="Z2689" s="18">
        <f t="shared" si="792"/>
        <v>1000000</v>
      </c>
      <c r="AA2689" s="13">
        <v>1.2</v>
      </c>
      <c r="AB2689" s="21">
        <f t="shared" si="799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79"/>
        <v>10844605.840707963</v>
      </c>
      <c r="AJ2689" s="19">
        <f t="shared" si="780"/>
        <v>1523130.9860707966</v>
      </c>
      <c r="AK2689" s="20">
        <f t="shared" si="786"/>
        <v>0.14045056209911663</v>
      </c>
      <c r="AL2689" s="17"/>
      <c r="AM2689" s="17"/>
      <c r="AN2689" s="17"/>
      <c r="AO2689" s="17"/>
      <c r="AP2689" s="28" t="str">
        <f t="shared" si="787"/>
        <v>20219</v>
      </c>
      <c r="AQ2689" s="28" t="str">
        <f t="shared" si="788"/>
        <v>20219RMB</v>
      </c>
      <c r="AR2689" s="206" t="str">
        <f t="shared" si="789"/>
        <v>YAMAHA_Mounter</v>
      </c>
      <c r="AS2689" s="22">
        <f t="shared" si="790"/>
        <v>7</v>
      </c>
      <c r="AT2689" s="24" t="str">
        <f t="shared" si="791"/>
        <v>&gt; 6 months</v>
      </c>
      <c r="AU2689" s="22" t="s">
        <v>3240</v>
      </c>
    </row>
    <row r="2690" spans="1:47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53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1864</v>
      </c>
      <c r="K2690" s="155" t="s">
        <v>1865</v>
      </c>
      <c r="L2690" s="17" t="s">
        <v>92</v>
      </c>
      <c r="M2690" s="13" t="s">
        <v>60</v>
      </c>
      <c r="N2690" s="13">
        <v>1</v>
      </c>
      <c r="O2690" s="13"/>
      <c r="P2690" s="33" t="str">
        <f t="shared" si="794"/>
        <v>MAIN UNIT</v>
      </c>
      <c r="Q2690" s="13" t="s">
        <v>68</v>
      </c>
      <c r="R2690" s="13" t="s">
        <v>62</v>
      </c>
      <c r="S2690" s="13" t="s">
        <v>51</v>
      </c>
      <c r="T2690" s="13" t="s">
        <v>1866</v>
      </c>
      <c r="U2690" s="13" t="s">
        <v>149</v>
      </c>
      <c r="V2690" s="13" t="s">
        <v>954</v>
      </c>
      <c r="W2690" s="13" t="s">
        <v>64</v>
      </c>
      <c r="X2690" s="135">
        <v>1000000</v>
      </c>
      <c r="Y2690" s="157" t="str">
        <f t="shared" si="800"/>
        <v>1.13</v>
      </c>
      <c r="Z2690" s="18">
        <f t="shared" si="792"/>
        <v>1000000</v>
      </c>
      <c r="AA2690" s="13">
        <v>1.2</v>
      </c>
      <c r="AB2690" s="21">
        <f t="shared" si="799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ref="AI2690:AI2753" si="801">IF(P2690="C66 SERVICE","",SUMIFS(AB:AB,F:F,F2690,G:G,G2690,E:E,E2690))</f>
        <v>10844605.840707963</v>
      </c>
      <c r="AJ2690" s="19">
        <f t="shared" ref="AJ2690:AJ2753" si="802">IF(P2690="C66 SERVICE","",SUMIFS(AC:AC,F:F,F2690,G:G,G2690,E:E,E2690))</f>
        <v>1523130.9860707966</v>
      </c>
      <c r="AK2690" s="20">
        <f t="shared" si="786"/>
        <v>0.14045056209911663</v>
      </c>
      <c r="AL2690" s="17"/>
      <c r="AM2690" s="17"/>
      <c r="AN2690" s="17"/>
      <c r="AO2690" s="17"/>
      <c r="AP2690" s="28" t="str">
        <f t="shared" si="787"/>
        <v>20219</v>
      </c>
      <c r="AQ2690" s="28" t="str">
        <f t="shared" si="788"/>
        <v>20219RMB</v>
      </c>
      <c r="AR2690" s="206" t="str">
        <f t="shared" si="789"/>
        <v>YAMAHA_Mounter</v>
      </c>
      <c r="AS2690" s="22">
        <f t="shared" si="790"/>
        <v>7</v>
      </c>
      <c r="AT2690" s="24" t="str">
        <f t="shared" si="791"/>
        <v>&gt; 6 months</v>
      </c>
      <c r="AU2690" s="22" t="s">
        <v>3240</v>
      </c>
    </row>
    <row r="2691" spans="1:47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53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1864</v>
      </c>
      <c r="K2691" s="155" t="s">
        <v>1865</v>
      </c>
      <c r="L2691" s="17" t="s">
        <v>67</v>
      </c>
      <c r="M2691" s="13" t="s">
        <v>60</v>
      </c>
      <c r="N2691" s="13">
        <v>1</v>
      </c>
      <c r="O2691" s="13"/>
      <c r="P2691" s="33" t="str">
        <f t="shared" si="794"/>
        <v>MAIN UNIT</v>
      </c>
      <c r="Q2691" s="13" t="s">
        <v>68</v>
      </c>
      <c r="R2691" s="13" t="s">
        <v>62</v>
      </c>
      <c r="S2691" s="13" t="s">
        <v>51</v>
      </c>
      <c r="T2691" s="13" t="s">
        <v>1866</v>
      </c>
      <c r="U2691" s="13" t="s">
        <v>149</v>
      </c>
      <c r="V2691" s="13" t="s">
        <v>954</v>
      </c>
      <c r="W2691" s="13" t="s">
        <v>64</v>
      </c>
      <c r="X2691" s="135">
        <v>832700</v>
      </c>
      <c r="Y2691" s="157" t="str">
        <f t="shared" si="800"/>
        <v>1.13</v>
      </c>
      <c r="Z2691" s="18">
        <f t="shared" si="792"/>
        <v>832700</v>
      </c>
      <c r="AA2691" s="13">
        <v>1.2</v>
      </c>
      <c r="AB2691" s="21">
        <f t="shared" si="799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801"/>
        <v>10844605.840707963</v>
      </c>
      <c r="AJ2691" s="19">
        <f t="shared" si="802"/>
        <v>1523130.9860707966</v>
      </c>
      <c r="AK2691" s="20">
        <f t="shared" si="786"/>
        <v>0.14045056209911663</v>
      </c>
      <c r="AL2691" s="17"/>
      <c r="AM2691" s="17"/>
      <c r="AN2691" s="17"/>
      <c r="AO2691" s="17"/>
      <c r="AP2691" s="28" t="str">
        <f t="shared" si="787"/>
        <v>20219</v>
      </c>
      <c r="AQ2691" s="28" t="str">
        <f t="shared" si="788"/>
        <v>20219RMB</v>
      </c>
      <c r="AR2691" s="206" t="str">
        <f t="shared" si="789"/>
        <v>YAMAHA_Mounter</v>
      </c>
      <c r="AS2691" s="22">
        <f t="shared" si="790"/>
        <v>7</v>
      </c>
      <c r="AT2691" s="24" t="str">
        <f t="shared" si="791"/>
        <v>&gt; 6 months</v>
      </c>
      <c r="AU2691" s="22" t="s">
        <v>3240</v>
      </c>
    </row>
    <row r="2692" spans="1:47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53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1864</v>
      </c>
      <c r="K2692" s="155" t="s">
        <v>1865</v>
      </c>
      <c r="L2692" s="17" t="s">
        <v>67</v>
      </c>
      <c r="M2692" s="13" t="s">
        <v>60</v>
      </c>
      <c r="N2692" s="13">
        <v>1</v>
      </c>
      <c r="O2692" s="13"/>
      <c r="P2692" s="33" t="str">
        <f t="shared" si="794"/>
        <v>MAIN UNIT</v>
      </c>
      <c r="Q2692" s="13" t="s">
        <v>68</v>
      </c>
      <c r="R2692" s="13" t="s">
        <v>62</v>
      </c>
      <c r="S2692" s="13" t="s">
        <v>51</v>
      </c>
      <c r="T2692" s="13" t="s">
        <v>1866</v>
      </c>
      <c r="U2692" s="13" t="s">
        <v>149</v>
      </c>
      <c r="V2692" s="13" t="s">
        <v>954</v>
      </c>
      <c r="W2692" s="13" t="s">
        <v>64</v>
      </c>
      <c r="X2692" s="135">
        <v>832700</v>
      </c>
      <c r="Y2692" s="157" t="str">
        <f t="shared" si="800"/>
        <v>1.13</v>
      </c>
      <c r="Z2692" s="18">
        <f t="shared" si="792"/>
        <v>832700</v>
      </c>
      <c r="AA2692" s="13">
        <v>1.2</v>
      </c>
      <c r="AB2692" s="21">
        <f t="shared" si="799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801"/>
        <v>10844605.840707963</v>
      </c>
      <c r="AJ2692" s="19">
        <f t="shared" si="802"/>
        <v>1523130.9860707966</v>
      </c>
      <c r="AK2692" s="20">
        <f t="shared" si="786"/>
        <v>0.14045056209911663</v>
      </c>
      <c r="AL2692" s="17"/>
      <c r="AM2692" s="17"/>
      <c r="AN2692" s="17"/>
      <c r="AO2692" s="17"/>
      <c r="AP2692" s="28" t="str">
        <f t="shared" si="787"/>
        <v>20219</v>
      </c>
      <c r="AQ2692" s="28" t="str">
        <f t="shared" si="788"/>
        <v>20219RMB</v>
      </c>
      <c r="AR2692" s="206" t="str">
        <f t="shared" si="789"/>
        <v>YAMAHA_Mounter</v>
      </c>
      <c r="AS2692" s="22">
        <f t="shared" si="790"/>
        <v>7</v>
      </c>
      <c r="AT2692" s="24" t="str">
        <f t="shared" si="791"/>
        <v>&gt; 6 months</v>
      </c>
      <c r="AU2692" s="22" t="s">
        <v>3240</v>
      </c>
    </row>
    <row r="2693" spans="1:47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48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1571</v>
      </c>
      <c r="K2693" s="155" t="s">
        <v>1572</v>
      </c>
      <c r="L2693" s="17" t="s">
        <v>92</v>
      </c>
      <c r="M2693" s="13" t="s">
        <v>60</v>
      </c>
      <c r="N2693" s="13">
        <v>1</v>
      </c>
      <c r="O2693" s="13"/>
      <c r="P2693" s="33" t="str">
        <f t="shared" si="794"/>
        <v>MAIN UNIT</v>
      </c>
      <c r="Q2693" s="13" t="s">
        <v>61</v>
      </c>
      <c r="R2693" s="13" t="s">
        <v>62</v>
      </c>
      <c r="S2693" s="13" t="s">
        <v>49</v>
      </c>
      <c r="T2693" s="13" t="s">
        <v>78</v>
      </c>
      <c r="U2693" s="13" t="s">
        <v>79</v>
      </c>
      <c r="V2693" s="13" t="s">
        <v>80</v>
      </c>
      <c r="W2693" s="13" t="s">
        <v>109</v>
      </c>
      <c r="X2693" s="135">
        <v>19000000</v>
      </c>
      <c r="Y2693" s="157" t="str">
        <f t="shared" si="800"/>
        <v>1</v>
      </c>
      <c r="Z2693" s="18">
        <f t="shared" si="792"/>
        <v>19000000</v>
      </c>
      <c r="AA2693" s="13">
        <v>7.5700000000000003E-2</v>
      </c>
      <c r="AB2693" s="21">
        <f t="shared" si="799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801"/>
        <v>31097187.02948761</v>
      </c>
      <c r="AJ2693" s="19">
        <f t="shared" si="802"/>
        <v>3892353.6644401965</v>
      </c>
      <c r="AK2693" s="20">
        <f t="shared" si="786"/>
        <v>0.12516738767237401</v>
      </c>
      <c r="AL2693" s="17"/>
      <c r="AM2693" s="17"/>
      <c r="AN2693" s="17"/>
      <c r="AO2693" s="17"/>
      <c r="AP2693" s="28" t="str">
        <f t="shared" si="787"/>
        <v>20212</v>
      </c>
      <c r="AQ2693" s="28" t="str">
        <f t="shared" si="788"/>
        <v>20212JPY</v>
      </c>
      <c r="AR2693" s="206" t="str">
        <f t="shared" si="789"/>
        <v>YAMAHA_Mounter</v>
      </c>
      <c r="AS2693" s="22">
        <f t="shared" si="790"/>
        <v>2</v>
      </c>
      <c r="AT2693" s="24" t="str">
        <f t="shared" si="791"/>
        <v>0-3 months</v>
      </c>
      <c r="AU2693" s="22" t="s">
        <v>3746</v>
      </c>
    </row>
    <row r="2694" spans="1:47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48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1571</v>
      </c>
      <c r="K2694" s="155" t="s">
        <v>1572</v>
      </c>
      <c r="L2694" s="17" t="s">
        <v>92</v>
      </c>
      <c r="M2694" s="13" t="s">
        <v>60</v>
      </c>
      <c r="N2694" s="13">
        <v>1</v>
      </c>
      <c r="O2694" s="13"/>
      <c r="P2694" s="33" t="str">
        <f t="shared" si="794"/>
        <v>MAIN UNIT</v>
      </c>
      <c r="Q2694" s="13" t="s">
        <v>61</v>
      </c>
      <c r="R2694" s="13" t="s">
        <v>62</v>
      </c>
      <c r="S2694" s="13" t="s">
        <v>49</v>
      </c>
      <c r="T2694" s="13" t="s">
        <v>78</v>
      </c>
      <c r="U2694" s="13" t="s">
        <v>79</v>
      </c>
      <c r="V2694" s="13" t="s">
        <v>80</v>
      </c>
      <c r="W2694" s="13" t="s">
        <v>109</v>
      </c>
      <c r="X2694" s="135">
        <v>19000000</v>
      </c>
      <c r="Y2694" s="157" t="str">
        <f t="shared" si="800"/>
        <v>1</v>
      </c>
      <c r="Z2694" s="18">
        <f t="shared" si="792"/>
        <v>19000000</v>
      </c>
      <c r="AA2694" s="13">
        <v>7.5700000000000003E-2</v>
      </c>
      <c r="AB2694" s="21">
        <f t="shared" si="799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si="801"/>
        <v>31097187.02948761</v>
      </c>
      <c r="AJ2694" s="19">
        <f t="shared" si="802"/>
        <v>3892353.6644401965</v>
      </c>
      <c r="AK2694" s="20">
        <f t="shared" ref="AK2694:AK2757" si="808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09">IF(F2694="","",F2694&amp;G2694)</f>
        <v>20212</v>
      </c>
      <c r="AQ2694" s="28" t="str">
        <f t="shared" ref="AQ2694:AQ2757" si="810">IF(W2694="","",F2694&amp;G2694&amp;W2694)</f>
        <v>20212JPY</v>
      </c>
      <c r="AR2694" s="206" t="str">
        <f t="shared" ref="AR2694:AR2757" si="811">IFERROR(IF(AND(M2694="YAMAHA", R2694="C28"), "YAMAHA_Non_Mounter", IF(AND(M2694="YAMAHA", R2694="C49"), "YAMAHA_Mounter", M2694)),"")</f>
        <v>YAMAHA_Mounter</v>
      </c>
      <c r="AS2694" s="22">
        <f t="shared" ref="AS2694:AS2757" si="812">IFERROR(IF(OR(G2694="TBA", G2694=""), "", DATEDIF(DATE(B2694, C2694, 1), DATE(F2694, G2694, 1), "M")),"")</f>
        <v>2</v>
      </c>
      <c r="AT2694" s="24" t="str">
        <f t="shared" ref="AT2694:AT2757" si="813">IF(ISNUMBER(AS2694), IF(AS2694&gt;=0, IF(AS2694&lt;=3, "0-3 months", IF(AS2694&lt;=6, "4-6 months", "&gt; 6 months"))), "")</f>
        <v>0-3 months</v>
      </c>
      <c r="AU2694" s="22" t="s">
        <v>3746</v>
      </c>
    </row>
    <row r="2695" spans="1:47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48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1571</v>
      </c>
      <c r="K2695" s="155" t="s">
        <v>1572</v>
      </c>
      <c r="L2695" s="17" t="s">
        <v>67</v>
      </c>
      <c r="M2695" s="13" t="s">
        <v>60</v>
      </c>
      <c r="N2695" s="13">
        <v>1</v>
      </c>
      <c r="O2695" s="13"/>
      <c r="P2695" s="33" t="str">
        <f t="shared" si="794"/>
        <v>MAIN UNIT</v>
      </c>
      <c r="Q2695" s="13" t="s">
        <v>61</v>
      </c>
      <c r="R2695" s="13" t="s">
        <v>62</v>
      </c>
      <c r="S2695" s="13" t="s">
        <v>49</v>
      </c>
      <c r="T2695" s="13" t="s">
        <v>78</v>
      </c>
      <c r="U2695" s="13" t="s">
        <v>79</v>
      </c>
      <c r="V2695" s="13" t="s">
        <v>80</v>
      </c>
      <c r="W2695" s="13" t="s">
        <v>109</v>
      </c>
      <c r="X2695" s="135">
        <v>11000000</v>
      </c>
      <c r="Y2695" s="157" t="str">
        <f t="shared" si="800"/>
        <v>1</v>
      </c>
      <c r="Z2695" s="18">
        <f t="shared" si="792"/>
        <v>11000000</v>
      </c>
      <c r="AA2695" s="13">
        <v>7.5700000000000003E-2</v>
      </c>
      <c r="AB2695" s="21">
        <f t="shared" si="799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1"/>
        <v>31097187.02948761</v>
      </c>
      <c r="AJ2695" s="19">
        <f t="shared" si="802"/>
        <v>3892353.6644401965</v>
      </c>
      <c r="AK2695" s="20">
        <f t="shared" si="808"/>
        <v>0.12516738767237401</v>
      </c>
      <c r="AL2695" s="17"/>
      <c r="AM2695" s="17"/>
      <c r="AN2695" s="17"/>
      <c r="AO2695" s="17"/>
      <c r="AP2695" s="28" t="str">
        <f t="shared" si="809"/>
        <v>20212</v>
      </c>
      <c r="AQ2695" s="28" t="str">
        <f t="shared" si="810"/>
        <v>20212JPY</v>
      </c>
      <c r="AR2695" s="206" t="str">
        <f t="shared" si="811"/>
        <v>YAMAHA_Mounter</v>
      </c>
      <c r="AS2695" s="22">
        <f t="shared" si="812"/>
        <v>2</v>
      </c>
      <c r="AT2695" s="24" t="str">
        <f t="shared" si="813"/>
        <v>0-3 months</v>
      </c>
      <c r="AU2695" s="22" t="s">
        <v>3746</v>
      </c>
    </row>
    <row r="2696" spans="1:47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48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1571</v>
      </c>
      <c r="K2696" s="155" t="s">
        <v>1572</v>
      </c>
      <c r="L2696" s="17" t="s">
        <v>67</v>
      </c>
      <c r="M2696" s="13" t="s">
        <v>60</v>
      </c>
      <c r="N2696" s="13">
        <v>1</v>
      </c>
      <c r="O2696" s="13"/>
      <c r="P2696" s="33" t="str">
        <f t="shared" si="794"/>
        <v>MAIN UNIT</v>
      </c>
      <c r="Q2696" s="13" t="s">
        <v>61</v>
      </c>
      <c r="R2696" s="13" t="s">
        <v>62</v>
      </c>
      <c r="S2696" s="13" t="s">
        <v>49</v>
      </c>
      <c r="T2696" s="13" t="s">
        <v>78</v>
      </c>
      <c r="U2696" s="13" t="s">
        <v>79</v>
      </c>
      <c r="V2696" s="13" t="s">
        <v>80</v>
      </c>
      <c r="W2696" s="13" t="s">
        <v>109</v>
      </c>
      <c r="X2696" s="135">
        <v>11000000</v>
      </c>
      <c r="Y2696" s="157" t="str">
        <f t="shared" si="800"/>
        <v>1</v>
      </c>
      <c r="Z2696" s="18">
        <f t="shared" si="792"/>
        <v>11000000</v>
      </c>
      <c r="AA2696" s="13">
        <v>7.4499999999999997E-2</v>
      </c>
      <c r="AB2696" s="21">
        <f t="shared" si="799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1"/>
        <v>57778307.282035396</v>
      </c>
      <c r="AJ2696" s="19">
        <f t="shared" si="802"/>
        <v>7259860.7225420559</v>
      </c>
      <c r="AK2696" s="20">
        <f t="shared" si="808"/>
        <v>0.12565028406083667</v>
      </c>
      <c r="AL2696" s="17"/>
      <c r="AM2696" s="17"/>
      <c r="AN2696" s="17"/>
      <c r="AO2696" s="17"/>
      <c r="AP2696" s="28" t="str">
        <f t="shared" si="809"/>
        <v>20213</v>
      </c>
      <c r="AQ2696" s="28" t="str">
        <f t="shared" si="810"/>
        <v>20213JPY</v>
      </c>
      <c r="AR2696" s="206" t="str">
        <f t="shared" si="811"/>
        <v>YAMAHA_Mounter</v>
      </c>
      <c r="AS2696" s="22">
        <f t="shared" si="812"/>
        <v>3</v>
      </c>
      <c r="AT2696" s="24" t="str">
        <f t="shared" si="813"/>
        <v>0-3 months</v>
      </c>
      <c r="AU2696" s="22" t="s">
        <v>3746</v>
      </c>
    </row>
    <row r="2697" spans="1:47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41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2815</v>
      </c>
      <c r="K2697" s="155" t="s">
        <v>2816</v>
      </c>
      <c r="L2697" s="17" t="s">
        <v>2817</v>
      </c>
      <c r="M2697" s="13" t="s">
        <v>2818</v>
      </c>
      <c r="N2697" s="13">
        <v>2</v>
      </c>
      <c r="O2697" s="13"/>
      <c r="P2697" s="33" t="str">
        <f t="shared" si="794"/>
        <v>MAIN UNIT</v>
      </c>
      <c r="Q2697" s="13" t="s">
        <v>68</v>
      </c>
      <c r="R2697" s="13" t="s">
        <v>2055</v>
      </c>
      <c r="S2697" s="13" t="s">
        <v>49</v>
      </c>
      <c r="T2697" s="13" t="s">
        <v>78</v>
      </c>
      <c r="U2697" s="13" t="s">
        <v>79</v>
      </c>
      <c r="V2697" s="13" t="s">
        <v>2779</v>
      </c>
      <c r="W2697" s="13" t="s">
        <v>64</v>
      </c>
      <c r="X2697" s="135">
        <v>32700</v>
      </c>
      <c r="Y2697" s="156">
        <v>1.1599999999999999</v>
      </c>
      <c r="Z2697" s="18">
        <f t="shared" si="792"/>
        <v>65400</v>
      </c>
      <c r="AA2697" s="13">
        <v>1.23</v>
      </c>
      <c r="AB2697" s="21">
        <f t="shared" si="799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1"/>
        <v>24398045.86045352</v>
      </c>
      <c r="AJ2697" s="19">
        <f t="shared" si="802"/>
        <v>3478417.4064663448</v>
      </c>
      <c r="AK2697" s="20">
        <f t="shared" si="808"/>
        <v>0.14256950849102498</v>
      </c>
      <c r="AL2697" s="17"/>
      <c r="AM2697" s="17"/>
      <c r="AN2697" s="17"/>
      <c r="AO2697" s="17"/>
      <c r="AP2697" s="28" t="str">
        <f t="shared" si="809"/>
        <v>20186</v>
      </c>
      <c r="AQ2697" s="28" t="str">
        <f t="shared" si="810"/>
        <v>20186RMB</v>
      </c>
      <c r="AR2697" s="206" t="str">
        <f t="shared" si="811"/>
        <v>NUTEK</v>
      </c>
      <c r="AS2697" s="22">
        <f t="shared" si="812"/>
        <v>3</v>
      </c>
      <c r="AT2697" s="24" t="str">
        <f t="shared" si="813"/>
        <v>0-3 months</v>
      </c>
      <c r="AU2697" s="22" t="s">
        <v>3240</v>
      </c>
    </row>
    <row r="2698" spans="1:47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41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2819</v>
      </c>
      <c r="K2698" s="155" t="s">
        <v>2816</v>
      </c>
      <c r="L2698" s="17" t="s">
        <v>2820</v>
      </c>
      <c r="M2698" s="13" t="s">
        <v>2818</v>
      </c>
      <c r="N2698" s="13">
        <v>1</v>
      </c>
      <c r="O2698" s="13"/>
      <c r="P2698" s="33" t="str">
        <f t="shared" si="794"/>
        <v>MAIN UNIT</v>
      </c>
      <c r="Q2698" s="13" t="s">
        <v>68</v>
      </c>
      <c r="R2698" s="13" t="s">
        <v>2055</v>
      </c>
      <c r="S2698" s="13" t="s">
        <v>49</v>
      </c>
      <c r="T2698" s="13" t="s">
        <v>78</v>
      </c>
      <c r="U2698" s="13" t="s">
        <v>79</v>
      </c>
      <c r="V2698" s="13" t="s">
        <v>2779</v>
      </c>
      <c r="W2698" s="13" t="s">
        <v>64</v>
      </c>
      <c r="X2698" s="135">
        <v>54700</v>
      </c>
      <c r="Y2698" s="156">
        <v>1.1599999999999999</v>
      </c>
      <c r="Z2698" s="18">
        <f t="shared" ref="Z2698:Z2761" si="814">IF(X2698="","",X2698*MAX(O2698,N2698))</f>
        <v>54700</v>
      </c>
      <c r="AA2698" s="13">
        <v>1.23</v>
      </c>
      <c r="AB2698" s="21">
        <f t="shared" si="799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1"/>
        <v>24398045.86045352</v>
      </c>
      <c r="AJ2698" s="19">
        <f t="shared" si="802"/>
        <v>3478417.4064663448</v>
      </c>
      <c r="AK2698" s="20">
        <f t="shared" si="808"/>
        <v>0.14256950849102498</v>
      </c>
      <c r="AL2698" s="17"/>
      <c r="AM2698" s="17"/>
      <c r="AN2698" s="17"/>
      <c r="AO2698" s="17"/>
      <c r="AP2698" s="28" t="str">
        <f t="shared" si="809"/>
        <v>20186</v>
      </c>
      <c r="AQ2698" s="28" t="str">
        <f t="shared" si="810"/>
        <v>20186RMB</v>
      </c>
      <c r="AR2698" s="206" t="str">
        <f t="shared" si="811"/>
        <v>NUTEK</v>
      </c>
      <c r="AS2698" s="22">
        <f t="shared" si="812"/>
        <v>3</v>
      </c>
      <c r="AT2698" s="24" t="str">
        <f t="shared" si="813"/>
        <v>0-3 months</v>
      </c>
      <c r="AU2698" s="22" t="s">
        <v>3240</v>
      </c>
    </row>
    <row r="2699" spans="1:47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41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2819</v>
      </c>
      <c r="K2699" s="155" t="s">
        <v>2816</v>
      </c>
      <c r="L2699" s="17" t="s">
        <v>2821</v>
      </c>
      <c r="M2699" s="13" t="s">
        <v>2818</v>
      </c>
      <c r="N2699" s="13">
        <v>1</v>
      </c>
      <c r="O2699" s="13"/>
      <c r="P2699" s="33" t="str">
        <f t="shared" si="794"/>
        <v>MAIN UNIT</v>
      </c>
      <c r="Q2699" s="13" t="s">
        <v>68</v>
      </c>
      <c r="R2699" s="13" t="s">
        <v>2055</v>
      </c>
      <c r="S2699" s="13" t="s">
        <v>49</v>
      </c>
      <c r="T2699" s="13" t="s">
        <v>78</v>
      </c>
      <c r="U2699" s="13" t="s">
        <v>79</v>
      </c>
      <c r="V2699" s="13" t="s">
        <v>2779</v>
      </c>
      <c r="W2699" s="13" t="s">
        <v>64</v>
      </c>
      <c r="X2699" s="135">
        <v>45300</v>
      </c>
      <c r="Y2699" s="156">
        <v>1.1599999999999999</v>
      </c>
      <c r="Z2699" s="18">
        <f t="shared" si="814"/>
        <v>45300</v>
      </c>
      <c r="AA2699" s="13">
        <v>1.23</v>
      </c>
      <c r="AB2699" s="21">
        <f t="shared" si="799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1"/>
        <v>24398045.86045352</v>
      </c>
      <c r="AJ2699" s="19">
        <f t="shared" si="802"/>
        <v>3478417.4064663448</v>
      </c>
      <c r="AK2699" s="20">
        <f t="shared" si="808"/>
        <v>0.14256950849102498</v>
      </c>
      <c r="AL2699" s="17"/>
      <c r="AM2699" s="17"/>
      <c r="AN2699" s="17"/>
      <c r="AO2699" s="17"/>
      <c r="AP2699" s="28" t="str">
        <f t="shared" si="809"/>
        <v>20186</v>
      </c>
      <c r="AQ2699" s="28" t="str">
        <f t="shared" si="810"/>
        <v>20186RMB</v>
      </c>
      <c r="AR2699" s="206" t="str">
        <f t="shared" si="811"/>
        <v>NUTEK</v>
      </c>
      <c r="AS2699" s="22">
        <f t="shared" si="812"/>
        <v>3</v>
      </c>
      <c r="AT2699" s="24" t="str">
        <f t="shared" si="813"/>
        <v>0-3 months</v>
      </c>
      <c r="AU2699" s="22" t="s">
        <v>3240</v>
      </c>
    </row>
    <row r="2700" spans="1:47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47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910</v>
      </c>
      <c r="K2700" s="155" t="s">
        <v>911</v>
      </c>
      <c r="L2700" s="17" t="s">
        <v>92</v>
      </c>
      <c r="M2700" s="13" t="s">
        <v>60</v>
      </c>
      <c r="N2700" s="13">
        <v>1</v>
      </c>
      <c r="O2700" s="13"/>
      <c r="P2700" s="33" t="str">
        <f t="shared" si="794"/>
        <v>MAIN UNIT</v>
      </c>
      <c r="Q2700" s="13" t="s">
        <v>68</v>
      </c>
      <c r="R2700" s="13" t="s">
        <v>62</v>
      </c>
      <c r="S2700" s="13" t="s">
        <v>49</v>
      </c>
      <c r="T2700" s="13" t="s">
        <v>78</v>
      </c>
      <c r="U2700" s="13" t="s">
        <v>79</v>
      </c>
      <c r="V2700" s="13" t="s">
        <v>131</v>
      </c>
      <c r="W2700" s="13" t="s">
        <v>64</v>
      </c>
      <c r="X2700" s="135">
        <v>840000</v>
      </c>
      <c r="Y2700" s="156">
        <v>1.1299999999999999</v>
      </c>
      <c r="Z2700" s="18">
        <f t="shared" si="814"/>
        <v>840000</v>
      </c>
      <c r="AA2700" s="13">
        <v>1.1100000000000001</v>
      </c>
      <c r="AB2700" s="21">
        <f t="shared" si="799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1"/>
        <v>26147030.909862842</v>
      </c>
      <c r="AJ2700" s="19">
        <f t="shared" si="802"/>
        <v>2743862.8630715334</v>
      </c>
      <c r="AK2700" s="20">
        <f t="shared" si="808"/>
        <v>0.10493974908778378</v>
      </c>
      <c r="AL2700" s="17"/>
      <c r="AM2700" s="17"/>
      <c r="AN2700" s="17"/>
      <c r="AO2700" s="17"/>
      <c r="AP2700" s="28" t="str">
        <f t="shared" si="809"/>
        <v>201911</v>
      </c>
      <c r="AQ2700" s="28" t="str">
        <f t="shared" si="810"/>
        <v>201911RMB</v>
      </c>
      <c r="AR2700" s="206" t="str">
        <f t="shared" si="811"/>
        <v>YAMAHA_Mounter</v>
      </c>
      <c r="AS2700" s="22">
        <f t="shared" si="812"/>
        <v>2</v>
      </c>
      <c r="AT2700" s="24" t="str">
        <f t="shared" si="813"/>
        <v>0-3 months</v>
      </c>
      <c r="AU2700" s="22" t="s">
        <v>3744</v>
      </c>
    </row>
    <row r="2701" spans="1:47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47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910</v>
      </c>
      <c r="K2701" s="155" t="s">
        <v>911</v>
      </c>
      <c r="L2701" s="17" t="s">
        <v>92</v>
      </c>
      <c r="M2701" s="13" t="s">
        <v>60</v>
      </c>
      <c r="N2701" s="13">
        <v>1</v>
      </c>
      <c r="O2701" s="13"/>
      <c r="P2701" s="33" t="str">
        <f t="shared" si="794"/>
        <v>MAIN UNIT</v>
      </c>
      <c r="Q2701" s="13" t="s">
        <v>68</v>
      </c>
      <c r="R2701" s="13" t="s">
        <v>62</v>
      </c>
      <c r="S2701" s="13" t="s">
        <v>49</v>
      </c>
      <c r="T2701" s="13" t="s">
        <v>78</v>
      </c>
      <c r="U2701" s="13" t="s">
        <v>79</v>
      </c>
      <c r="V2701" s="13" t="s">
        <v>131</v>
      </c>
      <c r="W2701" s="13" t="s">
        <v>64</v>
      </c>
      <c r="X2701" s="135">
        <v>840000</v>
      </c>
      <c r="Y2701" s="156">
        <v>1.1299999999999999</v>
      </c>
      <c r="Z2701" s="18">
        <f t="shared" si="814"/>
        <v>840000</v>
      </c>
      <c r="AA2701" s="13">
        <v>1.1100000000000001</v>
      </c>
      <c r="AB2701" s="21">
        <f t="shared" si="799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1"/>
        <v>26147030.909862842</v>
      </c>
      <c r="AJ2701" s="19">
        <f t="shared" si="802"/>
        <v>2743862.8630715334</v>
      </c>
      <c r="AK2701" s="20">
        <f t="shared" si="808"/>
        <v>0.10493974908778378</v>
      </c>
      <c r="AL2701" s="17"/>
      <c r="AM2701" s="17"/>
      <c r="AN2701" s="17"/>
      <c r="AO2701" s="17"/>
      <c r="AP2701" s="28" t="str">
        <f t="shared" si="809"/>
        <v>201911</v>
      </c>
      <c r="AQ2701" s="28" t="str">
        <f t="shared" si="810"/>
        <v>201911RMB</v>
      </c>
      <c r="AR2701" s="206" t="str">
        <f t="shared" si="811"/>
        <v>YAMAHA_Mounter</v>
      </c>
      <c r="AS2701" s="22">
        <f t="shared" si="812"/>
        <v>2</v>
      </c>
      <c r="AT2701" s="24" t="str">
        <f t="shared" si="813"/>
        <v>0-3 months</v>
      </c>
      <c r="AU2701" s="22" t="s">
        <v>3744</v>
      </c>
    </row>
    <row r="2702" spans="1:47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47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910</v>
      </c>
      <c r="K2702" s="155" t="s">
        <v>911</v>
      </c>
      <c r="L2702" s="17" t="s">
        <v>92</v>
      </c>
      <c r="M2702" s="13" t="s">
        <v>60</v>
      </c>
      <c r="N2702" s="13">
        <v>1</v>
      </c>
      <c r="O2702" s="13"/>
      <c r="P2702" s="33" t="str">
        <f t="shared" si="794"/>
        <v>MAIN UNIT</v>
      </c>
      <c r="Q2702" s="13" t="s">
        <v>68</v>
      </c>
      <c r="R2702" s="13" t="s">
        <v>62</v>
      </c>
      <c r="S2702" s="13" t="s">
        <v>49</v>
      </c>
      <c r="T2702" s="13" t="s">
        <v>78</v>
      </c>
      <c r="U2702" s="13" t="s">
        <v>79</v>
      </c>
      <c r="V2702" s="13" t="s">
        <v>131</v>
      </c>
      <c r="W2702" s="13" t="s">
        <v>64</v>
      </c>
      <c r="X2702" s="135">
        <v>840000</v>
      </c>
      <c r="Y2702" s="156">
        <v>1.1299999999999999</v>
      </c>
      <c r="Z2702" s="18">
        <f t="shared" si="814"/>
        <v>840000</v>
      </c>
      <c r="AA2702" s="13">
        <v>1.1100000000000001</v>
      </c>
      <c r="AB2702" s="21">
        <f t="shared" si="799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1"/>
        <v>26147030.909862842</v>
      </c>
      <c r="AJ2702" s="19">
        <f t="shared" si="802"/>
        <v>2743862.8630715334</v>
      </c>
      <c r="AK2702" s="20">
        <f t="shared" si="808"/>
        <v>0.10493974908778378</v>
      </c>
      <c r="AL2702" s="17"/>
      <c r="AM2702" s="17"/>
      <c r="AN2702" s="17"/>
      <c r="AO2702" s="17"/>
      <c r="AP2702" s="28" t="str">
        <f t="shared" si="809"/>
        <v>201911</v>
      </c>
      <c r="AQ2702" s="28" t="str">
        <f t="shared" si="810"/>
        <v>201911RMB</v>
      </c>
      <c r="AR2702" s="206" t="str">
        <f t="shared" si="811"/>
        <v>YAMAHA_Mounter</v>
      </c>
      <c r="AS2702" s="22">
        <f t="shared" si="812"/>
        <v>2</v>
      </c>
      <c r="AT2702" s="24" t="str">
        <f t="shared" si="813"/>
        <v>0-3 months</v>
      </c>
      <c r="AU2702" s="22" t="s">
        <v>3744</v>
      </c>
    </row>
    <row r="2703" spans="1:47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47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910</v>
      </c>
      <c r="K2703" s="155" t="s">
        <v>911</v>
      </c>
      <c r="L2703" s="17" t="s">
        <v>92</v>
      </c>
      <c r="M2703" s="13" t="s">
        <v>60</v>
      </c>
      <c r="N2703" s="13">
        <v>1</v>
      </c>
      <c r="O2703" s="13"/>
      <c r="P2703" s="33" t="str">
        <f t="shared" si="794"/>
        <v>MAIN UNIT</v>
      </c>
      <c r="Q2703" s="13" t="s">
        <v>68</v>
      </c>
      <c r="R2703" s="13" t="s">
        <v>62</v>
      </c>
      <c r="S2703" s="13" t="s">
        <v>49</v>
      </c>
      <c r="T2703" s="13" t="s">
        <v>78</v>
      </c>
      <c r="U2703" s="13" t="s">
        <v>79</v>
      </c>
      <c r="V2703" s="13" t="s">
        <v>131</v>
      </c>
      <c r="W2703" s="13" t="s">
        <v>64</v>
      </c>
      <c r="X2703" s="135">
        <v>840000</v>
      </c>
      <c r="Y2703" s="156">
        <v>1.1299999999999999</v>
      </c>
      <c r="Z2703" s="18">
        <f t="shared" si="814"/>
        <v>840000</v>
      </c>
      <c r="AA2703" s="13">
        <v>1.1100000000000001</v>
      </c>
      <c r="AB2703" s="21">
        <f t="shared" si="799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1"/>
        <v>26147030.909862842</v>
      </c>
      <c r="AJ2703" s="19">
        <f t="shared" si="802"/>
        <v>2743862.8630715334</v>
      </c>
      <c r="AK2703" s="20">
        <f t="shared" si="808"/>
        <v>0.10493974908778378</v>
      </c>
      <c r="AL2703" s="17"/>
      <c r="AM2703" s="17"/>
      <c r="AN2703" s="17"/>
      <c r="AO2703" s="17"/>
      <c r="AP2703" s="28" t="str">
        <f t="shared" si="809"/>
        <v>201911</v>
      </c>
      <c r="AQ2703" s="28" t="str">
        <f t="shared" si="810"/>
        <v>201911RMB</v>
      </c>
      <c r="AR2703" s="206" t="str">
        <f t="shared" si="811"/>
        <v>YAMAHA_Mounter</v>
      </c>
      <c r="AS2703" s="22">
        <f t="shared" si="812"/>
        <v>2</v>
      </c>
      <c r="AT2703" s="24" t="str">
        <f t="shared" si="813"/>
        <v>0-3 months</v>
      </c>
      <c r="AU2703" s="22" t="s">
        <v>3744</v>
      </c>
    </row>
    <row r="2704" spans="1:47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47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910</v>
      </c>
      <c r="K2704" s="155" t="s">
        <v>911</v>
      </c>
      <c r="L2704" s="17" t="s">
        <v>67</v>
      </c>
      <c r="M2704" s="13" t="s">
        <v>60</v>
      </c>
      <c r="N2704" s="13">
        <v>1</v>
      </c>
      <c r="O2704" s="13"/>
      <c r="P2704" s="33" t="str">
        <f t="shared" si="794"/>
        <v>MAIN UNIT</v>
      </c>
      <c r="Q2704" s="13" t="s">
        <v>68</v>
      </c>
      <c r="R2704" s="13" t="s">
        <v>62</v>
      </c>
      <c r="S2704" s="13" t="s">
        <v>49</v>
      </c>
      <c r="T2704" s="13" t="s">
        <v>78</v>
      </c>
      <c r="U2704" s="13" t="s">
        <v>79</v>
      </c>
      <c r="V2704" s="13" t="s">
        <v>131</v>
      </c>
      <c r="W2704" s="13" t="s">
        <v>64</v>
      </c>
      <c r="X2704" s="135">
        <v>624100</v>
      </c>
      <c r="Y2704" s="156">
        <v>1.1299999999999999</v>
      </c>
      <c r="Z2704" s="18">
        <f t="shared" si="814"/>
        <v>624100</v>
      </c>
      <c r="AA2704" s="13">
        <v>1.1100000000000001</v>
      </c>
      <c r="AB2704" s="21">
        <f t="shared" si="799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1"/>
        <v>26147030.909862842</v>
      </c>
      <c r="AJ2704" s="19">
        <f t="shared" si="802"/>
        <v>2743862.8630715334</v>
      </c>
      <c r="AK2704" s="20">
        <f t="shared" si="808"/>
        <v>0.10493974908778378</v>
      </c>
      <c r="AL2704" s="17"/>
      <c r="AM2704" s="17"/>
      <c r="AN2704" s="17"/>
      <c r="AO2704" s="17"/>
      <c r="AP2704" s="28" t="str">
        <f t="shared" si="809"/>
        <v>201911</v>
      </c>
      <c r="AQ2704" s="28" t="str">
        <f t="shared" si="810"/>
        <v>201911RMB</v>
      </c>
      <c r="AR2704" s="206" t="str">
        <f t="shared" si="811"/>
        <v>YAMAHA_Mounter</v>
      </c>
      <c r="AS2704" s="22">
        <f t="shared" si="812"/>
        <v>2</v>
      </c>
      <c r="AT2704" s="24" t="str">
        <f t="shared" si="813"/>
        <v>0-3 months</v>
      </c>
      <c r="AU2704" s="22" t="s">
        <v>3744</v>
      </c>
    </row>
    <row r="2705" spans="1:47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47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910</v>
      </c>
      <c r="K2705" s="155" t="s">
        <v>911</v>
      </c>
      <c r="L2705" s="17" t="s">
        <v>67</v>
      </c>
      <c r="M2705" s="13" t="s">
        <v>60</v>
      </c>
      <c r="N2705" s="13">
        <v>1</v>
      </c>
      <c r="O2705" s="13"/>
      <c r="P2705" s="33" t="str">
        <f t="shared" si="794"/>
        <v>MAIN UNIT</v>
      </c>
      <c r="Q2705" s="13" t="s">
        <v>68</v>
      </c>
      <c r="R2705" s="13" t="s">
        <v>62</v>
      </c>
      <c r="S2705" s="13" t="s">
        <v>49</v>
      </c>
      <c r="T2705" s="13" t="s">
        <v>78</v>
      </c>
      <c r="U2705" s="13" t="s">
        <v>79</v>
      </c>
      <c r="V2705" s="13" t="s">
        <v>131</v>
      </c>
      <c r="W2705" s="13" t="s">
        <v>64</v>
      </c>
      <c r="X2705" s="135">
        <v>624100</v>
      </c>
      <c r="Y2705" s="156">
        <v>1.1299999999999999</v>
      </c>
      <c r="Z2705" s="18">
        <f t="shared" si="814"/>
        <v>624100</v>
      </c>
      <c r="AA2705" s="13">
        <v>1.1100000000000001</v>
      </c>
      <c r="AB2705" s="21">
        <f t="shared" si="799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1"/>
        <v>26147030.909862842</v>
      </c>
      <c r="AJ2705" s="19">
        <f t="shared" si="802"/>
        <v>2743862.8630715334</v>
      </c>
      <c r="AK2705" s="20">
        <f t="shared" si="808"/>
        <v>0.10493974908778378</v>
      </c>
      <c r="AL2705" s="17"/>
      <c r="AM2705" s="17"/>
      <c r="AN2705" s="17"/>
      <c r="AO2705" s="17"/>
      <c r="AP2705" s="28" t="str">
        <f t="shared" si="809"/>
        <v>201911</v>
      </c>
      <c r="AQ2705" s="28" t="str">
        <f t="shared" si="810"/>
        <v>201911RMB</v>
      </c>
      <c r="AR2705" s="206" t="str">
        <f t="shared" si="811"/>
        <v>YAMAHA_Mounter</v>
      </c>
      <c r="AS2705" s="22">
        <f t="shared" si="812"/>
        <v>2</v>
      </c>
      <c r="AT2705" s="24" t="str">
        <f t="shared" si="813"/>
        <v>0-3 months</v>
      </c>
      <c r="AU2705" s="22" t="s">
        <v>3744</v>
      </c>
    </row>
    <row r="2706" spans="1:47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47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910</v>
      </c>
      <c r="K2706" s="155" t="s">
        <v>911</v>
      </c>
      <c r="L2706" s="17" t="s">
        <v>92</v>
      </c>
      <c r="M2706" s="13" t="s">
        <v>60</v>
      </c>
      <c r="N2706" s="13">
        <v>1</v>
      </c>
      <c r="O2706" s="13"/>
      <c r="P2706" s="33" t="str">
        <f t="shared" si="794"/>
        <v>MAIN UNIT</v>
      </c>
      <c r="Q2706" s="13" t="s">
        <v>68</v>
      </c>
      <c r="R2706" s="13" t="s">
        <v>62</v>
      </c>
      <c r="S2706" s="13" t="s">
        <v>49</v>
      </c>
      <c r="T2706" s="13" t="s">
        <v>78</v>
      </c>
      <c r="U2706" s="13" t="s">
        <v>79</v>
      </c>
      <c r="V2706" s="13" t="s">
        <v>131</v>
      </c>
      <c r="W2706" s="13" t="s">
        <v>64</v>
      </c>
      <c r="X2706" s="135">
        <v>840000</v>
      </c>
      <c r="Y2706" s="156">
        <v>1.1299999999999999</v>
      </c>
      <c r="Z2706" s="18">
        <f t="shared" si="814"/>
        <v>840000</v>
      </c>
      <c r="AA2706" s="13">
        <v>1.095</v>
      </c>
      <c r="AB2706" s="21">
        <f t="shared" si="799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1"/>
        <v>37599388.802345134</v>
      </c>
      <c r="AJ2706" s="19">
        <f t="shared" si="802"/>
        <v>4866784.3630338367</v>
      </c>
      <c r="AK2706" s="20">
        <f t="shared" si="808"/>
        <v>0.12943785838163113</v>
      </c>
      <c r="AL2706" s="17"/>
      <c r="AM2706" s="17"/>
      <c r="AN2706" s="17"/>
      <c r="AO2706" s="17"/>
      <c r="AP2706" s="28" t="str">
        <f t="shared" si="809"/>
        <v>20199</v>
      </c>
      <c r="AQ2706" s="28" t="str">
        <f t="shared" si="810"/>
        <v>20199RMB</v>
      </c>
      <c r="AR2706" s="206" t="str">
        <f t="shared" si="811"/>
        <v>YAMAHA_Mounter</v>
      </c>
      <c r="AS2706" s="22">
        <f t="shared" si="812"/>
        <v>0</v>
      </c>
      <c r="AT2706" s="24" t="str">
        <f t="shared" si="813"/>
        <v>0-3 months</v>
      </c>
      <c r="AU2706" s="22" t="s">
        <v>3744</v>
      </c>
    </row>
    <row r="2707" spans="1:47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47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910</v>
      </c>
      <c r="K2707" s="155" t="s">
        <v>911</v>
      </c>
      <c r="L2707" s="17" t="s">
        <v>92</v>
      </c>
      <c r="M2707" s="13" t="s">
        <v>60</v>
      </c>
      <c r="N2707" s="13">
        <v>1</v>
      </c>
      <c r="O2707" s="13"/>
      <c r="P2707" s="33" t="str">
        <f t="shared" si="794"/>
        <v>MAIN UNIT</v>
      </c>
      <c r="Q2707" s="13" t="s">
        <v>68</v>
      </c>
      <c r="R2707" s="13" t="s">
        <v>62</v>
      </c>
      <c r="S2707" s="13" t="s">
        <v>49</v>
      </c>
      <c r="T2707" s="13" t="s">
        <v>78</v>
      </c>
      <c r="U2707" s="13" t="s">
        <v>79</v>
      </c>
      <c r="V2707" s="13" t="s">
        <v>131</v>
      </c>
      <c r="W2707" s="13" t="s">
        <v>64</v>
      </c>
      <c r="X2707" s="135">
        <v>840000</v>
      </c>
      <c r="Y2707" s="156">
        <v>1.1299999999999999</v>
      </c>
      <c r="Z2707" s="18">
        <f t="shared" si="814"/>
        <v>840000</v>
      </c>
      <c r="AA2707" s="13">
        <v>1.095</v>
      </c>
      <c r="AB2707" s="21">
        <f t="shared" si="799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1"/>
        <v>37599388.802345134</v>
      </c>
      <c r="AJ2707" s="19">
        <f t="shared" si="802"/>
        <v>4866784.3630338367</v>
      </c>
      <c r="AK2707" s="20">
        <f t="shared" si="808"/>
        <v>0.12943785838163113</v>
      </c>
      <c r="AL2707" s="17"/>
      <c r="AM2707" s="17"/>
      <c r="AN2707" s="17"/>
      <c r="AO2707" s="17"/>
      <c r="AP2707" s="28" t="str">
        <f t="shared" si="809"/>
        <v>20199</v>
      </c>
      <c r="AQ2707" s="28" t="str">
        <f t="shared" si="810"/>
        <v>20199RMB</v>
      </c>
      <c r="AR2707" s="206" t="str">
        <f t="shared" si="811"/>
        <v>YAMAHA_Mounter</v>
      </c>
      <c r="AS2707" s="22">
        <f t="shared" si="812"/>
        <v>0</v>
      </c>
      <c r="AT2707" s="24" t="str">
        <f t="shared" si="813"/>
        <v>0-3 months</v>
      </c>
      <c r="AU2707" s="22" t="s">
        <v>3744</v>
      </c>
    </row>
    <row r="2708" spans="1:47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47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910</v>
      </c>
      <c r="K2708" s="155" t="s">
        <v>911</v>
      </c>
      <c r="L2708" s="17" t="s">
        <v>92</v>
      </c>
      <c r="M2708" s="13" t="s">
        <v>60</v>
      </c>
      <c r="N2708" s="13">
        <v>1</v>
      </c>
      <c r="O2708" s="13"/>
      <c r="P2708" s="33" t="str">
        <f t="shared" si="794"/>
        <v>MAIN UNIT</v>
      </c>
      <c r="Q2708" s="13" t="s">
        <v>68</v>
      </c>
      <c r="R2708" s="13" t="s">
        <v>62</v>
      </c>
      <c r="S2708" s="13" t="s">
        <v>49</v>
      </c>
      <c r="T2708" s="13" t="s">
        <v>78</v>
      </c>
      <c r="U2708" s="13" t="s">
        <v>79</v>
      </c>
      <c r="V2708" s="13" t="s">
        <v>131</v>
      </c>
      <c r="W2708" s="13" t="s">
        <v>64</v>
      </c>
      <c r="X2708" s="135">
        <v>840000</v>
      </c>
      <c r="Y2708" s="156">
        <v>1.1299999999999999</v>
      </c>
      <c r="Z2708" s="18">
        <f t="shared" si="814"/>
        <v>840000</v>
      </c>
      <c r="AA2708" s="13">
        <v>1.095</v>
      </c>
      <c r="AB2708" s="21">
        <f t="shared" si="799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1"/>
        <v>37599388.802345134</v>
      </c>
      <c r="AJ2708" s="19">
        <f t="shared" si="802"/>
        <v>4866784.3630338367</v>
      </c>
      <c r="AK2708" s="20">
        <f t="shared" si="808"/>
        <v>0.12943785838163113</v>
      </c>
      <c r="AL2708" s="17"/>
      <c r="AM2708" s="17"/>
      <c r="AN2708" s="17"/>
      <c r="AO2708" s="17"/>
      <c r="AP2708" s="28" t="str">
        <f t="shared" si="809"/>
        <v>20199</v>
      </c>
      <c r="AQ2708" s="28" t="str">
        <f t="shared" si="810"/>
        <v>20199RMB</v>
      </c>
      <c r="AR2708" s="206" t="str">
        <f t="shared" si="811"/>
        <v>YAMAHA_Mounter</v>
      </c>
      <c r="AS2708" s="22">
        <f t="shared" si="812"/>
        <v>0</v>
      </c>
      <c r="AT2708" s="24" t="str">
        <f t="shared" si="813"/>
        <v>0-3 months</v>
      </c>
      <c r="AU2708" s="22" t="s">
        <v>3744</v>
      </c>
    </row>
    <row r="2709" spans="1:47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47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910</v>
      </c>
      <c r="K2709" s="155" t="s">
        <v>911</v>
      </c>
      <c r="L2709" s="17" t="s">
        <v>92</v>
      </c>
      <c r="M2709" s="13" t="s">
        <v>60</v>
      </c>
      <c r="N2709" s="13">
        <v>1</v>
      </c>
      <c r="O2709" s="13"/>
      <c r="P2709" s="33" t="str">
        <f t="shared" si="794"/>
        <v>MAIN UNIT</v>
      </c>
      <c r="Q2709" s="13" t="s">
        <v>68</v>
      </c>
      <c r="R2709" s="13" t="s">
        <v>62</v>
      </c>
      <c r="S2709" s="13" t="s">
        <v>49</v>
      </c>
      <c r="T2709" s="13" t="s">
        <v>78</v>
      </c>
      <c r="U2709" s="13" t="s">
        <v>79</v>
      </c>
      <c r="V2709" s="13" t="s">
        <v>131</v>
      </c>
      <c r="W2709" s="13" t="s">
        <v>64</v>
      </c>
      <c r="X2709" s="135">
        <v>840000</v>
      </c>
      <c r="Y2709" s="156">
        <v>1.1299999999999999</v>
      </c>
      <c r="Z2709" s="18">
        <f t="shared" si="814"/>
        <v>840000</v>
      </c>
      <c r="AA2709" s="13">
        <v>1.095</v>
      </c>
      <c r="AB2709" s="21">
        <f t="shared" si="799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1"/>
        <v>37599388.802345134</v>
      </c>
      <c r="AJ2709" s="19">
        <f t="shared" si="802"/>
        <v>4866784.3630338367</v>
      </c>
      <c r="AK2709" s="20">
        <f t="shared" si="808"/>
        <v>0.12943785838163113</v>
      </c>
      <c r="AL2709" s="17"/>
      <c r="AM2709" s="17"/>
      <c r="AN2709" s="17"/>
      <c r="AO2709" s="17"/>
      <c r="AP2709" s="28" t="str">
        <f t="shared" si="809"/>
        <v>20199</v>
      </c>
      <c r="AQ2709" s="28" t="str">
        <f t="shared" si="810"/>
        <v>20199RMB</v>
      </c>
      <c r="AR2709" s="206" t="str">
        <f t="shared" si="811"/>
        <v>YAMAHA_Mounter</v>
      </c>
      <c r="AS2709" s="22">
        <f t="shared" si="812"/>
        <v>0</v>
      </c>
      <c r="AT2709" s="24" t="str">
        <f t="shared" si="813"/>
        <v>0-3 months</v>
      </c>
      <c r="AU2709" s="22" t="s">
        <v>3744</v>
      </c>
    </row>
    <row r="2710" spans="1:47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47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910</v>
      </c>
      <c r="K2710" s="155" t="s">
        <v>911</v>
      </c>
      <c r="L2710" s="17" t="s">
        <v>67</v>
      </c>
      <c r="M2710" s="13" t="s">
        <v>60</v>
      </c>
      <c r="N2710" s="13">
        <v>1</v>
      </c>
      <c r="O2710" s="13"/>
      <c r="P2710" s="33" t="str">
        <f t="shared" ref="P2710:P2773" si="815">IF(M2710="","",IF(AND(N2710&gt;0,L2710&lt;&gt;""),"MAIN UNIT",IF(AND(O2710&gt;0,L2710&lt;&gt;""),"SERVICE/ PARTS","C66 SERVICE/OTHERS")))</f>
        <v>MAIN UNIT</v>
      </c>
      <c r="Q2710" s="13" t="s">
        <v>68</v>
      </c>
      <c r="R2710" s="13" t="s">
        <v>62</v>
      </c>
      <c r="S2710" s="13" t="s">
        <v>49</v>
      </c>
      <c r="T2710" s="13" t="s">
        <v>78</v>
      </c>
      <c r="U2710" s="13" t="s">
        <v>79</v>
      </c>
      <c r="V2710" s="13" t="s">
        <v>131</v>
      </c>
      <c r="W2710" s="13" t="s">
        <v>64</v>
      </c>
      <c r="X2710" s="135">
        <v>624100</v>
      </c>
      <c r="Y2710" s="156">
        <v>1.1299999999999999</v>
      </c>
      <c r="Z2710" s="18">
        <f t="shared" si="814"/>
        <v>624100</v>
      </c>
      <c r="AA2710" s="13">
        <v>1.095</v>
      </c>
      <c r="AB2710" s="21">
        <f t="shared" si="799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1"/>
        <v>37599388.802345134</v>
      </c>
      <c r="AJ2710" s="19">
        <f t="shared" si="802"/>
        <v>4866784.3630338367</v>
      </c>
      <c r="AK2710" s="20">
        <f t="shared" si="808"/>
        <v>0.12943785838163113</v>
      </c>
      <c r="AL2710" s="17"/>
      <c r="AM2710" s="17"/>
      <c r="AN2710" s="17"/>
      <c r="AO2710" s="17"/>
      <c r="AP2710" s="28" t="str">
        <f t="shared" si="809"/>
        <v>20199</v>
      </c>
      <c r="AQ2710" s="28" t="str">
        <f t="shared" si="810"/>
        <v>20199RMB</v>
      </c>
      <c r="AR2710" s="206" t="str">
        <f t="shared" si="811"/>
        <v>YAMAHA_Mounter</v>
      </c>
      <c r="AS2710" s="22">
        <f t="shared" si="812"/>
        <v>0</v>
      </c>
      <c r="AT2710" s="24" t="str">
        <f t="shared" si="813"/>
        <v>0-3 months</v>
      </c>
      <c r="AU2710" s="22" t="s">
        <v>3744</v>
      </c>
    </row>
    <row r="2711" spans="1:47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47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910</v>
      </c>
      <c r="K2711" s="155" t="s">
        <v>911</v>
      </c>
      <c r="L2711" s="17" t="s">
        <v>67</v>
      </c>
      <c r="M2711" s="13" t="s">
        <v>60</v>
      </c>
      <c r="N2711" s="13">
        <v>1</v>
      </c>
      <c r="O2711" s="13"/>
      <c r="P2711" s="33" t="str">
        <f t="shared" si="815"/>
        <v>MAIN UNIT</v>
      </c>
      <c r="Q2711" s="13" t="s">
        <v>68</v>
      </c>
      <c r="R2711" s="13" t="s">
        <v>62</v>
      </c>
      <c r="S2711" s="13" t="s">
        <v>49</v>
      </c>
      <c r="T2711" s="13" t="s">
        <v>78</v>
      </c>
      <c r="U2711" s="13" t="s">
        <v>79</v>
      </c>
      <c r="V2711" s="13" t="s">
        <v>131</v>
      </c>
      <c r="W2711" s="13" t="s">
        <v>64</v>
      </c>
      <c r="X2711" s="135">
        <v>624100</v>
      </c>
      <c r="Y2711" s="156">
        <v>1.1299999999999999</v>
      </c>
      <c r="Z2711" s="18">
        <f t="shared" si="814"/>
        <v>624100</v>
      </c>
      <c r="AA2711" s="13">
        <v>1.095</v>
      </c>
      <c r="AB2711" s="21">
        <f t="shared" si="799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1"/>
        <v>37599388.802345134</v>
      </c>
      <c r="AJ2711" s="19">
        <f t="shared" si="802"/>
        <v>4866784.3630338367</v>
      </c>
      <c r="AK2711" s="20">
        <f t="shared" si="808"/>
        <v>0.12943785838163113</v>
      </c>
      <c r="AL2711" s="17"/>
      <c r="AM2711" s="17"/>
      <c r="AN2711" s="17"/>
      <c r="AO2711" s="17"/>
      <c r="AP2711" s="28" t="str">
        <f t="shared" si="809"/>
        <v>20199</v>
      </c>
      <c r="AQ2711" s="28" t="str">
        <f t="shared" si="810"/>
        <v>20199RMB</v>
      </c>
      <c r="AR2711" s="206" t="str">
        <f t="shared" si="811"/>
        <v>YAMAHA_Mounter</v>
      </c>
      <c r="AS2711" s="22">
        <f t="shared" si="812"/>
        <v>0</v>
      </c>
      <c r="AT2711" s="24" t="str">
        <f t="shared" si="813"/>
        <v>0-3 months</v>
      </c>
      <c r="AU2711" s="22" t="s">
        <v>3744</v>
      </c>
    </row>
    <row r="2712" spans="1:47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48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1533</v>
      </c>
      <c r="K2712" s="155" t="s">
        <v>1534</v>
      </c>
      <c r="L2712" s="17" t="s">
        <v>67</v>
      </c>
      <c r="M2712" s="13" t="s">
        <v>60</v>
      </c>
      <c r="N2712" s="13">
        <v>1</v>
      </c>
      <c r="O2712" s="13"/>
      <c r="P2712" s="33" t="str">
        <f t="shared" si="815"/>
        <v>MAIN UNIT</v>
      </c>
      <c r="Q2712" s="13" t="s">
        <v>68</v>
      </c>
      <c r="R2712" s="13" t="s">
        <v>62</v>
      </c>
      <c r="S2712" s="13" t="s">
        <v>49</v>
      </c>
      <c r="T2712" s="13" t="s">
        <v>78</v>
      </c>
      <c r="U2712" s="13" t="s">
        <v>79</v>
      </c>
      <c r="V2712" s="13" t="s">
        <v>112</v>
      </c>
      <c r="W2712" s="13" t="s">
        <v>109</v>
      </c>
      <c r="X2712" s="135">
        <v>7000000</v>
      </c>
      <c r="Y2712" s="157" t="str">
        <f t="shared" ref="Y2712:Y2719" si="816">IF(W2712="RMB","1.13", "1")</f>
        <v>1</v>
      </c>
      <c r="Z2712" s="18">
        <f t="shared" si="814"/>
        <v>7000000</v>
      </c>
      <c r="AA2712" s="13">
        <v>7.4499999999999997E-2</v>
      </c>
      <c r="AB2712" s="21">
        <f t="shared" si="799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1"/>
        <v>57778307.282035396</v>
      </c>
      <c r="AJ2712" s="19">
        <f t="shared" si="802"/>
        <v>7259860.7225420559</v>
      </c>
      <c r="AK2712" s="20">
        <f t="shared" si="808"/>
        <v>0.12565028406083667</v>
      </c>
      <c r="AL2712" s="17"/>
      <c r="AM2712" s="17"/>
      <c r="AN2712" s="17"/>
      <c r="AO2712" s="17"/>
      <c r="AP2712" s="28" t="str">
        <f t="shared" si="809"/>
        <v>20213</v>
      </c>
      <c r="AQ2712" s="28" t="str">
        <f t="shared" si="810"/>
        <v>20213JPY</v>
      </c>
      <c r="AR2712" s="206" t="str">
        <f t="shared" si="811"/>
        <v>YAMAHA_Mounter</v>
      </c>
      <c r="AS2712" s="22">
        <f t="shared" si="812"/>
        <v>4</v>
      </c>
      <c r="AT2712" s="24" t="str">
        <f t="shared" si="813"/>
        <v>4-6 months</v>
      </c>
      <c r="AU2712" s="22" t="s">
        <v>3745</v>
      </c>
    </row>
    <row r="2713" spans="1:47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54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2433</v>
      </c>
      <c r="K2713" s="155" t="s">
        <v>2434</v>
      </c>
      <c r="L2713" s="17" t="s">
        <v>92</v>
      </c>
      <c r="M2713" s="13" t="s">
        <v>60</v>
      </c>
      <c r="N2713" s="13">
        <v>1</v>
      </c>
      <c r="O2713" s="13"/>
      <c r="P2713" s="33" t="str">
        <f t="shared" si="815"/>
        <v>MAIN UNIT</v>
      </c>
      <c r="Q2713" s="13" t="s">
        <v>68</v>
      </c>
      <c r="R2713" s="13" t="s">
        <v>62</v>
      </c>
      <c r="S2713" s="13" t="s">
        <v>49</v>
      </c>
      <c r="T2713" s="13" t="s">
        <v>78</v>
      </c>
      <c r="U2713" s="13" t="s">
        <v>79</v>
      </c>
      <c r="V2713" s="13" t="s">
        <v>112</v>
      </c>
      <c r="W2713" s="13" t="s">
        <v>64</v>
      </c>
      <c r="X2713" s="135">
        <v>900000</v>
      </c>
      <c r="Y2713" s="157" t="str">
        <f t="shared" si="816"/>
        <v>1.13</v>
      </c>
      <c r="Z2713" s="18">
        <f t="shared" si="814"/>
        <v>900000</v>
      </c>
      <c r="AA2713" s="13">
        <v>1.1299999999999999</v>
      </c>
      <c r="AB2713" s="21">
        <f t="shared" si="799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1"/>
        <v>33543315.897345133</v>
      </c>
      <c r="AJ2713" s="19">
        <f t="shared" si="802"/>
        <v>4706169.3252984071</v>
      </c>
      <c r="AK2713" s="20">
        <f t="shared" si="808"/>
        <v>0.14030125523967318</v>
      </c>
      <c r="AL2713" s="17"/>
      <c r="AM2713" s="17"/>
      <c r="AN2713" s="17"/>
      <c r="AO2713" s="17"/>
      <c r="AP2713" s="28" t="str">
        <f t="shared" si="809"/>
        <v>20233</v>
      </c>
      <c r="AQ2713" s="28" t="str">
        <f t="shared" si="810"/>
        <v>20233RMB</v>
      </c>
      <c r="AR2713" s="206" t="str">
        <f t="shared" si="811"/>
        <v>YAMAHA_Mounter</v>
      </c>
      <c r="AS2713" s="22">
        <f t="shared" si="812"/>
        <v>0</v>
      </c>
      <c r="AT2713" s="24" t="str">
        <f t="shared" si="813"/>
        <v>0-3 months</v>
      </c>
      <c r="AU2713" s="22" t="s">
        <v>3751</v>
      </c>
    </row>
    <row r="2714" spans="1:47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54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2433</v>
      </c>
      <c r="K2714" s="155" t="s">
        <v>2434</v>
      </c>
      <c r="L2714" s="17" t="s">
        <v>67</v>
      </c>
      <c r="M2714" s="13" t="s">
        <v>60</v>
      </c>
      <c r="N2714" s="13">
        <v>1</v>
      </c>
      <c r="O2714" s="13"/>
      <c r="P2714" s="33" t="str">
        <f t="shared" si="815"/>
        <v>MAIN UNIT</v>
      </c>
      <c r="Q2714" s="13" t="s">
        <v>68</v>
      </c>
      <c r="R2714" s="13" t="s">
        <v>62</v>
      </c>
      <c r="S2714" s="13" t="s">
        <v>49</v>
      </c>
      <c r="T2714" s="13" t="s">
        <v>78</v>
      </c>
      <c r="U2714" s="13" t="s">
        <v>79</v>
      </c>
      <c r="V2714" s="13" t="s">
        <v>112</v>
      </c>
      <c r="W2714" s="13" t="s">
        <v>64</v>
      </c>
      <c r="X2714" s="135">
        <v>690000</v>
      </c>
      <c r="Y2714" s="157" t="str">
        <f t="shared" si="816"/>
        <v>1.13</v>
      </c>
      <c r="Z2714" s="18">
        <f t="shared" si="814"/>
        <v>690000</v>
      </c>
      <c r="AA2714" s="13">
        <v>1.135</v>
      </c>
      <c r="AB2714" s="21">
        <f t="shared" si="799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1"/>
        <v>33543315.897345133</v>
      </c>
      <c r="AJ2714" s="19">
        <f t="shared" si="802"/>
        <v>4706169.3252984071</v>
      </c>
      <c r="AK2714" s="20">
        <f t="shared" si="808"/>
        <v>0.14030125523967318</v>
      </c>
      <c r="AL2714" s="17"/>
      <c r="AM2714" s="17"/>
      <c r="AN2714" s="17"/>
      <c r="AO2714" s="17"/>
      <c r="AP2714" s="28" t="str">
        <f t="shared" si="809"/>
        <v>20233</v>
      </c>
      <c r="AQ2714" s="28" t="str">
        <f t="shared" si="810"/>
        <v>20233RMB</v>
      </c>
      <c r="AR2714" s="206" t="str">
        <f t="shared" si="811"/>
        <v>YAMAHA_Mounter</v>
      </c>
      <c r="AS2714" s="22">
        <f t="shared" si="812"/>
        <v>0</v>
      </c>
      <c r="AT2714" s="24" t="str">
        <f t="shared" si="813"/>
        <v>0-3 months</v>
      </c>
      <c r="AU2714" s="22" t="s">
        <v>3751</v>
      </c>
    </row>
    <row r="2715" spans="1:47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55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2433</v>
      </c>
      <c r="K2715" s="155" t="s">
        <v>2434</v>
      </c>
      <c r="L2715" s="17" t="s">
        <v>92</v>
      </c>
      <c r="M2715" s="13" t="s">
        <v>60</v>
      </c>
      <c r="N2715" s="13">
        <v>1</v>
      </c>
      <c r="O2715" s="13"/>
      <c r="P2715" s="33" t="str">
        <f t="shared" si="815"/>
        <v>MAIN UNIT</v>
      </c>
      <c r="Q2715" s="13" t="s">
        <v>68</v>
      </c>
      <c r="R2715" s="13" t="s">
        <v>62</v>
      </c>
      <c r="S2715" s="13" t="s">
        <v>49</v>
      </c>
      <c r="T2715" s="13" t="s">
        <v>78</v>
      </c>
      <c r="U2715" s="13" t="s">
        <v>79</v>
      </c>
      <c r="V2715" s="13" t="s">
        <v>112</v>
      </c>
      <c r="W2715" s="13" t="s">
        <v>64</v>
      </c>
      <c r="X2715" s="135">
        <v>900000</v>
      </c>
      <c r="Y2715" s="157" t="str">
        <f t="shared" si="816"/>
        <v>1.13</v>
      </c>
      <c r="Z2715" s="18">
        <f t="shared" si="814"/>
        <v>900000</v>
      </c>
      <c r="AA2715" s="13">
        <v>1.081</v>
      </c>
      <c r="AB2715" s="21">
        <f t="shared" si="799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1"/>
        <v>15951056.41591504</v>
      </c>
      <c r="AJ2715" s="19">
        <f t="shared" si="802"/>
        <v>1966354.6022462982</v>
      </c>
      <c r="AK2715" s="20">
        <f t="shared" si="808"/>
        <v>0.12327425538313459</v>
      </c>
      <c r="AL2715" s="17"/>
      <c r="AM2715" s="17"/>
      <c r="AN2715" s="17"/>
      <c r="AO2715" s="17"/>
      <c r="AP2715" s="28" t="str">
        <f t="shared" si="809"/>
        <v>20237</v>
      </c>
      <c r="AQ2715" s="28" t="str">
        <f t="shared" si="810"/>
        <v>20237RMB</v>
      </c>
      <c r="AR2715" s="206" t="str">
        <f t="shared" si="811"/>
        <v>YAMAHA_Mounter</v>
      </c>
      <c r="AS2715" s="22">
        <f t="shared" si="812"/>
        <v>4</v>
      </c>
      <c r="AT2715" s="24" t="str">
        <f t="shared" si="813"/>
        <v>4-6 months</v>
      </c>
      <c r="AU2715" s="22" t="s">
        <v>3751</v>
      </c>
    </row>
    <row r="2716" spans="1:47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55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2433</v>
      </c>
      <c r="K2716" s="155" t="s">
        <v>2434</v>
      </c>
      <c r="L2716" s="17" t="s">
        <v>67</v>
      </c>
      <c r="M2716" s="13" t="s">
        <v>60</v>
      </c>
      <c r="N2716" s="13">
        <v>1</v>
      </c>
      <c r="O2716" s="13"/>
      <c r="P2716" s="33" t="str">
        <f t="shared" si="815"/>
        <v>MAIN UNIT</v>
      </c>
      <c r="Q2716" s="13" t="s">
        <v>68</v>
      </c>
      <c r="R2716" s="13" t="s">
        <v>62</v>
      </c>
      <c r="S2716" s="13" t="s">
        <v>49</v>
      </c>
      <c r="T2716" s="13" t="s">
        <v>78</v>
      </c>
      <c r="U2716" s="13" t="s">
        <v>79</v>
      </c>
      <c r="V2716" s="13" t="s">
        <v>112</v>
      </c>
      <c r="W2716" s="13" t="s">
        <v>64</v>
      </c>
      <c r="X2716" s="135">
        <v>690000</v>
      </c>
      <c r="Y2716" s="157" t="str">
        <f t="shared" si="816"/>
        <v>1.13</v>
      </c>
      <c r="Z2716" s="18">
        <f t="shared" si="814"/>
        <v>690000</v>
      </c>
      <c r="AA2716" s="13">
        <v>1.081</v>
      </c>
      <c r="AB2716" s="21">
        <f t="shared" si="799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1"/>
        <v>15951056.41591504</v>
      </c>
      <c r="AJ2716" s="19">
        <f t="shared" si="802"/>
        <v>1966354.6022462982</v>
      </c>
      <c r="AK2716" s="20">
        <f t="shared" si="808"/>
        <v>0.12327425538313459</v>
      </c>
      <c r="AL2716" s="17"/>
      <c r="AM2716" s="17"/>
      <c r="AN2716" s="17"/>
      <c r="AO2716" s="17"/>
      <c r="AP2716" s="28" t="str">
        <f t="shared" si="809"/>
        <v>20237</v>
      </c>
      <c r="AQ2716" s="28" t="str">
        <f t="shared" si="810"/>
        <v>20237RMB</v>
      </c>
      <c r="AR2716" s="206" t="str">
        <f t="shared" si="811"/>
        <v>YAMAHA_Mounter</v>
      </c>
      <c r="AS2716" s="22">
        <f t="shared" si="812"/>
        <v>4</v>
      </c>
      <c r="AT2716" s="24" t="str">
        <f t="shared" si="813"/>
        <v>4-6 months</v>
      </c>
      <c r="AU2716" s="22" t="s">
        <v>3751</v>
      </c>
    </row>
    <row r="2717" spans="1:47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48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1418</v>
      </c>
      <c r="K2717" s="155" t="s">
        <v>1419</v>
      </c>
      <c r="L2717" s="17" t="s">
        <v>67</v>
      </c>
      <c r="M2717" s="13" t="s">
        <v>60</v>
      </c>
      <c r="N2717" s="13">
        <v>1</v>
      </c>
      <c r="O2717" s="13"/>
      <c r="P2717" s="33" t="str">
        <f t="shared" si="815"/>
        <v>MAIN UNIT</v>
      </c>
      <c r="Q2717" s="13" t="s">
        <v>61</v>
      </c>
      <c r="R2717" s="13" t="s">
        <v>62</v>
      </c>
      <c r="S2717" s="13" t="s">
        <v>49</v>
      </c>
      <c r="T2717" s="13" t="s">
        <v>78</v>
      </c>
      <c r="U2717" s="13" t="s">
        <v>79</v>
      </c>
      <c r="V2717" s="13" t="s">
        <v>80</v>
      </c>
      <c r="W2717" s="13" t="s">
        <v>64</v>
      </c>
      <c r="X2717" s="135">
        <v>500000</v>
      </c>
      <c r="Y2717" s="157" t="str">
        <f t="shared" si="816"/>
        <v>1.13</v>
      </c>
      <c r="Z2717" s="18">
        <f t="shared" si="814"/>
        <v>500000</v>
      </c>
      <c r="AA2717" s="13">
        <v>1.175</v>
      </c>
      <c r="AB2717" s="21">
        <f t="shared" si="799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1"/>
        <v>48763143.537654862</v>
      </c>
      <c r="AJ2717" s="19">
        <f t="shared" si="802"/>
        <v>5924029.9702154724</v>
      </c>
      <c r="AK2717" s="20">
        <f t="shared" si="808"/>
        <v>0.1214858095774925</v>
      </c>
      <c r="AL2717" s="17"/>
      <c r="AM2717" s="17"/>
      <c r="AN2717" s="17"/>
      <c r="AO2717" s="17"/>
      <c r="AP2717" s="28" t="str">
        <f t="shared" si="809"/>
        <v>202012</v>
      </c>
      <c r="AQ2717" s="28" t="str">
        <f t="shared" si="810"/>
        <v>202012RMB</v>
      </c>
      <c r="AR2717" s="206" t="str">
        <f t="shared" si="811"/>
        <v>YAMAHA_Mounter</v>
      </c>
      <c r="AS2717" s="22">
        <f t="shared" si="812"/>
        <v>3</v>
      </c>
      <c r="AT2717" s="24" t="str">
        <f t="shared" si="813"/>
        <v>0-3 months</v>
      </c>
      <c r="AU2717" s="22" t="s">
        <v>3744</v>
      </c>
    </row>
    <row r="2718" spans="1:47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185</v>
      </c>
      <c r="F2718" s="13" t="s">
        <v>185</v>
      </c>
      <c r="G2718" s="152" t="s">
        <v>185</v>
      </c>
      <c r="H2718" s="155"/>
      <c r="I2718" s="33" t="str">
        <f t="shared" si="805"/>
        <v>Cancel</v>
      </c>
      <c r="J2718" s="186" t="s">
        <v>2105</v>
      </c>
      <c r="K2718" s="155" t="s">
        <v>1419</v>
      </c>
      <c r="L2718" s="17" t="s">
        <v>92</v>
      </c>
      <c r="M2718" s="13" t="s">
        <v>60</v>
      </c>
      <c r="N2718" s="13">
        <v>1</v>
      </c>
      <c r="O2718" s="13"/>
      <c r="P2718" s="33" t="str">
        <f t="shared" si="815"/>
        <v>MAIN UNIT</v>
      </c>
      <c r="Q2718" s="13" t="s">
        <v>61</v>
      </c>
      <c r="R2718" s="13" t="s">
        <v>62</v>
      </c>
      <c r="S2718" s="13" t="s">
        <v>49</v>
      </c>
      <c r="T2718" s="13" t="s">
        <v>78</v>
      </c>
      <c r="U2718" s="13" t="s">
        <v>79</v>
      </c>
      <c r="V2718" s="13" t="s">
        <v>80</v>
      </c>
      <c r="W2718" s="13" t="s">
        <v>64</v>
      </c>
      <c r="X2718" s="135">
        <v>850000</v>
      </c>
      <c r="Y2718" s="157" t="str">
        <f t="shared" si="816"/>
        <v>1.13</v>
      </c>
      <c r="Z2718" s="18">
        <f t="shared" si="814"/>
        <v>850000</v>
      </c>
      <c r="AA2718" s="13">
        <v>1.21</v>
      </c>
      <c r="AB2718" s="21">
        <f t="shared" si="799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1"/>
        <v>499582152.5142017</v>
      </c>
      <c r="AJ2718" s="19">
        <f t="shared" si="802"/>
        <v>59520528.679470733</v>
      </c>
      <c r="AK2718" s="20">
        <f t="shared" si="808"/>
        <v>0.11914062257814291</v>
      </c>
      <c r="AL2718" s="17"/>
      <c r="AM2718" s="17"/>
      <c r="AN2718" s="17"/>
      <c r="AO2718" s="17"/>
      <c r="AP2718" s="28" t="str">
        <f t="shared" si="809"/>
        <v>CancelCancel</v>
      </c>
      <c r="AQ2718" s="28" t="str">
        <f t="shared" si="810"/>
        <v>CancelCancelRMB</v>
      </c>
      <c r="AR2718" s="206" t="str">
        <f t="shared" si="811"/>
        <v>YAMAHA_Mounter</v>
      </c>
      <c r="AS2718" s="22" t="str">
        <f t="shared" si="812"/>
        <v/>
      </c>
      <c r="AT2718" s="24" t="str">
        <f t="shared" si="813"/>
        <v/>
      </c>
      <c r="AU2718" s="22" t="s">
        <v>3751</v>
      </c>
    </row>
    <row r="2719" spans="1:47" s="12" customFormat="1">
      <c r="A2719" s="33" t="str">
        <f t="shared" si="803"/>
        <v>cancel</v>
      </c>
      <c r="B2719" s="152"/>
      <c r="C2719" s="152" t="s">
        <v>185</v>
      </c>
      <c r="D2719" s="33" t="str">
        <f t="shared" si="804"/>
        <v/>
      </c>
      <c r="E2719" s="33" t="s">
        <v>185</v>
      </c>
      <c r="F2719" s="13" t="s">
        <v>185</v>
      </c>
      <c r="G2719" s="152" t="s">
        <v>185</v>
      </c>
      <c r="H2719" s="155" t="s">
        <v>2758</v>
      </c>
      <c r="I2719" s="33" t="str">
        <f t="shared" si="805"/>
        <v>Cancel</v>
      </c>
      <c r="J2719" s="186" t="s">
        <v>2769</v>
      </c>
      <c r="K2719" s="155" t="s">
        <v>1419</v>
      </c>
      <c r="L2719" s="17" t="s">
        <v>92</v>
      </c>
      <c r="M2719" s="13" t="s">
        <v>60</v>
      </c>
      <c r="N2719" s="13">
        <v>1</v>
      </c>
      <c r="O2719" s="13"/>
      <c r="P2719" s="33" t="str">
        <f t="shared" si="815"/>
        <v>MAIN UNIT</v>
      </c>
      <c r="Q2719" s="13" t="s">
        <v>61</v>
      </c>
      <c r="R2719" s="13" t="s">
        <v>62</v>
      </c>
      <c r="S2719" s="13" t="s">
        <v>49</v>
      </c>
      <c r="T2719" s="13" t="s">
        <v>78</v>
      </c>
      <c r="U2719" s="13" t="s">
        <v>79</v>
      </c>
      <c r="V2719" s="13" t="s">
        <v>80</v>
      </c>
      <c r="W2719" s="13" t="s">
        <v>109</v>
      </c>
      <c r="X2719" s="135">
        <v>12300000</v>
      </c>
      <c r="Y2719" s="157" t="str">
        <f t="shared" si="816"/>
        <v>1</v>
      </c>
      <c r="Z2719" s="18">
        <f t="shared" si="814"/>
        <v>12300000</v>
      </c>
      <c r="AA2719" s="13">
        <v>6.25E-2</v>
      </c>
      <c r="AB2719" s="21">
        <f t="shared" si="799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1"/>
        <v>499582152.5142017</v>
      </c>
      <c r="AJ2719" s="19">
        <f t="shared" si="802"/>
        <v>59520528.679470733</v>
      </c>
      <c r="AK2719" s="20">
        <f t="shared" si="808"/>
        <v>0.11914062257814291</v>
      </c>
      <c r="AL2719" s="17"/>
      <c r="AM2719" s="17"/>
      <c r="AN2719" s="17"/>
      <c r="AO2719" s="17"/>
      <c r="AP2719" s="28" t="str">
        <f t="shared" si="809"/>
        <v>CancelCancel</v>
      </c>
      <c r="AQ2719" s="28" t="str">
        <f t="shared" si="810"/>
        <v>CancelCancelJPY</v>
      </c>
      <c r="AR2719" s="206" t="str">
        <f t="shared" si="811"/>
        <v>YAMAHA_Mounter</v>
      </c>
      <c r="AS2719" s="22" t="str">
        <f t="shared" si="812"/>
        <v/>
      </c>
      <c r="AT2719" s="24" t="str">
        <f t="shared" si="813"/>
        <v/>
      </c>
      <c r="AU2719" s="22" t="s">
        <v>3745</v>
      </c>
    </row>
    <row r="2720" spans="1:47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3172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3424</v>
      </c>
      <c r="K2720" s="29" t="s">
        <v>3425</v>
      </c>
      <c r="L2720" s="17" t="s">
        <v>67</v>
      </c>
      <c r="M2720" s="22" t="s">
        <v>60</v>
      </c>
      <c r="N2720" s="22">
        <v>1</v>
      </c>
      <c r="O2720" s="22"/>
      <c r="P2720" s="33" t="str">
        <f t="shared" si="815"/>
        <v>MAIN UNIT</v>
      </c>
      <c r="Q2720" s="13" t="s">
        <v>61</v>
      </c>
      <c r="R2720" s="22" t="s">
        <v>62</v>
      </c>
      <c r="S2720" s="22" t="s">
        <v>49</v>
      </c>
      <c r="T2720" s="22" t="s">
        <v>78</v>
      </c>
      <c r="U2720" s="22" t="s">
        <v>78</v>
      </c>
      <c r="V2720" s="22" t="s">
        <v>80</v>
      </c>
      <c r="W2720" s="22" t="s">
        <v>109</v>
      </c>
      <c r="X2720" s="104">
        <v>9398800</v>
      </c>
      <c r="Y2720" s="195" t="str">
        <f>IF(W2720="","",IF(W2720="RMB","1.13", "1"))</f>
        <v>1</v>
      </c>
      <c r="Z2720" s="196">
        <f t="shared" si="814"/>
        <v>9398800</v>
      </c>
      <c r="AA2720" s="22">
        <v>5.2299999999999999E-2</v>
      </c>
      <c r="AB2720" s="197">
        <f t="shared" si="799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1"/>
        <v>25354039.366920356</v>
      </c>
      <c r="AJ2720" s="200">
        <f t="shared" si="802"/>
        <v>3028631.2816309328</v>
      </c>
      <c r="AK2720" s="201">
        <f t="shared" si="808"/>
        <v>0.11945360018579192</v>
      </c>
      <c r="AL2720" s="24"/>
      <c r="AM2720" s="24"/>
      <c r="AN2720" s="24"/>
      <c r="AO2720" s="24"/>
      <c r="AP2720" s="105" t="str">
        <f t="shared" si="809"/>
        <v>20248</v>
      </c>
      <c r="AQ2720" s="28" t="str">
        <f t="shared" si="810"/>
        <v>20248JPY</v>
      </c>
      <c r="AR2720" s="206" t="str">
        <f t="shared" si="811"/>
        <v>YAMAHA_Mounter</v>
      </c>
      <c r="AS2720" s="22">
        <f t="shared" si="812"/>
        <v>3</v>
      </c>
      <c r="AT2720" s="24" t="str">
        <f t="shared" si="813"/>
        <v>0-3 months</v>
      </c>
      <c r="AU2720" s="22" t="s">
        <v>3745</v>
      </c>
    </row>
    <row r="2721" spans="1:47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47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998</v>
      </c>
      <c r="K2721" s="155" t="s">
        <v>999</v>
      </c>
      <c r="L2721" s="17" t="s">
        <v>92</v>
      </c>
      <c r="M2721" s="13" t="s">
        <v>60</v>
      </c>
      <c r="N2721" s="13">
        <v>1</v>
      </c>
      <c r="O2721" s="13"/>
      <c r="P2721" s="33" t="str">
        <f t="shared" si="815"/>
        <v>MAIN UNIT</v>
      </c>
      <c r="Q2721" s="13" t="s">
        <v>68</v>
      </c>
      <c r="R2721" s="13" t="s">
        <v>62</v>
      </c>
      <c r="S2721" s="13" t="s">
        <v>49</v>
      </c>
      <c r="T2721" s="13" t="s">
        <v>78</v>
      </c>
      <c r="U2721" s="13" t="s">
        <v>79</v>
      </c>
      <c r="V2721" s="13" t="s">
        <v>311</v>
      </c>
      <c r="W2721" s="13" t="s">
        <v>109</v>
      </c>
      <c r="X2721" s="135">
        <v>11000000</v>
      </c>
      <c r="Y2721" s="156">
        <v>1</v>
      </c>
      <c r="Z2721" s="18">
        <f t="shared" si="814"/>
        <v>11000000</v>
      </c>
      <c r="AA2721" s="13">
        <v>7.2700000000000001E-2</v>
      </c>
      <c r="AB2721" s="21">
        <f t="shared" si="799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1"/>
        <v>14005204.685000001</v>
      </c>
      <c r="AJ2721" s="19">
        <f t="shared" si="802"/>
        <v>1436995.246084</v>
      </c>
      <c r="AK2721" s="20">
        <f t="shared" si="808"/>
        <v>0.10260437304590525</v>
      </c>
      <c r="AL2721" s="17"/>
      <c r="AM2721" s="17"/>
      <c r="AN2721" s="17"/>
      <c r="AO2721" s="17"/>
      <c r="AP2721" s="28" t="str">
        <f t="shared" si="809"/>
        <v>20202</v>
      </c>
      <c r="AQ2721" s="28" t="str">
        <f t="shared" si="810"/>
        <v>20202JPY</v>
      </c>
      <c r="AR2721" s="206" t="str">
        <f t="shared" si="811"/>
        <v>YAMAHA_Mounter</v>
      </c>
      <c r="AS2721" s="22">
        <f t="shared" si="812"/>
        <v>2</v>
      </c>
      <c r="AT2721" s="24" t="str">
        <f t="shared" si="813"/>
        <v>0-3 months</v>
      </c>
      <c r="AU2721" s="22" t="s">
        <v>3746</v>
      </c>
    </row>
    <row r="2722" spans="1:47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47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998</v>
      </c>
      <c r="K2722" s="155" t="s">
        <v>999</v>
      </c>
      <c r="L2722" s="17" t="s">
        <v>92</v>
      </c>
      <c r="M2722" s="13" t="s">
        <v>60</v>
      </c>
      <c r="N2722" s="13">
        <v>1</v>
      </c>
      <c r="O2722" s="13"/>
      <c r="P2722" s="33" t="str">
        <f t="shared" si="815"/>
        <v>MAIN UNIT</v>
      </c>
      <c r="Q2722" s="13" t="s">
        <v>68</v>
      </c>
      <c r="R2722" s="13" t="s">
        <v>62</v>
      </c>
      <c r="S2722" s="13" t="s">
        <v>49</v>
      </c>
      <c r="T2722" s="13" t="s">
        <v>78</v>
      </c>
      <c r="U2722" s="13" t="s">
        <v>79</v>
      </c>
      <c r="V2722" s="13" t="s">
        <v>311</v>
      </c>
      <c r="W2722" s="13" t="s">
        <v>109</v>
      </c>
      <c r="X2722" s="135">
        <v>11000000</v>
      </c>
      <c r="Y2722" s="156">
        <v>1</v>
      </c>
      <c r="Z2722" s="18">
        <f t="shared" si="814"/>
        <v>11000000</v>
      </c>
      <c r="AA2722" s="13">
        <v>7.2700000000000001E-2</v>
      </c>
      <c r="AB2722" s="21">
        <f t="shared" si="799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1"/>
        <v>14005204.685000001</v>
      </c>
      <c r="AJ2722" s="19">
        <f t="shared" si="802"/>
        <v>1436995.246084</v>
      </c>
      <c r="AK2722" s="20">
        <f t="shared" si="808"/>
        <v>0.10260437304590525</v>
      </c>
      <c r="AL2722" s="17"/>
      <c r="AM2722" s="17"/>
      <c r="AN2722" s="17"/>
      <c r="AO2722" s="17"/>
      <c r="AP2722" s="28" t="str">
        <f t="shared" si="809"/>
        <v>20202</v>
      </c>
      <c r="AQ2722" s="28" t="str">
        <f t="shared" si="810"/>
        <v>20202JPY</v>
      </c>
      <c r="AR2722" s="206" t="str">
        <f t="shared" si="811"/>
        <v>YAMAHA_Mounter</v>
      </c>
      <c r="AS2722" s="22">
        <f t="shared" si="812"/>
        <v>2</v>
      </c>
      <c r="AT2722" s="24" t="str">
        <f t="shared" si="813"/>
        <v>0-3 months</v>
      </c>
      <c r="AU2722" s="22" t="s">
        <v>3746</v>
      </c>
    </row>
    <row r="2723" spans="1:47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47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998</v>
      </c>
      <c r="K2723" s="155" t="s">
        <v>999</v>
      </c>
      <c r="L2723" s="17" t="s">
        <v>92</v>
      </c>
      <c r="M2723" s="13" t="s">
        <v>60</v>
      </c>
      <c r="N2723" s="13">
        <v>1</v>
      </c>
      <c r="O2723" s="13"/>
      <c r="P2723" s="33" t="str">
        <f t="shared" si="815"/>
        <v>MAIN UNIT</v>
      </c>
      <c r="Q2723" s="13" t="s">
        <v>68</v>
      </c>
      <c r="R2723" s="13" t="s">
        <v>62</v>
      </c>
      <c r="S2723" s="13" t="s">
        <v>49</v>
      </c>
      <c r="T2723" s="13" t="s">
        <v>78</v>
      </c>
      <c r="U2723" s="13" t="s">
        <v>79</v>
      </c>
      <c r="V2723" s="13" t="s">
        <v>311</v>
      </c>
      <c r="W2723" s="13" t="s">
        <v>109</v>
      </c>
      <c r="X2723" s="135">
        <v>11000000</v>
      </c>
      <c r="Y2723" s="156">
        <v>1</v>
      </c>
      <c r="Z2723" s="18">
        <f t="shared" si="814"/>
        <v>11000000</v>
      </c>
      <c r="AA2723" s="13">
        <v>7.2700000000000001E-2</v>
      </c>
      <c r="AB2723" s="21">
        <f t="shared" si="799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1"/>
        <v>14005204.685000001</v>
      </c>
      <c r="AJ2723" s="19">
        <f t="shared" si="802"/>
        <v>1436995.246084</v>
      </c>
      <c r="AK2723" s="20">
        <f t="shared" si="808"/>
        <v>0.10260437304590525</v>
      </c>
      <c r="AL2723" s="17"/>
      <c r="AM2723" s="17"/>
      <c r="AN2723" s="17"/>
      <c r="AO2723" s="17"/>
      <c r="AP2723" s="28" t="str">
        <f t="shared" si="809"/>
        <v>20202</v>
      </c>
      <c r="AQ2723" s="28" t="str">
        <f t="shared" si="810"/>
        <v>20202JPY</v>
      </c>
      <c r="AR2723" s="206" t="str">
        <f t="shared" si="811"/>
        <v>YAMAHA_Mounter</v>
      </c>
      <c r="AS2723" s="22">
        <f t="shared" si="812"/>
        <v>2</v>
      </c>
      <c r="AT2723" s="24" t="str">
        <f t="shared" si="813"/>
        <v>0-3 months</v>
      </c>
      <c r="AU2723" s="22" t="s">
        <v>3746</v>
      </c>
    </row>
    <row r="2724" spans="1:47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47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998</v>
      </c>
      <c r="K2724" s="155" t="s">
        <v>999</v>
      </c>
      <c r="L2724" s="17" t="s">
        <v>92</v>
      </c>
      <c r="M2724" s="13" t="s">
        <v>60</v>
      </c>
      <c r="N2724" s="13">
        <v>1</v>
      </c>
      <c r="O2724" s="13"/>
      <c r="P2724" s="33" t="str">
        <f t="shared" si="815"/>
        <v>MAIN UNIT</v>
      </c>
      <c r="Q2724" s="13" t="s">
        <v>68</v>
      </c>
      <c r="R2724" s="13" t="s">
        <v>62</v>
      </c>
      <c r="S2724" s="13" t="s">
        <v>49</v>
      </c>
      <c r="T2724" s="13" t="s">
        <v>78</v>
      </c>
      <c r="U2724" s="13" t="s">
        <v>79</v>
      </c>
      <c r="V2724" s="13" t="s">
        <v>311</v>
      </c>
      <c r="W2724" s="13" t="s">
        <v>109</v>
      </c>
      <c r="X2724" s="135">
        <v>11000000</v>
      </c>
      <c r="Y2724" s="156">
        <v>1</v>
      </c>
      <c r="Z2724" s="18">
        <f t="shared" si="814"/>
        <v>11000000</v>
      </c>
      <c r="AA2724" s="13">
        <v>7.2700000000000001E-2</v>
      </c>
      <c r="AB2724" s="21">
        <f t="shared" si="799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1"/>
        <v>14005204.685000001</v>
      </c>
      <c r="AJ2724" s="19">
        <f t="shared" si="802"/>
        <v>1436995.246084</v>
      </c>
      <c r="AK2724" s="20">
        <f t="shared" si="808"/>
        <v>0.10260437304590525</v>
      </c>
      <c r="AL2724" s="17"/>
      <c r="AM2724" s="17"/>
      <c r="AN2724" s="17"/>
      <c r="AO2724" s="17"/>
      <c r="AP2724" s="28" t="str">
        <f t="shared" si="809"/>
        <v>20202</v>
      </c>
      <c r="AQ2724" s="28" t="str">
        <f t="shared" si="810"/>
        <v>20202JPY</v>
      </c>
      <c r="AR2724" s="206" t="str">
        <f t="shared" si="811"/>
        <v>YAMAHA_Mounter</v>
      </c>
      <c r="AS2724" s="22">
        <f t="shared" si="812"/>
        <v>2</v>
      </c>
      <c r="AT2724" s="24" t="str">
        <f t="shared" si="813"/>
        <v>0-3 months</v>
      </c>
      <c r="AU2724" s="22" t="s">
        <v>3746</v>
      </c>
    </row>
    <row r="2725" spans="1:47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47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998</v>
      </c>
      <c r="K2725" s="155" t="s">
        <v>999</v>
      </c>
      <c r="L2725" s="17" t="s">
        <v>92</v>
      </c>
      <c r="M2725" s="13" t="s">
        <v>60</v>
      </c>
      <c r="N2725" s="13">
        <v>1</v>
      </c>
      <c r="O2725" s="13"/>
      <c r="P2725" s="33" t="str">
        <f t="shared" si="815"/>
        <v>MAIN UNIT</v>
      </c>
      <c r="Q2725" s="13" t="s">
        <v>68</v>
      </c>
      <c r="R2725" s="13" t="s">
        <v>62</v>
      </c>
      <c r="S2725" s="13" t="s">
        <v>49</v>
      </c>
      <c r="T2725" s="13" t="s">
        <v>78</v>
      </c>
      <c r="U2725" s="13" t="s">
        <v>79</v>
      </c>
      <c r="V2725" s="13" t="s">
        <v>311</v>
      </c>
      <c r="W2725" s="13" t="s">
        <v>109</v>
      </c>
      <c r="X2725" s="135">
        <v>11000000</v>
      </c>
      <c r="Y2725" s="156">
        <v>1</v>
      </c>
      <c r="Z2725" s="18">
        <f t="shared" si="814"/>
        <v>11000000</v>
      </c>
      <c r="AA2725" s="13">
        <v>7.2700000000000001E-2</v>
      </c>
      <c r="AB2725" s="21">
        <f t="shared" si="799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1"/>
        <v>14005204.685000001</v>
      </c>
      <c r="AJ2725" s="19">
        <f t="shared" si="802"/>
        <v>1436995.246084</v>
      </c>
      <c r="AK2725" s="20">
        <f t="shared" si="808"/>
        <v>0.10260437304590525</v>
      </c>
      <c r="AL2725" s="17"/>
      <c r="AM2725" s="17"/>
      <c r="AN2725" s="17"/>
      <c r="AO2725" s="17"/>
      <c r="AP2725" s="28" t="str">
        <f t="shared" si="809"/>
        <v>20202</v>
      </c>
      <c r="AQ2725" s="28" t="str">
        <f t="shared" si="810"/>
        <v>20202JPY</v>
      </c>
      <c r="AR2725" s="206" t="str">
        <f t="shared" si="811"/>
        <v>YAMAHA_Mounter</v>
      </c>
      <c r="AS2725" s="22">
        <f t="shared" si="812"/>
        <v>2</v>
      </c>
      <c r="AT2725" s="24" t="str">
        <f t="shared" si="813"/>
        <v>0-3 months</v>
      </c>
      <c r="AU2725" s="22" t="s">
        <v>3746</v>
      </c>
    </row>
    <row r="2726" spans="1:47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47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998</v>
      </c>
      <c r="K2726" s="155" t="s">
        <v>999</v>
      </c>
      <c r="L2726" s="17" t="s">
        <v>67</v>
      </c>
      <c r="M2726" s="13" t="s">
        <v>60</v>
      </c>
      <c r="N2726" s="13">
        <v>1</v>
      </c>
      <c r="O2726" s="13"/>
      <c r="P2726" s="33" t="str">
        <f t="shared" si="815"/>
        <v>MAIN UNIT</v>
      </c>
      <c r="Q2726" s="13" t="s">
        <v>68</v>
      </c>
      <c r="R2726" s="13" t="s">
        <v>62</v>
      </c>
      <c r="S2726" s="13" t="s">
        <v>49</v>
      </c>
      <c r="T2726" s="13" t="s">
        <v>78</v>
      </c>
      <c r="U2726" s="13" t="s">
        <v>79</v>
      </c>
      <c r="V2726" s="13" t="s">
        <v>311</v>
      </c>
      <c r="W2726" s="13" t="s">
        <v>109</v>
      </c>
      <c r="X2726" s="135">
        <v>7722000</v>
      </c>
      <c r="Y2726" s="156">
        <v>1</v>
      </c>
      <c r="Z2726" s="18">
        <f t="shared" si="814"/>
        <v>7722000</v>
      </c>
      <c r="AA2726" s="13">
        <v>7.2700000000000001E-2</v>
      </c>
      <c r="AB2726" s="21">
        <f t="shared" si="799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1"/>
        <v>14005204.685000001</v>
      </c>
      <c r="AJ2726" s="19">
        <f t="shared" si="802"/>
        <v>1436995.246084</v>
      </c>
      <c r="AK2726" s="20">
        <f t="shared" si="808"/>
        <v>0.10260437304590525</v>
      </c>
      <c r="AL2726" s="17"/>
      <c r="AM2726" s="17"/>
      <c r="AN2726" s="17"/>
      <c r="AO2726" s="17"/>
      <c r="AP2726" s="28" t="str">
        <f t="shared" si="809"/>
        <v>20202</v>
      </c>
      <c r="AQ2726" s="28" t="str">
        <f t="shared" si="810"/>
        <v>20202JPY</v>
      </c>
      <c r="AR2726" s="206" t="str">
        <f t="shared" si="811"/>
        <v>YAMAHA_Mounter</v>
      </c>
      <c r="AS2726" s="22">
        <f t="shared" si="812"/>
        <v>2</v>
      </c>
      <c r="AT2726" s="24" t="str">
        <f t="shared" si="813"/>
        <v>0-3 months</v>
      </c>
      <c r="AU2726" s="22" t="s">
        <v>3746</v>
      </c>
    </row>
    <row r="2727" spans="1:47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47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998</v>
      </c>
      <c r="K2727" s="155" t="s">
        <v>999</v>
      </c>
      <c r="L2727" s="17" t="s">
        <v>67</v>
      </c>
      <c r="M2727" s="13" t="s">
        <v>60</v>
      </c>
      <c r="N2727" s="13">
        <v>1</v>
      </c>
      <c r="O2727" s="13"/>
      <c r="P2727" s="33" t="str">
        <f t="shared" si="815"/>
        <v>MAIN UNIT</v>
      </c>
      <c r="Q2727" s="13" t="s">
        <v>68</v>
      </c>
      <c r="R2727" s="13" t="s">
        <v>62</v>
      </c>
      <c r="S2727" s="13" t="s">
        <v>49</v>
      </c>
      <c r="T2727" s="13" t="s">
        <v>78</v>
      </c>
      <c r="U2727" s="13" t="s">
        <v>79</v>
      </c>
      <c r="V2727" s="13" t="s">
        <v>311</v>
      </c>
      <c r="W2727" s="13" t="s">
        <v>109</v>
      </c>
      <c r="X2727" s="135">
        <v>7722000</v>
      </c>
      <c r="Y2727" s="156">
        <v>1</v>
      </c>
      <c r="Z2727" s="18">
        <f t="shared" si="814"/>
        <v>7722000</v>
      </c>
      <c r="AA2727" s="13">
        <v>7.2700000000000001E-2</v>
      </c>
      <c r="AB2727" s="21">
        <f t="shared" si="799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1"/>
        <v>14005204.685000001</v>
      </c>
      <c r="AJ2727" s="19">
        <f t="shared" si="802"/>
        <v>1436995.246084</v>
      </c>
      <c r="AK2727" s="20">
        <f t="shared" si="808"/>
        <v>0.10260437304590525</v>
      </c>
      <c r="AL2727" s="17"/>
      <c r="AM2727" s="17"/>
      <c r="AN2727" s="17"/>
      <c r="AO2727" s="17"/>
      <c r="AP2727" s="28" t="str">
        <f t="shared" si="809"/>
        <v>20202</v>
      </c>
      <c r="AQ2727" s="28" t="str">
        <f t="shared" si="810"/>
        <v>20202JPY</v>
      </c>
      <c r="AR2727" s="206" t="str">
        <f t="shared" si="811"/>
        <v>YAMAHA_Mounter</v>
      </c>
      <c r="AS2727" s="22">
        <f t="shared" si="812"/>
        <v>2</v>
      </c>
      <c r="AT2727" s="24" t="str">
        <f t="shared" si="813"/>
        <v>0-3 months</v>
      </c>
      <c r="AU2727" s="22" t="s">
        <v>3746</v>
      </c>
    </row>
    <row r="2728" spans="1:47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47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998</v>
      </c>
      <c r="K2728" s="155" t="s">
        <v>999</v>
      </c>
      <c r="L2728" s="17" t="s">
        <v>67</v>
      </c>
      <c r="M2728" s="13" t="s">
        <v>60</v>
      </c>
      <c r="N2728" s="13">
        <v>1</v>
      </c>
      <c r="O2728" s="13"/>
      <c r="P2728" s="33" t="str">
        <f t="shared" si="815"/>
        <v>MAIN UNIT</v>
      </c>
      <c r="Q2728" s="13" t="s">
        <v>68</v>
      </c>
      <c r="R2728" s="13" t="s">
        <v>62</v>
      </c>
      <c r="S2728" s="13" t="s">
        <v>49</v>
      </c>
      <c r="T2728" s="13" t="s">
        <v>78</v>
      </c>
      <c r="U2728" s="13" t="s">
        <v>79</v>
      </c>
      <c r="V2728" s="13" t="s">
        <v>311</v>
      </c>
      <c r="W2728" s="13" t="s">
        <v>109</v>
      </c>
      <c r="X2728" s="135">
        <v>7722000</v>
      </c>
      <c r="Y2728" s="156">
        <v>1</v>
      </c>
      <c r="Z2728" s="18">
        <f t="shared" si="814"/>
        <v>7722000</v>
      </c>
      <c r="AA2728" s="13">
        <v>7.2700000000000001E-2</v>
      </c>
      <c r="AB2728" s="21">
        <f t="shared" si="799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1"/>
        <v>14005204.685000001</v>
      </c>
      <c r="AJ2728" s="19">
        <f t="shared" si="802"/>
        <v>1436995.246084</v>
      </c>
      <c r="AK2728" s="20">
        <f t="shared" si="808"/>
        <v>0.10260437304590525</v>
      </c>
      <c r="AL2728" s="17"/>
      <c r="AM2728" s="17"/>
      <c r="AN2728" s="17"/>
      <c r="AO2728" s="17"/>
      <c r="AP2728" s="28" t="str">
        <f t="shared" si="809"/>
        <v>20202</v>
      </c>
      <c r="AQ2728" s="28" t="str">
        <f t="shared" si="810"/>
        <v>20202JPY</v>
      </c>
      <c r="AR2728" s="206" t="str">
        <f t="shared" si="811"/>
        <v>YAMAHA_Mounter</v>
      </c>
      <c r="AS2728" s="22">
        <f t="shared" si="812"/>
        <v>2</v>
      </c>
      <c r="AT2728" s="24" t="str">
        <f t="shared" si="813"/>
        <v>0-3 months</v>
      </c>
      <c r="AU2728" s="22" t="s">
        <v>3746</v>
      </c>
    </row>
    <row r="2729" spans="1:47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47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998</v>
      </c>
      <c r="K2729" s="155" t="s">
        <v>999</v>
      </c>
      <c r="L2729" s="17" t="s">
        <v>67</v>
      </c>
      <c r="M2729" s="13" t="s">
        <v>60</v>
      </c>
      <c r="N2729" s="13">
        <v>1</v>
      </c>
      <c r="O2729" s="13"/>
      <c r="P2729" s="33" t="str">
        <f t="shared" si="815"/>
        <v>MAIN UNIT</v>
      </c>
      <c r="Q2729" s="13" t="s">
        <v>68</v>
      </c>
      <c r="R2729" s="13" t="s">
        <v>62</v>
      </c>
      <c r="S2729" s="13" t="s">
        <v>49</v>
      </c>
      <c r="T2729" s="13" t="s">
        <v>78</v>
      </c>
      <c r="U2729" s="13" t="s">
        <v>79</v>
      </c>
      <c r="V2729" s="13" t="s">
        <v>311</v>
      </c>
      <c r="W2729" s="13" t="s">
        <v>109</v>
      </c>
      <c r="X2729" s="135">
        <v>7722000</v>
      </c>
      <c r="Y2729" s="156">
        <v>1</v>
      </c>
      <c r="Z2729" s="18">
        <f t="shared" si="814"/>
        <v>7722000</v>
      </c>
      <c r="AA2729" s="13">
        <v>7.2700000000000001E-2</v>
      </c>
      <c r="AB2729" s="21">
        <f t="shared" si="799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1"/>
        <v>14005204.685000001</v>
      </c>
      <c r="AJ2729" s="19">
        <f t="shared" si="802"/>
        <v>1436995.246084</v>
      </c>
      <c r="AK2729" s="20">
        <f t="shared" si="808"/>
        <v>0.10260437304590525</v>
      </c>
      <c r="AL2729" s="17"/>
      <c r="AM2729" s="17"/>
      <c r="AN2729" s="17"/>
      <c r="AO2729" s="17"/>
      <c r="AP2729" s="28" t="str">
        <f t="shared" si="809"/>
        <v>20202</v>
      </c>
      <c r="AQ2729" s="28" t="str">
        <f t="shared" si="810"/>
        <v>20202JPY</v>
      </c>
      <c r="AR2729" s="206" t="str">
        <f t="shared" si="811"/>
        <v>YAMAHA_Mounter</v>
      </c>
      <c r="AS2729" s="22">
        <f t="shared" si="812"/>
        <v>2</v>
      </c>
      <c r="AT2729" s="24" t="str">
        <f t="shared" si="813"/>
        <v>0-3 months</v>
      </c>
      <c r="AU2729" s="22" t="s">
        <v>3746</v>
      </c>
    </row>
    <row r="2730" spans="1:47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47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998</v>
      </c>
      <c r="K2730" s="155" t="s">
        <v>999</v>
      </c>
      <c r="L2730" s="17" t="s">
        <v>67</v>
      </c>
      <c r="M2730" s="13" t="s">
        <v>60</v>
      </c>
      <c r="N2730" s="13">
        <v>1</v>
      </c>
      <c r="O2730" s="13"/>
      <c r="P2730" s="33" t="str">
        <f t="shared" si="815"/>
        <v>MAIN UNIT</v>
      </c>
      <c r="Q2730" s="13" t="s">
        <v>68</v>
      </c>
      <c r="R2730" s="13" t="s">
        <v>62</v>
      </c>
      <c r="S2730" s="13" t="s">
        <v>49</v>
      </c>
      <c r="T2730" s="13" t="s">
        <v>78</v>
      </c>
      <c r="U2730" s="13" t="s">
        <v>79</v>
      </c>
      <c r="V2730" s="13" t="s">
        <v>311</v>
      </c>
      <c r="W2730" s="13" t="s">
        <v>109</v>
      </c>
      <c r="X2730" s="135">
        <v>7722000</v>
      </c>
      <c r="Y2730" s="156">
        <v>1</v>
      </c>
      <c r="Z2730" s="18">
        <f t="shared" si="814"/>
        <v>7722000</v>
      </c>
      <c r="AA2730" s="13">
        <v>7.2700000000000001E-2</v>
      </c>
      <c r="AB2730" s="21">
        <f t="shared" si="799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1"/>
        <v>14005204.685000001</v>
      </c>
      <c r="AJ2730" s="19">
        <f t="shared" si="802"/>
        <v>1436995.246084</v>
      </c>
      <c r="AK2730" s="20">
        <f t="shared" si="808"/>
        <v>0.10260437304590525</v>
      </c>
      <c r="AL2730" s="17"/>
      <c r="AM2730" s="17"/>
      <c r="AN2730" s="17"/>
      <c r="AO2730" s="17"/>
      <c r="AP2730" s="28" t="str">
        <f t="shared" si="809"/>
        <v>20202</v>
      </c>
      <c r="AQ2730" s="28" t="str">
        <f t="shared" si="810"/>
        <v>20202JPY</v>
      </c>
      <c r="AR2730" s="206" t="str">
        <f t="shared" si="811"/>
        <v>YAMAHA_Mounter</v>
      </c>
      <c r="AS2730" s="22">
        <f t="shared" si="812"/>
        <v>2</v>
      </c>
      <c r="AT2730" s="24" t="str">
        <f t="shared" si="813"/>
        <v>0-3 months</v>
      </c>
      <c r="AU2730" s="22" t="s">
        <v>3746</v>
      </c>
    </row>
    <row r="2731" spans="1:47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47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998</v>
      </c>
      <c r="K2731" s="155" t="s">
        <v>999</v>
      </c>
      <c r="L2731" s="17" t="s">
        <v>67</v>
      </c>
      <c r="M2731" s="13" t="s">
        <v>60</v>
      </c>
      <c r="N2731" s="13">
        <v>1</v>
      </c>
      <c r="O2731" s="13"/>
      <c r="P2731" s="33" t="str">
        <f t="shared" si="815"/>
        <v>MAIN UNIT</v>
      </c>
      <c r="Q2731" s="13" t="s">
        <v>68</v>
      </c>
      <c r="R2731" s="13" t="s">
        <v>62</v>
      </c>
      <c r="S2731" s="13" t="s">
        <v>49</v>
      </c>
      <c r="T2731" s="13" t="s">
        <v>78</v>
      </c>
      <c r="U2731" s="13" t="s">
        <v>79</v>
      </c>
      <c r="V2731" s="13" t="s">
        <v>311</v>
      </c>
      <c r="W2731" s="13" t="s">
        <v>109</v>
      </c>
      <c r="X2731" s="135">
        <v>7722000</v>
      </c>
      <c r="Y2731" s="156">
        <v>1</v>
      </c>
      <c r="Z2731" s="18">
        <f t="shared" si="814"/>
        <v>7722000</v>
      </c>
      <c r="AA2731" s="13">
        <v>7.2700000000000001E-2</v>
      </c>
      <c r="AB2731" s="21">
        <f t="shared" si="799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1"/>
        <v>14005204.685000001</v>
      </c>
      <c r="AJ2731" s="19">
        <f t="shared" si="802"/>
        <v>1436995.246084</v>
      </c>
      <c r="AK2731" s="20">
        <f t="shared" si="808"/>
        <v>0.10260437304590525</v>
      </c>
      <c r="AL2731" s="17"/>
      <c r="AM2731" s="17"/>
      <c r="AN2731" s="17"/>
      <c r="AO2731" s="17"/>
      <c r="AP2731" s="28" t="str">
        <f t="shared" si="809"/>
        <v>20202</v>
      </c>
      <c r="AQ2731" s="28" t="str">
        <f t="shared" si="810"/>
        <v>20202JPY</v>
      </c>
      <c r="AR2731" s="206" t="str">
        <f t="shared" si="811"/>
        <v>YAMAHA_Mounter</v>
      </c>
      <c r="AS2731" s="22">
        <f t="shared" si="812"/>
        <v>2</v>
      </c>
      <c r="AT2731" s="24" t="str">
        <f t="shared" si="813"/>
        <v>0-3 months</v>
      </c>
      <c r="AU2731" s="22" t="s">
        <v>3746</v>
      </c>
    </row>
    <row r="2732" spans="1:47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48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1485</v>
      </c>
      <c r="K2732" s="155" t="s">
        <v>999</v>
      </c>
      <c r="L2732" s="17" t="s">
        <v>67</v>
      </c>
      <c r="M2732" s="13" t="s">
        <v>60</v>
      </c>
      <c r="N2732" s="13">
        <v>1</v>
      </c>
      <c r="O2732" s="13"/>
      <c r="P2732" s="33" t="str">
        <f t="shared" si="815"/>
        <v>MAIN UNIT</v>
      </c>
      <c r="Q2732" s="13" t="s">
        <v>61</v>
      </c>
      <c r="R2732" s="13" t="s">
        <v>62</v>
      </c>
      <c r="S2732" s="13" t="s">
        <v>49</v>
      </c>
      <c r="T2732" s="13" t="s">
        <v>78</v>
      </c>
      <c r="U2732" s="13" t="s">
        <v>79</v>
      </c>
      <c r="V2732" s="13" t="s">
        <v>1486</v>
      </c>
      <c r="W2732" s="13" t="s">
        <v>1341</v>
      </c>
      <c r="X2732" s="135">
        <v>7448000</v>
      </c>
      <c r="Y2732" s="156">
        <v>1</v>
      </c>
      <c r="Z2732" s="18">
        <f t="shared" si="814"/>
        <v>7448000</v>
      </c>
      <c r="AA2732" s="13">
        <v>7.6100000000000001E-2</v>
      </c>
      <c r="AB2732" s="21">
        <f t="shared" si="799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1"/>
        <v>44078731.611185849</v>
      </c>
      <c r="AJ2732" s="19">
        <f t="shared" si="802"/>
        <v>5508173.2163771465</v>
      </c>
      <c r="AK2732" s="20">
        <f t="shared" si="808"/>
        <v>0.12496215328889679</v>
      </c>
      <c r="AL2732" s="17"/>
      <c r="AM2732" s="17"/>
      <c r="AN2732" s="17"/>
      <c r="AO2732" s="17"/>
      <c r="AP2732" s="28" t="str">
        <f t="shared" si="809"/>
        <v>202011</v>
      </c>
      <c r="AQ2732" s="28" t="str">
        <f t="shared" si="810"/>
        <v>202011JPY</v>
      </c>
      <c r="AR2732" s="206" t="str">
        <f t="shared" si="811"/>
        <v>YAMAHA_Mounter</v>
      </c>
      <c r="AS2732" s="22">
        <f t="shared" si="812"/>
        <v>2</v>
      </c>
      <c r="AT2732" s="24" t="str">
        <f t="shared" si="813"/>
        <v>0-3 months</v>
      </c>
      <c r="AU2732" s="22" t="s">
        <v>3745</v>
      </c>
    </row>
    <row r="2733" spans="1:47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48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1485</v>
      </c>
      <c r="K2733" s="155" t="s">
        <v>999</v>
      </c>
      <c r="L2733" s="17" t="s">
        <v>67</v>
      </c>
      <c r="M2733" s="13" t="s">
        <v>60</v>
      </c>
      <c r="N2733" s="13">
        <v>1</v>
      </c>
      <c r="O2733" s="13"/>
      <c r="P2733" s="33" t="str">
        <f t="shared" si="815"/>
        <v>MAIN UNIT</v>
      </c>
      <c r="Q2733" s="13" t="s">
        <v>61</v>
      </c>
      <c r="R2733" s="13" t="s">
        <v>62</v>
      </c>
      <c r="S2733" s="13" t="s">
        <v>49</v>
      </c>
      <c r="T2733" s="13" t="s">
        <v>78</v>
      </c>
      <c r="U2733" s="13" t="s">
        <v>79</v>
      </c>
      <c r="V2733" s="13" t="s">
        <v>1486</v>
      </c>
      <c r="W2733" s="13" t="s">
        <v>1341</v>
      </c>
      <c r="X2733" s="135">
        <v>7448000</v>
      </c>
      <c r="Y2733" s="156">
        <v>1</v>
      </c>
      <c r="Z2733" s="18">
        <f t="shared" si="814"/>
        <v>7448000</v>
      </c>
      <c r="AA2733" s="13">
        <v>7.6100000000000001E-2</v>
      </c>
      <c r="AB2733" s="21">
        <f t="shared" si="799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1"/>
        <v>44078731.611185849</v>
      </c>
      <c r="AJ2733" s="19">
        <f t="shared" si="802"/>
        <v>5508173.2163771465</v>
      </c>
      <c r="AK2733" s="20">
        <f t="shared" si="808"/>
        <v>0.12496215328889679</v>
      </c>
      <c r="AL2733" s="17"/>
      <c r="AM2733" s="17"/>
      <c r="AN2733" s="17"/>
      <c r="AO2733" s="17"/>
      <c r="AP2733" s="28" t="str">
        <f t="shared" si="809"/>
        <v>202011</v>
      </c>
      <c r="AQ2733" s="28" t="str">
        <f t="shared" si="810"/>
        <v>202011JPY</v>
      </c>
      <c r="AR2733" s="206" t="str">
        <f t="shared" si="811"/>
        <v>YAMAHA_Mounter</v>
      </c>
      <c r="AS2733" s="22">
        <f t="shared" si="812"/>
        <v>2</v>
      </c>
      <c r="AT2733" s="24" t="str">
        <f t="shared" si="813"/>
        <v>0-3 months</v>
      </c>
      <c r="AU2733" s="22" t="s">
        <v>3745</v>
      </c>
    </row>
    <row r="2734" spans="1:47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48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1513</v>
      </c>
      <c r="K2734" s="155" t="s">
        <v>999</v>
      </c>
      <c r="L2734" s="17" t="s">
        <v>67</v>
      </c>
      <c r="M2734" s="13" t="s">
        <v>60</v>
      </c>
      <c r="N2734" s="13">
        <v>1</v>
      </c>
      <c r="O2734" s="13"/>
      <c r="P2734" s="33" t="str">
        <f t="shared" si="815"/>
        <v>MAIN UNIT</v>
      </c>
      <c r="Q2734" s="13" t="s">
        <v>61</v>
      </c>
      <c r="R2734" s="13" t="s">
        <v>62</v>
      </c>
      <c r="S2734" s="13" t="s">
        <v>49</v>
      </c>
      <c r="T2734" s="13" t="s">
        <v>78</v>
      </c>
      <c r="U2734" s="13" t="s">
        <v>79</v>
      </c>
      <c r="V2734" s="13" t="s">
        <v>311</v>
      </c>
      <c r="W2734" s="13" t="s">
        <v>109</v>
      </c>
      <c r="X2734" s="135">
        <v>6300000</v>
      </c>
      <c r="Y2734" s="157" t="str">
        <f>IF(W2734="RMB","1.13", "1")</f>
        <v>1</v>
      </c>
      <c r="Z2734" s="18">
        <f t="shared" si="814"/>
        <v>6300000</v>
      </c>
      <c r="AA2734" s="13">
        <v>7.6799999999999993E-2</v>
      </c>
      <c r="AB2734" s="21">
        <f t="shared" si="799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1"/>
        <v>45803245.025628321</v>
      </c>
      <c r="AJ2734" s="19">
        <f t="shared" si="802"/>
        <v>5664636.2584379362</v>
      </c>
      <c r="AK2734" s="20">
        <f t="shared" si="808"/>
        <v>0.12367325186825515</v>
      </c>
      <c r="AL2734" s="17"/>
      <c r="AM2734" s="17"/>
      <c r="AN2734" s="17"/>
      <c r="AO2734" s="17"/>
      <c r="AP2734" s="28" t="str">
        <f t="shared" si="809"/>
        <v>20211</v>
      </c>
      <c r="AQ2734" s="28" t="str">
        <f t="shared" si="810"/>
        <v>20211JPY</v>
      </c>
      <c r="AR2734" s="206" t="str">
        <f t="shared" si="811"/>
        <v>YAMAHA_Mounter</v>
      </c>
      <c r="AS2734" s="22">
        <f t="shared" si="812"/>
        <v>3</v>
      </c>
      <c r="AT2734" s="24" t="str">
        <f t="shared" si="813"/>
        <v>0-3 months</v>
      </c>
      <c r="AU2734" s="22" t="s">
        <v>3746</v>
      </c>
    </row>
    <row r="2735" spans="1:47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48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1513</v>
      </c>
      <c r="K2735" s="155" t="s">
        <v>999</v>
      </c>
      <c r="L2735" s="17" t="s">
        <v>67</v>
      </c>
      <c r="M2735" s="13" t="s">
        <v>60</v>
      </c>
      <c r="N2735" s="13">
        <v>1</v>
      </c>
      <c r="O2735" s="13"/>
      <c r="P2735" s="33" t="str">
        <f t="shared" si="815"/>
        <v>MAIN UNIT</v>
      </c>
      <c r="Q2735" s="13" t="s">
        <v>61</v>
      </c>
      <c r="R2735" s="13" t="s">
        <v>62</v>
      </c>
      <c r="S2735" s="13" t="s">
        <v>49</v>
      </c>
      <c r="T2735" s="13" t="s">
        <v>78</v>
      </c>
      <c r="U2735" s="13" t="s">
        <v>79</v>
      </c>
      <c r="V2735" s="13" t="s">
        <v>311</v>
      </c>
      <c r="W2735" s="13" t="s">
        <v>109</v>
      </c>
      <c r="X2735" s="135">
        <v>6300000</v>
      </c>
      <c r="Y2735" s="157" t="str">
        <f>IF(W2735="RMB","1.13", "1")</f>
        <v>1</v>
      </c>
      <c r="Z2735" s="18">
        <f t="shared" si="814"/>
        <v>6300000</v>
      </c>
      <c r="AA2735" s="13">
        <v>7.6799999999999993E-2</v>
      </c>
      <c r="AB2735" s="21">
        <f t="shared" si="799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1"/>
        <v>45803245.025628321</v>
      </c>
      <c r="AJ2735" s="19">
        <f t="shared" si="802"/>
        <v>5664636.2584379362</v>
      </c>
      <c r="AK2735" s="20">
        <f t="shared" si="808"/>
        <v>0.12367325186825515</v>
      </c>
      <c r="AL2735" s="17"/>
      <c r="AM2735" s="17"/>
      <c r="AN2735" s="17"/>
      <c r="AO2735" s="17"/>
      <c r="AP2735" s="28" t="str">
        <f t="shared" si="809"/>
        <v>20211</v>
      </c>
      <c r="AQ2735" s="28" t="str">
        <f t="shared" si="810"/>
        <v>20211JPY</v>
      </c>
      <c r="AR2735" s="206" t="str">
        <f t="shared" si="811"/>
        <v>YAMAHA_Mounter</v>
      </c>
      <c r="AS2735" s="22">
        <f t="shared" si="812"/>
        <v>3</v>
      </c>
      <c r="AT2735" s="24" t="str">
        <f t="shared" si="813"/>
        <v>0-3 months</v>
      </c>
      <c r="AU2735" s="22" t="s">
        <v>3746</v>
      </c>
    </row>
    <row r="2736" spans="1:47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185</v>
      </c>
      <c r="F2736" s="13" t="s">
        <v>185</v>
      </c>
      <c r="G2736" s="152" t="s">
        <v>185</v>
      </c>
      <c r="H2736" s="155"/>
      <c r="I2736" s="33" t="str">
        <f t="shared" si="805"/>
        <v>Cancel</v>
      </c>
      <c r="J2736" s="186" t="s">
        <v>1513</v>
      </c>
      <c r="K2736" s="155" t="s">
        <v>999</v>
      </c>
      <c r="L2736" s="17" t="s">
        <v>67</v>
      </c>
      <c r="M2736" s="13" t="s">
        <v>60</v>
      </c>
      <c r="N2736" s="13">
        <v>1</v>
      </c>
      <c r="O2736" s="13"/>
      <c r="P2736" s="33" t="str">
        <f t="shared" si="815"/>
        <v>MAIN UNIT</v>
      </c>
      <c r="Q2736" s="13" t="s">
        <v>61</v>
      </c>
      <c r="R2736" s="13" t="s">
        <v>62</v>
      </c>
      <c r="S2736" s="13" t="s">
        <v>49</v>
      </c>
      <c r="T2736" s="13" t="s">
        <v>78</v>
      </c>
      <c r="U2736" s="13" t="s">
        <v>79</v>
      </c>
      <c r="V2736" s="13" t="s">
        <v>311</v>
      </c>
      <c r="W2736" s="13" t="s">
        <v>109</v>
      </c>
      <c r="X2736" s="135">
        <v>9526667</v>
      </c>
      <c r="Y2736" s="157" t="str">
        <f>IF(W2736="RMB","1.13", "1")</f>
        <v>1</v>
      </c>
      <c r="Z2736" s="18">
        <f t="shared" si="814"/>
        <v>9526667</v>
      </c>
      <c r="AA2736" s="13">
        <v>5.8700000000000002E-2</v>
      </c>
      <c r="AB2736" s="21">
        <f t="shared" si="799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1"/>
        <v>499582152.5142017</v>
      </c>
      <c r="AJ2736" s="19">
        <f t="shared" si="802"/>
        <v>59520528.679470733</v>
      </c>
      <c r="AK2736" s="20">
        <f t="shared" si="808"/>
        <v>0.11914062257814291</v>
      </c>
      <c r="AL2736" s="17"/>
      <c r="AM2736" s="17"/>
      <c r="AN2736" s="17"/>
      <c r="AO2736" s="17"/>
      <c r="AP2736" s="28" t="str">
        <f t="shared" si="809"/>
        <v>CancelCancel</v>
      </c>
      <c r="AQ2736" s="28" t="str">
        <f t="shared" si="810"/>
        <v>CancelCancelJPY</v>
      </c>
      <c r="AR2736" s="206" t="str">
        <f t="shared" si="811"/>
        <v>YAMAHA_Mounter</v>
      </c>
      <c r="AS2736" s="22" t="str">
        <f t="shared" si="812"/>
        <v/>
      </c>
      <c r="AT2736" s="24" t="str">
        <f t="shared" si="813"/>
        <v/>
      </c>
      <c r="AU2736" s="22" t="s">
        <v>3746</v>
      </c>
    </row>
    <row r="2737" spans="1:47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185</v>
      </c>
      <c r="F2737" s="13" t="s">
        <v>185</v>
      </c>
      <c r="G2737" s="152" t="s">
        <v>185</v>
      </c>
      <c r="H2737" s="155"/>
      <c r="I2737" s="33" t="str">
        <f t="shared" si="805"/>
        <v>Cancel</v>
      </c>
      <c r="J2737" s="186" t="s">
        <v>1513</v>
      </c>
      <c r="K2737" s="155" t="s">
        <v>999</v>
      </c>
      <c r="L2737" s="17" t="s">
        <v>67</v>
      </c>
      <c r="M2737" s="13" t="s">
        <v>60</v>
      </c>
      <c r="N2737" s="13">
        <v>1</v>
      </c>
      <c r="O2737" s="13"/>
      <c r="P2737" s="33" t="str">
        <f t="shared" si="815"/>
        <v>MAIN UNIT</v>
      </c>
      <c r="Q2737" s="13" t="s">
        <v>61</v>
      </c>
      <c r="R2737" s="13" t="s">
        <v>62</v>
      </c>
      <c r="S2737" s="13" t="s">
        <v>49</v>
      </c>
      <c r="T2737" s="13" t="s">
        <v>78</v>
      </c>
      <c r="U2737" s="13" t="s">
        <v>79</v>
      </c>
      <c r="V2737" s="13" t="s">
        <v>311</v>
      </c>
      <c r="W2737" s="13" t="s">
        <v>109</v>
      </c>
      <c r="X2737" s="135">
        <v>9526667</v>
      </c>
      <c r="Y2737" s="157" t="str">
        <f>IF(W2737="RMB","1.13", "1")</f>
        <v>1</v>
      </c>
      <c r="Z2737" s="18">
        <f t="shared" si="814"/>
        <v>9526667</v>
      </c>
      <c r="AA2737" s="13">
        <v>5.8700000000000002E-2</v>
      </c>
      <c r="AB2737" s="21">
        <f t="shared" si="799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1"/>
        <v>499582152.5142017</v>
      </c>
      <c r="AJ2737" s="19">
        <f t="shared" si="802"/>
        <v>59520528.679470733</v>
      </c>
      <c r="AK2737" s="20">
        <f t="shared" si="808"/>
        <v>0.11914062257814291</v>
      </c>
      <c r="AL2737" s="17"/>
      <c r="AM2737" s="17"/>
      <c r="AN2737" s="17"/>
      <c r="AO2737" s="17"/>
      <c r="AP2737" s="28" t="str">
        <f t="shared" si="809"/>
        <v>CancelCancel</v>
      </c>
      <c r="AQ2737" s="28" t="str">
        <f t="shared" si="810"/>
        <v>CancelCancelJPY</v>
      </c>
      <c r="AR2737" s="206" t="str">
        <f t="shared" si="811"/>
        <v>YAMAHA_Mounter</v>
      </c>
      <c r="AS2737" s="22" t="str">
        <f t="shared" si="812"/>
        <v/>
      </c>
      <c r="AT2737" s="24" t="str">
        <f t="shared" si="813"/>
        <v/>
      </c>
      <c r="AU2737" s="22" t="s">
        <v>3746</v>
      </c>
    </row>
    <row r="2738" spans="1:47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185</v>
      </c>
      <c r="F2738" s="13" t="s">
        <v>185</v>
      </c>
      <c r="G2738" s="152" t="s">
        <v>185</v>
      </c>
      <c r="H2738" s="155"/>
      <c r="I2738" s="33" t="str">
        <f t="shared" si="805"/>
        <v>Cancel</v>
      </c>
      <c r="J2738" s="186" t="s">
        <v>1513</v>
      </c>
      <c r="K2738" s="155" t="s">
        <v>999</v>
      </c>
      <c r="L2738" s="17" t="s">
        <v>67</v>
      </c>
      <c r="M2738" s="13" t="s">
        <v>60</v>
      </c>
      <c r="N2738" s="13">
        <v>1</v>
      </c>
      <c r="O2738" s="13"/>
      <c r="P2738" s="33" t="str">
        <f t="shared" si="815"/>
        <v>MAIN UNIT</v>
      </c>
      <c r="Q2738" s="13" t="s">
        <v>61</v>
      </c>
      <c r="R2738" s="13" t="s">
        <v>62</v>
      </c>
      <c r="S2738" s="13" t="s">
        <v>49</v>
      </c>
      <c r="T2738" s="13" t="s">
        <v>78</v>
      </c>
      <c r="U2738" s="13" t="s">
        <v>79</v>
      </c>
      <c r="V2738" s="13" t="s">
        <v>311</v>
      </c>
      <c r="W2738" s="13" t="s">
        <v>109</v>
      </c>
      <c r="X2738" s="135">
        <v>9526667</v>
      </c>
      <c r="Y2738" s="157" t="str">
        <f>IF(W2738="RMB","1.13", "1")</f>
        <v>1</v>
      </c>
      <c r="Z2738" s="18">
        <f t="shared" si="814"/>
        <v>9526667</v>
      </c>
      <c r="AA2738" s="13">
        <v>5.8700000000000002E-2</v>
      </c>
      <c r="AB2738" s="21">
        <f t="shared" si="799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1"/>
        <v>499582152.5142017</v>
      </c>
      <c r="AJ2738" s="19">
        <f t="shared" si="802"/>
        <v>59520528.679470733</v>
      </c>
      <c r="AK2738" s="20">
        <f t="shared" si="808"/>
        <v>0.11914062257814291</v>
      </c>
      <c r="AL2738" s="17"/>
      <c r="AM2738" s="17"/>
      <c r="AN2738" s="17"/>
      <c r="AO2738" s="17"/>
      <c r="AP2738" s="28" t="str">
        <f t="shared" si="809"/>
        <v>CancelCancel</v>
      </c>
      <c r="AQ2738" s="28" t="str">
        <f t="shared" si="810"/>
        <v>CancelCancelJPY</v>
      </c>
      <c r="AR2738" s="206" t="str">
        <f t="shared" si="811"/>
        <v>YAMAHA_Mounter</v>
      </c>
      <c r="AS2738" s="22" t="str">
        <f t="shared" si="812"/>
        <v/>
      </c>
      <c r="AT2738" s="24" t="str">
        <f t="shared" si="813"/>
        <v/>
      </c>
      <c r="AU2738" s="22" t="s">
        <v>3746</v>
      </c>
    </row>
    <row r="2739" spans="1:47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3397</v>
      </c>
      <c r="K2739" s="29" t="s">
        <v>3398</v>
      </c>
      <c r="L2739" s="17" t="s">
        <v>92</v>
      </c>
      <c r="M2739" s="22" t="s">
        <v>60</v>
      </c>
      <c r="N2739" s="22">
        <v>1</v>
      </c>
      <c r="O2739" s="22"/>
      <c r="P2739" s="33" t="str">
        <f t="shared" si="815"/>
        <v>MAIN UNIT</v>
      </c>
      <c r="Q2739" s="13" t="s">
        <v>61</v>
      </c>
      <c r="R2739" s="22" t="s">
        <v>62</v>
      </c>
      <c r="S2739" s="22" t="s">
        <v>49</v>
      </c>
      <c r="T2739" s="22" t="s">
        <v>78</v>
      </c>
      <c r="U2739" s="22" t="s">
        <v>78</v>
      </c>
      <c r="V2739" s="22" t="s">
        <v>112</v>
      </c>
      <c r="W2739" s="22" t="s">
        <v>64</v>
      </c>
      <c r="X2739" s="30">
        <v>837083.3</v>
      </c>
      <c r="Y2739" s="31" t="str">
        <f>IF(W2739="","",IF(W2739="RMB","1.13", "1"))</f>
        <v>1.13</v>
      </c>
      <c r="Z2739" s="18">
        <f t="shared" si="814"/>
        <v>837083.3</v>
      </c>
      <c r="AA2739" s="22">
        <v>1.08</v>
      </c>
      <c r="AB2739" s="21">
        <f t="shared" si="799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1"/>
        <v>25354039.366920356</v>
      </c>
      <c r="AJ2739" s="27">
        <f t="shared" si="802"/>
        <v>3028631.2816309328</v>
      </c>
      <c r="AK2739" s="28">
        <f t="shared" si="808"/>
        <v>0.11945360018579192</v>
      </c>
      <c r="AL2739" s="24"/>
      <c r="AM2739" s="24"/>
      <c r="AN2739" s="24"/>
      <c r="AO2739" s="24"/>
      <c r="AP2739" s="28" t="str">
        <f t="shared" si="809"/>
        <v>20248</v>
      </c>
      <c r="AQ2739" s="28" t="str">
        <f t="shared" si="810"/>
        <v>20248RMB</v>
      </c>
      <c r="AR2739" s="206" t="str">
        <f t="shared" si="811"/>
        <v>YAMAHA_Mounter</v>
      </c>
      <c r="AS2739" s="22">
        <f t="shared" si="812"/>
        <v>4</v>
      </c>
      <c r="AT2739" s="24" t="str">
        <f t="shared" si="813"/>
        <v>4-6 months</v>
      </c>
      <c r="AU2739" s="22" t="s">
        <v>3751</v>
      </c>
    </row>
    <row r="2740" spans="1:47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3397</v>
      </c>
      <c r="K2740" s="29" t="s">
        <v>3398</v>
      </c>
      <c r="L2740" s="17" t="s">
        <v>67</v>
      </c>
      <c r="M2740" s="22" t="s">
        <v>60</v>
      </c>
      <c r="N2740" s="22">
        <v>1</v>
      </c>
      <c r="O2740" s="22"/>
      <c r="P2740" s="33" t="str">
        <f t="shared" si="815"/>
        <v>MAIN UNIT</v>
      </c>
      <c r="Q2740" s="13" t="s">
        <v>61</v>
      </c>
      <c r="R2740" s="22" t="s">
        <v>62</v>
      </c>
      <c r="S2740" s="22" t="s">
        <v>49</v>
      </c>
      <c r="T2740" s="22" t="s">
        <v>78</v>
      </c>
      <c r="U2740" s="22" t="s">
        <v>78</v>
      </c>
      <c r="V2740" s="22" t="s">
        <v>112</v>
      </c>
      <c r="W2740" s="22" t="s">
        <v>64</v>
      </c>
      <c r="X2740" s="30">
        <v>358750</v>
      </c>
      <c r="Y2740" s="31" t="str">
        <f>IF(W2740="","",IF(W2740="RMB","1.13", "1"))</f>
        <v>1.13</v>
      </c>
      <c r="Z2740" s="18">
        <f t="shared" si="814"/>
        <v>358750</v>
      </c>
      <c r="AA2740" s="22">
        <v>1.08</v>
      </c>
      <c r="AB2740" s="21">
        <f t="shared" si="799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1"/>
        <v>25354039.366920356</v>
      </c>
      <c r="AJ2740" s="27">
        <f t="shared" si="802"/>
        <v>3028631.2816309328</v>
      </c>
      <c r="AK2740" s="28">
        <f t="shared" si="808"/>
        <v>0.11945360018579192</v>
      </c>
      <c r="AL2740" s="24"/>
      <c r="AM2740" s="24"/>
      <c r="AN2740" s="24"/>
      <c r="AO2740" s="24"/>
      <c r="AP2740" s="28" t="str">
        <f t="shared" si="809"/>
        <v>20248</v>
      </c>
      <c r="AQ2740" s="28" t="str">
        <f t="shared" si="810"/>
        <v>20248RMB</v>
      </c>
      <c r="AR2740" s="206" t="str">
        <f t="shared" si="811"/>
        <v>YAMAHA_Mounter</v>
      </c>
      <c r="AS2740" s="22">
        <f t="shared" si="812"/>
        <v>4</v>
      </c>
      <c r="AT2740" s="24" t="str">
        <f t="shared" si="813"/>
        <v>4-6 months</v>
      </c>
      <c r="AU2740" s="22" t="s">
        <v>3751</v>
      </c>
    </row>
    <row r="2741" spans="1:47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3393</v>
      </c>
      <c r="K2741" s="29" t="s">
        <v>799</v>
      </c>
      <c r="L2741" s="17" t="s">
        <v>67</v>
      </c>
      <c r="M2741" s="22" t="s">
        <v>60</v>
      </c>
      <c r="N2741" s="22">
        <v>1</v>
      </c>
      <c r="O2741" s="22"/>
      <c r="P2741" s="33" t="str">
        <f t="shared" si="815"/>
        <v>MAIN UNIT</v>
      </c>
      <c r="Q2741" s="13" t="s">
        <v>61</v>
      </c>
      <c r="R2741" s="22" t="s">
        <v>62</v>
      </c>
      <c r="S2741" s="22" t="s">
        <v>50</v>
      </c>
      <c r="T2741" s="22" t="s">
        <v>101</v>
      </c>
      <c r="U2741" s="22" t="s">
        <v>70</v>
      </c>
      <c r="V2741" s="22" t="s">
        <v>1010</v>
      </c>
      <c r="W2741" s="22" t="s">
        <v>64</v>
      </c>
      <c r="X2741" s="30">
        <v>460000</v>
      </c>
      <c r="Y2741" s="31" t="str">
        <f>IF(W2741="","",IF(W2741="RMB","1.13", "1"))</f>
        <v>1.13</v>
      </c>
      <c r="Z2741" s="18">
        <f t="shared" si="814"/>
        <v>460000</v>
      </c>
      <c r="AA2741" s="22">
        <v>1.08</v>
      </c>
      <c r="AB2741" s="21">
        <f t="shared" si="799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1"/>
        <v>25354039.366920356</v>
      </c>
      <c r="AJ2741" s="27">
        <f t="shared" si="802"/>
        <v>3028631.2816309328</v>
      </c>
      <c r="AK2741" s="28">
        <f t="shared" si="808"/>
        <v>0.11945360018579192</v>
      </c>
      <c r="AL2741" s="24"/>
      <c r="AM2741" s="24"/>
      <c r="AN2741" s="24"/>
      <c r="AO2741" s="24"/>
      <c r="AP2741" s="28" t="str">
        <f t="shared" si="809"/>
        <v>20248</v>
      </c>
      <c r="AQ2741" s="28" t="str">
        <f t="shared" si="810"/>
        <v>20248RMB</v>
      </c>
      <c r="AR2741" s="206" t="str">
        <f t="shared" si="811"/>
        <v>YAMAHA_Mounter</v>
      </c>
      <c r="AS2741" s="22">
        <f t="shared" si="812"/>
        <v>4</v>
      </c>
      <c r="AT2741" s="24" t="str">
        <f t="shared" si="813"/>
        <v>4-6 months</v>
      </c>
      <c r="AU2741" s="22" t="s">
        <v>3240</v>
      </c>
    </row>
    <row r="2742" spans="1:47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48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1338</v>
      </c>
      <c r="K2742" s="155" t="s">
        <v>1339</v>
      </c>
      <c r="L2742" s="17" t="s">
        <v>92</v>
      </c>
      <c r="M2742" s="13" t="s">
        <v>60</v>
      </c>
      <c r="N2742" s="13">
        <v>1</v>
      </c>
      <c r="O2742" s="13"/>
      <c r="P2742" s="33" t="str">
        <f t="shared" si="815"/>
        <v>MAIN UNIT</v>
      </c>
      <c r="Q2742" s="13" t="s">
        <v>61</v>
      </c>
      <c r="R2742" s="13" t="s">
        <v>62</v>
      </c>
      <c r="S2742" s="13" t="s">
        <v>49</v>
      </c>
      <c r="T2742" s="13" t="s">
        <v>78</v>
      </c>
      <c r="U2742" s="13" t="s">
        <v>79</v>
      </c>
      <c r="V2742" s="13" t="s">
        <v>1340</v>
      </c>
      <c r="W2742" s="13" t="s">
        <v>1341</v>
      </c>
      <c r="X2742" s="135">
        <v>15655000</v>
      </c>
      <c r="Y2742" s="157" t="str">
        <f>IF(W2742="RMB","1.13", "1")</f>
        <v>1</v>
      </c>
      <c r="Z2742" s="18">
        <f t="shared" si="814"/>
        <v>15655000</v>
      </c>
      <c r="AA2742" s="13">
        <v>7.4899999999999994E-2</v>
      </c>
      <c r="AB2742" s="21">
        <f t="shared" si="799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1"/>
        <v>28011162.254106201</v>
      </c>
      <c r="AJ2742" s="19">
        <f t="shared" si="802"/>
        <v>3401347.1124888416</v>
      </c>
      <c r="AK2742" s="20">
        <f t="shared" si="808"/>
        <v>0.12142827497242578</v>
      </c>
      <c r="AL2742" s="17"/>
      <c r="AM2742" s="17"/>
      <c r="AN2742" s="17"/>
      <c r="AO2742" s="17"/>
      <c r="AP2742" s="28" t="str">
        <f t="shared" si="809"/>
        <v>202010</v>
      </c>
      <c r="AQ2742" s="28" t="str">
        <f t="shared" si="810"/>
        <v>202010JPY</v>
      </c>
      <c r="AR2742" s="206" t="str">
        <f t="shared" si="811"/>
        <v>YAMAHA_Mounter</v>
      </c>
      <c r="AS2742" s="22">
        <f t="shared" si="812"/>
        <v>2</v>
      </c>
      <c r="AT2742" s="24" t="str">
        <f t="shared" si="813"/>
        <v>0-3 months</v>
      </c>
      <c r="AU2742" s="22" t="s">
        <v>3745</v>
      </c>
    </row>
    <row r="2743" spans="1:47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48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1338</v>
      </c>
      <c r="K2743" s="155" t="s">
        <v>1339</v>
      </c>
      <c r="L2743" s="17" t="s">
        <v>92</v>
      </c>
      <c r="M2743" s="13" t="s">
        <v>60</v>
      </c>
      <c r="N2743" s="13">
        <v>1</v>
      </c>
      <c r="O2743" s="13"/>
      <c r="P2743" s="33" t="str">
        <f t="shared" si="815"/>
        <v>MAIN UNIT</v>
      </c>
      <c r="Q2743" s="13" t="s">
        <v>61</v>
      </c>
      <c r="R2743" s="13" t="s">
        <v>62</v>
      </c>
      <c r="S2743" s="13" t="s">
        <v>49</v>
      </c>
      <c r="T2743" s="13" t="s">
        <v>78</v>
      </c>
      <c r="U2743" s="13" t="s">
        <v>263</v>
      </c>
      <c r="V2743" s="13" t="s">
        <v>1340</v>
      </c>
      <c r="W2743" s="13" t="s">
        <v>109</v>
      </c>
      <c r="X2743" s="135">
        <v>15655000</v>
      </c>
      <c r="Y2743" s="157" t="str">
        <f>IF(W2743="RMB","1.13", "1")</f>
        <v>1</v>
      </c>
      <c r="Z2743" s="18">
        <f t="shared" si="814"/>
        <v>15655000</v>
      </c>
      <c r="AA2743" s="13">
        <v>7.4899999999999994E-2</v>
      </c>
      <c r="AB2743" s="21">
        <f t="shared" si="799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1"/>
        <v>28011162.254106201</v>
      </c>
      <c r="AJ2743" s="19">
        <f t="shared" si="802"/>
        <v>3401347.1124888416</v>
      </c>
      <c r="AK2743" s="20">
        <f t="shared" si="808"/>
        <v>0.12142827497242578</v>
      </c>
      <c r="AL2743" s="17"/>
      <c r="AM2743" s="17"/>
      <c r="AN2743" s="17"/>
      <c r="AO2743" s="17"/>
      <c r="AP2743" s="28" t="str">
        <f t="shared" si="809"/>
        <v>202010</v>
      </c>
      <c r="AQ2743" s="28" t="str">
        <f t="shared" si="810"/>
        <v>202010JPY</v>
      </c>
      <c r="AR2743" s="206" t="str">
        <f t="shared" si="811"/>
        <v>YAMAHA_Mounter</v>
      </c>
      <c r="AS2743" s="22">
        <f t="shared" si="812"/>
        <v>2</v>
      </c>
      <c r="AT2743" s="24" t="str">
        <f t="shared" si="813"/>
        <v>0-3 months</v>
      </c>
      <c r="AU2743" s="22" t="s">
        <v>3745</v>
      </c>
    </row>
    <row r="2744" spans="1:47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48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1338</v>
      </c>
      <c r="K2744" s="155" t="s">
        <v>1339</v>
      </c>
      <c r="L2744" s="17" t="s">
        <v>67</v>
      </c>
      <c r="M2744" s="13" t="s">
        <v>60</v>
      </c>
      <c r="N2744" s="13">
        <v>1</v>
      </c>
      <c r="O2744" s="13"/>
      <c r="P2744" s="33" t="str">
        <f t="shared" si="815"/>
        <v>MAIN UNIT</v>
      </c>
      <c r="Q2744" s="13" t="s">
        <v>61</v>
      </c>
      <c r="R2744" s="13" t="s">
        <v>62</v>
      </c>
      <c r="S2744" s="13" t="s">
        <v>49</v>
      </c>
      <c r="T2744" s="13" t="s">
        <v>78</v>
      </c>
      <c r="U2744" s="13" t="s">
        <v>263</v>
      </c>
      <c r="V2744" s="13" t="s">
        <v>1340</v>
      </c>
      <c r="W2744" s="13" t="s">
        <v>109</v>
      </c>
      <c r="X2744" s="135">
        <v>7827500</v>
      </c>
      <c r="Y2744" s="157" t="str">
        <f>IF(W2744="RMB","1.13", "1")</f>
        <v>1</v>
      </c>
      <c r="Z2744" s="18">
        <f t="shared" si="814"/>
        <v>7827500</v>
      </c>
      <c r="AA2744" s="13">
        <v>7.4899999999999994E-2</v>
      </c>
      <c r="AB2744" s="21">
        <f t="shared" si="799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1"/>
        <v>28011162.254106201</v>
      </c>
      <c r="AJ2744" s="19">
        <f t="shared" si="802"/>
        <v>3401347.1124888416</v>
      </c>
      <c r="AK2744" s="20">
        <f t="shared" si="808"/>
        <v>0.12142827497242578</v>
      </c>
      <c r="AL2744" s="17"/>
      <c r="AM2744" s="17"/>
      <c r="AN2744" s="17"/>
      <c r="AO2744" s="17"/>
      <c r="AP2744" s="28" t="str">
        <f t="shared" si="809"/>
        <v>202010</v>
      </c>
      <c r="AQ2744" s="28" t="str">
        <f t="shared" si="810"/>
        <v>202010JPY</v>
      </c>
      <c r="AR2744" s="206" t="str">
        <f t="shared" si="811"/>
        <v>YAMAHA_Mounter</v>
      </c>
      <c r="AS2744" s="22">
        <f t="shared" si="812"/>
        <v>2</v>
      </c>
      <c r="AT2744" s="24" t="str">
        <f t="shared" si="813"/>
        <v>0-3 months</v>
      </c>
      <c r="AU2744" s="22" t="s">
        <v>3745</v>
      </c>
    </row>
    <row r="2745" spans="1:47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48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1338</v>
      </c>
      <c r="K2745" s="155" t="s">
        <v>1339</v>
      </c>
      <c r="L2745" s="17" t="s">
        <v>67</v>
      </c>
      <c r="M2745" s="13" t="s">
        <v>60</v>
      </c>
      <c r="N2745" s="13">
        <v>1</v>
      </c>
      <c r="O2745" s="13"/>
      <c r="P2745" s="33" t="str">
        <f t="shared" si="815"/>
        <v>MAIN UNIT</v>
      </c>
      <c r="Q2745" s="13" t="s">
        <v>68</v>
      </c>
      <c r="R2745" s="13" t="s">
        <v>62</v>
      </c>
      <c r="S2745" s="13" t="s">
        <v>49</v>
      </c>
      <c r="T2745" s="13" t="s">
        <v>78</v>
      </c>
      <c r="U2745" s="13" t="s">
        <v>263</v>
      </c>
      <c r="V2745" s="13" t="s">
        <v>1340</v>
      </c>
      <c r="W2745" s="13" t="s">
        <v>109</v>
      </c>
      <c r="X2745" s="135">
        <v>7827500</v>
      </c>
      <c r="Y2745" s="156">
        <v>1</v>
      </c>
      <c r="Z2745" s="18">
        <f t="shared" si="814"/>
        <v>7827500</v>
      </c>
      <c r="AA2745" s="13">
        <v>7.4899999999999994E-2</v>
      </c>
      <c r="AB2745" s="21">
        <f t="shared" si="799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1"/>
        <v>47907808.356810622</v>
      </c>
      <c r="AJ2745" s="19">
        <f t="shared" si="802"/>
        <v>6027384.8806384448</v>
      </c>
      <c r="AK2745" s="20">
        <f t="shared" si="808"/>
        <v>0.12581216063459488</v>
      </c>
      <c r="AL2745" s="17"/>
      <c r="AM2745" s="17"/>
      <c r="AN2745" s="17"/>
      <c r="AO2745" s="17"/>
      <c r="AP2745" s="28" t="str">
        <f t="shared" si="809"/>
        <v>20209</v>
      </c>
      <c r="AQ2745" s="28" t="str">
        <f t="shared" si="810"/>
        <v>20209JPY</v>
      </c>
      <c r="AR2745" s="206" t="str">
        <f t="shared" si="811"/>
        <v>YAMAHA_Mounter</v>
      </c>
      <c r="AS2745" s="22">
        <f t="shared" si="812"/>
        <v>1</v>
      </c>
      <c r="AT2745" s="24" t="str">
        <f t="shared" si="813"/>
        <v>0-3 months</v>
      </c>
      <c r="AU2745" s="22" t="s">
        <v>3745</v>
      </c>
    </row>
    <row r="2746" spans="1:47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48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1338</v>
      </c>
      <c r="K2746" s="155" t="s">
        <v>1339</v>
      </c>
      <c r="L2746" s="17" t="s">
        <v>67</v>
      </c>
      <c r="M2746" s="13" t="s">
        <v>60</v>
      </c>
      <c r="N2746" s="13">
        <v>1</v>
      </c>
      <c r="O2746" s="13"/>
      <c r="P2746" s="33" t="str">
        <f t="shared" si="815"/>
        <v>MAIN UNIT</v>
      </c>
      <c r="Q2746" s="13" t="s">
        <v>68</v>
      </c>
      <c r="R2746" s="13" t="s">
        <v>62</v>
      </c>
      <c r="S2746" s="13" t="s">
        <v>49</v>
      </c>
      <c r="T2746" s="13" t="s">
        <v>78</v>
      </c>
      <c r="U2746" s="13" t="s">
        <v>263</v>
      </c>
      <c r="V2746" s="13" t="s">
        <v>1340</v>
      </c>
      <c r="W2746" s="13" t="s">
        <v>109</v>
      </c>
      <c r="X2746" s="135">
        <v>7827500</v>
      </c>
      <c r="Y2746" s="156">
        <v>1</v>
      </c>
      <c r="Z2746" s="18">
        <f t="shared" si="814"/>
        <v>7827500</v>
      </c>
      <c r="AA2746" s="13">
        <v>7.4899999999999994E-2</v>
      </c>
      <c r="AB2746" s="21">
        <f t="shared" si="799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1"/>
        <v>47907808.356810622</v>
      </c>
      <c r="AJ2746" s="19">
        <f t="shared" si="802"/>
        <v>6027384.8806384448</v>
      </c>
      <c r="AK2746" s="20">
        <f t="shared" si="808"/>
        <v>0.12581216063459488</v>
      </c>
      <c r="AL2746" s="17"/>
      <c r="AM2746" s="17"/>
      <c r="AN2746" s="17"/>
      <c r="AO2746" s="17"/>
      <c r="AP2746" s="28" t="str">
        <f t="shared" si="809"/>
        <v>20209</v>
      </c>
      <c r="AQ2746" s="28" t="str">
        <f t="shared" si="810"/>
        <v>20209JPY</v>
      </c>
      <c r="AR2746" s="206" t="str">
        <f t="shared" si="811"/>
        <v>YAMAHA_Mounter</v>
      </c>
      <c r="AS2746" s="22">
        <f t="shared" si="812"/>
        <v>1</v>
      </c>
      <c r="AT2746" s="24" t="str">
        <f t="shared" si="813"/>
        <v>0-3 months</v>
      </c>
      <c r="AU2746" s="22" t="s">
        <v>3745</v>
      </c>
    </row>
    <row r="2747" spans="1:47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48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1338</v>
      </c>
      <c r="K2747" s="155" t="s">
        <v>1339</v>
      </c>
      <c r="L2747" s="17" t="s">
        <v>67</v>
      </c>
      <c r="M2747" s="13" t="s">
        <v>60</v>
      </c>
      <c r="N2747" s="13">
        <v>1</v>
      </c>
      <c r="O2747" s="13"/>
      <c r="P2747" s="33" t="str">
        <f t="shared" si="815"/>
        <v>MAIN UNIT</v>
      </c>
      <c r="Q2747" s="13" t="s">
        <v>68</v>
      </c>
      <c r="R2747" s="13" t="s">
        <v>62</v>
      </c>
      <c r="S2747" s="13" t="s">
        <v>49</v>
      </c>
      <c r="T2747" s="13" t="s">
        <v>78</v>
      </c>
      <c r="U2747" s="13" t="s">
        <v>263</v>
      </c>
      <c r="V2747" s="13" t="s">
        <v>1340</v>
      </c>
      <c r="W2747" s="13" t="s">
        <v>109</v>
      </c>
      <c r="X2747" s="135">
        <v>7827500</v>
      </c>
      <c r="Y2747" s="156">
        <v>1</v>
      </c>
      <c r="Z2747" s="18">
        <f t="shared" si="814"/>
        <v>7827500</v>
      </c>
      <c r="AA2747" s="13">
        <v>7.4899999999999994E-2</v>
      </c>
      <c r="AB2747" s="21">
        <f t="shared" si="799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1"/>
        <v>47907808.356810622</v>
      </c>
      <c r="AJ2747" s="19">
        <f t="shared" si="802"/>
        <v>6027384.8806384448</v>
      </c>
      <c r="AK2747" s="20">
        <f t="shared" si="808"/>
        <v>0.12581216063459488</v>
      </c>
      <c r="AL2747" s="17"/>
      <c r="AM2747" s="17"/>
      <c r="AN2747" s="17"/>
      <c r="AO2747" s="17"/>
      <c r="AP2747" s="28" t="str">
        <f t="shared" si="809"/>
        <v>20209</v>
      </c>
      <c r="AQ2747" s="28" t="str">
        <f t="shared" si="810"/>
        <v>20209JPY</v>
      </c>
      <c r="AR2747" s="206" t="str">
        <f t="shared" si="811"/>
        <v>YAMAHA_Mounter</v>
      </c>
      <c r="AS2747" s="22">
        <f t="shared" si="812"/>
        <v>1</v>
      </c>
      <c r="AT2747" s="24" t="str">
        <f t="shared" si="813"/>
        <v>0-3 months</v>
      </c>
      <c r="AU2747" s="22" t="s">
        <v>3745</v>
      </c>
    </row>
    <row r="2748" spans="1:47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3413</v>
      </c>
      <c r="K2748" s="29" t="s">
        <v>1448</v>
      </c>
      <c r="L2748" s="17" t="s">
        <v>67</v>
      </c>
      <c r="M2748" s="22" t="s">
        <v>60</v>
      </c>
      <c r="N2748" s="22">
        <v>1</v>
      </c>
      <c r="O2748" s="22"/>
      <c r="P2748" s="33" t="str">
        <f t="shared" si="815"/>
        <v>MAIN UNIT</v>
      </c>
      <c r="Q2748" s="13" t="s">
        <v>61</v>
      </c>
      <c r="R2748" s="22" t="s">
        <v>62</v>
      </c>
      <c r="S2748" s="22" t="s">
        <v>50</v>
      </c>
      <c r="T2748" s="22" t="s">
        <v>2374</v>
      </c>
      <c r="U2748" s="22" t="s">
        <v>70</v>
      </c>
      <c r="V2748" s="22" t="s">
        <v>2123</v>
      </c>
      <c r="W2748" s="22" t="s">
        <v>109</v>
      </c>
      <c r="X2748" s="30">
        <v>7923395</v>
      </c>
      <c r="Y2748" s="31" t="str">
        <f>IF(W2748="","",IF(W2748="RMB","1.13", "1"))</f>
        <v>1</v>
      </c>
      <c r="Z2748" s="18">
        <f t="shared" si="814"/>
        <v>7923395</v>
      </c>
      <c r="AA2748" s="22">
        <v>5.2299999999999999E-2</v>
      </c>
      <c r="AB2748" s="21">
        <f t="shared" ref="AB2748:AB2811" si="817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1"/>
        <v>25354039.366920356</v>
      </c>
      <c r="AJ2748" s="27">
        <f t="shared" si="802"/>
        <v>3028631.2816309328</v>
      </c>
      <c r="AK2748" s="28">
        <f t="shared" si="808"/>
        <v>0.11945360018579192</v>
      </c>
      <c r="AL2748" s="24"/>
      <c r="AM2748" s="24"/>
      <c r="AN2748" s="24"/>
      <c r="AO2748" s="24"/>
      <c r="AP2748" s="28" t="str">
        <f t="shared" si="809"/>
        <v>20248</v>
      </c>
      <c r="AQ2748" s="28" t="str">
        <f t="shared" si="810"/>
        <v>20248JPY</v>
      </c>
      <c r="AR2748" s="206" t="str">
        <f t="shared" si="811"/>
        <v>YAMAHA_Mounter</v>
      </c>
      <c r="AS2748" s="22">
        <f t="shared" si="812"/>
        <v>4</v>
      </c>
      <c r="AT2748" s="24" t="str">
        <f t="shared" si="813"/>
        <v>4-6 months</v>
      </c>
      <c r="AU2748" s="22" t="s">
        <v>3240</v>
      </c>
    </row>
    <row r="2749" spans="1:47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3413</v>
      </c>
      <c r="K2749" s="29" t="s">
        <v>1448</v>
      </c>
      <c r="L2749" s="17" t="s">
        <v>67</v>
      </c>
      <c r="M2749" s="22" t="s">
        <v>60</v>
      </c>
      <c r="N2749" s="22">
        <v>1</v>
      </c>
      <c r="O2749" s="22"/>
      <c r="P2749" s="33" t="str">
        <f t="shared" si="815"/>
        <v>MAIN UNIT</v>
      </c>
      <c r="Q2749" s="13" t="s">
        <v>61</v>
      </c>
      <c r="R2749" s="22" t="s">
        <v>62</v>
      </c>
      <c r="S2749" s="22" t="s">
        <v>50</v>
      </c>
      <c r="T2749" s="22" t="s">
        <v>2374</v>
      </c>
      <c r="U2749" s="22" t="s">
        <v>70</v>
      </c>
      <c r="V2749" s="22" t="s">
        <v>2123</v>
      </c>
      <c r="W2749" s="22" t="s">
        <v>109</v>
      </c>
      <c r="X2749" s="30">
        <v>7923395</v>
      </c>
      <c r="Y2749" s="31" t="str">
        <f>IF(W2749="","",IF(W2749="RMB","1.13", "1"))</f>
        <v>1</v>
      </c>
      <c r="Z2749" s="18">
        <f t="shared" si="814"/>
        <v>7923395</v>
      </c>
      <c r="AA2749" s="22">
        <v>5.2299999999999999E-2</v>
      </c>
      <c r="AB2749" s="21">
        <f t="shared" si="817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1"/>
        <v>25354039.366920356</v>
      </c>
      <c r="AJ2749" s="27">
        <f t="shared" si="802"/>
        <v>3028631.2816309328</v>
      </c>
      <c r="AK2749" s="28">
        <f t="shared" si="808"/>
        <v>0.11945360018579192</v>
      </c>
      <c r="AL2749" s="24"/>
      <c r="AM2749" s="24"/>
      <c r="AN2749" s="24"/>
      <c r="AO2749" s="24"/>
      <c r="AP2749" s="28" t="str">
        <f t="shared" si="809"/>
        <v>20248</v>
      </c>
      <c r="AQ2749" s="28" t="str">
        <f t="shared" si="810"/>
        <v>20248JPY</v>
      </c>
      <c r="AR2749" s="206" t="str">
        <f t="shared" si="811"/>
        <v>YAMAHA_Mounter</v>
      </c>
      <c r="AS2749" s="22">
        <f t="shared" si="812"/>
        <v>4</v>
      </c>
      <c r="AT2749" s="24" t="str">
        <f t="shared" si="813"/>
        <v>4-6 months</v>
      </c>
      <c r="AU2749" s="22" t="s">
        <v>3240</v>
      </c>
    </row>
    <row r="2750" spans="1:47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3413</v>
      </c>
      <c r="K2750" s="29" t="s">
        <v>1448</v>
      </c>
      <c r="L2750" s="17" t="s">
        <v>67</v>
      </c>
      <c r="M2750" s="22" t="s">
        <v>60</v>
      </c>
      <c r="N2750" s="22">
        <v>1</v>
      </c>
      <c r="O2750" s="22"/>
      <c r="P2750" s="33" t="str">
        <f t="shared" si="815"/>
        <v>MAIN UNIT</v>
      </c>
      <c r="Q2750" s="13" t="s">
        <v>61</v>
      </c>
      <c r="R2750" s="22" t="s">
        <v>62</v>
      </c>
      <c r="S2750" s="22" t="s">
        <v>50</v>
      </c>
      <c r="T2750" s="22" t="s">
        <v>2374</v>
      </c>
      <c r="U2750" s="22" t="s">
        <v>70</v>
      </c>
      <c r="V2750" s="22" t="s">
        <v>2123</v>
      </c>
      <c r="W2750" s="22" t="s">
        <v>109</v>
      </c>
      <c r="X2750" s="30">
        <v>7923395</v>
      </c>
      <c r="Y2750" s="31" t="str">
        <f>IF(W2750="","",IF(W2750="RMB","1.13", "1"))</f>
        <v>1</v>
      </c>
      <c r="Z2750" s="18">
        <f t="shared" si="814"/>
        <v>7923395</v>
      </c>
      <c r="AA2750" s="22">
        <v>5.2299999999999999E-2</v>
      </c>
      <c r="AB2750" s="21">
        <f t="shared" si="817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1"/>
        <v>25354039.366920356</v>
      </c>
      <c r="AJ2750" s="27">
        <f t="shared" si="802"/>
        <v>3028631.2816309328</v>
      </c>
      <c r="AK2750" s="28">
        <f t="shared" si="808"/>
        <v>0.11945360018579192</v>
      </c>
      <c r="AL2750" s="24"/>
      <c r="AM2750" s="24"/>
      <c r="AN2750" s="24"/>
      <c r="AO2750" s="24"/>
      <c r="AP2750" s="28" t="str">
        <f t="shared" si="809"/>
        <v>20248</v>
      </c>
      <c r="AQ2750" s="28" t="str">
        <f t="shared" si="810"/>
        <v>20248JPY</v>
      </c>
      <c r="AR2750" s="206" t="str">
        <f t="shared" si="811"/>
        <v>YAMAHA_Mounter</v>
      </c>
      <c r="AS2750" s="22">
        <f t="shared" si="812"/>
        <v>4</v>
      </c>
      <c r="AT2750" s="24" t="str">
        <f t="shared" si="813"/>
        <v>4-6 months</v>
      </c>
      <c r="AU2750" s="22" t="s">
        <v>3240</v>
      </c>
    </row>
    <row r="2751" spans="1:47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3413</v>
      </c>
      <c r="K2751" s="29" t="s">
        <v>1448</v>
      </c>
      <c r="L2751" s="17" t="s">
        <v>67</v>
      </c>
      <c r="M2751" s="22" t="s">
        <v>60</v>
      </c>
      <c r="N2751" s="22">
        <v>1</v>
      </c>
      <c r="O2751" s="22"/>
      <c r="P2751" s="33" t="str">
        <f t="shared" si="815"/>
        <v>MAIN UNIT</v>
      </c>
      <c r="Q2751" s="13" t="s">
        <v>61</v>
      </c>
      <c r="R2751" s="22" t="s">
        <v>62</v>
      </c>
      <c r="S2751" s="22" t="s">
        <v>50</v>
      </c>
      <c r="T2751" s="22" t="s">
        <v>2374</v>
      </c>
      <c r="U2751" s="22" t="s">
        <v>70</v>
      </c>
      <c r="V2751" s="22" t="s">
        <v>2123</v>
      </c>
      <c r="W2751" s="22" t="s">
        <v>109</v>
      </c>
      <c r="X2751" s="30">
        <v>7923395</v>
      </c>
      <c r="Y2751" s="31" t="str">
        <f>IF(W2751="","",IF(W2751="RMB","1.13", "1"))</f>
        <v>1</v>
      </c>
      <c r="Z2751" s="18">
        <f t="shared" si="814"/>
        <v>7923395</v>
      </c>
      <c r="AA2751" s="22">
        <v>5.2299999999999999E-2</v>
      </c>
      <c r="AB2751" s="21">
        <f t="shared" si="817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1"/>
        <v>25354039.366920356</v>
      </c>
      <c r="AJ2751" s="27">
        <f t="shared" si="802"/>
        <v>3028631.2816309328</v>
      </c>
      <c r="AK2751" s="28">
        <f t="shared" si="808"/>
        <v>0.11945360018579192</v>
      </c>
      <c r="AL2751" s="24"/>
      <c r="AM2751" s="24"/>
      <c r="AN2751" s="24"/>
      <c r="AO2751" s="24"/>
      <c r="AP2751" s="28" t="str">
        <f t="shared" si="809"/>
        <v>20248</v>
      </c>
      <c r="AQ2751" s="28" t="str">
        <f t="shared" si="810"/>
        <v>20248JPY</v>
      </c>
      <c r="AR2751" s="206" t="str">
        <f t="shared" si="811"/>
        <v>YAMAHA_Mounter</v>
      </c>
      <c r="AS2751" s="22">
        <f t="shared" si="812"/>
        <v>4</v>
      </c>
      <c r="AT2751" s="24" t="str">
        <f t="shared" si="813"/>
        <v>4-6 months</v>
      </c>
      <c r="AU2751" s="22" t="s">
        <v>3240</v>
      </c>
    </row>
    <row r="2752" spans="1:47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48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1287</v>
      </c>
      <c r="K2752" s="155" t="s">
        <v>1288</v>
      </c>
      <c r="L2752" s="17" t="s">
        <v>92</v>
      </c>
      <c r="M2752" s="13" t="s">
        <v>60</v>
      </c>
      <c r="N2752" s="13">
        <v>1</v>
      </c>
      <c r="O2752" s="13"/>
      <c r="P2752" s="33" t="str">
        <f t="shared" si="815"/>
        <v>MAIN UNIT</v>
      </c>
      <c r="Q2752" s="13" t="s">
        <v>61</v>
      </c>
      <c r="R2752" s="13" t="s">
        <v>62</v>
      </c>
      <c r="S2752" s="13" t="s">
        <v>50</v>
      </c>
      <c r="T2752" s="13" t="s">
        <v>212</v>
      </c>
      <c r="U2752" s="13" t="s">
        <v>213</v>
      </c>
      <c r="V2752" s="13" t="s">
        <v>214</v>
      </c>
      <c r="W2752" s="13" t="s">
        <v>64</v>
      </c>
      <c r="X2752" s="135">
        <v>1100000</v>
      </c>
      <c r="Y2752" s="156">
        <v>1.1299999999999999</v>
      </c>
      <c r="Z2752" s="18">
        <f t="shared" si="814"/>
        <v>1100000</v>
      </c>
      <c r="AA2752" s="13">
        <v>1.095</v>
      </c>
      <c r="AB2752" s="21">
        <f t="shared" si="817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1"/>
        <v>28065694.408805311</v>
      </c>
      <c r="AJ2752" s="19">
        <f t="shared" si="802"/>
        <v>4157433.2906989697</v>
      </c>
      <c r="AK2752" s="20">
        <f t="shared" si="808"/>
        <v>0.14813220831602228</v>
      </c>
      <c r="AL2752" s="17"/>
      <c r="AM2752" s="17"/>
      <c r="AN2752" s="17"/>
      <c r="AO2752" s="17"/>
      <c r="AP2752" s="28" t="str">
        <f t="shared" si="809"/>
        <v>20205</v>
      </c>
      <c r="AQ2752" s="28" t="str">
        <f t="shared" si="810"/>
        <v>20205RMB</v>
      </c>
      <c r="AR2752" s="206" t="str">
        <f t="shared" si="811"/>
        <v>YAMAHA_Mounter</v>
      </c>
      <c r="AS2752" s="22">
        <f t="shared" si="812"/>
        <v>1</v>
      </c>
      <c r="AT2752" s="24" t="str">
        <f t="shared" si="813"/>
        <v>0-3 months</v>
      </c>
      <c r="AU2752" s="22" t="s">
        <v>3240</v>
      </c>
    </row>
    <row r="2753" spans="1:47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54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2015</v>
      </c>
      <c r="K2753" s="155" t="s">
        <v>1288</v>
      </c>
      <c r="L2753" s="17" t="s">
        <v>67</v>
      </c>
      <c r="M2753" s="13" t="s">
        <v>60</v>
      </c>
      <c r="N2753" s="13">
        <v>1</v>
      </c>
      <c r="O2753" s="13"/>
      <c r="P2753" s="33" t="str">
        <f t="shared" si="815"/>
        <v>MAIN UNIT</v>
      </c>
      <c r="Q2753" s="13" t="s">
        <v>61</v>
      </c>
      <c r="R2753" s="13" t="s">
        <v>62</v>
      </c>
      <c r="S2753" s="13" t="s">
        <v>50</v>
      </c>
      <c r="T2753" s="13" t="s">
        <v>212</v>
      </c>
      <c r="U2753" s="13" t="s">
        <v>213</v>
      </c>
      <c r="V2753" s="13" t="s">
        <v>214</v>
      </c>
      <c r="W2753" s="13" t="s">
        <v>64</v>
      </c>
      <c r="X2753" s="135">
        <v>623000</v>
      </c>
      <c r="Y2753" s="157" t="str">
        <f>IF(W2753="RMB","1.13", "1")</f>
        <v>1.13</v>
      </c>
      <c r="Z2753" s="18">
        <f t="shared" si="814"/>
        <v>623000</v>
      </c>
      <c r="AA2753" s="13">
        <v>1.1950000000000001</v>
      </c>
      <c r="AB2753" s="21">
        <f t="shared" si="817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1"/>
        <v>44014086.982070789</v>
      </c>
      <c r="AJ2753" s="19">
        <f t="shared" si="802"/>
        <v>6419974.0221889298</v>
      </c>
      <c r="AK2753" s="20">
        <f t="shared" si="808"/>
        <v>0.14586180158193709</v>
      </c>
      <c r="AL2753" s="17"/>
      <c r="AM2753" s="17"/>
      <c r="AN2753" s="17"/>
      <c r="AO2753" s="17"/>
      <c r="AP2753" s="28" t="str">
        <f t="shared" si="809"/>
        <v>20225</v>
      </c>
      <c r="AQ2753" s="28" t="str">
        <f t="shared" si="810"/>
        <v>20225RMB</v>
      </c>
      <c r="AR2753" s="206" t="str">
        <f t="shared" si="811"/>
        <v>YAMAHA_Mounter</v>
      </c>
      <c r="AS2753" s="22">
        <f t="shared" si="812"/>
        <v>12</v>
      </c>
      <c r="AT2753" s="24" t="str">
        <f t="shared" si="813"/>
        <v>&gt; 6 months</v>
      </c>
      <c r="AU2753" s="22" t="s">
        <v>3240</v>
      </c>
    </row>
    <row r="2754" spans="1:47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54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2203</v>
      </c>
      <c r="K2754" s="155" t="s">
        <v>1288</v>
      </c>
      <c r="L2754" s="17" t="s">
        <v>67</v>
      </c>
      <c r="M2754" s="13" t="s">
        <v>60</v>
      </c>
      <c r="N2754" s="13">
        <v>1</v>
      </c>
      <c r="O2754" s="13"/>
      <c r="P2754" s="33" t="str">
        <f t="shared" si="815"/>
        <v>MAIN UNIT</v>
      </c>
      <c r="Q2754" s="13" t="s">
        <v>61</v>
      </c>
      <c r="R2754" s="13" t="s">
        <v>62</v>
      </c>
      <c r="S2754" s="13" t="s">
        <v>50</v>
      </c>
      <c r="T2754" s="13" t="s">
        <v>212</v>
      </c>
      <c r="U2754" s="13" t="s">
        <v>213</v>
      </c>
      <c r="V2754" s="13" t="s">
        <v>214</v>
      </c>
      <c r="W2754" s="13" t="s">
        <v>64</v>
      </c>
      <c r="X2754" s="135">
        <v>442500</v>
      </c>
      <c r="Y2754" s="157" t="str">
        <f>IF(W2754="RMB","1.13", "1")</f>
        <v>1.13</v>
      </c>
      <c r="Z2754" s="18">
        <f t="shared" si="814"/>
        <v>442500</v>
      </c>
      <c r="AA2754" s="13">
        <v>1.175</v>
      </c>
      <c r="AB2754" s="21">
        <f t="shared" si="817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ref="AI2754:AI2817" si="818">IF(P2754="C66 SERVICE","",SUMIFS(AB:AB,F:F,F2754,G:G,G2754,E:E,E2754))</f>
        <v>35682787.057522126</v>
      </c>
      <c r="AJ2754" s="19">
        <f t="shared" ref="AJ2754:AJ2817" si="819">IF(P2754="C66 SERVICE","",SUMIFS(AC:AC,F:F,F2754,G:G,G2754,E:E,E2754))</f>
        <v>5833368.3789623892</v>
      </c>
      <c r="AK2754" s="20">
        <f t="shared" si="808"/>
        <v>0.16347849649632912</v>
      </c>
      <c r="AL2754" s="17"/>
      <c r="AM2754" s="17"/>
      <c r="AN2754" s="17"/>
      <c r="AO2754" s="17"/>
      <c r="AP2754" s="28" t="str">
        <f t="shared" si="809"/>
        <v>20226</v>
      </c>
      <c r="AQ2754" s="28" t="str">
        <f t="shared" si="810"/>
        <v>20226RMB</v>
      </c>
      <c r="AR2754" s="206" t="str">
        <f t="shared" si="811"/>
        <v>YAMAHA_Mounter</v>
      </c>
      <c r="AS2754" s="22">
        <f t="shared" si="812"/>
        <v>1</v>
      </c>
      <c r="AT2754" s="24" t="str">
        <f t="shared" si="813"/>
        <v>0-3 months</v>
      </c>
      <c r="AU2754" s="22" t="s">
        <v>3240</v>
      </c>
    </row>
    <row r="2755" spans="1:47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41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2800</v>
      </c>
      <c r="K2755" s="155" t="s">
        <v>2801</v>
      </c>
      <c r="L2755" s="17" t="s">
        <v>2802</v>
      </c>
      <c r="M2755" s="13" t="s">
        <v>2607</v>
      </c>
      <c r="N2755" s="13">
        <v>1</v>
      </c>
      <c r="O2755" s="13"/>
      <c r="P2755" s="33" t="str">
        <f t="shared" si="815"/>
        <v>MAIN UNIT</v>
      </c>
      <c r="Q2755" s="13" t="s">
        <v>68</v>
      </c>
      <c r="R2755" s="13" t="s">
        <v>2055</v>
      </c>
      <c r="S2755" s="13" t="s">
        <v>50</v>
      </c>
      <c r="T2755" s="13" t="s">
        <v>212</v>
      </c>
      <c r="U2755" s="13" t="s">
        <v>213</v>
      </c>
      <c r="V2755" s="13" t="s">
        <v>214</v>
      </c>
      <c r="W2755" s="13" t="s">
        <v>64</v>
      </c>
      <c r="X2755" s="135">
        <v>265000</v>
      </c>
      <c r="Y2755" s="156">
        <v>1.1599999999999999</v>
      </c>
      <c r="Z2755" s="18">
        <f t="shared" si="814"/>
        <v>265000</v>
      </c>
      <c r="AA2755" s="13">
        <v>1.1499999999999999</v>
      </c>
      <c r="AB2755" s="21">
        <f t="shared" si="817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18"/>
        <v>26754147.763010349</v>
      </c>
      <c r="AJ2755" s="19">
        <f t="shared" si="819"/>
        <v>3429137.9965357962</v>
      </c>
      <c r="AK2755" s="20">
        <f t="shared" si="808"/>
        <v>0.12817220069617921</v>
      </c>
      <c r="AL2755" s="17"/>
      <c r="AM2755" s="17"/>
      <c r="AN2755" s="17"/>
      <c r="AO2755" s="17"/>
      <c r="AP2755" s="28" t="str">
        <f t="shared" si="809"/>
        <v>20188</v>
      </c>
      <c r="AQ2755" s="28" t="str">
        <f t="shared" si="810"/>
        <v>20188RMB</v>
      </c>
      <c r="AR2755" s="206" t="str">
        <f t="shared" si="811"/>
        <v>HELLER</v>
      </c>
      <c r="AS2755" s="22">
        <f t="shared" si="812"/>
        <v>1</v>
      </c>
      <c r="AT2755" s="24" t="str">
        <f t="shared" si="813"/>
        <v>0-3 months</v>
      </c>
      <c r="AU2755" s="22" t="s">
        <v>3240</v>
      </c>
    </row>
    <row r="2756" spans="1:47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53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1921</v>
      </c>
      <c r="K2756" s="155" t="s">
        <v>1922</v>
      </c>
      <c r="L2756" s="17" t="s">
        <v>92</v>
      </c>
      <c r="M2756" s="13" t="s">
        <v>60</v>
      </c>
      <c r="N2756" s="13">
        <v>1</v>
      </c>
      <c r="O2756" s="13"/>
      <c r="P2756" s="33" t="str">
        <f t="shared" si="815"/>
        <v>MAIN UNIT</v>
      </c>
      <c r="Q2756" s="13" t="s">
        <v>61</v>
      </c>
      <c r="R2756" s="13" t="s">
        <v>62</v>
      </c>
      <c r="S2756" s="13" t="s">
        <v>50</v>
      </c>
      <c r="T2756" s="13" t="s">
        <v>212</v>
      </c>
      <c r="U2756" s="13" t="s">
        <v>213</v>
      </c>
      <c r="V2756" s="13" t="s">
        <v>214</v>
      </c>
      <c r="W2756" s="13" t="s">
        <v>64</v>
      </c>
      <c r="X2756" s="135">
        <v>979000</v>
      </c>
      <c r="Y2756" s="157" t="str">
        <f>IF(W2756="RMB","1.13", "1")</f>
        <v>1.13</v>
      </c>
      <c r="Z2756" s="18">
        <f t="shared" si="814"/>
        <v>979000</v>
      </c>
      <c r="AA2756" s="13">
        <v>1.2150000000000001</v>
      </c>
      <c r="AB2756" s="21">
        <f t="shared" si="817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18"/>
        <v>25380121.402654871</v>
      </c>
      <c r="AJ2756" s="19">
        <f t="shared" si="819"/>
        <v>3850343.1237796471</v>
      </c>
      <c r="AK2756" s="20">
        <f t="shared" si="808"/>
        <v>0.1517070412191521</v>
      </c>
      <c r="AL2756" s="17"/>
      <c r="AM2756" s="17"/>
      <c r="AN2756" s="17"/>
      <c r="AO2756" s="17"/>
      <c r="AP2756" s="28" t="str">
        <f t="shared" si="809"/>
        <v>202112</v>
      </c>
      <c r="AQ2756" s="28" t="str">
        <f t="shared" si="810"/>
        <v>202112RMB</v>
      </c>
      <c r="AR2756" s="206" t="str">
        <f t="shared" si="811"/>
        <v>YAMAHA_Mounter</v>
      </c>
      <c r="AS2756" s="22">
        <f t="shared" si="812"/>
        <v>1</v>
      </c>
      <c r="AT2756" s="24" t="str">
        <f t="shared" si="813"/>
        <v>0-3 months</v>
      </c>
      <c r="AU2756" s="22" t="s">
        <v>3240</v>
      </c>
    </row>
    <row r="2757" spans="1:47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41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210</v>
      </c>
      <c r="K2757" s="155" t="s">
        <v>211</v>
      </c>
      <c r="L2757" s="17" t="s">
        <v>77</v>
      </c>
      <c r="M2757" s="13" t="s">
        <v>60</v>
      </c>
      <c r="N2757" s="13">
        <v>2</v>
      </c>
      <c r="O2757" s="13"/>
      <c r="P2757" s="33" t="str">
        <f t="shared" si="815"/>
        <v>MAIN UNIT</v>
      </c>
      <c r="Q2757" s="13" t="s">
        <v>61</v>
      </c>
      <c r="R2757" s="13" t="s">
        <v>62</v>
      </c>
      <c r="S2757" s="13" t="s">
        <v>50</v>
      </c>
      <c r="T2757" s="13" t="s">
        <v>212</v>
      </c>
      <c r="U2757" s="13" t="s">
        <v>213</v>
      </c>
      <c r="V2757" s="13" t="s">
        <v>214</v>
      </c>
      <c r="W2757" s="13" t="s">
        <v>64</v>
      </c>
      <c r="X2757" s="135">
        <v>1306000</v>
      </c>
      <c r="Y2757" s="156">
        <v>1.1599999999999999</v>
      </c>
      <c r="Z2757" s="18">
        <f t="shared" si="814"/>
        <v>2612000</v>
      </c>
      <c r="AA2757" s="13">
        <v>1.18</v>
      </c>
      <c r="AB2757" s="21">
        <f t="shared" si="817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18"/>
        <v>29946107.503386207</v>
      </c>
      <c r="AJ2757" s="19">
        <f t="shared" si="819"/>
        <v>3987206.4954923098</v>
      </c>
      <c r="AK2757" s="20">
        <f t="shared" si="808"/>
        <v>0.13314606898547499</v>
      </c>
      <c r="AL2757" s="17"/>
      <c r="AM2757" s="17"/>
      <c r="AN2757" s="17"/>
      <c r="AO2757" s="17"/>
      <c r="AP2757" s="28" t="str">
        <f t="shared" si="809"/>
        <v>20187</v>
      </c>
      <c r="AQ2757" s="28" t="str">
        <f t="shared" si="810"/>
        <v>20187RMB</v>
      </c>
      <c r="AR2757" s="206" t="str">
        <f t="shared" si="811"/>
        <v>YAMAHA_Mounter</v>
      </c>
      <c r="AS2757" s="22">
        <f t="shared" si="812"/>
        <v>3</v>
      </c>
      <c r="AT2757" s="24" t="str">
        <f t="shared" si="813"/>
        <v>0-3 months</v>
      </c>
      <c r="AU2757" s="22" t="s">
        <v>3240</v>
      </c>
    </row>
    <row r="2758" spans="1:47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41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373</v>
      </c>
      <c r="K2758" s="155" t="s">
        <v>211</v>
      </c>
      <c r="L2758" s="17" t="s">
        <v>77</v>
      </c>
      <c r="M2758" s="13" t="s">
        <v>60</v>
      </c>
      <c r="N2758" s="13">
        <v>2</v>
      </c>
      <c r="O2758" s="13"/>
      <c r="P2758" s="33" t="str">
        <f t="shared" si="815"/>
        <v>MAIN UNIT</v>
      </c>
      <c r="Q2758" s="13" t="s">
        <v>68</v>
      </c>
      <c r="R2758" s="13" t="s">
        <v>62</v>
      </c>
      <c r="S2758" s="13" t="s">
        <v>50</v>
      </c>
      <c r="T2758" s="13" t="s">
        <v>212</v>
      </c>
      <c r="U2758" s="13" t="s">
        <v>213</v>
      </c>
      <c r="V2758" s="13" t="s">
        <v>214</v>
      </c>
      <c r="W2758" s="13" t="s">
        <v>64</v>
      </c>
      <c r="X2758" s="135">
        <v>653000</v>
      </c>
      <c r="Y2758" s="156">
        <v>1.1599999999999999</v>
      </c>
      <c r="Z2758" s="18">
        <f t="shared" si="814"/>
        <v>1306000</v>
      </c>
      <c r="AA2758" s="13">
        <v>1.1399999999999999</v>
      </c>
      <c r="AB2758" s="21">
        <f t="shared" si="817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si="818"/>
        <v>10786543.370020689</v>
      </c>
      <c r="AJ2758" s="19">
        <f t="shared" si="819"/>
        <v>1330367.5841569281</v>
      </c>
      <c r="AK2758" s="20">
        <f t="shared" ref="AK2758:AK2821" si="825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6">IF(F2758="","",F2758&amp;G2758)</f>
        <v>201810</v>
      </c>
      <c r="AQ2758" s="28" t="str">
        <f t="shared" ref="AQ2758:AQ2821" si="827">IF(W2758="","",F2758&amp;G2758&amp;W2758)</f>
        <v>201810RMB</v>
      </c>
      <c r="AR2758" s="206" t="str">
        <f t="shared" ref="AR2758:AR2821" si="828">IFERROR(IF(AND(M2758="YAMAHA", R2758="C28"), "YAMAHA_Non_Mounter", IF(AND(M2758="YAMAHA", R2758="C49"), "YAMAHA_Mounter", M2758)),"")</f>
        <v>YAMAHA_Mounter</v>
      </c>
      <c r="AS2758" s="22">
        <f t="shared" ref="AS2758:AS2821" si="829">IFERROR(IF(OR(G2758="TBA", G2758=""), "", DATEDIF(DATE(B2758, C2758, 1), DATE(F2758, G2758, 1), "M")),"")</f>
        <v>3</v>
      </c>
      <c r="AT2758" s="24" t="str">
        <f t="shared" ref="AT2758:AT2821" si="830">IF(ISNUMBER(AS2758), IF(AS2758&gt;=0, IF(AS2758&lt;=3, "0-3 months", IF(AS2758&lt;=6, "4-6 months", "&gt; 6 months"))), "")</f>
        <v>0-3 months</v>
      </c>
      <c r="AU2758" s="22" t="s">
        <v>3240</v>
      </c>
    </row>
    <row r="2759" spans="1:47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41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435</v>
      </c>
      <c r="K2759" s="155" t="s">
        <v>211</v>
      </c>
      <c r="L2759" s="17" t="s">
        <v>77</v>
      </c>
      <c r="M2759" s="13" t="s">
        <v>60</v>
      </c>
      <c r="N2759" s="13">
        <v>1</v>
      </c>
      <c r="O2759" s="13"/>
      <c r="P2759" s="33" t="str">
        <f t="shared" si="815"/>
        <v>MAIN UNIT</v>
      </c>
      <c r="Q2759" s="13" t="s">
        <v>61</v>
      </c>
      <c r="R2759" s="13" t="s">
        <v>62</v>
      </c>
      <c r="S2759" s="13" t="s">
        <v>50</v>
      </c>
      <c r="T2759" s="13" t="s">
        <v>212</v>
      </c>
      <c r="U2759" s="13" t="s">
        <v>213</v>
      </c>
      <c r="V2759" s="13" t="s">
        <v>214</v>
      </c>
      <c r="W2759" s="13" t="s">
        <v>64</v>
      </c>
      <c r="X2759" s="135">
        <v>653000</v>
      </c>
      <c r="Y2759" s="156">
        <v>1.17</v>
      </c>
      <c r="Z2759" s="18">
        <f t="shared" si="814"/>
        <v>653000</v>
      </c>
      <c r="AA2759" s="13">
        <v>1.23</v>
      </c>
      <c r="AB2759" s="21">
        <f t="shared" si="817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18"/>
        <v>29288201.603076916</v>
      </c>
      <c r="AJ2759" s="19">
        <f t="shared" si="819"/>
        <v>3870159.1769246152</v>
      </c>
      <c r="AK2759" s="20">
        <f t="shared" si="825"/>
        <v>0.13214055370740244</v>
      </c>
      <c r="AL2759" s="17" t="s">
        <v>436</v>
      </c>
      <c r="AM2759" s="17">
        <v>653000</v>
      </c>
      <c r="AN2759" s="17" t="s">
        <v>437</v>
      </c>
      <c r="AO2759" s="17"/>
      <c r="AP2759" s="28" t="str">
        <f t="shared" si="826"/>
        <v>20184</v>
      </c>
      <c r="AQ2759" s="28" t="str">
        <f t="shared" si="827"/>
        <v>20184RMB</v>
      </c>
      <c r="AR2759" s="206" t="str">
        <f t="shared" si="828"/>
        <v>YAMAHA_Mounter</v>
      </c>
      <c r="AS2759" s="22">
        <f t="shared" si="829"/>
        <v>1</v>
      </c>
      <c r="AT2759" s="24" t="str">
        <f t="shared" si="830"/>
        <v>0-3 months</v>
      </c>
      <c r="AU2759" s="22" t="s">
        <v>3240</v>
      </c>
    </row>
    <row r="2760" spans="1:47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41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849</v>
      </c>
      <c r="K2760" s="155" t="s">
        <v>850</v>
      </c>
      <c r="L2760" s="17" t="s">
        <v>92</v>
      </c>
      <c r="M2760" s="13" t="s">
        <v>60</v>
      </c>
      <c r="N2760" s="13">
        <v>2</v>
      </c>
      <c r="O2760" s="13"/>
      <c r="P2760" s="33" t="str">
        <f t="shared" si="815"/>
        <v>MAIN UNIT</v>
      </c>
      <c r="Q2760" s="13" t="s">
        <v>61</v>
      </c>
      <c r="R2760" s="13" t="s">
        <v>62</v>
      </c>
      <c r="S2760" s="13" t="s">
        <v>50</v>
      </c>
      <c r="T2760" s="13" t="s">
        <v>851</v>
      </c>
      <c r="U2760" s="13" t="s">
        <v>852</v>
      </c>
      <c r="V2760" s="13" t="s">
        <v>214</v>
      </c>
      <c r="W2760" s="13" t="s">
        <v>64</v>
      </c>
      <c r="X2760" s="135">
        <v>767500</v>
      </c>
      <c r="Y2760" s="156">
        <v>1.1599999999999999</v>
      </c>
      <c r="Z2760" s="18">
        <f t="shared" si="814"/>
        <v>1535000</v>
      </c>
      <c r="AA2760" s="13">
        <v>1.1599999999999999</v>
      </c>
      <c r="AB2760" s="21">
        <f t="shared" si="817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18"/>
        <v>47416008.333399981</v>
      </c>
      <c r="AJ2760" s="19">
        <f t="shared" si="819"/>
        <v>6981738.4465290187</v>
      </c>
      <c r="AK2760" s="20">
        <f t="shared" si="825"/>
        <v>0.14724433143839863</v>
      </c>
      <c r="AL2760" s="17"/>
      <c r="AM2760" s="17"/>
      <c r="AN2760" s="17"/>
      <c r="AO2760" s="17"/>
      <c r="AP2760" s="28" t="str">
        <f t="shared" si="826"/>
        <v>20193</v>
      </c>
      <c r="AQ2760" s="28" t="str">
        <f t="shared" si="827"/>
        <v>20193RMB</v>
      </c>
      <c r="AR2760" s="206" t="str">
        <f t="shared" si="828"/>
        <v>YAMAHA_Mounter</v>
      </c>
      <c r="AS2760" s="22">
        <f t="shared" si="829"/>
        <v>2</v>
      </c>
      <c r="AT2760" s="24" t="str">
        <f t="shared" si="830"/>
        <v>0-3 months</v>
      </c>
      <c r="AU2760" s="22" t="s">
        <v>3240</v>
      </c>
    </row>
    <row r="2761" spans="1:47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185</v>
      </c>
      <c r="F2761" s="13" t="s">
        <v>185</v>
      </c>
      <c r="G2761" s="152" t="s">
        <v>185</v>
      </c>
      <c r="H2761" s="155"/>
      <c r="I2761" s="33" t="str">
        <f t="shared" si="822"/>
        <v>Cancel</v>
      </c>
      <c r="J2761" s="186" t="s">
        <v>2358</v>
      </c>
      <c r="K2761" s="155" t="s">
        <v>211</v>
      </c>
      <c r="L2761" s="17" t="s">
        <v>92</v>
      </c>
      <c r="M2761" s="13" t="s">
        <v>60</v>
      </c>
      <c r="N2761" s="13">
        <v>1</v>
      </c>
      <c r="O2761" s="13"/>
      <c r="P2761" s="33" t="str">
        <f t="shared" si="815"/>
        <v>MAIN UNIT</v>
      </c>
      <c r="Q2761" s="13" t="s">
        <v>61</v>
      </c>
      <c r="R2761" s="13" t="s">
        <v>62</v>
      </c>
      <c r="S2761" s="13" t="s">
        <v>50</v>
      </c>
      <c r="T2761" s="13" t="s">
        <v>212</v>
      </c>
      <c r="U2761" s="13" t="s">
        <v>213</v>
      </c>
      <c r="V2761" s="13" t="s">
        <v>214</v>
      </c>
      <c r="W2761" s="13" t="s">
        <v>64</v>
      </c>
      <c r="X2761" s="135">
        <v>900000</v>
      </c>
      <c r="Y2761" s="157" t="str">
        <f>IF(W2761="RMB","1.13", "1")</f>
        <v>1.13</v>
      </c>
      <c r="Z2761" s="18">
        <f t="shared" si="814"/>
        <v>900000</v>
      </c>
      <c r="AA2761" s="13">
        <v>1.105</v>
      </c>
      <c r="AB2761" s="21">
        <f t="shared" si="817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18"/>
        <v>499582152.5142017</v>
      </c>
      <c r="AJ2761" s="19">
        <f t="shared" si="819"/>
        <v>59520528.679470733</v>
      </c>
      <c r="AK2761" s="20">
        <f t="shared" si="825"/>
        <v>0.11914062257814291</v>
      </c>
      <c r="AL2761" s="17"/>
      <c r="AM2761" s="17"/>
      <c r="AN2761" s="17"/>
      <c r="AO2761" s="17"/>
      <c r="AP2761" s="28" t="str">
        <f t="shared" si="826"/>
        <v>CancelCancel</v>
      </c>
      <c r="AQ2761" s="28" t="str">
        <f t="shared" si="827"/>
        <v>CancelCancelRMB</v>
      </c>
      <c r="AR2761" s="206" t="str">
        <f t="shared" si="828"/>
        <v>YAMAHA_Mounter</v>
      </c>
      <c r="AS2761" s="22" t="str">
        <f t="shared" si="829"/>
        <v/>
      </c>
      <c r="AT2761" s="24" t="str">
        <f t="shared" si="830"/>
        <v/>
      </c>
      <c r="AU2761" s="22" t="s">
        <v>3240</v>
      </c>
    </row>
    <row r="2762" spans="1:47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185</v>
      </c>
      <c r="F2762" s="13" t="s">
        <v>185</v>
      </c>
      <c r="G2762" s="152" t="s">
        <v>185</v>
      </c>
      <c r="H2762" s="155"/>
      <c r="I2762" s="33" t="str">
        <f t="shared" si="822"/>
        <v>Cancel</v>
      </c>
      <c r="J2762" s="186" t="s">
        <v>2358</v>
      </c>
      <c r="K2762" s="155" t="s">
        <v>211</v>
      </c>
      <c r="L2762" s="17" t="s">
        <v>67</v>
      </c>
      <c r="M2762" s="13" t="s">
        <v>60</v>
      </c>
      <c r="N2762" s="13">
        <v>1</v>
      </c>
      <c r="O2762" s="13"/>
      <c r="P2762" s="33" t="str">
        <f t="shared" si="815"/>
        <v>MAIN UNIT</v>
      </c>
      <c r="Q2762" s="13" t="s">
        <v>61</v>
      </c>
      <c r="R2762" s="13" t="s">
        <v>62</v>
      </c>
      <c r="S2762" s="13" t="s">
        <v>50</v>
      </c>
      <c r="T2762" s="13" t="s">
        <v>212</v>
      </c>
      <c r="U2762" s="13" t="s">
        <v>213</v>
      </c>
      <c r="V2762" s="13" t="s">
        <v>214</v>
      </c>
      <c r="W2762" s="13" t="s">
        <v>64</v>
      </c>
      <c r="X2762" s="135">
        <v>570000</v>
      </c>
      <c r="Y2762" s="157" t="str">
        <f>IF(W2762="RMB","1.13", "1")</f>
        <v>1.13</v>
      </c>
      <c r="Z2762" s="18">
        <f t="shared" ref="Z2762:Z2825" si="831">IF(X2762="","",X2762*MAX(O2762,N2762))</f>
        <v>570000</v>
      </c>
      <c r="AA2762" s="13">
        <v>1.105</v>
      </c>
      <c r="AB2762" s="21">
        <f t="shared" si="817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18"/>
        <v>499582152.5142017</v>
      </c>
      <c r="AJ2762" s="19">
        <f t="shared" si="819"/>
        <v>59520528.679470733</v>
      </c>
      <c r="AK2762" s="20">
        <f t="shared" si="825"/>
        <v>0.11914062257814291</v>
      </c>
      <c r="AL2762" s="17"/>
      <c r="AM2762" s="17"/>
      <c r="AN2762" s="17"/>
      <c r="AO2762" s="17"/>
      <c r="AP2762" s="28" t="str">
        <f t="shared" si="826"/>
        <v>CancelCancel</v>
      </c>
      <c r="AQ2762" s="28" t="str">
        <f t="shared" si="827"/>
        <v>CancelCancelRMB</v>
      </c>
      <c r="AR2762" s="206" t="str">
        <f t="shared" si="828"/>
        <v>YAMAHA_Mounter</v>
      </c>
      <c r="AS2762" s="22" t="str">
        <f t="shared" si="829"/>
        <v/>
      </c>
      <c r="AT2762" s="24" t="str">
        <f t="shared" si="830"/>
        <v/>
      </c>
      <c r="AU2762" s="22" t="s">
        <v>3240</v>
      </c>
    </row>
    <row r="2763" spans="1:47" s="12" customFormat="1">
      <c r="A2763" s="33" t="str">
        <f t="shared" si="820"/>
        <v>cancel</v>
      </c>
      <c r="B2763" s="152"/>
      <c r="C2763" s="152" t="s">
        <v>185</v>
      </c>
      <c r="D2763" s="33" t="str">
        <f t="shared" si="821"/>
        <v/>
      </c>
      <c r="E2763" s="33" t="s">
        <v>185</v>
      </c>
      <c r="F2763" s="13" t="s">
        <v>185</v>
      </c>
      <c r="G2763" s="152" t="s">
        <v>185</v>
      </c>
      <c r="H2763" s="155"/>
      <c r="I2763" s="33" t="str">
        <f t="shared" si="822"/>
        <v>Cancel</v>
      </c>
      <c r="J2763" s="186" t="s">
        <v>2663</v>
      </c>
      <c r="K2763" s="155" t="s">
        <v>211</v>
      </c>
      <c r="L2763" s="17" t="s">
        <v>92</v>
      </c>
      <c r="M2763" s="13" t="s">
        <v>60</v>
      </c>
      <c r="N2763" s="13">
        <v>3</v>
      </c>
      <c r="O2763" s="13"/>
      <c r="P2763" s="33" t="str">
        <f t="shared" si="815"/>
        <v>MAIN UNIT</v>
      </c>
      <c r="Q2763" s="13" t="s">
        <v>61</v>
      </c>
      <c r="R2763" s="13" t="s">
        <v>62</v>
      </c>
      <c r="S2763" s="13" t="s">
        <v>50</v>
      </c>
      <c r="T2763" s="13" t="s">
        <v>212</v>
      </c>
      <c r="U2763" s="13" t="s">
        <v>213</v>
      </c>
      <c r="V2763" s="13" t="s">
        <v>214</v>
      </c>
      <c r="W2763" s="13" t="s">
        <v>64</v>
      </c>
      <c r="X2763" s="135">
        <v>779167</v>
      </c>
      <c r="Y2763" s="156">
        <v>1.1299999999999999</v>
      </c>
      <c r="Z2763" s="18">
        <f t="shared" si="831"/>
        <v>2337501</v>
      </c>
      <c r="AA2763" s="13">
        <v>1.1599999999999999</v>
      </c>
      <c r="AB2763" s="21">
        <f t="shared" si="817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18"/>
        <v>499582152.5142017</v>
      </c>
      <c r="AJ2763" s="19">
        <f t="shared" si="819"/>
        <v>59520528.679470733</v>
      </c>
      <c r="AK2763" s="20">
        <f t="shared" si="825"/>
        <v>0.11914062257814291</v>
      </c>
      <c r="AL2763" s="17"/>
      <c r="AM2763" s="17"/>
      <c r="AN2763" s="17"/>
      <c r="AO2763" s="17"/>
      <c r="AP2763" s="28" t="str">
        <f t="shared" si="826"/>
        <v>CancelCancel</v>
      </c>
      <c r="AQ2763" s="28" t="str">
        <f t="shared" si="827"/>
        <v>CancelCancelRMB</v>
      </c>
      <c r="AR2763" s="206" t="str">
        <f t="shared" si="828"/>
        <v>YAMAHA_Mounter</v>
      </c>
      <c r="AS2763" s="22" t="str">
        <f t="shared" si="829"/>
        <v/>
      </c>
      <c r="AT2763" s="24" t="str">
        <f t="shared" si="830"/>
        <v/>
      </c>
      <c r="AU2763" s="22" t="s">
        <v>3240</v>
      </c>
    </row>
    <row r="2764" spans="1:47" s="12" customFormat="1">
      <c r="A2764" s="33" t="str">
        <f t="shared" si="820"/>
        <v>cancel</v>
      </c>
      <c r="B2764" s="152"/>
      <c r="C2764" s="152" t="s">
        <v>185</v>
      </c>
      <c r="D2764" s="33" t="str">
        <f t="shared" si="821"/>
        <v/>
      </c>
      <c r="E2764" s="33" t="s">
        <v>185</v>
      </c>
      <c r="F2764" s="13" t="s">
        <v>185</v>
      </c>
      <c r="G2764" s="152" t="s">
        <v>185</v>
      </c>
      <c r="H2764" s="155"/>
      <c r="I2764" s="33" t="str">
        <f t="shared" si="822"/>
        <v>Cancel</v>
      </c>
      <c r="J2764" s="186" t="s">
        <v>2664</v>
      </c>
      <c r="K2764" s="155" t="s">
        <v>211</v>
      </c>
      <c r="L2764" s="17" t="s">
        <v>67</v>
      </c>
      <c r="M2764" s="13" t="s">
        <v>60</v>
      </c>
      <c r="N2764" s="13">
        <v>2</v>
      </c>
      <c r="O2764" s="13"/>
      <c r="P2764" s="33" t="str">
        <f t="shared" si="815"/>
        <v>MAIN UNIT</v>
      </c>
      <c r="Q2764" s="13" t="s">
        <v>61</v>
      </c>
      <c r="R2764" s="13" t="s">
        <v>62</v>
      </c>
      <c r="S2764" s="13" t="s">
        <v>50</v>
      </c>
      <c r="T2764" s="13" t="s">
        <v>212</v>
      </c>
      <c r="U2764" s="13" t="s">
        <v>213</v>
      </c>
      <c r="V2764" s="13" t="s">
        <v>214</v>
      </c>
      <c r="W2764" s="13" t="s">
        <v>64</v>
      </c>
      <c r="X2764" s="135">
        <v>573750</v>
      </c>
      <c r="Y2764" s="156">
        <v>1.1299999999999999</v>
      </c>
      <c r="Z2764" s="18">
        <f t="shared" si="831"/>
        <v>1147500</v>
      </c>
      <c r="AA2764" s="13">
        <v>1.1599999999999999</v>
      </c>
      <c r="AB2764" s="21">
        <f t="shared" si="817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18"/>
        <v>499582152.5142017</v>
      </c>
      <c r="AJ2764" s="19">
        <f t="shared" si="819"/>
        <v>59520528.679470733</v>
      </c>
      <c r="AK2764" s="20">
        <f t="shared" si="825"/>
        <v>0.11914062257814291</v>
      </c>
      <c r="AL2764" s="17"/>
      <c r="AM2764" s="17"/>
      <c r="AN2764" s="17"/>
      <c r="AO2764" s="17"/>
      <c r="AP2764" s="28" t="str">
        <f t="shared" si="826"/>
        <v>CancelCancel</v>
      </c>
      <c r="AQ2764" s="28" t="str">
        <f t="shared" si="827"/>
        <v>CancelCancelRMB</v>
      </c>
      <c r="AR2764" s="206" t="str">
        <f t="shared" si="828"/>
        <v>YAMAHA_Mounter</v>
      </c>
      <c r="AS2764" s="22" t="str">
        <f t="shared" si="829"/>
        <v/>
      </c>
      <c r="AT2764" s="24" t="str">
        <f t="shared" si="830"/>
        <v/>
      </c>
      <c r="AU2764" s="22" t="s">
        <v>3240</v>
      </c>
    </row>
    <row r="2765" spans="1:47" s="12" customFormat="1">
      <c r="A2765" s="33" t="str">
        <f t="shared" si="820"/>
        <v>cancel</v>
      </c>
      <c r="B2765" s="152"/>
      <c r="C2765" s="152" t="s">
        <v>185</v>
      </c>
      <c r="D2765" s="33" t="str">
        <f t="shared" si="821"/>
        <v/>
      </c>
      <c r="E2765" s="33" t="s">
        <v>185</v>
      </c>
      <c r="F2765" s="13" t="s">
        <v>185</v>
      </c>
      <c r="G2765" s="152" t="s">
        <v>185</v>
      </c>
      <c r="H2765" s="155"/>
      <c r="I2765" s="33" t="str">
        <f t="shared" si="822"/>
        <v>Cancel</v>
      </c>
      <c r="J2765" s="186" t="s">
        <v>2664</v>
      </c>
      <c r="K2765" s="155" t="s">
        <v>211</v>
      </c>
      <c r="L2765" s="17" t="s">
        <v>92</v>
      </c>
      <c r="M2765" s="13" t="s">
        <v>60</v>
      </c>
      <c r="N2765" s="13">
        <v>2</v>
      </c>
      <c r="O2765" s="13"/>
      <c r="P2765" s="33" t="str">
        <f t="shared" si="815"/>
        <v>MAIN UNIT</v>
      </c>
      <c r="Q2765" s="13" t="s">
        <v>61</v>
      </c>
      <c r="R2765" s="13" t="s">
        <v>62</v>
      </c>
      <c r="S2765" s="13" t="s">
        <v>50</v>
      </c>
      <c r="T2765" s="13" t="s">
        <v>212</v>
      </c>
      <c r="U2765" s="13" t="s">
        <v>213</v>
      </c>
      <c r="V2765" s="13" t="s">
        <v>214</v>
      </c>
      <c r="W2765" s="13" t="s">
        <v>64</v>
      </c>
      <c r="X2765" s="135">
        <v>760000</v>
      </c>
      <c r="Y2765" s="156">
        <v>1.1299999999999999</v>
      </c>
      <c r="Z2765" s="18">
        <f t="shared" si="831"/>
        <v>1520000</v>
      </c>
      <c r="AA2765" s="13">
        <v>1.1599999999999999</v>
      </c>
      <c r="AB2765" s="21">
        <f t="shared" si="817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18"/>
        <v>499582152.5142017</v>
      </c>
      <c r="AJ2765" s="19">
        <f t="shared" si="819"/>
        <v>59520528.679470733</v>
      </c>
      <c r="AK2765" s="20">
        <f t="shared" si="825"/>
        <v>0.11914062257814291</v>
      </c>
      <c r="AL2765" s="17"/>
      <c r="AM2765" s="17"/>
      <c r="AN2765" s="17"/>
      <c r="AO2765" s="17"/>
      <c r="AP2765" s="28" t="str">
        <f t="shared" si="826"/>
        <v>CancelCancel</v>
      </c>
      <c r="AQ2765" s="28" t="str">
        <f t="shared" si="827"/>
        <v>CancelCancelRMB</v>
      </c>
      <c r="AR2765" s="206" t="str">
        <f t="shared" si="828"/>
        <v>YAMAHA_Mounter</v>
      </c>
      <c r="AS2765" s="22" t="str">
        <f t="shared" si="829"/>
        <v/>
      </c>
      <c r="AT2765" s="24" t="str">
        <f t="shared" si="830"/>
        <v/>
      </c>
      <c r="AU2765" s="22" t="s">
        <v>3240</v>
      </c>
    </row>
    <row r="2766" spans="1:47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48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1431</v>
      </c>
      <c r="K2766" s="155" t="s">
        <v>1432</v>
      </c>
      <c r="L2766" s="17" t="s">
        <v>67</v>
      </c>
      <c r="M2766" s="13" t="s">
        <v>60</v>
      </c>
      <c r="N2766" s="13">
        <v>1</v>
      </c>
      <c r="O2766" s="13"/>
      <c r="P2766" s="33" t="str">
        <f t="shared" si="815"/>
        <v>MAIN UNIT</v>
      </c>
      <c r="Q2766" s="13" t="s">
        <v>61</v>
      </c>
      <c r="R2766" s="13" t="s">
        <v>62</v>
      </c>
      <c r="S2766" s="13" t="s">
        <v>50</v>
      </c>
      <c r="T2766" s="13" t="s">
        <v>212</v>
      </c>
      <c r="U2766" s="13" t="s">
        <v>213</v>
      </c>
      <c r="V2766" s="13" t="s">
        <v>214</v>
      </c>
      <c r="W2766" s="13" t="s">
        <v>64</v>
      </c>
      <c r="X2766" s="135">
        <v>504774</v>
      </c>
      <c r="Y2766" s="157" t="str">
        <f>IF(W2766="RMB","1.13", "1")</f>
        <v>1.13</v>
      </c>
      <c r="Z2766" s="18">
        <f t="shared" si="831"/>
        <v>504774</v>
      </c>
      <c r="AA2766" s="13">
        <v>1.175</v>
      </c>
      <c r="AB2766" s="21">
        <f t="shared" si="817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18"/>
        <v>48763143.537654862</v>
      </c>
      <c r="AJ2766" s="19">
        <f t="shared" si="819"/>
        <v>5924029.9702154724</v>
      </c>
      <c r="AK2766" s="20">
        <f t="shared" si="825"/>
        <v>0.1214858095774925</v>
      </c>
      <c r="AL2766" s="17"/>
      <c r="AM2766" s="17"/>
      <c r="AN2766" s="17"/>
      <c r="AO2766" s="17"/>
      <c r="AP2766" s="28" t="str">
        <f t="shared" si="826"/>
        <v>202012</v>
      </c>
      <c r="AQ2766" s="28" t="str">
        <f t="shared" si="827"/>
        <v>202012RMB</v>
      </c>
      <c r="AR2766" s="206" t="str">
        <f t="shared" si="828"/>
        <v>YAMAHA_Mounter</v>
      </c>
      <c r="AS2766" s="22">
        <f t="shared" si="829"/>
        <v>3</v>
      </c>
      <c r="AT2766" s="24" t="str">
        <f t="shared" si="830"/>
        <v>0-3 months</v>
      </c>
      <c r="AU2766" s="22" t="s">
        <v>3240</v>
      </c>
    </row>
    <row r="2767" spans="1:47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48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1431</v>
      </c>
      <c r="K2767" s="155" t="s">
        <v>1432</v>
      </c>
      <c r="L2767" s="17" t="s">
        <v>67</v>
      </c>
      <c r="M2767" s="13" t="s">
        <v>60</v>
      </c>
      <c r="N2767" s="13">
        <v>1</v>
      </c>
      <c r="O2767" s="13"/>
      <c r="P2767" s="33" t="str">
        <f t="shared" si="815"/>
        <v>MAIN UNIT</v>
      </c>
      <c r="Q2767" s="13" t="s">
        <v>61</v>
      </c>
      <c r="R2767" s="13" t="s">
        <v>62</v>
      </c>
      <c r="S2767" s="13" t="s">
        <v>50</v>
      </c>
      <c r="T2767" s="13" t="s">
        <v>212</v>
      </c>
      <c r="U2767" s="13" t="s">
        <v>213</v>
      </c>
      <c r="V2767" s="13" t="s">
        <v>214</v>
      </c>
      <c r="W2767" s="13" t="s">
        <v>64</v>
      </c>
      <c r="X2767" s="135">
        <v>504774</v>
      </c>
      <c r="Y2767" s="157" t="str">
        <f>IF(W2767="RMB","1.13", "1")</f>
        <v>1.13</v>
      </c>
      <c r="Z2767" s="18">
        <f t="shared" si="831"/>
        <v>504774</v>
      </c>
      <c r="AA2767" s="13">
        <v>1.175</v>
      </c>
      <c r="AB2767" s="21">
        <f t="shared" si="817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18"/>
        <v>48763143.537654862</v>
      </c>
      <c r="AJ2767" s="19">
        <f t="shared" si="819"/>
        <v>5924029.9702154724</v>
      </c>
      <c r="AK2767" s="20">
        <f t="shared" si="825"/>
        <v>0.1214858095774925</v>
      </c>
      <c r="AL2767" s="17"/>
      <c r="AM2767" s="17"/>
      <c r="AN2767" s="17"/>
      <c r="AO2767" s="17"/>
      <c r="AP2767" s="28" t="str">
        <f t="shared" si="826"/>
        <v>202012</v>
      </c>
      <c r="AQ2767" s="28" t="str">
        <f t="shared" si="827"/>
        <v>202012RMB</v>
      </c>
      <c r="AR2767" s="206" t="str">
        <f t="shared" si="828"/>
        <v>YAMAHA_Mounter</v>
      </c>
      <c r="AS2767" s="22">
        <f t="shared" si="829"/>
        <v>3</v>
      </c>
      <c r="AT2767" s="24" t="str">
        <f t="shared" si="830"/>
        <v>0-3 months</v>
      </c>
      <c r="AU2767" s="22" t="s">
        <v>3240</v>
      </c>
    </row>
    <row r="2768" spans="1:47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47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758</v>
      </c>
      <c r="K2768" s="155" t="s">
        <v>759</v>
      </c>
      <c r="L2768" s="17" t="s">
        <v>67</v>
      </c>
      <c r="M2768" s="13" t="s">
        <v>60</v>
      </c>
      <c r="N2768" s="13">
        <v>1</v>
      </c>
      <c r="O2768" s="13"/>
      <c r="P2768" s="33" t="str">
        <f t="shared" si="815"/>
        <v>MAIN UNIT</v>
      </c>
      <c r="Q2768" s="13" t="s">
        <v>61</v>
      </c>
      <c r="R2768" s="13" t="s">
        <v>260</v>
      </c>
      <c r="S2768" s="13" t="s">
        <v>50</v>
      </c>
      <c r="T2768" s="13" t="s">
        <v>212</v>
      </c>
      <c r="U2768" s="13" t="s">
        <v>213</v>
      </c>
      <c r="V2768" s="13" t="s">
        <v>214</v>
      </c>
      <c r="W2768" s="13" t="s">
        <v>64</v>
      </c>
      <c r="X2768" s="135">
        <v>600687.5</v>
      </c>
      <c r="Y2768" s="156">
        <v>1.1299999999999999</v>
      </c>
      <c r="Z2768" s="18">
        <f t="shared" si="831"/>
        <v>600687.5</v>
      </c>
      <c r="AA2768" s="13">
        <v>1.135</v>
      </c>
      <c r="AB2768" s="21">
        <f t="shared" si="817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18"/>
        <v>34015877.71150443</v>
      </c>
      <c r="AJ2768" s="19">
        <f t="shared" si="819"/>
        <v>4446292.375441948</v>
      </c>
      <c r="AK2768" s="20">
        <f t="shared" si="825"/>
        <v>0.13071226364205143</v>
      </c>
      <c r="AL2768" s="17"/>
      <c r="AM2768" s="17"/>
      <c r="AN2768" s="17"/>
      <c r="AO2768" s="17"/>
      <c r="AP2768" s="28" t="str">
        <f t="shared" si="826"/>
        <v>20197</v>
      </c>
      <c r="AQ2768" s="28" t="str">
        <f t="shared" si="827"/>
        <v>20197RMB</v>
      </c>
      <c r="AR2768" s="206" t="str">
        <f t="shared" si="828"/>
        <v>YAMAHA_Mounter</v>
      </c>
      <c r="AS2768" s="22">
        <f t="shared" si="829"/>
        <v>0</v>
      </c>
      <c r="AT2768" s="24" t="str">
        <f t="shared" si="830"/>
        <v>0-3 months</v>
      </c>
      <c r="AU2768" s="22" t="s">
        <v>3240</v>
      </c>
    </row>
    <row r="2769" spans="1:47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47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758</v>
      </c>
      <c r="K2769" s="155" t="s">
        <v>759</v>
      </c>
      <c r="L2769" s="17" t="s">
        <v>67</v>
      </c>
      <c r="M2769" s="13" t="s">
        <v>60</v>
      </c>
      <c r="N2769" s="13">
        <v>1</v>
      </c>
      <c r="O2769" s="13"/>
      <c r="P2769" s="33" t="str">
        <f t="shared" si="815"/>
        <v>MAIN UNIT</v>
      </c>
      <c r="Q2769" s="13" t="s">
        <v>61</v>
      </c>
      <c r="R2769" s="13" t="s">
        <v>260</v>
      </c>
      <c r="S2769" s="13" t="s">
        <v>50</v>
      </c>
      <c r="T2769" s="13" t="s">
        <v>212</v>
      </c>
      <c r="U2769" s="13" t="s">
        <v>213</v>
      </c>
      <c r="V2769" s="13" t="s">
        <v>214</v>
      </c>
      <c r="W2769" s="13" t="s">
        <v>64</v>
      </c>
      <c r="X2769" s="135">
        <v>600687.5</v>
      </c>
      <c r="Y2769" s="156">
        <v>1.1299999999999999</v>
      </c>
      <c r="Z2769" s="18">
        <f t="shared" si="831"/>
        <v>600687.5</v>
      </c>
      <c r="AA2769" s="13">
        <v>1.135</v>
      </c>
      <c r="AB2769" s="21">
        <f t="shared" si="817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18"/>
        <v>34015877.71150443</v>
      </c>
      <c r="AJ2769" s="19">
        <f t="shared" si="819"/>
        <v>4446292.375441948</v>
      </c>
      <c r="AK2769" s="20">
        <f t="shared" si="825"/>
        <v>0.13071226364205143</v>
      </c>
      <c r="AL2769" s="17"/>
      <c r="AM2769" s="17"/>
      <c r="AN2769" s="17"/>
      <c r="AO2769" s="17"/>
      <c r="AP2769" s="28" t="str">
        <f t="shared" si="826"/>
        <v>20197</v>
      </c>
      <c r="AQ2769" s="28" t="str">
        <f t="shared" si="827"/>
        <v>20197RMB</v>
      </c>
      <c r="AR2769" s="206" t="str">
        <f t="shared" si="828"/>
        <v>YAMAHA_Mounter</v>
      </c>
      <c r="AS2769" s="22">
        <f t="shared" si="829"/>
        <v>0</v>
      </c>
      <c r="AT2769" s="24" t="str">
        <f t="shared" si="830"/>
        <v>0-3 months</v>
      </c>
      <c r="AU2769" s="22" t="s">
        <v>3240</v>
      </c>
    </row>
    <row r="2770" spans="1:47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47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758</v>
      </c>
      <c r="K2770" s="155" t="s">
        <v>759</v>
      </c>
      <c r="L2770" s="17" t="s">
        <v>67</v>
      </c>
      <c r="M2770" s="13" t="s">
        <v>60</v>
      </c>
      <c r="N2770" s="13">
        <v>1</v>
      </c>
      <c r="O2770" s="13"/>
      <c r="P2770" s="33" t="str">
        <f t="shared" si="815"/>
        <v>MAIN UNIT</v>
      </c>
      <c r="Q2770" s="13" t="s">
        <v>61</v>
      </c>
      <c r="R2770" s="13" t="s">
        <v>260</v>
      </c>
      <c r="S2770" s="13" t="s">
        <v>50</v>
      </c>
      <c r="T2770" s="13" t="s">
        <v>212</v>
      </c>
      <c r="U2770" s="13" t="s">
        <v>213</v>
      </c>
      <c r="V2770" s="13" t="s">
        <v>214</v>
      </c>
      <c r="W2770" s="13" t="s">
        <v>64</v>
      </c>
      <c r="X2770" s="135">
        <v>600687.5</v>
      </c>
      <c r="Y2770" s="156">
        <v>1.1299999999999999</v>
      </c>
      <c r="Z2770" s="18">
        <f t="shared" si="831"/>
        <v>600687.5</v>
      </c>
      <c r="AA2770" s="13">
        <v>1.135</v>
      </c>
      <c r="AB2770" s="21">
        <f t="shared" si="817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18"/>
        <v>34015877.71150443</v>
      </c>
      <c r="AJ2770" s="19">
        <f t="shared" si="819"/>
        <v>4446292.375441948</v>
      </c>
      <c r="AK2770" s="20">
        <f t="shared" si="825"/>
        <v>0.13071226364205143</v>
      </c>
      <c r="AL2770" s="17"/>
      <c r="AM2770" s="17"/>
      <c r="AN2770" s="17"/>
      <c r="AO2770" s="17"/>
      <c r="AP2770" s="28" t="str">
        <f t="shared" si="826"/>
        <v>20197</v>
      </c>
      <c r="AQ2770" s="28" t="str">
        <f t="shared" si="827"/>
        <v>20197RMB</v>
      </c>
      <c r="AR2770" s="206" t="str">
        <f t="shared" si="828"/>
        <v>YAMAHA_Mounter</v>
      </c>
      <c r="AS2770" s="22">
        <f t="shared" si="829"/>
        <v>0</v>
      </c>
      <c r="AT2770" s="24" t="str">
        <f t="shared" si="830"/>
        <v>0-3 months</v>
      </c>
      <c r="AU2770" s="22" t="s">
        <v>3240</v>
      </c>
    </row>
    <row r="2771" spans="1:47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47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758</v>
      </c>
      <c r="K2771" s="155" t="s">
        <v>759</v>
      </c>
      <c r="L2771" s="17" t="s">
        <v>67</v>
      </c>
      <c r="M2771" s="13" t="s">
        <v>60</v>
      </c>
      <c r="N2771" s="13">
        <v>1</v>
      </c>
      <c r="O2771" s="13"/>
      <c r="P2771" s="33" t="str">
        <f t="shared" si="815"/>
        <v>MAIN UNIT</v>
      </c>
      <c r="Q2771" s="13" t="s">
        <v>61</v>
      </c>
      <c r="R2771" s="13" t="s">
        <v>260</v>
      </c>
      <c r="S2771" s="13" t="s">
        <v>50</v>
      </c>
      <c r="T2771" s="13" t="s">
        <v>212</v>
      </c>
      <c r="U2771" s="13" t="s">
        <v>213</v>
      </c>
      <c r="V2771" s="13" t="s">
        <v>214</v>
      </c>
      <c r="W2771" s="13" t="s">
        <v>64</v>
      </c>
      <c r="X2771" s="135">
        <v>600687.5</v>
      </c>
      <c r="Y2771" s="156">
        <v>1.1299999999999999</v>
      </c>
      <c r="Z2771" s="18">
        <f t="shared" si="831"/>
        <v>600687.5</v>
      </c>
      <c r="AA2771" s="13">
        <v>1.135</v>
      </c>
      <c r="AB2771" s="21">
        <f t="shared" si="817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18"/>
        <v>34015877.71150443</v>
      </c>
      <c r="AJ2771" s="19">
        <f t="shared" si="819"/>
        <v>4446292.375441948</v>
      </c>
      <c r="AK2771" s="20">
        <f t="shared" si="825"/>
        <v>0.13071226364205143</v>
      </c>
      <c r="AL2771" s="17"/>
      <c r="AM2771" s="17"/>
      <c r="AN2771" s="17"/>
      <c r="AO2771" s="17"/>
      <c r="AP2771" s="28" t="str">
        <f t="shared" si="826"/>
        <v>20197</v>
      </c>
      <c r="AQ2771" s="28" t="str">
        <f t="shared" si="827"/>
        <v>20197RMB</v>
      </c>
      <c r="AR2771" s="206" t="str">
        <f t="shared" si="828"/>
        <v>YAMAHA_Mounter</v>
      </c>
      <c r="AS2771" s="22">
        <f t="shared" si="829"/>
        <v>0</v>
      </c>
      <c r="AT2771" s="24" t="str">
        <f t="shared" si="830"/>
        <v>0-3 months</v>
      </c>
      <c r="AU2771" s="22" t="s">
        <v>3240</v>
      </c>
    </row>
    <row r="2772" spans="1:47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47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767</v>
      </c>
      <c r="K2772" s="155" t="s">
        <v>759</v>
      </c>
      <c r="L2772" s="17" t="s">
        <v>92</v>
      </c>
      <c r="M2772" s="13" t="s">
        <v>60</v>
      </c>
      <c r="N2772" s="13">
        <v>1</v>
      </c>
      <c r="O2772" s="13"/>
      <c r="P2772" s="33" t="str">
        <f t="shared" si="815"/>
        <v>MAIN UNIT</v>
      </c>
      <c r="Q2772" s="13" t="s">
        <v>61</v>
      </c>
      <c r="R2772" s="13" t="s">
        <v>62</v>
      </c>
      <c r="S2772" s="13" t="s">
        <v>50</v>
      </c>
      <c r="T2772" s="13" t="s">
        <v>212</v>
      </c>
      <c r="U2772" s="13" t="s">
        <v>213</v>
      </c>
      <c r="V2772" s="13" t="s">
        <v>214</v>
      </c>
      <c r="W2772" s="13" t="s">
        <v>64</v>
      </c>
      <c r="X2772" s="135">
        <v>764375</v>
      </c>
      <c r="Y2772" s="156">
        <v>1.1299999999999999</v>
      </c>
      <c r="Z2772" s="18">
        <f t="shared" si="831"/>
        <v>764375</v>
      </c>
      <c r="AA2772" s="13">
        <v>1.135</v>
      </c>
      <c r="AB2772" s="21">
        <f t="shared" si="817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18"/>
        <v>34015877.71150443</v>
      </c>
      <c r="AJ2772" s="19">
        <f t="shared" si="819"/>
        <v>4446292.375441948</v>
      </c>
      <c r="AK2772" s="20">
        <f t="shared" si="825"/>
        <v>0.13071226364205143</v>
      </c>
      <c r="AL2772" s="17"/>
      <c r="AM2772" s="17"/>
      <c r="AN2772" s="17"/>
      <c r="AO2772" s="17"/>
      <c r="AP2772" s="28" t="str">
        <f t="shared" si="826"/>
        <v>20197</v>
      </c>
      <c r="AQ2772" s="28" t="str">
        <f t="shared" si="827"/>
        <v>20197RMB</v>
      </c>
      <c r="AR2772" s="206" t="str">
        <f t="shared" si="828"/>
        <v>YAMAHA_Mounter</v>
      </c>
      <c r="AS2772" s="22">
        <f t="shared" si="829"/>
        <v>0</v>
      </c>
      <c r="AT2772" s="24" t="str">
        <f t="shared" si="830"/>
        <v>0-3 months</v>
      </c>
      <c r="AU2772" s="22" t="s">
        <v>3240</v>
      </c>
    </row>
    <row r="2773" spans="1:47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47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767</v>
      </c>
      <c r="K2773" s="155" t="s">
        <v>759</v>
      </c>
      <c r="L2773" s="17" t="s">
        <v>92</v>
      </c>
      <c r="M2773" s="13" t="s">
        <v>60</v>
      </c>
      <c r="N2773" s="13">
        <v>1</v>
      </c>
      <c r="O2773" s="13"/>
      <c r="P2773" s="33" t="str">
        <f t="shared" si="815"/>
        <v>MAIN UNIT</v>
      </c>
      <c r="Q2773" s="13" t="s">
        <v>61</v>
      </c>
      <c r="R2773" s="13" t="s">
        <v>62</v>
      </c>
      <c r="S2773" s="13" t="s">
        <v>50</v>
      </c>
      <c r="T2773" s="13" t="s">
        <v>212</v>
      </c>
      <c r="U2773" s="13" t="s">
        <v>213</v>
      </c>
      <c r="V2773" s="13" t="s">
        <v>214</v>
      </c>
      <c r="W2773" s="13" t="s">
        <v>64</v>
      </c>
      <c r="X2773" s="135">
        <v>764375</v>
      </c>
      <c r="Y2773" s="156">
        <v>1.1299999999999999</v>
      </c>
      <c r="Z2773" s="18">
        <f t="shared" si="831"/>
        <v>764375</v>
      </c>
      <c r="AA2773" s="13">
        <v>1.135</v>
      </c>
      <c r="AB2773" s="21">
        <f t="shared" si="817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18"/>
        <v>34015877.71150443</v>
      </c>
      <c r="AJ2773" s="19">
        <f t="shared" si="819"/>
        <v>4446292.375441948</v>
      </c>
      <c r="AK2773" s="20">
        <f t="shared" si="825"/>
        <v>0.13071226364205143</v>
      </c>
      <c r="AL2773" s="17"/>
      <c r="AM2773" s="17"/>
      <c r="AN2773" s="17"/>
      <c r="AO2773" s="17"/>
      <c r="AP2773" s="28" t="str">
        <f t="shared" si="826"/>
        <v>20197</v>
      </c>
      <c r="AQ2773" s="28" t="str">
        <f t="shared" si="827"/>
        <v>20197RMB</v>
      </c>
      <c r="AR2773" s="206" t="str">
        <f t="shared" si="828"/>
        <v>YAMAHA_Mounter</v>
      </c>
      <c r="AS2773" s="22">
        <f t="shared" si="829"/>
        <v>0</v>
      </c>
      <c r="AT2773" s="24" t="str">
        <f t="shared" si="830"/>
        <v>0-3 months</v>
      </c>
      <c r="AU2773" s="22" t="s">
        <v>3240</v>
      </c>
    </row>
    <row r="2774" spans="1:47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47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830</v>
      </c>
      <c r="K2774" s="155" t="s">
        <v>759</v>
      </c>
      <c r="L2774" s="17" t="s">
        <v>92</v>
      </c>
      <c r="M2774" s="13" t="s">
        <v>60</v>
      </c>
      <c r="N2774" s="13">
        <v>1</v>
      </c>
      <c r="O2774" s="13"/>
      <c r="P2774" s="33" t="str">
        <f t="shared" ref="P2774:P2837" si="832">IF(M2774="","",IF(AND(N2774&gt;0,L2774&lt;&gt;""),"MAIN UNIT",IF(AND(O2774&gt;0,L2774&lt;&gt;""),"SERVICE/ PARTS","C66 SERVICE/OTHERS")))</f>
        <v>MAIN UNIT</v>
      </c>
      <c r="Q2774" s="13" t="s">
        <v>61</v>
      </c>
      <c r="R2774" s="13" t="s">
        <v>62</v>
      </c>
      <c r="S2774" s="13" t="s">
        <v>50</v>
      </c>
      <c r="T2774" s="13" t="s">
        <v>212</v>
      </c>
      <c r="U2774" s="13" t="s">
        <v>213</v>
      </c>
      <c r="V2774" s="13" t="s">
        <v>831</v>
      </c>
      <c r="W2774" s="13" t="s">
        <v>703</v>
      </c>
      <c r="X2774" s="135">
        <v>764375</v>
      </c>
      <c r="Y2774" s="156">
        <v>1.1299999999999999</v>
      </c>
      <c r="Z2774" s="18">
        <f t="shared" si="831"/>
        <v>764375</v>
      </c>
      <c r="AA2774" s="13">
        <v>1.135</v>
      </c>
      <c r="AB2774" s="21">
        <f t="shared" si="817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18"/>
        <v>31296887.037898075</v>
      </c>
      <c r="AJ2774" s="19">
        <f t="shared" si="819"/>
        <v>3588873.9502021763</v>
      </c>
      <c r="AK2774" s="20">
        <f t="shared" si="825"/>
        <v>0.11467191436184473</v>
      </c>
      <c r="AL2774" s="17"/>
      <c r="AM2774" s="17"/>
      <c r="AN2774" s="17"/>
      <c r="AO2774" s="17"/>
      <c r="AP2774" s="28" t="str">
        <f t="shared" si="826"/>
        <v>20196</v>
      </c>
      <c r="AQ2774" s="28" t="str">
        <f t="shared" si="827"/>
        <v>20196RMB</v>
      </c>
      <c r="AR2774" s="206" t="str">
        <f t="shared" si="828"/>
        <v>YAMAHA_Mounter</v>
      </c>
      <c r="AS2774" s="22">
        <f t="shared" si="829"/>
        <v>1</v>
      </c>
      <c r="AT2774" s="24" t="str">
        <f t="shared" si="830"/>
        <v>0-3 months</v>
      </c>
      <c r="AU2774" s="22" t="s">
        <v>3240</v>
      </c>
    </row>
    <row r="2775" spans="1:47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47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830</v>
      </c>
      <c r="K2775" s="155" t="s">
        <v>759</v>
      </c>
      <c r="L2775" s="17" t="s">
        <v>92</v>
      </c>
      <c r="M2775" s="13" t="s">
        <v>60</v>
      </c>
      <c r="N2775" s="13">
        <v>1</v>
      </c>
      <c r="O2775" s="13"/>
      <c r="P2775" s="33" t="str">
        <f t="shared" si="832"/>
        <v>MAIN UNIT</v>
      </c>
      <c r="Q2775" s="13" t="s">
        <v>61</v>
      </c>
      <c r="R2775" s="13" t="s">
        <v>62</v>
      </c>
      <c r="S2775" s="13" t="s">
        <v>50</v>
      </c>
      <c r="T2775" s="13" t="s">
        <v>212</v>
      </c>
      <c r="U2775" s="13" t="s">
        <v>213</v>
      </c>
      <c r="V2775" s="13" t="s">
        <v>831</v>
      </c>
      <c r="W2775" s="13" t="s">
        <v>703</v>
      </c>
      <c r="X2775" s="135">
        <v>764375</v>
      </c>
      <c r="Y2775" s="156">
        <v>1.1299999999999999</v>
      </c>
      <c r="Z2775" s="18">
        <f t="shared" si="831"/>
        <v>764375</v>
      </c>
      <c r="AA2775" s="13">
        <v>1.135</v>
      </c>
      <c r="AB2775" s="21">
        <f t="shared" si="817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18"/>
        <v>31296887.037898075</v>
      </c>
      <c r="AJ2775" s="19">
        <f t="shared" si="819"/>
        <v>3588873.9502021763</v>
      </c>
      <c r="AK2775" s="20">
        <f t="shared" si="825"/>
        <v>0.11467191436184473</v>
      </c>
      <c r="AL2775" s="17"/>
      <c r="AM2775" s="17"/>
      <c r="AN2775" s="17"/>
      <c r="AO2775" s="17"/>
      <c r="AP2775" s="28" t="str">
        <f t="shared" si="826"/>
        <v>20196</v>
      </c>
      <c r="AQ2775" s="28" t="str">
        <f t="shared" si="827"/>
        <v>20196RMB</v>
      </c>
      <c r="AR2775" s="206" t="str">
        <f t="shared" si="828"/>
        <v>YAMAHA_Mounter</v>
      </c>
      <c r="AS2775" s="22">
        <f t="shared" si="829"/>
        <v>1</v>
      </c>
      <c r="AT2775" s="24" t="str">
        <f t="shared" si="830"/>
        <v>0-3 months</v>
      </c>
      <c r="AU2775" s="22" t="s">
        <v>3240</v>
      </c>
    </row>
    <row r="2776" spans="1:47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47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832</v>
      </c>
      <c r="K2776" s="155" t="s">
        <v>759</v>
      </c>
      <c r="L2776" s="17" t="s">
        <v>67</v>
      </c>
      <c r="M2776" s="13" t="s">
        <v>60</v>
      </c>
      <c r="N2776" s="13">
        <v>1</v>
      </c>
      <c r="O2776" s="13"/>
      <c r="P2776" s="33" t="str">
        <f t="shared" si="832"/>
        <v>MAIN UNIT</v>
      </c>
      <c r="Q2776" s="13" t="s">
        <v>61</v>
      </c>
      <c r="R2776" s="13" t="s">
        <v>62</v>
      </c>
      <c r="S2776" s="13" t="s">
        <v>50</v>
      </c>
      <c r="T2776" s="13" t="s">
        <v>833</v>
      </c>
      <c r="U2776" s="13" t="s">
        <v>834</v>
      </c>
      <c r="V2776" s="13" t="s">
        <v>831</v>
      </c>
      <c r="W2776" s="13" t="s">
        <v>703</v>
      </c>
      <c r="X2776" s="135">
        <v>613750</v>
      </c>
      <c r="Y2776" s="156">
        <v>1.1299999999999999</v>
      </c>
      <c r="Z2776" s="18">
        <f t="shared" si="831"/>
        <v>613750</v>
      </c>
      <c r="AA2776" s="13">
        <v>1.135</v>
      </c>
      <c r="AB2776" s="21">
        <f t="shared" si="817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18"/>
        <v>31296887.037898075</v>
      </c>
      <c r="AJ2776" s="19">
        <f t="shared" si="819"/>
        <v>3588873.9502021763</v>
      </c>
      <c r="AK2776" s="20">
        <f t="shared" si="825"/>
        <v>0.11467191436184473</v>
      </c>
      <c r="AL2776" s="17"/>
      <c r="AM2776" s="17"/>
      <c r="AN2776" s="17"/>
      <c r="AO2776" s="17"/>
      <c r="AP2776" s="28" t="str">
        <f t="shared" si="826"/>
        <v>20196</v>
      </c>
      <c r="AQ2776" s="28" t="str">
        <f t="shared" si="827"/>
        <v>20196RMB</v>
      </c>
      <c r="AR2776" s="206" t="str">
        <f t="shared" si="828"/>
        <v>YAMAHA_Mounter</v>
      </c>
      <c r="AS2776" s="22">
        <f t="shared" si="829"/>
        <v>1</v>
      </c>
      <c r="AT2776" s="24" t="str">
        <f t="shared" si="830"/>
        <v>0-3 months</v>
      </c>
      <c r="AU2776" s="22" t="s">
        <v>3240</v>
      </c>
    </row>
    <row r="2777" spans="1:47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47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832</v>
      </c>
      <c r="K2777" s="155" t="s">
        <v>759</v>
      </c>
      <c r="L2777" s="17" t="s">
        <v>92</v>
      </c>
      <c r="M2777" s="13" t="s">
        <v>60</v>
      </c>
      <c r="N2777" s="13">
        <v>1</v>
      </c>
      <c r="O2777" s="13"/>
      <c r="P2777" s="33" t="str">
        <f t="shared" si="832"/>
        <v>MAIN UNIT</v>
      </c>
      <c r="Q2777" s="13" t="s">
        <v>61</v>
      </c>
      <c r="R2777" s="13" t="s">
        <v>62</v>
      </c>
      <c r="S2777" s="13" t="s">
        <v>50</v>
      </c>
      <c r="T2777" s="13" t="s">
        <v>833</v>
      </c>
      <c r="U2777" s="13" t="s">
        <v>834</v>
      </c>
      <c r="V2777" s="13" t="s">
        <v>831</v>
      </c>
      <c r="W2777" s="13" t="s">
        <v>703</v>
      </c>
      <c r="X2777" s="135">
        <v>760000</v>
      </c>
      <c r="Y2777" s="156">
        <v>1.1299999999999999</v>
      </c>
      <c r="Z2777" s="18">
        <f t="shared" si="831"/>
        <v>760000</v>
      </c>
      <c r="AA2777" s="13">
        <v>1.135</v>
      </c>
      <c r="AB2777" s="21">
        <f t="shared" si="817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18"/>
        <v>31296887.037898075</v>
      </c>
      <c r="AJ2777" s="19">
        <f t="shared" si="819"/>
        <v>3588873.9502021763</v>
      </c>
      <c r="AK2777" s="20">
        <f t="shared" si="825"/>
        <v>0.11467191436184473</v>
      </c>
      <c r="AL2777" s="17"/>
      <c r="AM2777" s="17"/>
      <c r="AN2777" s="17"/>
      <c r="AO2777" s="17"/>
      <c r="AP2777" s="28" t="str">
        <f t="shared" si="826"/>
        <v>20196</v>
      </c>
      <c r="AQ2777" s="28" t="str">
        <f t="shared" si="827"/>
        <v>20196RMB</v>
      </c>
      <c r="AR2777" s="206" t="str">
        <f t="shared" si="828"/>
        <v>YAMAHA_Mounter</v>
      </c>
      <c r="AS2777" s="22">
        <f t="shared" si="829"/>
        <v>1</v>
      </c>
      <c r="AT2777" s="24" t="str">
        <f t="shared" si="830"/>
        <v>0-3 months</v>
      </c>
      <c r="AU2777" s="22" t="s">
        <v>3240</v>
      </c>
    </row>
    <row r="2778" spans="1:47" s="12" customFormat="1">
      <c r="A2778" s="33" t="str">
        <f t="shared" si="820"/>
        <v>cancel</v>
      </c>
      <c r="B2778" s="152"/>
      <c r="C2778" s="152" t="s">
        <v>185</v>
      </c>
      <c r="D2778" s="33" t="str">
        <f t="shared" si="821"/>
        <v/>
      </c>
      <c r="E2778" s="33" t="s">
        <v>185</v>
      </c>
      <c r="F2778" s="13" t="s">
        <v>185</v>
      </c>
      <c r="G2778" s="152" t="s">
        <v>185</v>
      </c>
      <c r="H2778" s="155"/>
      <c r="I2778" s="33" t="str">
        <f t="shared" si="822"/>
        <v>Cancel</v>
      </c>
      <c r="J2778" s="186" t="s">
        <v>2671</v>
      </c>
      <c r="K2778" s="155" t="s">
        <v>759</v>
      </c>
      <c r="L2778" s="17" t="s">
        <v>67</v>
      </c>
      <c r="M2778" s="13" t="s">
        <v>60</v>
      </c>
      <c r="N2778" s="13">
        <v>1</v>
      </c>
      <c r="O2778" s="13"/>
      <c r="P2778" s="33" t="str">
        <f t="shared" si="832"/>
        <v>MAIN UNIT</v>
      </c>
      <c r="Q2778" s="13" t="s">
        <v>61</v>
      </c>
      <c r="R2778" s="13" t="s">
        <v>62</v>
      </c>
      <c r="S2778" s="13" t="s">
        <v>50</v>
      </c>
      <c r="T2778" s="13" t="s">
        <v>212</v>
      </c>
      <c r="U2778" s="13" t="s">
        <v>213</v>
      </c>
      <c r="V2778" s="13" t="s">
        <v>214</v>
      </c>
      <c r="W2778" s="13" t="s">
        <v>64</v>
      </c>
      <c r="X2778" s="135">
        <v>613750</v>
      </c>
      <c r="Y2778" s="156">
        <v>1.1299999999999999</v>
      </c>
      <c r="Z2778" s="18">
        <f t="shared" si="831"/>
        <v>613750</v>
      </c>
      <c r="AA2778" s="13">
        <v>1.135</v>
      </c>
      <c r="AB2778" s="21">
        <f t="shared" si="817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18"/>
        <v>499582152.5142017</v>
      </c>
      <c r="AJ2778" s="19">
        <f t="shared" si="819"/>
        <v>59520528.679470733</v>
      </c>
      <c r="AK2778" s="20">
        <f t="shared" si="825"/>
        <v>0.11914062257814291</v>
      </c>
      <c r="AL2778" s="17"/>
      <c r="AM2778" s="17"/>
      <c r="AN2778" s="17"/>
      <c r="AO2778" s="17"/>
      <c r="AP2778" s="28" t="str">
        <f t="shared" si="826"/>
        <v>CancelCancel</v>
      </c>
      <c r="AQ2778" s="28" t="str">
        <f t="shared" si="827"/>
        <v>CancelCancelRMB</v>
      </c>
      <c r="AR2778" s="206" t="str">
        <f t="shared" si="828"/>
        <v>YAMAHA_Mounter</v>
      </c>
      <c r="AS2778" s="22" t="str">
        <f t="shared" si="829"/>
        <v/>
      </c>
      <c r="AT2778" s="24" t="str">
        <f t="shared" si="830"/>
        <v/>
      </c>
      <c r="AU2778" s="22" t="s">
        <v>3240</v>
      </c>
    </row>
    <row r="2779" spans="1:47" s="12" customFormat="1">
      <c r="A2779" s="33" t="str">
        <f t="shared" si="820"/>
        <v>cancel</v>
      </c>
      <c r="B2779" s="152"/>
      <c r="C2779" s="152" t="s">
        <v>185</v>
      </c>
      <c r="D2779" s="33" t="str">
        <f t="shared" si="821"/>
        <v/>
      </c>
      <c r="E2779" s="33" t="s">
        <v>185</v>
      </c>
      <c r="F2779" s="13" t="s">
        <v>185</v>
      </c>
      <c r="G2779" s="152" t="s">
        <v>185</v>
      </c>
      <c r="H2779" s="155"/>
      <c r="I2779" s="33" t="str">
        <f t="shared" si="822"/>
        <v>Cancel</v>
      </c>
      <c r="J2779" s="186" t="s">
        <v>2671</v>
      </c>
      <c r="K2779" s="155" t="s">
        <v>759</v>
      </c>
      <c r="L2779" s="17" t="s">
        <v>92</v>
      </c>
      <c r="M2779" s="13" t="s">
        <v>60</v>
      </c>
      <c r="N2779" s="13">
        <v>1</v>
      </c>
      <c r="O2779" s="13"/>
      <c r="P2779" s="33" t="str">
        <f t="shared" si="832"/>
        <v>MAIN UNIT</v>
      </c>
      <c r="Q2779" s="13" t="s">
        <v>61</v>
      </c>
      <c r="R2779" s="13" t="s">
        <v>62</v>
      </c>
      <c r="S2779" s="13" t="s">
        <v>50</v>
      </c>
      <c r="T2779" s="13" t="s">
        <v>212</v>
      </c>
      <c r="U2779" s="13" t="s">
        <v>213</v>
      </c>
      <c r="V2779" s="13" t="s">
        <v>214</v>
      </c>
      <c r="W2779" s="13" t="s">
        <v>64</v>
      </c>
      <c r="X2779" s="135">
        <v>760000</v>
      </c>
      <c r="Y2779" s="156">
        <v>1.1299999999999999</v>
      </c>
      <c r="Z2779" s="18">
        <f t="shared" si="831"/>
        <v>760000</v>
      </c>
      <c r="AA2779" s="13">
        <v>1.135</v>
      </c>
      <c r="AB2779" s="21">
        <f t="shared" si="817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18"/>
        <v>499582152.5142017</v>
      </c>
      <c r="AJ2779" s="19">
        <f t="shared" si="819"/>
        <v>59520528.679470733</v>
      </c>
      <c r="AK2779" s="20">
        <f t="shared" si="825"/>
        <v>0.11914062257814291</v>
      </c>
      <c r="AL2779" s="17"/>
      <c r="AM2779" s="17"/>
      <c r="AN2779" s="17"/>
      <c r="AO2779" s="17"/>
      <c r="AP2779" s="28" t="str">
        <f t="shared" si="826"/>
        <v>CancelCancel</v>
      </c>
      <c r="AQ2779" s="28" t="str">
        <f t="shared" si="827"/>
        <v>CancelCancelRMB</v>
      </c>
      <c r="AR2779" s="206" t="str">
        <f t="shared" si="828"/>
        <v>YAMAHA_Mounter</v>
      </c>
      <c r="AS2779" s="22" t="str">
        <f t="shared" si="829"/>
        <v/>
      </c>
      <c r="AT2779" s="24" t="str">
        <f t="shared" si="830"/>
        <v/>
      </c>
      <c r="AU2779" s="22" t="s">
        <v>3240</v>
      </c>
    </row>
    <row r="2780" spans="1:47" s="12" customFormat="1">
      <c r="A2780" s="33" t="str">
        <f t="shared" si="820"/>
        <v>cancel</v>
      </c>
      <c r="B2780" s="152"/>
      <c r="C2780" s="152" t="s">
        <v>185</v>
      </c>
      <c r="D2780" s="33" t="str">
        <f t="shared" si="821"/>
        <v/>
      </c>
      <c r="E2780" s="33" t="s">
        <v>185</v>
      </c>
      <c r="F2780" s="13" t="s">
        <v>185</v>
      </c>
      <c r="G2780" s="152" t="s">
        <v>185</v>
      </c>
      <c r="H2780" s="155"/>
      <c r="I2780" s="33" t="str">
        <f t="shared" si="822"/>
        <v>Cancel</v>
      </c>
      <c r="J2780" s="186" t="s">
        <v>2672</v>
      </c>
      <c r="K2780" s="155" t="s">
        <v>759</v>
      </c>
      <c r="L2780" s="17" t="s">
        <v>67</v>
      </c>
      <c r="M2780" s="13" t="s">
        <v>60</v>
      </c>
      <c r="N2780" s="13">
        <v>1</v>
      </c>
      <c r="O2780" s="13"/>
      <c r="P2780" s="33" t="str">
        <f t="shared" si="832"/>
        <v>MAIN UNIT</v>
      </c>
      <c r="Q2780" s="13" t="s">
        <v>61</v>
      </c>
      <c r="R2780" s="13" t="s">
        <v>62</v>
      </c>
      <c r="S2780" s="13" t="s">
        <v>50</v>
      </c>
      <c r="T2780" s="13" t="s">
        <v>212</v>
      </c>
      <c r="U2780" s="13" t="s">
        <v>213</v>
      </c>
      <c r="V2780" s="13" t="s">
        <v>214</v>
      </c>
      <c r="W2780" s="13" t="s">
        <v>64</v>
      </c>
      <c r="X2780" s="135">
        <v>613750</v>
      </c>
      <c r="Y2780" s="156">
        <v>1.1299999999999999</v>
      </c>
      <c r="Z2780" s="18">
        <f t="shared" si="831"/>
        <v>613750</v>
      </c>
      <c r="AA2780" s="13">
        <v>1.135</v>
      </c>
      <c r="AB2780" s="21">
        <f t="shared" si="817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18"/>
        <v>499582152.5142017</v>
      </c>
      <c r="AJ2780" s="19">
        <f t="shared" si="819"/>
        <v>59520528.679470733</v>
      </c>
      <c r="AK2780" s="20">
        <f t="shared" si="825"/>
        <v>0.11914062257814291</v>
      </c>
      <c r="AL2780" s="17"/>
      <c r="AM2780" s="17"/>
      <c r="AN2780" s="17"/>
      <c r="AO2780" s="17"/>
      <c r="AP2780" s="28" t="str">
        <f t="shared" si="826"/>
        <v>CancelCancel</v>
      </c>
      <c r="AQ2780" s="28" t="str">
        <f t="shared" si="827"/>
        <v>CancelCancelRMB</v>
      </c>
      <c r="AR2780" s="206" t="str">
        <f t="shared" si="828"/>
        <v>YAMAHA_Mounter</v>
      </c>
      <c r="AS2780" s="22" t="str">
        <f t="shared" si="829"/>
        <v/>
      </c>
      <c r="AT2780" s="24" t="str">
        <f t="shared" si="830"/>
        <v/>
      </c>
      <c r="AU2780" s="22" t="s">
        <v>3240</v>
      </c>
    </row>
    <row r="2781" spans="1:47" s="12" customFormat="1">
      <c r="A2781" s="33" t="str">
        <f t="shared" si="820"/>
        <v>cancel</v>
      </c>
      <c r="B2781" s="152"/>
      <c r="C2781" s="152" t="s">
        <v>185</v>
      </c>
      <c r="D2781" s="33" t="str">
        <f t="shared" si="821"/>
        <v/>
      </c>
      <c r="E2781" s="33" t="s">
        <v>185</v>
      </c>
      <c r="F2781" s="13" t="s">
        <v>185</v>
      </c>
      <c r="G2781" s="152" t="s">
        <v>185</v>
      </c>
      <c r="H2781" s="155"/>
      <c r="I2781" s="33" t="str">
        <f t="shared" si="822"/>
        <v>Cancel</v>
      </c>
      <c r="J2781" s="186" t="s">
        <v>2672</v>
      </c>
      <c r="K2781" s="155" t="s">
        <v>759</v>
      </c>
      <c r="L2781" s="17" t="s">
        <v>92</v>
      </c>
      <c r="M2781" s="13" t="s">
        <v>60</v>
      </c>
      <c r="N2781" s="13">
        <v>2</v>
      </c>
      <c r="O2781" s="13"/>
      <c r="P2781" s="33" t="str">
        <f t="shared" si="832"/>
        <v>MAIN UNIT</v>
      </c>
      <c r="Q2781" s="13" t="s">
        <v>61</v>
      </c>
      <c r="R2781" s="13" t="s">
        <v>62</v>
      </c>
      <c r="S2781" s="13" t="s">
        <v>50</v>
      </c>
      <c r="T2781" s="13" t="s">
        <v>212</v>
      </c>
      <c r="U2781" s="13" t="s">
        <v>213</v>
      </c>
      <c r="V2781" s="13" t="s">
        <v>214</v>
      </c>
      <c r="W2781" s="13" t="s">
        <v>64</v>
      </c>
      <c r="X2781" s="135">
        <v>764375</v>
      </c>
      <c r="Y2781" s="156">
        <v>1.1299999999999999</v>
      </c>
      <c r="Z2781" s="18">
        <f t="shared" si="831"/>
        <v>1528750</v>
      </c>
      <c r="AA2781" s="13">
        <v>1.135</v>
      </c>
      <c r="AB2781" s="21">
        <f t="shared" si="817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18"/>
        <v>499582152.5142017</v>
      </c>
      <c r="AJ2781" s="19">
        <f t="shared" si="819"/>
        <v>59520528.679470733</v>
      </c>
      <c r="AK2781" s="20">
        <f t="shared" si="825"/>
        <v>0.11914062257814291</v>
      </c>
      <c r="AL2781" s="17"/>
      <c r="AM2781" s="17"/>
      <c r="AN2781" s="17"/>
      <c r="AO2781" s="17"/>
      <c r="AP2781" s="28" t="str">
        <f t="shared" si="826"/>
        <v>CancelCancel</v>
      </c>
      <c r="AQ2781" s="28" t="str">
        <f t="shared" si="827"/>
        <v>CancelCancelRMB</v>
      </c>
      <c r="AR2781" s="206" t="str">
        <f t="shared" si="828"/>
        <v>YAMAHA_Mounter</v>
      </c>
      <c r="AS2781" s="22" t="str">
        <f t="shared" si="829"/>
        <v/>
      </c>
      <c r="AT2781" s="24" t="str">
        <f t="shared" si="830"/>
        <v/>
      </c>
      <c r="AU2781" s="22" t="s">
        <v>3240</v>
      </c>
    </row>
    <row r="2782" spans="1:47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41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353</v>
      </c>
      <c r="K2782" s="155" t="s">
        <v>354</v>
      </c>
      <c r="L2782" s="17" t="s">
        <v>100</v>
      </c>
      <c r="M2782" s="13" t="s">
        <v>60</v>
      </c>
      <c r="N2782" s="13">
        <v>1</v>
      </c>
      <c r="O2782" s="13"/>
      <c r="P2782" s="33" t="str">
        <f t="shared" si="832"/>
        <v>MAIN UNIT</v>
      </c>
      <c r="Q2782" s="13" t="s">
        <v>68</v>
      </c>
      <c r="R2782" s="13" t="s">
        <v>62</v>
      </c>
      <c r="S2782" s="13" t="s">
        <v>50</v>
      </c>
      <c r="T2782" s="13" t="s">
        <v>212</v>
      </c>
      <c r="U2782" s="13" t="s">
        <v>213</v>
      </c>
      <c r="V2782" s="13" t="s">
        <v>355</v>
      </c>
      <c r="W2782" s="13" t="s">
        <v>64</v>
      </c>
      <c r="X2782" s="135">
        <v>610000</v>
      </c>
      <c r="Y2782" s="156">
        <v>1.1599999999999999</v>
      </c>
      <c r="Z2782" s="18">
        <f t="shared" si="831"/>
        <v>610000</v>
      </c>
      <c r="AA2782" s="13">
        <v>1.23</v>
      </c>
      <c r="AB2782" s="21">
        <f t="shared" si="817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18"/>
        <v>34109166.105589926</v>
      </c>
      <c r="AJ2782" s="19">
        <f t="shared" si="819"/>
        <v>4642032.7199573703</v>
      </c>
      <c r="AK2782" s="20">
        <f t="shared" si="825"/>
        <v>0.13609340977692849</v>
      </c>
      <c r="AL2782" s="17"/>
      <c r="AM2782" s="17"/>
      <c r="AN2782" s="17"/>
      <c r="AO2782" s="17"/>
      <c r="AP2782" s="28" t="str">
        <f t="shared" si="826"/>
        <v>20185</v>
      </c>
      <c r="AQ2782" s="28" t="str">
        <f t="shared" si="827"/>
        <v>20185RMB</v>
      </c>
      <c r="AR2782" s="206" t="str">
        <f t="shared" si="828"/>
        <v>YAMAHA_Mounter</v>
      </c>
      <c r="AS2782" s="22">
        <f t="shared" si="829"/>
        <v>4</v>
      </c>
      <c r="AT2782" s="24" t="str">
        <f t="shared" si="830"/>
        <v>4-6 months</v>
      </c>
      <c r="AU2782" s="22" t="s">
        <v>3240</v>
      </c>
    </row>
    <row r="2783" spans="1:47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41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356</v>
      </c>
      <c r="K2783" s="155" t="s">
        <v>354</v>
      </c>
      <c r="L2783" s="17" t="s">
        <v>100</v>
      </c>
      <c r="M2783" s="13" t="s">
        <v>60</v>
      </c>
      <c r="N2783" s="13">
        <v>1</v>
      </c>
      <c r="O2783" s="13"/>
      <c r="P2783" s="33" t="str">
        <f t="shared" si="832"/>
        <v>MAIN UNIT</v>
      </c>
      <c r="Q2783" s="13" t="s">
        <v>68</v>
      </c>
      <c r="R2783" s="13" t="s">
        <v>62</v>
      </c>
      <c r="S2783" s="13" t="s">
        <v>50</v>
      </c>
      <c r="T2783" s="13" t="s">
        <v>212</v>
      </c>
      <c r="U2783" s="13" t="s">
        <v>213</v>
      </c>
      <c r="V2783" s="13" t="s">
        <v>355</v>
      </c>
      <c r="W2783" s="13" t="s">
        <v>64</v>
      </c>
      <c r="X2783" s="135">
        <v>490000</v>
      </c>
      <c r="Y2783" s="156">
        <v>1.1599999999999999</v>
      </c>
      <c r="Z2783" s="18">
        <f t="shared" si="831"/>
        <v>490000</v>
      </c>
      <c r="AA2783" s="13">
        <v>1.23</v>
      </c>
      <c r="AB2783" s="21">
        <f t="shared" si="817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18"/>
        <v>34109166.105589926</v>
      </c>
      <c r="AJ2783" s="19">
        <f t="shared" si="819"/>
        <v>4642032.7199573703</v>
      </c>
      <c r="AK2783" s="20">
        <f t="shared" si="825"/>
        <v>0.13609340977692849</v>
      </c>
      <c r="AL2783" s="17"/>
      <c r="AM2783" s="17"/>
      <c r="AN2783" s="17"/>
      <c r="AO2783" s="17"/>
      <c r="AP2783" s="28" t="str">
        <f t="shared" si="826"/>
        <v>20185</v>
      </c>
      <c r="AQ2783" s="28" t="str">
        <f t="shared" si="827"/>
        <v>20185RMB</v>
      </c>
      <c r="AR2783" s="206" t="str">
        <f t="shared" si="828"/>
        <v>YAMAHA_Mounter</v>
      </c>
      <c r="AS2783" s="22">
        <f t="shared" si="829"/>
        <v>4</v>
      </c>
      <c r="AT2783" s="24" t="str">
        <f t="shared" si="830"/>
        <v>4-6 months</v>
      </c>
      <c r="AU2783" s="22" t="s">
        <v>3240</v>
      </c>
    </row>
    <row r="2784" spans="1:47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53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1706</v>
      </c>
      <c r="K2784" s="155" t="s">
        <v>1707</v>
      </c>
      <c r="L2784" s="17" t="s">
        <v>92</v>
      </c>
      <c r="M2784" s="13" t="s">
        <v>60</v>
      </c>
      <c r="N2784" s="13">
        <v>1</v>
      </c>
      <c r="O2784" s="13"/>
      <c r="P2784" s="33" t="str">
        <f t="shared" si="832"/>
        <v>MAIN UNIT</v>
      </c>
      <c r="Q2784" s="13" t="s">
        <v>61</v>
      </c>
      <c r="R2784" s="13" t="s">
        <v>62</v>
      </c>
      <c r="S2784" s="13" t="s">
        <v>49</v>
      </c>
      <c r="T2784" s="13" t="s">
        <v>78</v>
      </c>
      <c r="U2784" s="13" t="s">
        <v>79</v>
      </c>
      <c r="V2784" s="13" t="s">
        <v>121</v>
      </c>
      <c r="W2784" s="13" t="s">
        <v>109</v>
      </c>
      <c r="X2784" s="135">
        <v>12000000</v>
      </c>
      <c r="Y2784" s="157" t="str">
        <f t="shared" ref="Y2784:Y2789" si="833">IF(W2784="RMB","1.13", "1")</f>
        <v>1</v>
      </c>
      <c r="Z2784" s="18">
        <f t="shared" si="831"/>
        <v>12000000</v>
      </c>
      <c r="AA2784" s="13">
        <v>7.2800000000000004E-2</v>
      </c>
      <c r="AB2784" s="21">
        <f t="shared" si="817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18"/>
        <v>63006605.696460173</v>
      </c>
      <c r="AJ2784" s="19">
        <f t="shared" si="819"/>
        <v>8897485.660753984</v>
      </c>
      <c r="AK2784" s="20">
        <f t="shared" si="825"/>
        <v>0.141215124388995</v>
      </c>
      <c r="AL2784" s="17"/>
      <c r="AM2784" s="17"/>
      <c r="AN2784" s="17"/>
      <c r="AO2784" s="17"/>
      <c r="AP2784" s="28" t="str">
        <f t="shared" si="826"/>
        <v>20215</v>
      </c>
      <c r="AQ2784" s="28" t="str">
        <f t="shared" si="827"/>
        <v>20215JPY</v>
      </c>
      <c r="AR2784" s="206" t="str">
        <f t="shared" si="828"/>
        <v>YAMAHA_Mounter</v>
      </c>
      <c r="AS2784" s="22">
        <f t="shared" si="829"/>
        <v>4</v>
      </c>
      <c r="AT2784" s="24" t="str">
        <f t="shared" si="830"/>
        <v>4-6 months</v>
      </c>
      <c r="AU2784" s="22" t="s">
        <v>3745</v>
      </c>
    </row>
    <row r="2785" spans="1:47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53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1706</v>
      </c>
      <c r="K2785" s="155" t="s">
        <v>1707</v>
      </c>
      <c r="L2785" s="17" t="s">
        <v>92</v>
      </c>
      <c r="M2785" s="13" t="s">
        <v>60</v>
      </c>
      <c r="N2785" s="13">
        <v>1</v>
      </c>
      <c r="O2785" s="13"/>
      <c r="P2785" s="33" t="str">
        <f t="shared" si="832"/>
        <v>MAIN UNIT</v>
      </c>
      <c r="Q2785" s="13" t="s">
        <v>61</v>
      </c>
      <c r="R2785" s="13" t="s">
        <v>62</v>
      </c>
      <c r="S2785" s="13" t="s">
        <v>49</v>
      </c>
      <c r="T2785" s="13" t="s">
        <v>78</v>
      </c>
      <c r="U2785" s="13" t="s">
        <v>79</v>
      </c>
      <c r="V2785" s="13" t="s">
        <v>121</v>
      </c>
      <c r="W2785" s="13" t="s">
        <v>109</v>
      </c>
      <c r="X2785" s="135">
        <v>12000000</v>
      </c>
      <c r="Y2785" s="157" t="str">
        <f t="shared" si="833"/>
        <v>1</v>
      </c>
      <c r="Z2785" s="18">
        <f t="shared" si="831"/>
        <v>12000000</v>
      </c>
      <c r="AA2785" s="13">
        <v>7.2800000000000004E-2</v>
      </c>
      <c r="AB2785" s="21">
        <f t="shared" si="817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18"/>
        <v>63006605.696460173</v>
      </c>
      <c r="AJ2785" s="19">
        <f t="shared" si="819"/>
        <v>8897485.660753984</v>
      </c>
      <c r="AK2785" s="20">
        <f t="shared" si="825"/>
        <v>0.141215124388995</v>
      </c>
      <c r="AL2785" s="17"/>
      <c r="AM2785" s="17"/>
      <c r="AN2785" s="17"/>
      <c r="AO2785" s="17"/>
      <c r="AP2785" s="28" t="str">
        <f t="shared" si="826"/>
        <v>20215</v>
      </c>
      <c r="AQ2785" s="28" t="str">
        <f t="shared" si="827"/>
        <v>20215JPY</v>
      </c>
      <c r="AR2785" s="206" t="str">
        <f t="shared" si="828"/>
        <v>YAMAHA_Mounter</v>
      </c>
      <c r="AS2785" s="22">
        <f t="shared" si="829"/>
        <v>4</v>
      </c>
      <c r="AT2785" s="24" t="str">
        <f t="shared" si="830"/>
        <v>4-6 months</v>
      </c>
      <c r="AU2785" s="22" t="s">
        <v>3745</v>
      </c>
    </row>
    <row r="2786" spans="1:47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53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1706</v>
      </c>
      <c r="K2786" s="155" t="s">
        <v>1707</v>
      </c>
      <c r="L2786" s="17" t="s">
        <v>92</v>
      </c>
      <c r="M2786" s="13" t="s">
        <v>60</v>
      </c>
      <c r="N2786" s="13">
        <v>1</v>
      </c>
      <c r="O2786" s="13"/>
      <c r="P2786" s="33" t="str">
        <f t="shared" si="832"/>
        <v>MAIN UNIT</v>
      </c>
      <c r="Q2786" s="13" t="s">
        <v>61</v>
      </c>
      <c r="R2786" s="13" t="s">
        <v>62</v>
      </c>
      <c r="S2786" s="13" t="s">
        <v>49</v>
      </c>
      <c r="T2786" s="13" t="s">
        <v>78</v>
      </c>
      <c r="U2786" s="13" t="s">
        <v>79</v>
      </c>
      <c r="V2786" s="13" t="s">
        <v>121</v>
      </c>
      <c r="W2786" s="13" t="s">
        <v>109</v>
      </c>
      <c r="X2786" s="135">
        <v>12000000</v>
      </c>
      <c r="Y2786" s="157" t="str">
        <f t="shared" si="833"/>
        <v>1</v>
      </c>
      <c r="Z2786" s="18">
        <f t="shared" si="831"/>
        <v>12000000</v>
      </c>
      <c r="AA2786" s="13">
        <v>7.2800000000000004E-2</v>
      </c>
      <c r="AB2786" s="21">
        <f t="shared" si="817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18"/>
        <v>63006605.696460173</v>
      </c>
      <c r="AJ2786" s="19">
        <f t="shared" si="819"/>
        <v>8897485.660753984</v>
      </c>
      <c r="AK2786" s="20">
        <f t="shared" si="825"/>
        <v>0.141215124388995</v>
      </c>
      <c r="AL2786" s="17"/>
      <c r="AM2786" s="17"/>
      <c r="AN2786" s="17"/>
      <c r="AO2786" s="17"/>
      <c r="AP2786" s="28" t="str">
        <f t="shared" si="826"/>
        <v>20215</v>
      </c>
      <c r="AQ2786" s="28" t="str">
        <f t="shared" si="827"/>
        <v>20215JPY</v>
      </c>
      <c r="AR2786" s="206" t="str">
        <f t="shared" si="828"/>
        <v>YAMAHA_Mounter</v>
      </c>
      <c r="AS2786" s="22">
        <f t="shared" si="829"/>
        <v>4</v>
      </c>
      <c r="AT2786" s="24" t="str">
        <f t="shared" si="830"/>
        <v>4-6 months</v>
      </c>
      <c r="AU2786" s="22" t="s">
        <v>3745</v>
      </c>
    </row>
    <row r="2787" spans="1:47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53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1706</v>
      </c>
      <c r="K2787" s="155" t="s">
        <v>1707</v>
      </c>
      <c r="L2787" s="17" t="s">
        <v>67</v>
      </c>
      <c r="M2787" s="13" t="s">
        <v>60</v>
      </c>
      <c r="N2787" s="13">
        <v>1</v>
      </c>
      <c r="O2787" s="13"/>
      <c r="P2787" s="33" t="str">
        <f t="shared" si="832"/>
        <v>MAIN UNIT</v>
      </c>
      <c r="Q2787" s="13" t="s">
        <v>61</v>
      </c>
      <c r="R2787" s="13" t="s">
        <v>62</v>
      </c>
      <c r="S2787" s="13" t="s">
        <v>49</v>
      </c>
      <c r="T2787" s="13" t="s">
        <v>78</v>
      </c>
      <c r="U2787" s="13" t="s">
        <v>79</v>
      </c>
      <c r="V2787" s="13" t="s">
        <v>121</v>
      </c>
      <c r="W2787" s="13" t="s">
        <v>109</v>
      </c>
      <c r="X2787" s="135">
        <v>9300000</v>
      </c>
      <c r="Y2787" s="157" t="str">
        <f t="shared" si="833"/>
        <v>1</v>
      </c>
      <c r="Z2787" s="18">
        <f t="shared" si="831"/>
        <v>9300000</v>
      </c>
      <c r="AA2787" s="13">
        <v>7.2800000000000004E-2</v>
      </c>
      <c r="AB2787" s="21">
        <f t="shared" si="817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18"/>
        <v>63006605.696460173</v>
      </c>
      <c r="AJ2787" s="19">
        <f t="shared" si="819"/>
        <v>8897485.660753984</v>
      </c>
      <c r="AK2787" s="20">
        <f t="shared" si="825"/>
        <v>0.141215124388995</v>
      </c>
      <c r="AL2787" s="17"/>
      <c r="AM2787" s="17"/>
      <c r="AN2787" s="17"/>
      <c r="AO2787" s="17"/>
      <c r="AP2787" s="28" t="str">
        <f t="shared" si="826"/>
        <v>20215</v>
      </c>
      <c r="AQ2787" s="28" t="str">
        <f t="shared" si="827"/>
        <v>20215JPY</v>
      </c>
      <c r="AR2787" s="206" t="str">
        <f t="shared" si="828"/>
        <v>YAMAHA_Mounter</v>
      </c>
      <c r="AS2787" s="22">
        <f t="shared" si="829"/>
        <v>4</v>
      </c>
      <c r="AT2787" s="24" t="str">
        <f t="shared" si="830"/>
        <v>4-6 months</v>
      </c>
      <c r="AU2787" s="22" t="s">
        <v>3745</v>
      </c>
    </row>
    <row r="2788" spans="1:47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53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1706</v>
      </c>
      <c r="K2788" s="155" t="s">
        <v>1707</v>
      </c>
      <c r="L2788" s="17" t="s">
        <v>67</v>
      </c>
      <c r="M2788" s="13" t="s">
        <v>60</v>
      </c>
      <c r="N2788" s="13">
        <v>1</v>
      </c>
      <c r="O2788" s="13"/>
      <c r="P2788" s="33" t="str">
        <f t="shared" si="832"/>
        <v>MAIN UNIT</v>
      </c>
      <c r="Q2788" s="13" t="s">
        <v>61</v>
      </c>
      <c r="R2788" s="13" t="s">
        <v>62</v>
      </c>
      <c r="S2788" s="13" t="s">
        <v>49</v>
      </c>
      <c r="T2788" s="13" t="s">
        <v>78</v>
      </c>
      <c r="U2788" s="13" t="s">
        <v>79</v>
      </c>
      <c r="V2788" s="13" t="s">
        <v>121</v>
      </c>
      <c r="W2788" s="13" t="s">
        <v>109</v>
      </c>
      <c r="X2788" s="135">
        <v>9300000</v>
      </c>
      <c r="Y2788" s="157" t="str">
        <f t="shared" si="833"/>
        <v>1</v>
      </c>
      <c r="Z2788" s="18">
        <f t="shared" si="831"/>
        <v>9300000</v>
      </c>
      <c r="AA2788" s="13">
        <v>7.2800000000000004E-2</v>
      </c>
      <c r="AB2788" s="21">
        <f t="shared" si="817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18"/>
        <v>63006605.696460173</v>
      </c>
      <c r="AJ2788" s="19">
        <f t="shared" si="819"/>
        <v>8897485.660753984</v>
      </c>
      <c r="AK2788" s="20">
        <f t="shared" si="825"/>
        <v>0.141215124388995</v>
      </c>
      <c r="AL2788" s="17"/>
      <c r="AM2788" s="17"/>
      <c r="AN2788" s="17"/>
      <c r="AO2788" s="17"/>
      <c r="AP2788" s="28" t="str">
        <f t="shared" si="826"/>
        <v>20215</v>
      </c>
      <c r="AQ2788" s="28" t="str">
        <f t="shared" si="827"/>
        <v>20215JPY</v>
      </c>
      <c r="AR2788" s="206" t="str">
        <f t="shared" si="828"/>
        <v>YAMAHA_Mounter</v>
      </c>
      <c r="AS2788" s="22">
        <f t="shared" si="829"/>
        <v>4</v>
      </c>
      <c r="AT2788" s="24" t="str">
        <f t="shared" si="830"/>
        <v>4-6 months</v>
      </c>
      <c r="AU2788" s="22" t="s">
        <v>3745</v>
      </c>
    </row>
    <row r="2789" spans="1:47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53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1706</v>
      </c>
      <c r="K2789" s="155" t="s">
        <v>1707</v>
      </c>
      <c r="L2789" s="17" t="s">
        <v>67</v>
      </c>
      <c r="M2789" s="13" t="s">
        <v>60</v>
      </c>
      <c r="N2789" s="13">
        <v>1</v>
      </c>
      <c r="O2789" s="13"/>
      <c r="P2789" s="33" t="str">
        <f t="shared" si="832"/>
        <v>MAIN UNIT</v>
      </c>
      <c r="Q2789" s="13" t="s">
        <v>61</v>
      </c>
      <c r="R2789" s="13" t="s">
        <v>62</v>
      </c>
      <c r="S2789" s="13" t="s">
        <v>49</v>
      </c>
      <c r="T2789" s="13" t="s">
        <v>78</v>
      </c>
      <c r="U2789" s="13" t="s">
        <v>79</v>
      </c>
      <c r="V2789" s="13" t="s">
        <v>121</v>
      </c>
      <c r="W2789" s="13" t="s">
        <v>109</v>
      </c>
      <c r="X2789" s="135">
        <v>9300000</v>
      </c>
      <c r="Y2789" s="157" t="str">
        <f t="shared" si="833"/>
        <v>1</v>
      </c>
      <c r="Z2789" s="18">
        <f t="shared" si="831"/>
        <v>9300000</v>
      </c>
      <c r="AA2789" s="13">
        <v>7.2800000000000004E-2</v>
      </c>
      <c r="AB2789" s="21">
        <f t="shared" si="817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18"/>
        <v>63006605.696460173</v>
      </c>
      <c r="AJ2789" s="19">
        <f t="shared" si="819"/>
        <v>8897485.660753984</v>
      </c>
      <c r="AK2789" s="20">
        <f t="shared" si="825"/>
        <v>0.141215124388995</v>
      </c>
      <c r="AL2789" s="17"/>
      <c r="AM2789" s="17"/>
      <c r="AN2789" s="17"/>
      <c r="AO2789" s="17"/>
      <c r="AP2789" s="28" t="str">
        <f t="shared" si="826"/>
        <v>20215</v>
      </c>
      <c r="AQ2789" s="28" t="str">
        <f t="shared" si="827"/>
        <v>20215JPY</v>
      </c>
      <c r="AR2789" s="206" t="str">
        <f t="shared" si="828"/>
        <v>YAMAHA_Mounter</v>
      </c>
      <c r="AS2789" s="22">
        <f t="shared" si="829"/>
        <v>4</v>
      </c>
      <c r="AT2789" s="24" t="str">
        <f t="shared" si="830"/>
        <v>4-6 months</v>
      </c>
      <c r="AU2789" s="22" t="s">
        <v>3745</v>
      </c>
    </row>
    <row r="2790" spans="1:47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3402</v>
      </c>
      <c r="K2790" s="29" t="s">
        <v>1970</v>
      </c>
      <c r="L2790" s="17" t="s">
        <v>92</v>
      </c>
      <c r="M2790" s="22" t="s">
        <v>60</v>
      </c>
      <c r="N2790" s="22">
        <v>1</v>
      </c>
      <c r="O2790" s="22"/>
      <c r="P2790" s="33" t="str">
        <f t="shared" si="832"/>
        <v>MAIN UNIT</v>
      </c>
      <c r="Q2790" s="13" t="s">
        <v>61</v>
      </c>
      <c r="R2790" s="22" t="s">
        <v>62</v>
      </c>
      <c r="S2790" s="22" t="s">
        <v>49</v>
      </c>
      <c r="T2790" s="22" t="s">
        <v>78</v>
      </c>
      <c r="U2790" s="22" t="s">
        <v>3405</v>
      </c>
      <c r="V2790" s="22" t="s">
        <v>121</v>
      </c>
      <c r="W2790" s="22" t="s">
        <v>109</v>
      </c>
      <c r="X2790" s="30">
        <v>15000000</v>
      </c>
      <c r="Y2790" s="31" t="str">
        <f>IF(W2790="","",IF(W2790="RMB","1.13", "1"))</f>
        <v>1</v>
      </c>
      <c r="Z2790" s="18">
        <f t="shared" si="831"/>
        <v>15000000</v>
      </c>
      <c r="AA2790" s="22">
        <v>5.2299999999999999E-2</v>
      </c>
      <c r="AB2790" s="21">
        <f t="shared" si="817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18"/>
        <v>25354039.366920356</v>
      </c>
      <c r="AJ2790" s="27">
        <f t="shared" si="819"/>
        <v>3028631.2816309328</v>
      </c>
      <c r="AK2790" s="28">
        <f t="shared" si="825"/>
        <v>0.11945360018579192</v>
      </c>
      <c r="AL2790" s="24"/>
      <c r="AM2790" s="24"/>
      <c r="AN2790" s="24"/>
      <c r="AO2790" s="24"/>
      <c r="AP2790" s="28" t="str">
        <f t="shared" si="826"/>
        <v>20248</v>
      </c>
      <c r="AQ2790" s="28" t="str">
        <f t="shared" si="827"/>
        <v>20248JPY</v>
      </c>
      <c r="AR2790" s="206" t="str">
        <f t="shared" si="828"/>
        <v>YAMAHA_Mounter</v>
      </c>
      <c r="AS2790" s="22">
        <f t="shared" si="829"/>
        <v>4</v>
      </c>
      <c r="AT2790" s="24" t="str">
        <f t="shared" si="830"/>
        <v>4-6 months</v>
      </c>
      <c r="AU2790" s="22" t="s">
        <v>3746</v>
      </c>
    </row>
    <row r="2791" spans="1:47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185</v>
      </c>
      <c r="G2791" s="152" t="s">
        <v>185</v>
      </c>
      <c r="H2791" s="29"/>
      <c r="I2791" s="33" t="str">
        <f t="shared" si="822"/>
        <v>Cancel</v>
      </c>
      <c r="J2791" s="188" t="s">
        <v>3173</v>
      </c>
      <c r="K2791" s="29" t="s">
        <v>3174</v>
      </c>
      <c r="L2791" s="17" t="s">
        <v>67</v>
      </c>
      <c r="M2791" s="22" t="s">
        <v>60</v>
      </c>
      <c r="N2791" s="22">
        <v>1</v>
      </c>
      <c r="O2791" s="22"/>
      <c r="P2791" s="33" t="str">
        <f t="shared" si="832"/>
        <v>MAIN UNIT</v>
      </c>
      <c r="Q2791" s="13" t="s">
        <v>68</v>
      </c>
      <c r="R2791" s="22" t="s">
        <v>62</v>
      </c>
      <c r="S2791" s="22" t="s">
        <v>49</v>
      </c>
      <c r="T2791" s="22" t="s">
        <v>1071</v>
      </c>
      <c r="U2791" s="22" t="s">
        <v>2110</v>
      </c>
      <c r="V2791" s="22" t="s">
        <v>121</v>
      </c>
      <c r="W2791" s="22" t="s">
        <v>64</v>
      </c>
      <c r="X2791" s="30">
        <v>600000</v>
      </c>
      <c r="Y2791" s="31" t="str">
        <f>IF(W2791="","",IF(W2791="RMB","1.13", "1"))</f>
        <v>1.13</v>
      </c>
      <c r="Z2791" s="18">
        <f t="shared" si="831"/>
        <v>600000</v>
      </c>
      <c r="AA2791" s="22">
        <v>1.0640000000000001</v>
      </c>
      <c r="AB2791" s="21">
        <f t="shared" si="817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18"/>
        <v>499582152.5142017</v>
      </c>
      <c r="AJ2791" s="27">
        <f t="shared" si="819"/>
        <v>59520528.679470733</v>
      </c>
      <c r="AK2791" s="28">
        <f t="shared" si="825"/>
        <v>0.11914062257814291</v>
      </c>
      <c r="AL2791" s="24"/>
      <c r="AM2791" s="24"/>
      <c r="AN2791" s="24"/>
      <c r="AO2791" s="24"/>
      <c r="AP2791" s="28" t="str">
        <f t="shared" si="826"/>
        <v>CancelCancel</v>
      </c>
      <c r="AQ2791" s="28" t="str">
        <f t="shared" si="827"/>
        <v>CancelCancelRMB</v>
      </c>
      <c r="AR2791" s="206" t="str">
        <f t="shared" si="828"/>
        <v>YAMAHA_Mounter</v>
      </c>
      <c r="AS2791" s="22" t="str">
        <f t="shared" si="829"/>
        <v/>
      </c>
      <c r="AT2791" s="24" t="str">
        <f t="shared" si="830"/>
        <v/>
      </c>
      <c r="AU2791" s="22" t="s">
        <v>3751</v>
      </c>
    </row>
    <row r="2792" spans="1:47" s="12" customFormat="1">
      <c r="A2792" s="33" t="str">
        <f t="shared" si="820"/>
        <v>cancel</v>
      </c>
      <c r="B2792" s="152"/>
      <c r="C2792" s="152" t="s">
        <v>185</v>
      </c>
      <c r="D2792" s="33" t="str">
        <f t="shared" si="821"/>
        <v/>
      </c>
      <c r="E2792" s="33" t="s">
        <v>185</v>
      </c>
      <c r="F2792" s="13" t="s">
        <v>185</v>
      </c>
      <c r="G2792" s="152" t="s">
        <v>185</v>
      </c>
      <c r="H2792" s="155"/>
      <c r="I2792" s="33" t="str">
        <f t="shared" si="822"/>
        <v>Cancel</v>
      </c>
      <c r="J2792" s="186" t="s">
        <v>2734</v>
      </c>
      <c r="K2792" s="155" t="s">
        <v>2735</v>
      </c>
      <c r="L2792" s="17" t="s">
        <v>92</v>
      </c>
      <c r="M2792" s="13" t="s">
        <v>60</v>
      </c>
      <c r="N2792" s="13">
        <v>1</v>
      </c>
      <c r="O2792" s="13"/>
      <c r="P2792" s="33" t="str">
        <f t="shared" si="832"/>
        <v>MAIN UNIT</v>
      </c>
      <c r="Q2792" s="13" t="s">
        <v>68</v>
      </c>
      <c r="R2792" s="13" t="s">
        <v>62</v>
      </c>
      <c r="S2792" s="13" t="s">
        <v>49</v>
      </c>
      <c r="T2792" s="13" t="s">
        <v>249</v>
      </c>
      <c r="U2792" s="13" t="s">
        <v>79</v>
      </c>
      <c r="V2792" s="13" t="s">
        <v>80</v>
      </c>
      <c r="W2792" s="13" t="s">
        <v>109</v>
      </c>
      <c r="X2792" s="135">
        <v>14000000</v>
      </c>
      <c r="Y2792" s="157" t="str">
        <f t="shared" ref="Y2792:Y2801" si="834">IF(W2792="RMB","1.13", "1")</f>
        <v>1</v>
      </c>
      <c r="Z2792" s="18">
        <f t="shared" si="831"/>
        <v>14000000</v>
      </c>
      <c r="AA2792" s="13">
        <v>7.3999999999999996E-2</v>
      </c>
      <c r="AB2792" s="21">
        <f t="shared" si="817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18"/>
        <v>499582152.5142017</v>
      </c>
      <c r="AJ2792" s="19">
        <f t="shared" si="819"/>
        <v>59520528.679470733</v>
      </c>
      <c r="AK2792" s="20">
        <f t="shared" si="825"/>
        <v>0.11914062257814291</v>
      </c>
      <c r="AL2792" s="17"/>
      <c r="AM2792" s="17"/>
      <c r="AN2792" s="17"/>
      <c r="AO2792" s="17"/>
      <c r="AP2792" s="28" t="str">
        <f t="shared" si="826"/>
        <v>CancelCancel</v>
      </c>
      <c r="AQ2792" s="28" t="str">
        <f t="shared" si="827"/>
        <v>CancelCancelJPY</v>
      </c>
      <c r="AR2792" s="206" t="str">
        <f t="shared" si="828"/>
        <v>YAMAHA_Mounter</v>
      </c>
      <c r="AS2792" s="22" t="str">
        <f t="shared" si="829"/>
        <v/>
      </c>
      <c r="AT2792" s="24" t="str">
        <f t="shared" si="830"/>
        <v/>
      </c>
      <c r="AU2792" s="22" t="s">
        <v>3745</v>
      </c>
    </row>
    <row r="2793" spans="1:47" s="12" customFormat="1">
      <c r="A2793" s="33" t="str">
        <f t="shared" si="820"/>
        <v>cancel</v>
      </c>
      <c r="B2793" s="152"/>
      <c r="C2793" s="152" t="s">
        <v>185</v>
      </c>
      <c r="D2793" s="33" t="str">
        <f t="shared" si="821"/>
        <v/>
      </c>
      <c r="E2793" s="33" t="s">
        <v>185</v>
      </c>
      <c r="F2793" s="13" t="s">
        <v>185</v>
      </c>
      <c r="G2793" s="152" t="s">
        <v>185</v>
      </c>
      <c r="H2793" s="155"/>
      <c r="I2793" s="33" t="str">
        <f t="shared" si="822"/>
        <v>Cancel</v>
      </c>
      <c r="J2793" s="186" t="s">
        <v>2736</v>
      </c>
      <c r="K2793" s="155" t="s">
        <v>2735</v>
      </c>
      <c r="L2793" s="17" t="s">
        <v>67</v>
      </c>
      <c r="M2793" s="13" t="s">
        <v>60</v>
      </c>
      <c r="N2793" s="13">
        <v>1</v>
      </c>
      <c r="O2793" s="13"/>
      <c r="P2793" s="33" t="str">
        <f t="shared" si="832"/>
        <v>MAIN UNIT</v>
      </c>
      <c r="Q2793" s="13" t="s">
        <v>68</v>
      </c>
      <c r="R2793" s="13" t="s">
        <v>62</v>
      </c>
      <c r="S2793" s="13" t="s">
        <v>49</v>
      </c>
      <c r="T2793" s="13" t="s">
        <v>249</v>
      </c>
      <c r="U2793" s="13" t="s">
        <v>79</v>
      </c>
      <c r="V2793" s="13" t="s">
        <v>80</v>
      </c>
      <c r="W2793" s="13" t="s">
        <v>109</v>
      </c>
      <c r="X2793" s="135">
        <v>10500000</v>
      </c>
      <c r="Y2793" s="157" t="str">
        <f t="shared" si="834"/>
        <v>1</v>
      </c>
      <c r="Z2793" s="18">
        <f t="shared" si="831"/>
        <v>10500000</v>
      </c>
      <c r="AA2793" s="13">
        <v>7.3999999999999996E-2</v>
      </c>
      <c r="AB2793" s="21">
        <f t="shared" si="817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18"/>
        <v>499582152.5142017</v>
      </c>
      <c r="AJ2793" s="19">
        <f t="shared" si="819"/>
        <v>59520528.679470733</v>
      </c>
      <c r="AK2793" s="20">
        <f t="shared" si="825"/>
        <v>0.11914062257814291</v>
      </c>
      <c r="AL2793" s="17"/>
      <c r="AM2793" s="17"/>
      <c r="AN2793" s="17"/>
      <c r="AO2793" s="17"/>
      <c r="AP2793" s="28" t="str">
        <f t="shared" si="826"/>
        <v>CancelCancel</v>
      </c>
      <c r="AQ2793" s="28" t="str">
        <f t="shared" si="827"/>
        <v>CancelCancelJPY</v>
      </c>
      <c r="AR2793" s="206" t="str">
        <f t="shared" si="828"/>
        <v>YAMAHA_Mounter</v>
      </c>
      <c r="AS2793" s="22" t="str">
        <f t="shared" si="829"/>
        <v/>
      </c>
      <c r="AT2793" s="24" t="str">
        <f t="shared" si="830"/>
        <v/>
      </c>
      <c r="AU2793" s="22" t="s">
        <v>3745</v>
      </c>
    </row>
    <row r="2794" spans="1:47" s="12" customFormat="1">
      <c r="A2794" s="33" t="str">
        <f t="shared" si="820"/>
        <v>cancel</v>
      </c>
      <c r="B2794" s="152"/>
      <c r="C2794" s="152" t="s">
        <v>185</v>
      </c>
      <c r="D2794" s="33" t="str">
        <f t="shared" si="821"/>
        <v/>
      </c>
      <c r="E2794" s="33" t="s">
        <v>185</v>
      </c>
      <c r="F2794" s="13" t="s">
        <v>185</v>
      </c>
      <c r="G2794" s="152" t="s">
        <v>185</v>
      </c>
      <c r="H2794" s="155"/>
      <c r="I2794" s="33" t="str">
        <f t="shared" si="822"/>
        <v>Cancel</v>
      </c>
      <c r="J2794" s="186" t="s">
        <v>2734</v>
      </c>
      <c r="K2794" s="155" t="s">
        <v>2735</v>
      </c>
      <c r="L2794" s="17" t="s">
        <v>92</v>
      </c>
      <c r="M2794" s="13" t="s">
        <v>60</v>
      </c>
      <c r="N2794" s="13">
        <v>2</v>
      </c>
      <c r="O2794" s="13"/>
      <c r="P2794" s="33" t="str">
        <f t="shared" si="832"/>
        <v>MAIN UNIT</v>
      </c>
      <c r="Q2794" s="13" t="s">
        <v>68</v>
      </c>
      <c r="R2794" s="13" t="s">
        <v>62</v>
      </c>
      <c r="S2794" s="13" t="s">
        <v>49</v>
      </c>
      <c r="T2794" s="13" t="s">
        <v>249</v>
      </c>
      <c r="U2794" s="13" t="s">
        <v>79</v>
      </c>
      <c r="V2794" s="13" t="s">
        <v>80</v>
      </c>
      <c r="W2794" s="13" t="s">
        <v>109</v>
      </c>
      <c r="X2794" s="135">
        <v>14000000</v>
      </c>
      <c r="Y2794" s="157" t="str">
        <f t="shared" si="834"/>
        <v>1</v>
      </c>
      <c r="Z2794" s="18">
        <f t="shared" si="831"/>
        <v>28000000</v>
      </c>
      <c r="AA2794" s="13">
        <v>7.3999999999999996E-2</v>
      </c>
      <c r="AB2794" s="21">
        <f t="shared" si="817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18"/>
        <v>499582152.5142017</v>
      </c>
      <c r="AJ2794" s="19">
        <f t="shared" si="819"/>
        <v>59520528.679470733</v>
      </c>
      <c r="AK2794" s="20">
        <f t="shared" si="825"/>
        <v>0.11914062257814291</v>
      </c>
      <c r="AL2794" s="17"/>
      <c r="AM2794" s="17"/>
      <c r="AN2794" s="17"/>
      <c r="AO2794" s="17"/>
      <c r="AP2794" s="28" t="str">
        <f t="shared" si="826"/>
        <v>CancelCancel</v>
      </c>
      <c r="AQ2794" s="28" t="str">
        <f t="shared" si="827"/>
        <v>CancelCancelJPY</v>
      </c>
      <c r="AR2794" s="206" t="str">
        <f t="shared" si="828"/>
        <v>YAMAHA_Mounter</v>
      </c>
      <c r="AS2794" s="22" t="str">
        <f t="shared" si="829"/>
        <v/>
      </c>
      <c r="AT2794" s="24" t="str">
        <f t="shared" si="830"/>
        <v/>
      </c>
      <c r="AU2794" s="22" t="s">
        <v>3745</v>
      </c>
    </row>
    <row r="2795" spans="1:47" s="12" customFormat="1">
      <c r="A2795" s="33" t="str">
        <f t="shared" si="820"/>
        <v>cancel</v>
      </c>
      <c r="B2795" s="152"/>
      <c r="C2795" s="152" t="s">
        <v>185</v>
      </c>
      <c r="D2795" s="33" t="str">
        <f t="shared" si="821"/>
        <v/>
      </c>
      <c r="E2795" s="33" t="s">
        <v>185</v>
      </c>
      <c r="F2795" s="13" t="s">
        <v>185</v>
      </c>
      <c r="G2795" s="152" t="s">
        <v>185</v>
      </c>
      <c r="H2795" s="155"/>
      <c r="I2795" s="33" t="str">
        <f t="shared" si="822"/>
        <v>Cancel</v>
      </c>
      <c r="J2795" s="186" t="s">
        <v>2734</v>
      </c>
      <c r="K2795" s="155" t="s">
        <v>2735</v>
      </c>
      <c r="L2795" s="17" t="s">
        <v>92</v>
      </c>
      <c r="M2795" s="13" t="s">
        <v>60</v>
      </c>
      <c r="N2795" s="13">
        <v>3</v>
      </c>
      <c r="O2795" s="13"/>
      <c r="P2795" s="33" t="str">
        <f t="shared" si="832"/>
        <v>MAIN UNIT</v>
      </c>
      <c r="Q2795" s="13" t="s">
        <v>68</v>
      </c>
      <c r="R2795" s="13" t="s">
        <v>62</v>
      </c>
      <c r="S2795" s="13" t="s">
        <v>49</v>
      </c>
      <c r="T2795" s="13" t="s">
        <v>249</v>
      </c>
      <c r="U2795" s="13" t="s">
        <v>79</v>
      </c>
      <c r="V2795" s="13" t="s">
        <v>80</v>
      </c>
      <c r="W2795" s="13" t="s">
        <v>109</v>
      </c>
      <c r="X2795" s="135">
        <v>14000000</v>
      </c>
      <c r="Y2795" s="157" t="str">
        <f t="shared" si="834"/>
        <v>1</v>
      </c>
      <c r="Z2795" s="18">
        <f t="shared" si="831"/>
        <v>42000000</v>
      </c>
      <c r="AA2795" s="13">
        <v>7.3400000000000007E-2</v>
      </c>
      <c r="AB2795" s="21">
        <f t="shared" si="817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18"/>
        <v>499582152.5142017</v>
      </c>
      <c r="AJ2795" s="19">
        <f t="shared" si="819"/>
        <v>59520528.679470733</v>
      </c>
      <c r="AK2795" s="20">
        <f t="shared" si="825"/>
        <v>0.11914062257814291</v>
      </c>
      <c r="AL2795" s="17"/>
      <c r="AM2795" s="17"/>
      <c r="AN2795" s="17"/>
      <c r="AO2795" s="17"/>
      <c r="AP2795" s="28" t="str">
        <f t="shared" si="826"/>
        <v>CancelCancel</v>
      </c>
      <c r="AQ2795" s="28" t="str">
        <f t="shared" si="827"/>
        <v>CancelCancelJPY</v>
      </c>
      <c r="AR2795" s="206" t="str">
        <f t="shared" si="828"/>
        <v>YAMAHA_Mounter</v>
      </c>
      <c r="AS2795" s="22" t="str">
        <f t="shared" si="829"/>
        <v/>
      </c>
      <c r="AT2795" s="24" t="str">
        <f t="shared" si="830"/>
        <v/>
      </c>
      <c r="AU2795" s="22" t="s">
        <v>3745</v>
      </c>
    </row>
    <row r="2796" spans="1:47" s="12" customFormat="1">
      <c r="A2796" s="33" t="str">
        <f t="shared" si="820"/>
        <v>cancel</v>
      </c>
      <c r="B2796" s="152"/>
      <c r="C2796" s="152" t="s">
        <v>185</v>
      </c>
      <c r="D2796" s="33" t="str">
        <f t="shared" si="821"/>
        <v/>
      </c>
      <c r="E2796" s="33" t="s">
        <v>185</v>
      </c>
      <c r="F2796" s="13" t="s">
        <v>185</v>
      </c>
      <c r="G2796" s="152" t="s">
        <v>185</v>
      </c>
      <c r="H2796" s="155"/>
      <c r="I2796" s="33" t="str">
        <f t="shared" si="822"/>
        <v>Cancel</v>
      </c>
      <c r="J2796" s="186" t="s">
        <v>2734</v>
      </c>
      <c r="K2796" s="155" t="s">
        <v>2735</v>
      </c>
      <c r="L2796" s="17" t="s">
        <v>67</v>
      </c>
      <c r="M2796" s="13" t="s">
        <v>60</v>
      </c>
      <c r="N2796" s="13">
        <v>1</v>
      </c>
      <c r="O2796" s="13"/>
      <c r="P2796" s="33" t="str">
        <f t="shared" si="832"/>
        <v>MAIN UNIT</v>
      </c>
      <c r="Q2796" s="13" t="s">
        <v>68</v>
      </c>
      <c r="R2796" s="13" t="s">
        <v>62</v>
      </c>
      <c r="S2796" s="13" t="s">
        <v>49</v>
      </c>
      <c r="T2796" s="13" t="s">
        <v>249</v>
      </c>
      <c r="U2796" s="13" t="s">
        <v>79</v>
      </c>
      <c r="V2796" s="13" t="s">
        <v>80</v>
      </c>
      <c r="W2796" s="13" t="s">
        <v>109</v>
      </c>
      <c r="X2796" s="135">
        <v>10500000</v>
      </c>
      <c r="Y2796" s="157" t="str">
        <f t="shared" si="834"/>
        <v>1</v>
      </c>
      <c r="Z2796" s="18">
        <f t="shared" si="831"/>
        <v>10500000</v>
      </c>
      <c r="AA2796" s="13">
        <v>7.3999999999999996E-2</v>
      </c>
      <c r="AB2796" s="21">
        <f t="shared" si="817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18"/>
        <v>499582152.5142017</v>
      </c>
      <c r="AJ2796" s="19">
        <f t="shared" si="819"/>
        <v>59520528.679470733</v>
      </c>
      <c r="AK2796" s="20">
        <f t="shared" si="825"/>
        <v>0.11914062257814291</v>
      </c>
      <c r="AL2796" s="17"/>
      <c r="AM2796" s="17"/>
      <c r="AN2796" s="17"/>
      <c r="AO2796" s="17"/>
      <c r="AP2796" s="28" t="str">
        <f t="shared" si="826"/>
        <v>CancelCancel</v>
      </c>
      <c r="AQ2796" s="28" t="str">
        <f t="shared" si="827"/>
        <v>CancelCancelJPY</v>
      </c>
      <c r="AR2796" s="206" t="str">
        <f t="shared" si="828"/>
        <v>YAMAHA_Mounter</v>
      </c>
      <c r="AS2796" s="22" t="str">
        <f t="shared" si="829"/>
        <v/>
      </c>
      <c r="AT2796" s="24" t="str">
        <f t="shared" si="830"/>
        <v/>
      </c>
      <c r="AU2796" s="22" t="s">
        <v>3745</v>
      </c>
    </row>
    <row r="2797" spans="1:47" s="12" customFormat="1">
      <c r="A2797" s="33" t="str">
        <f t="shared" si="820"/>
        <v>cancel</v>
      </c>
      <c r="B2797" s="152"/>
      <c r="C2797" s="152" t="s">
        <v>185</v>
      </c>
      <c r="D2797" s="33" t="str">
        <f t="shared" si="821"/>
        <v/>
      </c>
      <c r="E2797" s="33" t="s">
        <v>185</v>
      </c>
      <c r="F2797" s="13" t="s">
        <v>185</v>
      </c>
      <c r="G2797" s="152" t="s">
        <v>185</v>
      </c>
      <c r="H2797" s="155"/>
      <c r="I2797" s="33" t="str">
        <f t="shared" si="822"/>
        <v>Cancel</v>
      </c>
      <c r="J2797" s="186" t="s">
        <v>2734</v>
      </c>
      <c r="K2797" s="155" t="s">
        <v>2735</v>
      </c>
      <c r="L2797" s="17" t="s">
        <v>67</v>
      </c>
      <c r="M2797" s="13" t="s">
        <v>60</v>
      </c>
      <c r="N2797" s="13">
        <v>2</v>
      </c>
      <c r="O2797" s="13"/>
      <c r="P2797" s="33" t="str">
        <f t="shared" si="832"/>
        <v>MAIN UNIT</v>
      </c>
      <c r="Q2797" s="13" t="s">
        <v>68</v>
      </c>
      <c r="R2797" s="13" t="s">
        <v>62</v>
      </c>
      <c r="S2797" s="13" t="s">
        <v>49</v>
      </c>
      <c r="T2797" s="13" t="s">
        <v>249</v>
      </c>
      <c r="U2797" s="13" t="s">
        <v>79</v>
      </c>
      <c r="V2797" s="13" t="s">
        <v>80</v>
      </c>
      <c r="W2797" s="13" t="s">
        <v>109</v>
      </c>
      <c r="X2797" s="135">
        <v>10500000</v>
      </c>
      <c r="Y2797" s="157" t="str">
        <f t="shared" si="834"/>
        <v>1</v>
      </c>
      <c r="Z2797" s="18">
        <f t="shared" si="831"/>
        <v>21000000</v>
      </c>
      <c r="AA2797" s="13">
        <v>7.3999999999999996E-2</v>
      </c>
      <c r="AB2797" s="21">
        <f t="shared" si="817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18"/>
        <v>499582152.5142017</v>
      </c>
      <c r="AJ2797" s="19">
        <f t="shared" si="819"/>
        <v>59520528.679470733</v>
      </c>
      <c r="AK2797" s="20">
        <f t="shared" si="825"/>
        <v>0.11914062257814291</v>
      </c>
      <c r="AL2797" s="17"/>
      <c r="AM2797" s="17"/>
      <c r="AN2797" s="17"/>
      <c r="AO2797" s="17"/>
      <c r="AP2797" s="28" t="str">
        <f t="shared" si="826"/>
        <v>CancelCancel</v>
      </c>
      <c r="AQ2797" s="28" t="str">
        <f t="shared" si="827"/>
        <v>CancelCancelJPY</v>
      </c>
      <c r="AR2797" s="206" t="str">
        <f t="shared" si="828"/>
        <v>YAMAHA_Mounter</v>
      </c>
      <c r="AS2797" s="22" t="str">
        <f t="shared" si="829"/>
        <v/>
      </c>
      <c r="AT2797" s="24" t="str">
        <f t="shared" si="830"/>
        <v/>
      </c>
      <c r="AU2797" s="22" t="s">
        <v>3745</v>
      </c>
    </row>
    <row r="2798" spans="1:47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185</v>
      </c>
      <c r="F2798" s="13" t="s">
        <v>185</v>
      </c>
      <c r="G2798" s="152" t="s">
        <v>185</v>
      </c>
      <c r="H2798" s="155"/>
      <c r="I2798" s="33" t="str">
        <f t="shared" si="822"/>
        <v>Cancel</v>
      </c>
      <c r="J2798" s="186" t="s">
        <v>2624</v>
      </c>
      <c r="K2798" s="155" t="s">
        <v>2625</v>
      </c>
      <c r="L2798" s="17" t="s">
        <v>92</v>
      </c>
      <c r="M2798" s="13" t="s">
        <v>60</v>
      </c>
      <c r="N2798" s="13">
        <v>1</v>
      </c>
      <c r="O2798" s="13"/>
      <c r="P2798" s="33" t="str">
        <f t="shared" si="832"/>
        <v>MAIN UNIT</v>
      </c>
      <c r="Q2798" s="13" t="s">
        <v>61</v>
      </c>
      <c r="R2798" s="13" t="s">
        <v>62</v>
      </c>
      <c r="S2798" s="13" t="s">
        <v>49</v>
      </c>
      <c r="T2798" s="13" t="s">
        <v>78</v>
      </c>
      <c r="U2798" s="13" t="s">
        <v>79</v>
      </c>
      <c r="V2798" s="13" t="s">
        <v>80</v>
      </c>
      <c r="W2798" s="13" t="s">
        <v>109</v>
      </c>
      <c r="X2798" s="135">
        <v>13500000</v>
      </c>
      <c r="Y2798" s="157" t="str">
        <f t="shared" si="834"/>
        <v>1</v>
      </c>
      <c r="Z2798" s="18">
        <f t="shared" si="831"/>
        <v>13500000</v>
      </c>
      <c r="AA2798" s="13">
        <v>5.4199999999999998E-2</v>
      </c>
      <c r="AB2798" s="21">
        <f t="shared" si="817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18"/>
        <v>499582152.5142017</v>
      </c>
      <c r="AJ2798" s="19">
        <f t="shared" si="819"/>
        <v>59520528.679470733</v>
      </c>
      <c r="AK2798" s="20">
        <f t="shared" si="825"/>
        <v>0.11914062257814291</v>
      </c>
      <c r="AL2798" s="17"/>
      <c r="AM2798" s="17"/>
      <c r="AN2798" s="17"/>
      <c r="AO2798" s="17" t="s">
        <v>2626</v>
      </c>
      <c r="AP2798" s="28" t="str">
        <f t="shared" si="826"/>
        <v>CancelCancel</v>
      </c>
      <c r="AQ2798" s="28" t="str">
        <f t="shared" si="827"/>
        <v>CancelCancelJPY</v>
      </c>
      <c r="AR2798" s="206" t="str">
        <f t="shared" si="828"/>
        <v>YAMAHA_Mounter</v>
      </c>
      <c r="AS2798" s="22" t="str">
        <f t="shared" si="829"/>
        <v/>
      </c>
      <c r="AT2798" s="24" t="str">
        <f t="shared" si="830"/>
        <v/>
      </c>
      <c r="AU2798" s="22" t="s">
        <v>3745</v>
      </c>
    </row>
    <row r="2799" spans="1:47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185</v>
      </c>
      <c r="F2799" s="13" t="s">
        <v>185</v>
      </c>
      <c r="G2799" s="152" t="s">
        <v>185</v>
      </c>
      <c r="H2799" s="155"/>
      <c r="I2799" s="33" t="str">
        <f t="shared" si="822"/>
        <v>Cancel</v>
      </c>
      <c r="J2799" s="186" t="s">
        <v>2624</v>
      </c>
      <c r="K2799" s="155" t="s">
        <v>2625</v>
      </c>
      <c r="L2799" s="17" t="s">
        <v>92</v>
      </c>
      <c r="M2799" s="13" t="s">
        <v>60</v>
      </c>
      <c r="N2799" s="13">
        <v>1</v>
      </c>
      <c r="O2799" s="13"/>
      <c r="P2799" s="33" t="str">
        <f t="shared" si="832"/>
        <v>MAIN UNIT</v>
      </c>
      <c r="Q2799" s="13" t="s">
        <v>61</v>
      </c>
      <c r="R2799" s="13" t="s">
        <v>62</v>
      </c>
      <c r="S2799" s="13" t="s">
        <v>49</v>
      </c>
      <c r="T2799" s="13" t="s">
        <v>78</v>
      </c>
      <c r="U2799" s="13" t="s">
        <v>79</v>
      </c>
      <c r="V2799" s="13" t="s">
        <v>80</v>
      </c>
      <c r="W2799" s="13" t="s">
        <v>109</v>
      </c>
      <c r="X2799" s="135">
        <v>13500000</v>
      </c>
      <c r="Y2799" s="157" t="str">
        <f t="shared" si="834"/>
        <v>1</v>
      </c>
      <c r="Z2799" s="18">
        <f t="shared" si="831"/>
        <v>13500000</v>
      </c>
      <c r="AA2799" s="13">
        <v>5.4199999999999998E-2</v>
      </c>
      <c r="AB2799" s="21">
        <f t="shared" si="817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18"/>
        <v>499582152.5142017</v>
      </c>
      <c r="AJ2799" s="19">
        <f t="shared" si="819"/>
        <v>59520528.679470733</v>
      </c>
      <c r="AK2799" s="20">
        <f t="shared" si="825"/>
        <v>0.11914062257814291</v>
      </c>
      <c r="AL2799" s="17"/>
      <c r="AM2799" s="17"/>
      <c r="AN2799" s="17"/>
      <c r="AO2799" s="17" t="s">
        <v>2626</v>
      </c>
      <c r="AP2799" s="28" t="str">
        <f t="shared" si="826"/>
        <v>CancelCancel</v>
      </c>
      <c r="AQ2799" s="28" t="str">
        <f t="shared" si="827"/>
        <v>CancelCancelJPY</v>
      </c>
      <c r="AR2799" s="206" t="str">
        <f t="shared" si="828"/>
        <v>YAMAHA_Mounter</v>
      </c>
      <c r="AS2799" s="22" t="str">
        <f t="shared" si="829"/>
        <v/>
      </c>
      <c r="AT2799" s="24" t="str">
        <f t="shared" si="830"/>
        <v/>
      </c>
      <c r="AU2799" s="22" t="s">
        <v>3745</v>
      </c>
    </row>
    <row r="2800" spans="1:47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185</v>
      </c>
      <c r="F2800" s="13" t="s">
        <v>185</v>
      </c>
      <c r="G2800" s="152" t="s">
        <v>185</v>
      </c>
      <c r="H2800" s="155"/>
      <c r="I2800" s="33" t="str">
        <f t="shared" si="822"/>
        <v>Cancel</v>
      </c>
      <c r="J2800" s="186" t="s">
        <v>2624</v>
      </c>
      <c r="K2800" s="155" t="s">
        <v>2625</v>
      </c>
      <c r="L2800" s="17" t="s">
        <v>67</v>
      </c>
      <c r="M2800" s="13" t="s">
        <v>60</v>
      </c>
      <c r="N2800" s="13">
        <v>1</v>
      </c>
      <c r="O2800" s="13"/>
      <c r="P2800" s="33" t="str">
        <f t="shared" si="832"/>
        <v>MAIN UNIT</v>
      </c>
      <c r="Q2800" s="13" t="s">
        <v>61</v>
      </c>
      <c r="R2800" s="13" t="s">
        <v>62</v>
      </c>
      <c r="S2800" s="13" t="s">
        <v>49</v>
      </c>
      <c r="T2800" s="13" t="s">
        <v>78</v>
      </c>
      <c r="U2800" s="13" t="s">
        <v>79</v>
      </c>
      <c r="V2800" s="13" t="s">
        <v>80</v>
      </c>
      <c r="W2800" s="13" t="s">
        <v>109</v>
      </c>
      <c r="X2800" s="135">
        <v>10500000</v>
      </c>
      <c r="Y2800" s="157" t="str">
        <f t="shared" si="834"/>
        <v>1</v>
      </c>
      <c r="Z2800" s="18">
        <f t="shared" si="831"/>
        <v>10500000</v>
      </c>
      <c r="AA2800" s="13">
        <v>5.4199999999999998E-2</v>
      </c>
      <c r="AB2800" s="21">
        <f t="shared" si="817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18"/>
        <v>499582152.5142017</v>
      </c>
      <c r="AJ2800" s="19">
        <f t="shared" si="819"/>
        <v>59520528.679470733</v>
      </c>
      <c r="AK2800" s="20">
        <f t="shared" si="825"/>
        <v>0.11914062257814291</v>
      </c>
      <c r="AL2800" s="17"/>
      <c r="AM2800" s="17"/>
      <c r="AN2800" s="17"/>
      <c r="AO2800" s="17" t="s">
        <v>2626</v>
      </c>
      <c r="AP2800" s="28" t="str">
        <f t="shared" si="826"/>
        <v>CancelCancel</v>
      </c>
      <c r="AQ2800" s="28" t="str">
        <f t="shared" si="827"/>
        <v>CancelCancelJPY</v>
      </c>
      <c r="AR2800" s="206" t="str">
        <f t="shared" si="828"/>
        <v>YAMAHA_Mounter</v>
      </c>
      <c r="AS2800" s="22" t="str">
        <f t="shared" si="829"/>
        <v/>
      </c>
      <c r="AT2800" s="24" t="str">
        <f t="shared" si="830"/>
        <v/>
      </c>
      <c r="AU2800" s="22" t="s">
        <v>3745</v>
      </c>
    </row>
    <row r="2801" spans="1:47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185</v>
      </c>
      <c r="F2801" s="13" t="s">
        <v>185</v>
      </c>
      <c r="G2801" s="152" t="s">
        <v>185</v>
      </c>
      <c r="H2801" s="155"/>
      <c r="I2801" s="33" t="str">
        <f t="shared" si="822"/>
        <v>Cancel</v>
      </c>
      <c r="J2801" s="186" t="s">
        <v>1627</v>
      </c>
      <c r="K2801" s="155" t="s">
        <v>1628</v>
      </c>
      <c r="L2801" s="17" t="s">
        <v>67</v>
      </c>
      <c r="M2801" s="13" t="s">
        <v>60</v>
      </c>
      <c r="N2801" s="13">
        <v>1</v>
      </c>
      <c r="O2801" s="13"/>
      <c r="P2801" s="33" t="str">
        <f t="shared" si="832"/>
        <v>MAIN UNIT</v>
      </c>
      <c r="Q2801" s="13" t="s">
        <v>68</v>
      </c>
      <c r="R2801" s="13" t="s">
        <v>62</v>
      </c>
      <c r="S2801" s="13" t="s">
        <v>49</v>
      </c>
      <c r="T2801" s="13" t="s">
        <v>78</v>
      </c>
      <c r="U2801" s="13" t="s">
        <v>79</v>
      </c>
      <c r="V2801" s="13" t="s">
        <v>1629</v>
      </c>
      <c r="W2801" s="13" t="s">
        <v>109</v>
      </c>
      <c r="X2801" s="135">
        <v>6850000</v>
      </c>
      <c r="Y2801" s="157" t="str">
        <f t="shared" si="834"/>
        <v>1</v>
      </c>
      <c r="Z2801" s="18">
        <f t="shared" si="831"/>
        <v>6850000</v>
      </c>
      <c r="AA2801" s="13">
        <v>7.6100000000000001E-2</v>
      </c>
      <c r="AB2801" s="21">
        <f t="shared" si="817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18"/>
        <v>499582152.5142017</v>
      </c>
      <c r="AJ2801" s="19">
        <f t="shared" si="819"/>
        <v>59520528.679470733</v>
      </c>
      <c r="AK2801" s="20">
        <f t="shared" si="825"/>
        <v>0.11914062257814291</v>
      </c>
      <c r="AL2801" s="17"/>
      <c r="AM2801" s="17"/>
      <c r="AN2801" s="17"/>
      <c r="AO2801" s="17"/>
      <c r="AP2801" s="28" t="str">
        <f t="shared" si="826"/>
        <v>CancelCancel</v>
      </c>
      <c r="AQ2801" s="28" t="str">
        <f t="shared" si="827"/>
        <v>CancelCancelJPY</v>
      </c>
      <c r="AR2801" s="206" t="str">
        <f t="shared" si="828"/>
        <v>YAMAHA_Mounter</v>
      </c>
      <c r="AS2801" s="22" t="str">
        <f t="shared" si="829"/>
        <v/>
      </c>
      <c r="AT2801" s="24" t="str">
        <f t="shared" si="830"/>
        <v/>
      </c>
      <c r="AU2801" s="22" t="s">
        <v>3745</v>
      </c>
    </row>
    <row r="2802" spans="1:47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55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2372</v>
      </c>
      <c r="K2802" s="155" t="s">
        <v>2373</v>
      </c>
      <c r="L2802" s="17" t="s">
        <v>67</v>
      </c>
      <c r="M2802" s="13" t="s">
        <v>60</v>
      </c>
      <c r="N2802" s="13">
        <v>1</v>
      </c>
      <c r="O2802" s="13"/>
      <c r="P2802" s="33" t="str">
        <f t="shared" si="832"/>
        <v>MAIN UNIT</v>
      </c>
      <c r="Q2802" s="13" t="s">
        <v>61</v>
      </c>
      <c r="R2802" s="13" t="s">
        <v>62</v>
      </c>
      <c r="S2802" s="13" t="s">
        <v>50</v>
      </c>
      <c r="T2802" s="13" t="s">
        <v>2374</v>
      </c>
      <c r="U2802" s="13" t="s">
        <v>70</v>
      </c>
      <c r="V2802" s="13" t="s">
        <v>71</v>
      </c>
      <c r="W2802" s="13" t="s">
        <v>64</v>
      </c>
      <c r="X2802" s="135">
        <v>390000</v>
      </c>
      <c r="Y2802" s="157" t="str">
        <f>IF(W2802="","",IF(W2802="RMB","1.13", "1"))</f>
        <v>1.13</v>
      </c>
      <c r="Z2802" s="18">
        <f t="shared" si="831"/>
        <v>390000</v>
      </c>
      <c r="AA2802" s="13">
        <v>1.07</v>
      </c>
      <c r="AB2802" s="21">
        <f t="shared" si="817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18"/>
        <v>5219988.5752212387</v>
      </c>
      <c r="AJ2802" s="19">
        <f t="shared" si="819"/>
        <v>631627.0013460177</v>
      </c>
      <c r="AK2802" s="20">
        <f t="shared" si="825"/>
        <v>0.12100160608478869</v>
      </c>
      <c r="AL2802" s="17"/>
      <c r="AM2802" s="17"/>
      <c r="AN2802" s="17"/>
      <c r="AO2802" s="17"/>
      <c r="AP2802" s="28" t="str">
        <f t="shared" si="826"/>
        <v>202310</v>
      </c>
      <c r="AQ2802" s="28" t="str">
        <f t="shared" si="827"/>
        <v>202310RMB</v>
      </c>
      <c r="AR2802" s="206" t="str">
        <f t="shared" si="828"/>
        <v>YAMAHA_Mounter</v>
      </c>
      <c r="AS2802" s="22">
        <f t="shared" si="829"/>
        <v>0</v>
      </c>
      <c r="AT2802" s="24" t="str">
        <f t="shared" si="830"/>
        <v>0-3 months</v>
      </c>
      <c r="AU2802" s="22" t="s">
        <v>3240</v>
      </c>
    </row>
    <row r="2803" spans="1:47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53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1755</v>
      </c>
      <c r="K2803" s="155" t="s">
        <v>1756</v>
      </c>
      <c r="L2803" s="17" t="s">
        <v>67</v>
      </c>
      <c r="M2803" s="13" t="s">
        <v>60</v>
      </c>
      <c r="N2803" s="13">
        <v>1</v>
      </c>
      <c r="O2803" s="13"/>
      <c r="P2803" s="33" t="str">
        <f t="shared" si="832"/>
        <v>MAIN UNIT</v>
      </c>
      <c r="Q2803" s="13" t="s">
        <v>68</v>
      </c>
      <c r="R2803" s="13" t="s">
        <v>62</v>
      </c>
      <c r="S2803" s="13" t="s">
        <v>50</v>
      </c>
      <c r="T2803" s="13" t="s">
        <v>212</v>
      </c>
      <c r="U2803" s="13" t="s">
        <v>70</v>
      </c>
      <c r="V2803" s="13" t="s">
        <v>71</v>
      </c>
      <c r="W2803" s="13" t="s">
        <v>64</v>
      </c>
      <c r="X2803" s="135">
        <v>788000</v>
      </c>
      <c r="Y2803" s="157" t="str">
        <f>IF(W2803="RMB","1.13", "1")</f>
        <v>1.13</v>
      </c>
      <c r="Z2803" s="18">
        <f t="shared" si="831"/>
        <v>788000</v>
      </c>
      <c r="AA2803" s="13">
        <v>1.1950000000000001</v>
      </c>
      <c r="AB2803" s="21">
        <f t="shared" si="817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18"/>
        <v>63006605.696460173</v>
      </c>
      <c r="AJ2803" s="19">
        <f t="shared" si="819"/>
        <v>8897485.660753984</v>
      </c>
      <c r="AK2803" s="20">
        <f t="shared" si="825"/>
        <v>0.141215124388995</v>
      </c>
      <c r="AL2803" s="17"/>
      <c r="AM2803" s="17"/>
      <c r="AN2803" s="17"/>
      <c r="AO2803" s="17"/>
      <c r="AP2803" s="28" t="str">
        <f t="shared" si="826"/>
        <v>20215</v>
      </c>
      <c r="AQ2803" s="28" t="str">
        <f t="shared" si="827"/>
        <v>20215RMB</v>
      </c>
      <c r="AR2803" s="206" t="str">
        <f t="shared" si="828"/>
        <v>YAMAHA_Mounter</v>
      </c>
      <c r="AS2803" s="22">
        <f t="shared" si="829"/>
        <v>1</v>
      </c>
      <c r="AT2803" s="24" t="str">
        <f t="shared" si="830"/>
        <v>0-3 months</v>
      </c>
      <c r="AU2803" s="22" t="s">
        <v>3240</v>
      </c>
    </row>
    <row r="2804" spans="1:47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53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1843</v>
      </c>
      <c r="K2804" s="155" t="s">
        <v>1844</v>
      </c>
      <c r="L2804" s="17" t="s">
        <v>92</v>
      </c>
      <c r="M2804" s="13" t="s">
        <v>60</v>
      </c>
      <c r="N2804" s="13">
        <v>1</v>
      </c>
      <c r="O2804" s="13"/>
      <c r="P2804" s="33" t="str">
        <f t="shared" si="832"/>
        <v>MAIN UNIT</v>
      </c>
      <c r="Q2804" s="13" t="s">
        <v>61</v>
      </c>
      <c r="R2804" s="13" t="s">
        <v>62</v>
      </c>
      <c r="S2804" s="13" t="s">
        <v>49</v>
      </c>
      <c r="T2804" s="13" t="s">
        <v>78</v>
      </c>
      <c r="U2804" s="13" t="s">
        <v>79</v>
      </c>
      <c r="V2804" s="13" t="s">
        <v>1002</v>
      </c>
      <c r="W2804" s="13" t="s">
        <v>109</v>
      </c>
      <c r="X2804" s="135">
        <v>10325000</v>
      </c>
      <c r="Y2804" s="157" t="str">
        <f>IF(W2804="RMB","1.13", "1")</f>
        <v>1</v>
      </c>
      <c r="Z2804" s="18">
        <f t="shared" si="831"/>
        <v>10325000</v>
      </c>
      <c r="AA2804" s="13">
        <v>7.17E-2</v>
      </c>
      <c r="AB2804" s="21">
        <f t="shared" si="817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18"/>
        <v>41443303.53761062</v>
      </c>
      <c r="AJ2804" s="19">
        <f t="shared" si="819"/>
        <v>6194988.76643031</v>
      </c>
      <c r="AK2804" s="20">
        <f t="shared" si="825"/>
        <v>0.1494810557466355</v>
      </c>
      <c r="AL2804" s="17"/>
      <c r="AM2804" s="17"/>
      <c r="AN2804" s="17"/>
      <c r="AO2804" s="17"/>
      <c r="AP2804" s="28" t="str">
        <f t="shared" si="826"/>
        <v>20217</v>
      </c>
      <c r="AQ2804" s="28" t="str">
        <f t="shared" si="827"/>
        <v>20217JPY</v>
      </c>
      <c r="AR2804" s="206" t="str">
        <f t="shared" si="828"/>
        <v>YAMAHA_Mounter</v>
      </c>
      <c r="AS2804" s="22">
        <f t="shared" si="829"/>
        <v>0</v>
      </c>
      <c r="AT2804" s="24" t="str">
        <f t="shared" si="830"/>
        <v>0-3 months</v>
      </c>
      <c r="AU2804" s="22" t="s">
        <v>3746</v>
      </c>
    </row>
    <row r="2805" spans="1:47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53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1843</v>
      </c>
      <c r="K2805" s="155" t="s">
        <v>1844</v>
      </c>
      <c r="L2805" s="17" t="s">
        <v>92</v>
      </c>
      <c r="M2805" s="13" t="s">
        <v>60</v>
      </c>
      <c r="N2805" s="13">
        <v>1</v>
      </c>
      <c r="O2805" s="13"/>
      <c r="P2805" s="33" t="str">
        <f t="shared" si="832"/>
        <v>MAIN UNIT</v>
      </c>
      <c r="Q2805" s="13" t="s">
        <v>61</v>
      </c>
      <c r="R2805" s="13" t="s">
        <v>62</v>
      </c>
      <c r="S2805" s="13" t="s">
        <v>49</v>
      </c>
      <c r="T2805" s="13" t="s">
        <v>78</v>
      </c>
      <c r="U2805" s="13" t="s">
        <v>79</v>
      </c>
      <c r="V2805" s="13" t="s">
        <v>1002</v>
      </c>
      <c r="W2805" s="13" t="s">
        <v>109</v>
      </c>
      <c r="X2805" s="135">
        <v>10325000</v>
      </c>
      <c r="Y2805" s="157" t="str">
        <f>IF(W2805="RMB","1.13", "1")</f>
        <v>1</v>
      </c>
      <c r="Z2805" s="18">
        <f t="shared" si="831"/>
        <v>10325000</v>
      </c>
      <c r="AA2805" s="13">
        <v>7.17E-2</v>
      </c>
      <c r="AB2805" s="21">
        <f t="shared" si="817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18"/>
        <v>41443303.53761062</v>
      </c>
      <c r="AJ2805" s="19">
        <f t="shared" si="819"/>
        <v>6194988.76643031</v>
      </c>
      <c r="AK2805" s="20">
        <f t="shared" si="825"/>
        <v>0.1494810557466355</v>
      </c>
      <c r="AL2805" s="17"/>
      <c r="AM2805" s="17"/>
      <c r="AN2805" s="17"/>
      <c r="AO2805" s="17"/>
      <c r="AP2805" s="28" t="str">
        <f t="shared" si="826"/>
        <v>20217</v>
      </c>
      <c r="AQ2805" s="28" t="str">
        <f t="shared" si="827"/>
        <v>20217JPY</v>
      </c>
      <c r="AR2805" s="206" t="str">
        <f t="shared" si="828"/>
        <v>YAMAHA_Mounter</v>
      </c>
      <c r="AS2805" s="22">
        <f t="shared" si="829"/>
        <v>0</v>
      </c>
      <c r="AT2805" s="24" t="str">
        <f t="shared" si="830"/>
        <v>0-3 months</v>
      </c>
      <c r="AU2805" s="22" t="s">
        <v>3746</v>
      </c>
    </row>
    <row r="2806" spans="1:47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47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876</v>
      </c>
      <c r="K2806" s="155" t="s">
        <v>877</v>
      </c>
      <c r="L2806" s="17" t="s">
        <v>92</v>
      </c>
      <c r="M2806" s="13" t="s">
        <v>60</v>
      </c>
      <c r="N2806" s="13">
        <v>1</v>
      </c>
      <c r="O2806" s="13"/>
      <c r="P2806" s="33" t="str">
        <f t="shared" si="832"/>
        <v>MAIN UNIT</v>
      </c>
      <c r="Q2806" s="13" t="s">
        <v>61</v>
      </c>
      <c r="R2806" s="13" t="s">
        <v>701</v>
      </c>
      <c r="S2806" s="13" t="s">
        <v>750</v>
      </c>
      <c r="T2806" s="13" t="s">
        <v>78</v>
      </c>
      <c r="U2806" s="13" t="s">
        <v>79</v>
      </c>
      <c r="V2806" s="13" t="s">
        <v>63</v>
      </c>
      <c r="W2806" s="13" t="s">
        <v>109</v>
      </c>
      <c r="X2806" s="135">
        <v>12030000</v>
      </c>
      <c r="Y2806" s="156">
        <v>1</v>
      </c>
      <c r="Z2806" s="18">
        <f t="shared" si="831"/>
        <v>12030000</v>
      </c>
      <c r="AA2806" s="13">
        <v>7.17E-2</v>
      </c>
      <c r="AB2806" s="21">
        <f t="shared" si="817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18"/>
        <v>14593788.187146019</v>
      </c>
      <c r="AJ2806" s="19">
        <f t="shared" si="819"/>
        <v>1868647.7321969916</v>
      </c>
      <c r="AK2806" s="20">
        <f t="shared" si="825"/>
        <v>0.12804404916900652</v>
      </c>
      <c r="AL2806" s="17"/>
      <c r="AM2806" s="17"/>
      <c r="AN2806" s="17"/>
      <c r="AO2806" s="17"/>
      <c r="AP2806" s="28" t="str">
        <f t="shared" si="826"/>
        <v>20195</v>
      </c>
      <c r="AQ2806" s="28" t="str">
        <f t="shared" si="827"/>
        <v>20195JPY</v>
      </c>
      <c r="AR2806" s="206" t="str">
        <f t="shared" si="828"/>
        <v>YAMAHA_Mounter</v>
      </c>
      <c r="AS2806" s="22">
        <f t="shared" si="829"/>
        <v>1</v>
      </c>
      <c r="AT2806" s="24" t="str">
        <f t="shared" si="830"/>
        <v>0-3 months</v>
      </c>
      <c r="AU2806" s="22" t="s">
        <v>3746</v>
      </c>
    </row>
    <row r="2807" spans="1:47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47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876</v>
      </c>
      <c r="K2807" s="155" t="s">
        <v>877</v>
      </c>
      <c r="L2807" s="17" t="s">
        <v>92</v>
      </c>
      <c r="M2807" s="13" t="s">
        <v>60</v>
      </c>
      <c r="N2807" s="13">
        <v>1</v>
      </c>
      <c r="O2807" s="13"/>
      <c r="P2807" s="33" t="str">
        <f t="shared" si="832"/>
        <v>MAIN UNIT</v>
      </c>
      <c r="Q2807" s="13" t="s">
        <v>61</v>
      </c>
      <c r="R2807" s="13" t="s">
        <v>701</v>
      </c>
      <c r="S2807" s="13" t="s">
        <v>750</v>
      </c>
      <c r="T2807" s="13" t="s">
        <v>78</v>
      </c>
      <c r="U2807" s="13" t="s">
        <v>79</v>
      </c>
      <c r="V2807" s="13" t="s">
        <v>63</v>
      </c>
      <c r="W2807" s="13" t="s">
        <v>109</v>
      </c>
      <c r="X2807" s="135">
        <v>12030000</v>
      </c>
      <c r="Y2807" s="156">
        <v>1</v>
      </c>
      <c r="Z2807" s="18">
        <f t="shared" si="831"/>
        <v>12030000</v>
      </c>
      <c r="AA2807" s="13">
        <v>7.17E-2</v>
      </c>
      <c r="AB2807" s="21">
        <f t="shared" si="817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18"/>
        <v>14593788.187146019</v>
      </c>
      <c r="AJ2807" s="19">
        <f t="shared" si="819"/>
        <v>1868647.7321969916</v>
      </c>
      <c r="AK2807" s="20">
        <f t="shared" si="825"/>
        <v>0.12804404916900652</v>
      </c>
      <c r="AL2807" s="17"/>
      <c r="AM2807" s="17"/>
      <c r="AN2807" s="17"/>
      <c r="AO2807" s="17"/>
      <c r="AP2807" s="28" t="str">
        <f t="shared" si="826"/>
        <v>20195</v>
      </c>
      <c r="AQ2807" s="28" t="str">
        <f t="shared" si="827"/>
        <v>20195JPY</v>
      </c>
      <c r="AR2807" s="206" t="str">
        <f t="shared" si="828"/>
        <v>YAMAHA_Mounter</v>
      </c>
      <c r="AS2807" s="22">
        <f t="shared" si="829"/>
        <v>1</v>
      </c>
      <c r="AT2807" s="24" t="str">
        <f t="shared" si="830"/>
        <v>0-3 months</v>
      </c>
      <c r="AU2807" s="22" t="s">
        <v>3746</v>
      </c>
    </row>
    <row r="2808" spans="1:47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47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939</v>
      </c>
      <c r="K2808" s="155" t="s">
        <v>940</v>
      </c>
      <c r="L2808" s="17" t="s">
        <v>92</v>
      </c>
      <c r="M2808" s="13" t="s">
        <v>60</v>
      </c>
      <c r="N2808" s="13">
        <v>2</v>
      </c>
      <c r="O2808" s="13"/>
      <c r="P2808" s="33" t="str">
        <f t="shared" si="832"/>
        <v>MAIN UNIT</v>
      </c>
      <c r="Q2808" s="13" t="s">
        <v>61</v>
      </c>
      <c r="R2808" s="13" t="s">
        <v>62</v>
      </c>
      <c r="S2808" s="13" t="s">
        <v>49</v>
      </c>
      <c r="T2808" s="13" t="s">
        <v>78</v>
      </c>
      <c r="U2808" s="13" t="s">
        <v>79</v>
      </c>
      <c r="V2808" s="13" t="s">
        <v>131</v>
      </c>
      <c r="W2808" s="13" t="s">
        <v>64</v>
      </c>
      <c r="X2808" s="135">
        <v>690000</v>
      </c>
      <c r="Y2808" s="156">
        <v>1.1299999999999999</v>
      </c>
      <c r="Z2808" s="18">
        <f t="shared" si="831"/>
        <v>1380000</v>
      </c>
      <c r="AA2808" s="13">
        <v>1.095</v>
      </c>
      <c r="AB2808" s="21">
        <f t="shared" si="817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18"/>
        <v>28647263.974455759</v>
      </c>
      <c r="AJ2808" s="19">
        <f t="shared" si="819"/>
        <v>3219855.6912513468</v>
      </c>
      <c r="AK2808" s="20">
        <f t="shared" si="825"/>
        <v>0.11239662168514358</v>
      </c>
      <c r="AL2808" s="17"/>
      <c r="AM2808" s="17"/>
      <c r="AN2808" s="17"/>
      <c r="AO2808" s="17"/>
      <c r="AP2808" s="28" t="str">
        <f t="shared" si="826"/>
        <v>201910</v>
      </c>
      <c r="AQ2808" s="28" t="str">
        <f t="shared" si="827"/>
        <v>201910RMB</v>
      </c>
      <c r="AR2808" s="206" t="str">
        <f t="shared" si="828"/>
        <v>YAMAHA_Mounter</v>
      </c>
      <c r="AS2808" s="22">
        <f t="shared" si="829"/>
        <v>1</v>
      </c>
      <c r="AT2808" s="24" t="str">
        <f t="shared" si="830"/>
        <v>0-3 months</v>
      </c>
      <c r="AU2808" s="22" t="s">
        <v>3746</v>
      </c>
    </row>
    <row r="2809" spans="1:47" s="12" customFormat="1">
      <c r="A2809" s="33" t="str">
        <f t="shared" si="820"/>
        <v>cancel</v>
      </c>
      <c r="B2809" s="152"/>
      <c r="C2809" s="152" t="s">
        <v>185</v>
      </c>
      <c r="D2809" s="33" t="str">
        <f t="shared" si="821"/>
        <v/>
      </c>
      <c r="E2809" s="33" t="s">
        <v>185</v>
      </c>
      <c r="F2809" s="13" t="s">
        <v>185</v>
      </c>
      <c r="G2809" s="152" t="s">
        <v>185</v>
      </c>
      <c r="H2809" s="155"/>
      <c r="I2809" s="33" t="str">
        <f t="shared" si="822"/>
        <v>Cancel</v>
      </c>
      <c r="J2809" s="186" t="s">
        <v>2650</v>
      </c>
      <c r="K2809" s="155" t="s">
        <v>2651</v>
      </c>
      <c r="L2809" s="17" t="s">
        <v>92</v>
      </c>
      <c r="M2809" s="13" t="s">
        <v>60</v>
      </c>
      <c r="N2809" s="13">
        <v>1</v>
      </c>
      <c r="O2809" s="13"/>
      <c r="P2809" s="33" t="str">
        <f t="shared" si="832"/>
        <v>MAIN UNIT</v>
      </c>
      <c r="Q2809" s="13" t="s">
        <v>61</v>
      </c>
      <c r="R2809" s="13" t="s">
        <v>538</v>
      </c>
      <c r="S2809" s="13" t="s">
        <v>49</v>
      </c>
      <c r="T2809" s="13" t="s">
        <v>78</v>
      </c>
      <c r="U2809" s="13" t="s">
        <v>79</v>
      </c>
      <c r="V2809" s="13" t="s">
        <v>63</v>
      </c>
      <c r="W2809" s="13" t="s">
        <v>109</v>
      </c>
      <c r="X2809" s="135">
        <v>12500000</v>
      </c>
      <c r="Y2809" s="156">
        <v>1</v>
      </c>
      <c r="Z2809" s="18">
        <f t="shared" si="831"/>
        <v>12500000</v>
      </c>
      <c r="AA2809" s="13">
        <v>7.2300000000000003E-2</v>
      </c>
      <c r="AB2809" s="21">
        <f t="shared" si="817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18"/>
        <v>499582152.5142017</v>
      </c>
      <c r="AJ2809" s="19">
        <f t="shared" si="819"/>
        <v>59520528.679470733</v>
      </c>
      <c r="AK2809" s="20">
        <f t="shared" si="825"/>
        <v>0.11914062257814291</v>
      </c>
      <c r="AL2809" s="17"/>
      <c r="AM2809" s="17"/>
      <c r="AN2809" s="17"/>
      <c r="AO2809" s="17" t="s">
        <v>185</v>
      </c>
      <c r="AP2809" s="28" t="str">
        <f t="shared" si="826"/>
        <v>CancelCancel</v>
      </c>
      <c r="AQ2809" s="28" t="str">
        <f t="shared" si="827"/>
        <v>CancelCancelJPY</v>
      </c>
      <c r="AR2809" s="206" t="str">
        <f t="shared" si="828"/>
        <v>YAMAHA_Mounter</v>
      </c>
      <c r="AS2809" s="22" t="str">
        <f t="shared" si="829"/>
        <v/>
      </c>
      <c r="AT2809" s="24" t="str">
        <f t="shared" si="830"/>
        <v/>
      </c>
      <c r="AU2809" s="22" t="s">
        <v>3746</v>
      </c>
    </row>
    <row r="2810" spans="1:47" s="12" customFormat="1">
      <c r="A2810" s="33" t="str">
        <f t="shared" si="820"/>
        <v>cancel</v>
      </c>
      <c r="B2810" s="152"/>
      <c r="C2810" s="152" t="s">
        <v>185</v>
      </c>
      <c r="D2810" s="33" t="str">
        <f t="shared" si="821"/>
        <v/>
      </c>
      <c r="E2810" s="33" t="s">
        <v>185</v>
      </c>
      <c r="F2810" s="13" t="s">
        <v>185</v>
      </c>
      <c r="G2810" s="152" t="s">
        <v>185</v>
      </c>
      <c r="H2810" s="155"/>
      <c r="I2810" s="33" t="str">
        <f t="shared" si="822"/>
        <v>Cancel</v>
      </c>
      <c r="J2810" s="186" t="s">
        <v>2650</v>
      </c>
      <c r="K2810" s="155" t="s">
        <v>2651</v>
      </c>
      <c r="L2810" s="17" t="s">
        <v>92</v>
      </c>
      <c r="M2810" s="13" t="s">
        <v>60</v>
      </c>
      <c r="N2810" s="13">
        <v>1</v>
      </c>
      <c r="O2810" s="13"/>
      <c r="P2810" s="33" t="str">
        <f t="shared" si="832"/>
        <v>MAIN UNIT</v>
      </c>
      <c r="Q2810" s="13" t="s">
        <v>61</v>
      </c>
      <c r="R2810" s="13" t="s">
        <v>538</v>
      </c>
      <c r="S2810" s="13" t="s">
        <v>49</v>
      </c>
      <c r="T2810" s="13" t="s">
        <v>78</v>
      </c>
      <c r="U2810" s="13" t="s">
        <v>79</v>
      </c>
      <c r="V2810" s="13" t="s">
        <v>63</v>
      </c>
      <c r="W2810" s="13" t="s">
        <v>109</v>
      </c>
      <c r="X2810" s="135">
        <v>12500000</v>
      </c>
      <c r="Y2810" s="156">
        <v>1</v>
      </c>
      <c r="Z2810" s="18">
        <f t="shared" si="831"/>
        <v>12500000</v>
      </c>
      <c r="AA2810" s="13">
        <v>7.2300000000000003E-2</v>
      </c>
      <c r="AB2810" s="21">
        <f t="shared" si="817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18"/>
        <v>499582152.5142017</v>
      </c>
      <c r="AJ2810" s="19">
        <f t="shared" si="819"/>
        <v>59520528.679470733</v>
      </c>
      <c r="AK2810" s="20">
        <f t="shared" si="825"/>
        <v>0.11914062257814291</v>
      </c>
      <c r="AL2810" s="17"/>
      <c r="AM2810" s="17"/>
      <c r="AN2810" s="17"/>
      <c r="AO2810" s="17" t="s">
        <v>185</v>
      </c>
      <c r="AP2810" s="28" t="str">
        <f t="shared" si="826"/>
        <v>CancelCancel</v>
      </c>
      <c r="AQ2810" s="28" t="str">
        <f t="shared" si="827"/>
        <v>CancelCancelJPY</v>
      </c>
      <c r="AR2810" s="206" t="str">
        <f t="shared" si="828"/>
        <v>YAMAHA_Mounter</v>
      </c>
      <c r="AS2810" s="22" t="str">
        <f t="shared" si="829"/>
        <v/>
      </c>
      <c r="AT2810" s="24" t="str">
        <f t="shared" si="830"/>
        <v/>
      </c>
      <c r="AU2810" s="22" t="s">
        <v>3746</v>
      </c>
    </row>
    <row r="2811" spans="1:47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53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1607</v>
      </c>
      <c r="K2811" s="155" t="s">
        <v>1608</v>
      </c>
      <c r="L2811" s="17" t="s">
        <v>92</v>
      </c>
      <c r="M2811" s="13" t="s">
        <v>60</v>
      </c>
      <c r="N2811" s="13">
        <v>1</v>
      </c>
      <c r="O2811" s="13"/>
      <c r="P2811" s="33" t="str">
        <f t="shared" si="832"/>
        <v>MAIN UNIT</v>
      </c>
      <c r="Q2811" s="13" t="s">
        <v>68</v>
      </c>
      <c r="R2811" s="13" t="s">
        <v>62</v>
      </c>
      <c r="S2811" s="13" t="s">
        <v>49</v>
      </c>
      <c r="T2811" s="13" t="s">
        <v>78</v>
      </c>
      <c r="U2811" s="13" t="s">
        <v>79</v>
      </c>
      <c r="V2811" s="13" t="s">
        <v>715</v>
      </c>
      <c r="W2811" s="13" t="s">
        <v>64</v>
      </c>
      <c r="X2811" s="135">
        <v>900000</v>
      </c>
      <c r="Y2811" s="157" t="str">
        <f>IF(W2811="RMB","1.13", "1")</f>
        <v>1.13</v>
      </c>
      <c r="Z2811" s="18">
        <f t="shared" si="831"/>
        <v>900000</v>
      </c>
      <c r="AA2811" s="13">
        <v>1.1950000000000001</v>
      </c>
      <c r="AB2811" s="21">
        <f t="shared" si="817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18"/>
        <v>63006605.696460173</v>
      </c>
      <c r="AJ2811" s="19">
        <f t="shared" si="819"/>
        <v>8897485.660753984</v>
      </c>
      <c r="AK2811" s="20">
        <f t="shared" si="825"/>
        <v>0.141215124388995</v>
      </c>
      <c r="AL2811" s="17"/>
      <c r="AM2811" s="17"/>
      <c r="AN2811" s="17"/>
      <c r="AO2811" s="17"/>
      <c r="AP2811" s="28" t="str">
        <f t="shared" si="826"/>
        <v>20215</v>
      </c>
      <c r="AQ2811" s="28" t="str">
        <f t="shared" si="827"/>
        <v>20215RMB</v>
      </c>
      <c r="AR2811" s="206" t="str">
        <f t="shared" si="828"/>
        <v>YAMAHA_Mounter</v>
      </c>
      <c r="AS2811" s="22">
        <f t="shared" si="829"/>
        <v>5</v>
      </c>
      <c r="AT2811" s="24" t="str">
        <f t="shared" si="830"/>
        <v>4-6 months</v>
      </c>
      <c r="AU2811" s="22" t="s">
        <v>3744</v>
      </c>
    </row>
    <row r="2812" spans="1:47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53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1607</v>
      </c>
      <c r="K2812" s="155" t="s">
        <v>1608</v>
      </c>
      <c r="L2812" s="17" t="s">
        <v>67</v>
      </c>
      <c r="M2812" s="13" t="s">
        <v>60</v>
      </c>
      <c r="N2812" s="13">
        <v>1</v>
      </c>
      <c r="O2812" s="13"/>
      <c r="P2812" s="33" t="str">
        <f t="shared" si="832"/>
        <v>MAIN UNIT</v>
      </c>
      <c r="Q2812" s="13" t="s">
        <v>68</v>
      </c>
      <c r="R2812" s="13" t="s">
        <v>62</v>
      </c>
      <c r="S2812" s="13" t="s">
        <v>49</v>
      </c>
      <c r="T2812" s="13" t="s">
        <v>78</v>
      </c>
      <c r="U2812" s="13" t="s">
        <v>79</v>
      </c>
      <c r="V2812" s="13" t="s">
        <v>715</v>
      </c>
      <c r="W2812" s="13" t="s">
        <v>64</v>
      </c>
      <c r="X2812" s="135">
        <v>630000</v>
      </c>
      <c r="Y2812" s="157" t="str">
        <f>IF(W2812="RMB","1.13", "1")</f>
        <v>1.13</v>
      </c>
      <c r="Z2812" s="18">
        <f t="shared" si="831"/>
        <v>630000</v>
      </c>
      <c r="AA2812" s="13">
        <v>1.1950000000000001</v>
      </c>
      <c r="AB2812" s="21">
        <f t="shared" ref="AB2812:AB2875" si="835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18"/>
        <v>63006605.696460173</v>
      </c>
      <c r="AJ2812" s="19">
        <f t="shared" si="819"/>
        <v>8897485.660753984</v>
      </c>
      <c r="AK2812" s="20">
        <f t="shared" si="825"/>
        <v>0.141215124388995</v>
      </c>
      <c r="AL2812" s="17"/>
      <c r="AM2812" s="17"/>
      <c r="AN2812" s="17"/>
      <c r="AO2812" s="17"/>
      <c r="AP2812" s="28" t="str">
        <f t="shared" si="826"/>
        <v>20215</v>
      </c>
      <c r="AQ2812" s="28" t="str">
        <f t="shared" si="827"/>
        <v>20215RMB</v>
      </c>
      <c r="AR2812" s="206" t="str">
        <f t="shared" si="828"/>
        <v>YAMAHA_Mounter</v>
      </c>
      <c r="AS2812" s="22">
        <f t="shared" si="829"/>
        <v>5</v>
      </c>
      <c r="AT2812" s="24" t="str">
        <f t="shared" si="830"/>
        <v>4-6 months</v>
      </c>
      <c r="AU2812" s="22" t="s">
        <v>3744</v>
      </c>
    </row>
    <row r="2813" spans="1:47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53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1813</v>
      </c>
      <c r="K2813" s="155" t="s">
        <v>1814</v>
      </c>
      <c r="L2813" s="17" t="s">
        <v>92</v>
      </c>
      <c r="M2813" s="13" t="s">
        <v>60</v>
      </c>
      <c r="N2813" s="13">
        <v>1</v>
      </c>
      <c r="O2813" s="13"/>
      <c r="P2813" s="33" t="str">
        <f t="shared" si="832"/>
        <v>MAIN UNIT</v>
      </c>
      <c r="Q2813" s="13" t="s">
        <v>68</v>
      </c>
      <c r="R2813" s="13" t="s">
        <v>62</v>
      </c>
      <c r="S2813" s="13" t="s">
        <v>49</v>
      </c>
      <c r="T2813" s="13" t="s">
        <v>78</v>
      </c>
      <c r="U2813" s="13" t="s">
        <v>79</v>
      </c>
      <c r="V2813" s="13" t="s">
        <v>715</v>
      </c>
      <c r="W2813" s="13" t="s">
        <v>64</v>
      </c>
      <c r="X2813" s="135">
        <v>1030000</v>
      </c>
      <c r="Y2813" s="157" t="str">
        <f>IF(W2813="RMB","1.13", "1")</f>
        <v>1.13</v>
      </c>
      <c r="Z2813" s="18">
        <f t="shared" si="831"/>
        <v>1030000</v>
      </c>
      <c r="AA2813" s="13">
        <v>1.2</v>
      </c>
      <c r="AB2813" s="21">
        <f t="shared" si="835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18"/>
        <v>41443303.53761062</v>
      </c>
      <c r="AJ2813" s="19">
        <f t="shared" si="819"/>
        <v>6194988.76643031</v>
      </c>
      <c r="AK2813" s="20">
        <f t="shared" si="825"/>
        <v>0.1494810557466355</v>
      </c>
      <c r="AL2813" s="17"/>
      <c r="AM2813" s="17"/>
      <c r="AN2813" s="17"/>
      <c r="AO2813" s="17"/>
      <c r="AP2813" s="28" t="str">
        <f t="shared" si="826"/>
        <v>20217</v>
      </c>
      <c r="AQ2813" s="28" t="str">
        <f t="shared" si="827"/>
        <v>20217RMB</v>
      </c>
      <c r="AR2813" s="206" t="str">
        <f t="shared" si="828"/>
        <v>YAMAHA_Mounter</v>
      </c>
      <c r="AS2813" s="22">
        <f t="shared" si="829"/>
        <v>5</v>
      </c>
      <c r="AT2813" s="24" t="str">
        <f t="shared" si="830"/>
        <v>4-6 months</v>
      </c>
      <c r="AU2813" s="22" t="s">
        <v>3744</v>
      </c>
    </row>
    <row r="2814" spans="1:47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48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1184</v>
      </c>
      <c r="K2814" s="155" t="s">
        <v>1185</v>
      </c>
      <c r="L2814" s="17" t="s">
        <v>92</v>
      </c>
      <c r="M2814" s="13" t="s">
        <v>60</v>
      </c>
      <c r="N2814" s="13">
        <v>1</v>
      </c>
      <c r="O2814" s="13"/>
      <c r="P2814" s="33" t="str">
        <f t="shared" si="832"/>
        <v>MAIN UNIT</v>
      </c>
      <c r="Q2814" s="13" t="s">
        <v>61</v>
      </c>
      <c r="R2814" s="13" t="s">
        <v>62</v>
      </c>
      <c r="S2814" s="13" t="s">
        <v>49</v>
      </c>
      <c r="T2814" s="13" t="s">
        <v>78</v>
      </c>
      <c r="U2814" s="13" t="s">
        <v>79</v>
      </c>
      <c r="V2814" s="13" t="s">
        <v>1186</v>
      </c>
      <c r="W2814" s="13" t="s">
        <v>109</v>
      </c>
      <c r="X2814" s="135">
        <v>15000000</v>
      </c>
      <c r="Y2814" s="156">
        <v>1</v>
      </c>
      <c r="Z2814" s="18">
        <f t="shared" si="831"/>
        <v>15000000</v>
      </c>
      <c r="AA2814" s="13">
        <v>7.3400000000000007E-2</v>
      </c>
      <c r="AB2814" s="21">
        <f t="shared" si="835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18"/>
        <v>35384300.169380538</v>
      </c>
      <c r="AJ2814" s="19">
        <f t="shared" si="819"/>
        <v>5044538.8896988509</v>
      </c>
      <c r="AK2814" s="20">
        <f t="shared" si="825"/>
        <v>0.14256432557804533</v>
      </c>
      <c r="AL2814" s="17"/>
      <c r="AM2814" s="17"/>
      <c r="AN2814" s="17"/>
      <c r="AO2814" s="17"/>
      <c r="AP2814" s="28" t="str">
        <f t="shared" si="826"/>
        <v>20207</v>
      </c>
      <c r="AQ2814" s="28" t="str">
        <f t="shared" si="827"/>
        <v>20207JPY</v>
      </c>
      <c r="AR2814" s="206" t="str">
        <f t="shared" si="828"/>
        <v>YAMAHA_Mounter</v>
      </c>
      <c r="AS2814" s="22">
        <f t="shared" si="829"/>
        <v>1</v>
      </c>
      <c r="AT2814" s="24" t="str">
        <f t="shared" si="830"/>
        <v>0-3 months</v>
      </c>
      <c r="AU2814" s="22" t="s">
        <v>3745</v>
      </c>
    </row>
    <row r="2815" spans="1:47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48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1184</v>
      </c>
      <c r="K2815" s="155" t="s">
        <v>1185</v>
      </c>
      <c r="L2815" s="17" t="s">
        <v>67</v>
      </c>
      <c r="M2815" s="13" t="s">
        <v>60</v>
      </c>
      <c r="N2815" s="13">
        <v>1</v>
      </c>
      <c r="O2815" s="13"/>
      <c r="P2815" s="33" t="str">
        <f t="shared" si="832"/>
        <v>MAIN UNIT</v>
      </c>
      <c r="Q2815" s="13" t="s">
        <v>61</v>
      </c>
      <c r="R2815" s="13" t="s">
        <v>62</v>
      </c>
      <c r="S2815" s="13" t="s">
        <v>49</v>
      </c>
      <c r="T2815" s="13" t="s">
        <v>78</v>
      </c>
      <c r="U2815" s="13" t="s">
        <v>79</v>
      </c>
      <c r="V2815" s="13" t="s">
        <v>1186</v>
      </c>
      <c r="W2815" s="13" t="s">
        <v>109</v>
      </c>
      <c r="X2815" s="135">
        <v>10100100</v>
      </c>
      <c r="Y2815" s="156">
        <v>1</v>
      </c>
      <c r="Z2815" s="18">
        <f t="shared" si="831"/>
        <v>10100100</v>
      </c>
      <c r="AA2815" s="13">
        <v>7.3400000000000007E-2</v>
      </c>
      <c r="AB2815" s="21">
        <f t="shared" si="835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18"/>
        <v>35384300.169380538</v>
      </c>
      <c r="AJ2815" s="19">
        <f t="shared" si="819"/>
        <v>5044538.8896988509</v>
      </c>
      <c r="AK2815" s="20">
        <f t="shared" si="825"/>
        <v>0.14256432557804533</v>
      </c>
      <c r="AL2815" s="17"/>
      <c r="AM2815" s="17"/>
      <c r="AN2815" s="17"/>
      <c r="AO2815" s="17"/>
      <c r="AP2815" s="28" t="str">
        <f t="shared" si="826"/>
        <v>20207</v>
      </c>
      <c r="AQ2815" s="28" t="str">
        <f t="shared" si="827"/>
        <v>20207JPY</v>
      </c>
      <c r="AR2815" s="206" t="str">
        <f t="shared" si="828"/>
        <v>YAMAHA_Mounter</v>
      </c>
      <c r="AS2815" s="22">
        <f t="shared" si="829"/>
        <v>1</v>
      </c>
      <c r="AT2815" s="24" t="str">
        <f t="shared" si="830"/>
        <v>0-3 months</v>
      </c>
      <c r="AU2815" s="22" t="s">
        <v>3745</v>
      </c>
    </row>
    <row r="2816" spans="1:47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48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1184</v>
      </c>
      <c r="K2816" s="155" t="s">
        <v>1185</v>
      </c>
      <c r="L2816" s="17" t="s">
        <v>67</v>
      </c>
      <c r="M2816" s="13" t="s">
        <v>60</v>
      </c>
      <c r="N2816" s="13">
        <v>1</v>
      </c>
      <c r="O2816" s="13"/>
      <c r="P2816" s="33" t="str">
        <f t="shared" si="832"/>
        <v>MAIN UNIT</v>
      </c>
      <c r="Q2816" s="13" t="s">
        <v>61</v>
      </c>
      <c r="R2816" s="13" t="s">
        <v>62</v>
      </c>
      <c r="S2816" s="13" t="s">
        <v>49</v>
      </c>
      <c r="T2816" s="13" t="s">
        <v>78</v>
      </c>
      <c r="U2816" s="13" t="s">
        <v>79</v>
      </c>
      <c r="V2816" s="13" t="s">
        <v>1186</v>
      </c>
      <c r="W2816" s="13" t="s">
        <v>109</v>
      </c>
      <c r="X2816" s="135">
        <v>10100100</v>
      </c>
      <c r="Y2816" s="156">
        <v>1</v>
      </c>
      <c r="Z2816" s="18">
        <f t="shared" si="831"/>
        <v>10100100</v>
      </c>
      <c r="AA2816" s="13">
        <v>7.3400000000000007E-2</v>
      </c>
      <c r="AB2816" s="21">
        <f t="shared" si="835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18"/>
        <v>35384300.169380538</v>
      </c>
      <c r="AJ2816" s="19">
        <f t="shared" si="819"/>
        <v>5044538.8896988509</v>
      </c>
      <c r="AK2816" s="20">
        <f t="shared" si="825"/>
        <v>0.14256432557804533</v>
      </c>
      <c r="AL2816" s="17"/>
      <c r="AM2816" s="17"/>
      <c r="AN2816" s="17"/>
      <c r="AO2816" s="17"/>
      <c r="AP2816" s="28" t="str">
        <f t="shared" si="826"/>
        <v>20207</v>
      </c>
      <c r="AQ2816" s="28" t="str">
        <f t="shared" si="827"/>
        <v>20207JPY</v>
      </c>
      <c r="AR2816" s="206" t="str">
        <f t="shared" si="828"/>
        <v>YAMAHA_Mounter</v>
      </c>
      <c r="AS2816" s="22">
        <f t="shared" si="829"/>
        <v>1</v>
      </c>
      <c r="AT2816" s="24" t="str">
        <f t="shared" si="830"/>
        <v>0-3 months</v>
      </c>
      <c r="AU2816" s="22" t="s">
        <v>3745</v>
      </c>
    </row>
    <row r="2817" spans="1:47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54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2258</v>
      </c>
      <c r="K2817" s="155" t="s">
        <v>2259</v>
      </c>
      <c r="L2817" s="17" t="s">
        <v>293</v>
      </c>
      <c r="M2817" s="13" t="s">
        <v>60</v>
      </c>
      <c r="N2817" s="13">
        <v>1</v>
      </c>
      <c r="O2817" s="13"/>
      <c r="P2817" s="33" t="str">
        <f t="shared" si="832"/>
        <v>MAIN UNIT</v>
      </c>
      <c r="Q2817" s="13" t="s">
        <v>61</v>
      </c>
      <c r="R2817" s="13" t="s">
        <v>62</v>
      </c>
      <c r="S2817" s="13" t="s">
        <v>49</v>
      </c>
      <c r="T2817" s="13" t="s">
        <v>78</v>
      </c>
      <c r="U2817" s="13" t="s">
        <v>79</v>
      </c>
      <c r="V2817" s="13" t="s">
        <v>126</v>
      </c>
      <c r="W2817" s="13" t="s">
        <v>64</v>
      </c>
      <c r="X2817" s="135">
        <v>1440000</v>
      </c>
      <c r="Y2817" s="157" t="str">
        <f>IF(W2817="RMB","1.13", "1")</f>
        <v>1.13</v>
      </c>
      <c r="Z2817" s="18">
        <f t="shared" si="831"/>
        <v>1440000</v>
      </c>
      <c r="AA2817" s="13">
        <v>1.163</v>
      </c>
      <c r="AB2817" s="21">
        <f t="shared" si="835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18"/>
        <v>35073581.838938057</v>
      </c>
      <c r="AJ2817" s="19">
        <f t="shared" si="819"/>
        <v>5034113.9728989396</v>
      </c>
      <c r="AK2817" s="20">
        <f t="shared" si="825"/>
        <v>0.14353007902118958</v>
      </c>
      <c r="AL2817" s="17"/>
      <c r="AM2817" s="17"/>
      <c r="AN2817" s="17"/>
      <c r="AO2817" s="17"/>
      <c r="AP2817" s="28" t="str">
        <f t="shared" si="826"/>
        <v>20228</v>
      </c>
      <c r="AQ2817" s="28" t="str">
        <f t="shared" si="827"/>
        <v>20228RMB</v>
      </c>
      <c r="AR2817" s="206" t="str">
        <f t="shared" si="828"/>
        <v>YAMAHA_Mounter</v>
      </c>
      <c r="AS2817" s="22">
        <f t="shared" si="829"/>
        <v>1</v>
      </c>
      <c r="AT2817" s="24" t="str">
        <f t="shared" si="830"/>
        <v>0-3 months</v>
      </c>
      <c r="AU2817" s="22" t="s">
        <v>3751</v>
      </c>
    </row>
    <row r="2818" spans="1:47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54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2258</v>
      </c>
      <c r="K2818" s="155" t="s">
        <v>2259</v>
      </c>
      <c r="L2818" s="17" t="s">
        <v>293</v>
      </c>
      <c r="M2818" s="13" t="s">
        <v>60</v>
      </c>
      <c r="N2818" s="13">
        <v>1</v>
      </c>
      <c r="O2818" s="13"/>
      <c r="P2818" s="33" t="str">
        <f t="shared" si="832"/>
        <v>MAIN UNIT</v>
      </c>
      <c r="Q2818" s="13" t="s">
        <v>61</v>
      </c>
      <c r="R2818" s="13" t="s">
        <v>62</v>
      </c>
      <c r="S2818" s="13" t="s">
        <v>49</v>
      </c>
      <c r="T2818" s="13" t="s">
        <v>78</v>
      </c>
      <c r="U2818" s="13" t="s">
        <v>79</v>
      </c>
      <c r="V2818" s="13" t="s">
        <v>126</v>
      </c>
      <c r="W2818" s="13" t="s">
        <v>64</v>
      </c>
      <c r="X2818" s="135">
        <v>1440000</v>
      </c>
      <c r="Y2818" s="157" t="str">
        <f>IF(W2818="RMB","1.13", "1")</f>
        <v>1.13</v>
      </c>
      <c r="Z2818" s="18">
        <f t="shared" si="831"/>
        <v>1440000</v>
      </c>
      <c r="AA2818" s="13">
        <v>1.163</v>
      </c>
      <c r="AB2818" s="21">
        <f t="shared" si="835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ref="AI2818:AI2881" si="836">IF(P2818="C66 SERVICE","",SUMIFS(AB:AB,F:F,F2818,G:G,G2818,E:E,E2818))</f>
        <v>35073581.838938057</v>
      </c>
      <c r="AJ2818" s="19">
        <f t="shared" ref="AJ2818:AJ2881" si="837">IF(P2818="C66 SERVICE","",SUMIFS(AC:AC,F:F,F2818,G:G,G2818,E:E,E2818))</f>
        <v>5034113.9728989396</v>
      </c>
      <c r="AK2818" s="20">
        <f t="shared" si="825"/>
        <v>0.14353007902118958</v>
      </c>
      <c r="AL2818" s="17"/>
      <c r="AM2818" s="17"/>
      <c r="AN2818" s="17"/>
      <c r="AO2818" s="17"/>
      <c r="AP2818" s="28" t="str">
        <f t="shared" si="826"/>
        <v>20228</v>
      </c>
      <c r="AQ2818" s="28" t="str">
        <f t="shared" si="827"/>
        <v>20228RMB</v>
      </c>
      <c r="AR2818" s="206" t="str">
        <f t="shared" si="828"/>
        <v>YAMAHA_Mounter</v>
      </c>
      <c r="AS2818" s="22">
        <f t="shared" si="829"/>
        <v>1</v>
      </c>
      <c r="AT2818" s="24" t="str">
        <f t="shared" si="830"/>
        <v>0-3 months</v>
      </c>
      <c r="AU2818" s="22" t="s">
        <v>3751</v>
      </c>
    </row>
    <row r="2819" spans="1:47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55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2490</v>
      </c>
      <c r="K2819" s="155" t="s">
        <v>2259</v>
      </c>
      <c r="L2819" s="17" t="s">
        <v>293</v>
      </c>
      <c r="M2819" s="13" t="s">
        <v>60</v>
      </c>
      <c r="N2819" s="13">
        <v>1</v>
      </c>
      <c r="O2819" s="13"/>
      <c r="P2819" s="33" t="str">
        <f t="shared" si="832"/>
        <v>MAIN UNIT</v>
      </c>
      <c r="Q2819" s="13" t="s">
        <v>61</v>
      </c>
      <c r="R2819" s="13" t="s">
        <v>62</v>
      </c>
      <c r="S2819" s="13" t="s">
        <v>49</v>
      </c>
      <c r="T2819" s="13" t="s">
        <v>78</v>
      </c>
      <c r="U2819" s="13" t="s">
        <v>79</v>
      </c>
      <c r="V2819" s="13" t="s">
        <v>131</v>
      </c>
      <c r="W2819" s="13" t="s">
        <v>64</v>
      </c>
      <c r="X2819" s="135">
        <v>1475000</v>
      </c>
      <c r="Y2819" s="157" t="str">
        <f>IF(W2819="RMB","1.13", "1")</f>
        <v>1.13</v>
      </c>
      <c r="Z2819" s="18">
        <f t="shared" si="831"/>
        <v>1475000</v>
      </c>
      <c r="AA2819" s="13">
        <v>1.135</v>
      </c>
      <c r="AB2819" s="21">
        <f t="shared" si="835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36"/>
        <v>28177779.013274338</v>
      </c>
      <c r="AJ2819" s="19">
        <f t="shared" si="837"/>
        <v>4727216.6376190251</v>
      </c>
      <c r="AK2819" s="20">
        <f t="shared" si="825"/>
        <v>0.1677639900359808</v>
      </c>
      <c r="AL2819" s="17"/>
      <c r="AM2819" s="17"/>
      <c r="AN2819" s="17"/>
      <c r="AO2819" s="17"/>
      <c r="AP2819" s="28" t="str">
        <f t="shared" si="826"/>
        <v>20235</v>
      </c>
      <c r="AQ2819" s="28" t="str">
        <f t="shared" si="827"/>
        <v>20235RMB</v>
      </c>
      <c r="AR2819" s="206" t="str">
        <f t="shared" si="828"/>
        <v>YAMAHA_Mounter</v>
      </c>
      <c r="AS2819" s="22">
        <f t="shared" si="829"/>
        <v>3</v>
      </c>
      <c r="AT2819" s="24" t="str">
        <f t="shared" si="830"/>
        <v>0-3 months</v>
      </c>
      <c r="AU2819" s="22" t="s">
        <v>3751</v>
      </c>
    </row>
    <row r="2820" spans="1:47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55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2490</v>
      </c>
      <c r="K2820" s="155" t="s">
        <v>2259</v>
      </c>
      <c r="L2820" s="17" t="s">
        <v>293</v>
      </c>
      <c r="M2820" s="13" t="s">
        <v>60</v>
      </c>
      <c r="N2820" s="13">
        <v>1</v>
      </c>
      <c r="O2820" s="13"/>
      <c r="P2820" s="33" t="str">
        <f t="shared" si="832"/>
        <v>MAIN UNIT</v>
      </c>
      <c r="Q2820" s="13" t="s">
        <v>61</v>
      </c>
      <c r="R2820" s="13" t="s">
        <v>62</v>
      </c>
      <c r="S2820" s="13" t="s">
        <v>49</v>
      </c>
      <c r="T2820" s="13" t="s">
        <v>78</v>
      </c>
      <c r="U2820" s="13" t="s">
        <v>79</v>
      </c>
      <c r="V2820" s="13" t="s">
        <v>131</v>
      </c>
      <c r="W2820" s="13" t="s">
        <v>64</v>
      </c>
      <c r="X2820" s="135">
        <v>1475000</v>
      </c>
      <c r="Y2820" s="157" t="str">
        <f>IF(W2820="RMB","1.13", "1")</f>
        <v>1.13</v>
      </c>
      <c r="Z2820" s="18">
        <f t="shared" si="831"/>
        <v>1475000</v>
      </c>
      <c r="AA2820" s="13">
        <v>1.135</v>
      </c>
      <c r="AB2820" s="21">
        <f t="shared" si="835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36"/>
        <v>28177779.013274338</v>
      </c>
      <c r="AJ2820" s="19">
        <f t="shared" si="837"/>
        <v>4727216.6376190251</v>
      </c>
      <c r="AK2820" s="20">
        <f t="shared" si="825"/>
        <v>0.1677639900359808</v>
      </c>
      <c r="AL2820" s="17"/>
      <c r="AM2820" s="17"/>
      <c r="AN2820" s="17"/>
      <c r="AO2820" s="17"/>
      <c r="AP2820" s="28" t="str">
        <f t="shared" si="826"/>
        <v>20235</v>
      </c>
      <c r="AQ2820" s="28" t="str">
        <f t="shared" si="827"/>
        <v>20235RMB</v>
      </c>
      <c r="AR2820" s="206" t="str">
        <f t="shared" si="828"/>
        <v>YAMAHA_Mounter</v>
      </c>
      <c r="AS2820" s="22">
        <f t="shared" si="829"/>
        <v>3</v>
      </c>
      <c r="AT2820" s="24" t="str">
        <f t="shared" si="830"/>
        <v>0-3 months</v>
      </c>
      <c r="AU2820" s="22" t="s">
        <v>3751</v>
      </c>
    </row>
    <row r="2821" spans="1:47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55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2490</v>
      </c>
      <c r="K2821" s="155" t="s">
        <v>2259</v>
      </c>
      <c r="L2821" s="17" t="s">
        <v>293</v>
      </c>
      <c r="M2821" s="13" t="s">
        <v>60</v>
      </c>
      <c r="N2821" s="13">
        <v>1</v>
      </c>
      <c r="O2821" s="13"/>
      <c r="P2821" s="33" t="str">
        <f t="shared" si="832"/>
        <v>MAIN UNIT</v>
      </c>
      <c r="Q2821" s="13" t="s">
        <v>61</v>
      </c>
      <c r="R2821" s="13" t="s">
        <v>62</v>
      </c>
      <c r="S2821" s="13" t="s">
        <v>49</v>
      </c>
      <c r="T2821" s="13" t="s">
        <v>78</v>
      </c>
      <c r="U2821" s="13" t="s">
        <v>79</v>
      </c>
      <c r="V2821" s="13" t="s">
        <v>131</v>
      </c>
      <c r="W2821" s="13" t="s">
        <v>64</v>
      </c>
      <c r="X2821" s="135">
        <v>1475000</v>
      </c>
      <c r="Y2821" s="157" t="str">
        <f>IF(W2821="RMB","1.13", "1")</f>
        <v>1.13</v>
      </c>
      <c r="Z2821" s="18">
        <f t="shared" si="831"/>
        <v>1475000</v>
      </c>
      <c r="AA2821" s="13">
        <v>1.135</v>
      </c>
      <c r="AB2821" s="21">
        <f t="shared" si="835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36"/>
        <v>28177779.013274338</v>
      </c>
      <c r="AJ2821" s="19">
        <f t="shared" si="837"/>
        <v>4727216.6376190251</v>
      </c>
      <c r="AK2821" s="20">
        <f t="shared" si="825"/>
        <v>0.1677639900359808</v>
      </c>
      <c r="AL2821" s="17"/>
      <c r="AM2821" s="17"/>
      <c r="AN2821" s="17"/>
      <c r="AO2821" s="17"/>
      <c r="AP2821" s="28" t="str">
        <f t="shared" si="826"/>
        <v>20235</v>
      </c>
      <c r="AQ2821" s="28" t="str">
        <f t="shared" si="827"/>
        <v>20235RMB</v>
      </c>
      <c r="AR2821" s="206" t="str">
        <f t="shared" si="828"/>
        <v>YAMAHA_Mounter</v>
      </c>
      <c r="AS2821" s="22">
        <f t="shared" si="829"/>
        <v>3</v>
      </c>
      <c r="AT2821" s="24" t="str">
        <f t="shared" si="830"/>
        <v>0-3 months</v>
      </c>
      <c r="AU2821" s="22" t="s">
        <v>3751</v>
      </c>
    </row>
    <row r="2822" spans="1:47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41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858</v>
      </c>
      <c r="K2822" s="155" t="s">
        <v>859</v>
      </c>
      <c r="L2822" s="17" t="s">
        <v>77</v>
      </c>
      <c r="M2822" s="13" t="s">
        <v>60</v>
      </c>
      <c r="N2822" s="13">
        <v>1</v>
      </c>
      <c r="O2822" s="13"/>
      <c r="P2822" s="33" t="str">
        <f t="shared" si="832"/>
        <v>MAIN UNIT</v>
      </c>
      <c r="Q2822" s="13" t="s">
        <v>61</v>
      </c>
      <c r="R2822" s="13" t="s">
        <v>62</v>
      </c>
      <c r="S2822" s="13" t="s">
        <v>49</v>
      </c>
      <c r="T2822" s="13" t="s">
        <v>78</v>
      </c>
      <c r="U2822" s="13" t="s">
        <v>79</v>
      </c>
      <c r="V2822" s="13" t="s">
        <v>112</v>
      </c>
      <c r="W2822" s="13" t="s">
        <v>109</v>
      </c>
      <c r="X2822" s="135">
        <v>10538640</v>
      </c>
      <c r="Y2822" s="156">
        <v>1</v>
      </c>
      <c r="Z2822" s="18">
        <f t="shared" si="831"/>
        <v>10538640</v>
      </c>
      <c r="AA2822" s="13">
        <v>7.22E-2</v>
      </c>
      <c r="AB2822" s="21">
        <f t="shared" si="835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si="836"/>
        <v>47416008.333399981</v>
      </c>
      <c r="AJ2822" s="19">
        <f t="shared" si="837"/>
        <v>6981738.4465290187</v>
      </c>
      <c r="AK2822" s="20">
        <f t="shared" ref="AK2822:AK2885" si="843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4">IF(F2822="","",F2822&amp;G2822)</f>
        <v>20193</v>
      </c>
      <c r="AQ2822" s="28" t="str">
        <f t="shared" ref="AQ2822:AQ2885" si="845">IF(W2822="","",F2822&amp;G2822&amp;W2822)</f>
        <v>20193JPY</v>
      </c>
      <c r="AR2822" s="206" t="str">
        <f t="shared" ref="AR2822:AR2885" si="846">IFERROR(IF(AND(M2822="YAMAHA", R2822="C28"), "YAMAHA_Non_Mounter", IF(AND(M2822="YAMAHA", R2822="C49"), "YAMAHA_Mounter", M2822)),"")</f>
        <v>YAMAHA_Mounter</v>
      </c>
      <c r="AS2822" s="22">
        <f t="shared" ref="AS2822:AS2885" si="847">IFERROR(IF(OR(G2822="TBA", G2822=""), "", DATEDIF(DATE(B2822, C2822, 1), DATE(F2822, G2822, 1), "M")),"")</f>
        <v>0</v>
      </c>
      <c r="AT2822" s="24" t="str">
        <f t="shared" ref="AT2822:AT2885" si="848">IF(ISNUMBER(AS2822), IF(AS2822&gt;=0, IF(AS2822&lt;=3, "0-3 months", IF(AS2822&lt;=6, "4-6 months", "&gt; 6 months"))), "")</f>
        <v>0-3 months</v>
      </c>
      <c r="AU2822" s="22" t="s">
        <v>3745</v>
      </c>
    </row>
    <row r="2823" spans="1:47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48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1347</v>
      </c>
      <c r="K2823" s="155" t="s">
        <v>1348</v>
      </c>
      <c r="L2823" s="17" t="s">
        <v>92</v>
      </c>
      <c r="M2823" s="13" t="s">
        <v>60</v>
      </c>
      <c r="N2823" s="13">
        <v>1</v>
      </c>
      <c r="O2823" s="13"/>
      <c r="P2823" s="33" t="str">
        <f t="shared" si="832"/>
        <v>MAIN UNIT</v>
      </c>
      <c r="Q2823" s="13" t="s">
        <v>61</v>
      </c>
      <c r="R2823" s="13" t="s">
        <v>62</v>
      </c>
      <c r="S2823" s="13" t="s">
        <v>49</v>
      </c>
      <c r="T2823" s="13" t="s">
        <v>78</v>
      </c>
      <c r="U2823" s="13" t="s">
        <v>263</v>
      </c>
      <c r="V2823" s="13" t="s">
        <v>134</v>
      </c>
      <c r="W2823" s="13" t="s">
        <v>109</v>
      </c>
      <c r="X2823" s="135">
        <v>12099500</v>
      </c>
      <c r="Y2823" s="157" t="str">
        <f>IF(W2823="RMB","1.13", "1")</f>
        <v>1</v>
      </c>
      <c r="Z2823" s="18">
        <f t="shared" si="831"/>
        <v>12099500</v>
      </c>
      <c r="AA2823" s="13">
        <v>7.4899999999999994E-2</v>
      </c>
      <c r="AB2823" s="21">
        <f t="shared" si="835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36"/>
        <v>28011162.254106201</v>
      </c>
      <c r="AJ2823" s="19">
        <f t="shared" si="837"/>
        <v>3401347.1124888416</v>
      </c>
      <c r="AK2823" s="20">
        <f t="shared" si="843"/>
        <v>0.12142827497242578</v>
      </c>
      <c r="AL2823" s="17"/>
      <c r="AM2823" s="17"/>
      <c r="AN2823" s="17"/>
      <c r="AO2823" s="17"/>
      <c r="AP2823" s="28" t="str">
        <f t="shared" si="844"/>
        <v>202010</v>
      </c>
      <c r="AQ2823" s="28" t="str">
        <f t="shared" si="845"/>
        <v>202010JPY</v>
      </c>
      <c r="AR2823" s="206" t="str">
        <f t="shared" si="846"/>
        <v>YAMAHA_Mounter</v>
      </c>
      <c r="AS2823" s="22">
        <f t="shared" si="847"/>
        <v>2</v>
      </c>
      <c r="AT2823" s="24" t="str">
        <f t="shared" si="848"/>
        <v>0-3 months</v>
      </c>
      <c r="AU2823" s="22" t="s">
        <v>3745</v>
      </c>
    </row>
    <row r="2824" spans="1:47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48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1347</v>
      </c>
      <c r="K2824" s="155" t="s">
        <v>1348</v>
      </c>
      <c r="L2824" s="17" t="s">
        <v>92</v>
      </c>
      <c r="M2824" s="13" t="s">
        <v>60</v>
      </c>
      <c r="N2824" s="13">
        <v>1</v>
      </c>
      <c r="O2824" s="13"/>
      <c r="P2824" s="33" t="str">
        <f t="shared" si="832"/>
        <v>MAIN UNIT</v>
      </c>
      <c r="Q2824" s="13" t="s">
        <v>61</v>
      </c>
      <c r="R2824" s="13" t="s">
        <v>62</v>
      </c>
      <c r="S2824" s="13" t="s">
        <v>49</v>
      </c>
      <c r="T2824" s="13" t="s">
        <v>78</v>
      </c>
      <c r="U2824" s="13" t="s">
        <v>263</v>
      </c>
      <c r="V2824" s="13" t="s">
        <v>134</v>
      </c>
      <c r="W2824" s="13" t="s">
        <v>109</v>
      </c>
      <c r="X2824" s="135">
        <v>12099500</v>
      </c>
      <c r="Y2824" s="157" t="str">
        <f>IF(W2824="RMB","1.13", "1")</f>
        <v>1</v>
      </c>
      <c r="Z2824" s="18">
        <f t="shared" si="831"/>
        <v>12099500</v>
      </c>
      <c r="AA2824" s="13">
        <v>7.4899999999999994E-2</v>
      </c>
      <c r="AB2824" s="21">
        <f t="shared" si="835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36"/>
        <v>28011162.254106201</v>
      </c>
      <c r="AJ2824" s="19">
        <f t="shared" si="837"/>
        <v>3401347.1124888416</v>
      </c>
      <c r="AK2824" s="20">
        <f t="shared" si="843"/>
        <v>0.12142827497242578</v>
      </c>
      <c r="AL2824" s="17"/>
      <c r="AM2824" s="17"/>
      <c r="AN2824" s="17"/>
      <c r="AO2824" s="17"/>
      <c r="AP2824" s="28" t="str">
        <f t="shared" si="844"/>
        <v>202010</v>
      </c>
      <c r="AQ2824" s="28" t="str">
        <f t="shared" si="845"/>
        <v>202010JPY</v>
      </c>
      <c r="AR2824" s="206" t="str">
        <f t="shared" si="846"/>
        <v>YAMAHA_Mounter</v>
      </c>
      <c r="AS2824" s="22">
        <f t="shared" si="847"/>
        <v>2</v>
      </c>
      <c r="AT2824" s="24" t="str">
        <f t="shared" si="848"/>
        <v>0-3 months</v>
      </c>
      <c r="AU2824" s="22" t="s">
        <v>3745</v>
      </c>
    </row>
    <row r="2825" spans="1:47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48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1349</v>
      </c>
      <c r="K2825" s="155" t="s">
        <v>1350</v>
      </c>
      <c r="L2825" s="17" t="s">
        <v>67</v>
      </c>
      <c r="M2825" s="13" t="s">
        <v>60</v>
      </c>
      <c r="N2825" s="13">
        <v>1</v>
      </c>
      <c r="O2825" s="13"/>
      <c r="P2825" s="33" t="str">
        <f t="shared" si="832"/>
        <v>MAIN UNIT</v>
      </c>
      <c r="Q2825" s="13" t="s">
        <v>61</v>
      </c>
      <c r="R2825" s="13" t="s">
        <v>62</v>
      </c>
      <c r="S2825" s="13" t="s">
        <v>49</v>
      </c>
      <c r="T2825" s="13" t="s">
        <v>78</v>
      </c>
      <c r="U2825" s="13" t="s">
        <v>79</v>
      </c>
      <c r="V2825" s="13" t="s">
        <v>1351</v>
      </c>
      <c r="W2825" s="13" t="s">
        <v>109</v>
      </c>
      <c r="X2825" s="135">
        <v>6628360</v>
      </c>
      <c r="Y2825" s="157" t="str">
        <f>IF(W2825="RMB","1.13", "1")</f>
        <v>1</v>
      </c>
      <c r="Z2825" s="18">
        <f t="shared" si="831"/>
        <v>6628360</v>
      </c>
      <c r="AA2825" s="13">
        <v>7.4899999999999994E-2</v>
      </c>
      <c r="AB2825" s="21">
        <f t="shared" si="835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36"/>
        <v>28011162.254106201</v>
      </c>
      <c r="AJ2825" s="19">
        <f t="shared" si="837"/>
        <v>3401347.1124888416</v>
      </c>
      <c r="AK2825" s="20">
        <f t="shared" si="843"/>
        <v>0.12142827497242578</v>
      </c>
      <c r="AL2825" s="17"/>
      <c r="AM2825" s="17"/>
      <c r="AN2825" s="17"/>
      <c r="AO2825" s="17"/>
      <c r="AP2825" s="28" t="str">
        <f t="shared" si="844"/>
        <v>202010</v>
      </c>
      <c r="AQ2825" s="28" t="str">
        <f t="shared" si="845"/>
        <v>202010JPY</v>
      </c>
      <c r="AR2825" s="206" t="str">
        <f t="shared" si="846"/>
        <v>YAMAHA_Mounter</v>
      </c>
      <c r="AS2825" s="22">
        <f t="shared" si="847"/>
        <v>2</v>
      </c>
      <c r="AT2825" s="24" t="str">
        <f t="shared" si="848"/>
        <v>0-3 months</v>
      </c>
      <c r="AU2825" s="22" t="s">
        <v>3745</v>
      </c>
    </row>
    <row r="2826" spans="1:47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48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1352</v>
      </c>
      <c r="K2826" s="155" t="s">
        <v>1350</v>
      </c>
      <c r="L2826" s="17" t="s">
        <v>67</v>
      </c>
      <c r="M2826" s="13" t="s">
        <v>60</v>
      </c>
      <c r="N2826" s="13">
        <v>1</v>
      </c>
      <c r="O2826" s="13"/>
      <c r="P2826" s="33" t="str">
        <f t="shared" si="832"/>
        <v>MAIN UNIT</v>
      </c>
      <c r="Q2826" s="13" t="s">
        <v>61</v>
      </c>
      <c r="R2826" s="13" t="s">
        <v>62</v>
      </c>
      <c r="S2826" s="13" t="s">
        <v>49</v>
      </c>
      <c r="T2826" s="13" t="s">
        <v>78</v>
      </c>
      <c r="U2826" s="13" t="s">
        <v>263</v>
      </c>
      <c r="V2826" s="13" t="s">
        <v>134</v>
      </c>
      <c r="W2826" s="13" t="s">
        <v>109</v>
      </c>
      <c r="X2826" s="135">
        <v>6628360</v>
      </c>
      <c r="Y2826" s="157" t="str">
        <f>IF(W2826="RMB","1.13", "1")</f>
        <v>1</v>
      </c>
      <c r="Z2826" s="18">
        <f t="shared" ref="Z2826:Z2889" si="849">IF(X2826="","",X2826*MAX(O2826,N2826))</f>
        <v>6628360</v>
      </c>
      <c r="AA2826" s="13">
        <v>7.4899999999999994E-2</v>
      </c>
      <c r="AB2826" s="21">
        <f t="shared" si="835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36"/>
        <v>28011162.254106201</v>
      </c>
      <c r="AJ2826" s="19">
        <f t="shared" si="837"/>
        <v>3401347.1124888416</v>
      </c>
      <c r="AK2826" s="20">
        <f t="shared" si="843"/>
        <v>0.12142827497242578</v>
      </c>
      <c r="AL2826" s="17"/>
      <c r="AM2826" s="17"/>
      <c r="AN2826" s="17"/>
      <c r="AO2826" s="17"/>
      <c r="AP2826" s="28" t="str">
        <f t="shared" si="844"/>
        <v>202010</v>
      </c>
      <c r="AQ2826" s="28" t="str">
        <f t="shared" si="845"/>
        <v>202010JPY</v>
      </c>
      <c r="AR2826" s="206" t="str">
        <f t="shared" si="846"/>
        <v>YAMAHA_Mounter</v>
      </c>
      <c r="AS2826" s="22">
        <f t="shared" si="847"/>
        <v>2</v>
      </c>
      <c r="AT2826" s="24" t="str">
        <f t="shared" si="848"/>
        <v>0-3 months</v>
      </c>
      <c r="AU2826" s="22" t="s">
        <v>3745</v>
      </c>
    </row>
    <row r="2827" spans="1:47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48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1349</v>
      </c>
      <c r="K2827" s="155" t="s">
        <v>1350</v>
      </c>
      <c r="L2827" s="17" t="s">
        <v>67</v>
      </c>
      <c r="M2827" s="13" t="s">
        <v>60</v>
      </c>
      <c r="N2827" s="13">
        <v>1</v>
      </c>
      <c r="O2827" s="13"/>
      <c r="P2827" s="33" t="str">
        <f t="shared" si="832"/>
        <v>MAIN UNIT</v>
      </c>
      <c r="Q2827" s="13" t="s">
        <v>61</v>
      </c>
      <c r="R2827" s="13" t="s">
        <v>62</v>
      </c>
      <c r="S2827" s="13" t="s">
        <v>49</v>
      </c>
      <c r="T2827" s="13" t="s">
        <v>78</v>
      </c>
      <c r="U2827" s="13" t="s">
        <v>263</v>
      </c>
      <c r="V2827" s="13" t="s">
        <v>134</v>
      </c>
      <c r="W2827" s="13" t="s">
        <v>109</v>
      </c>
      <c r="X2827" s="135">
        <v>6628360</v>
      </c>
      <c r="Y2827" s="156">
        <v>1</v>
      </c>
      <c r="Z2827" s="18">
        <f t="shared" si="849"/>
        <v>6628360</v>
      </c>
      <c r="AA2827" s="13">
        <v>7.6100000000000001E-2</v>
      </c>
      <c r="AB2827" s="21">
        <f t="shared" si="835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36"/>
        <v>44078731.611185849</v>
      </c>
      <c r="AJ2827" s="19">
        <f t="shared" si="837"/>
        <v>5508173.2163771465</v>
      </c>
      <c r="AK2827" s="20">
        <f t="shared" si="843"/>
        <v>0.12496215328889679</v>
      </c>
      <c r="AL2827" s="17"/>
      <c r="AM2827" s="17"/>
      <c r="AN2827" s="17"/>
      <c r="AO2827" s="17"/>
      <c r="AP2827" s="28" t="str">
        <f t="shared" si="844"/>
        <v>202011</v>
      </c>
      <c r="AQ2827" s="28" t="str">
        <f t="shared" si="845"/>
        <v>202011JPY</v>
      </c>
      <c r="AR2827" s="206" t="str">
        <f t="shared" si="846"/>
        <v>YAMAHA_Mounter</v>
      </c>
      <c r="AS2827" s="22">
        <f t="shared" si="847"/>
        <v>3</v>
      </c>
      <c r="AT2827" s="24" t="str">
        <f t="shared" si="848"/>
        <v>0-3 months</v>
      </c>
      <c r="AU2827" s="22" t="s">
        <v>3745</v>
      </c>
    </row>
    <row r="2828" spans="1:47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48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1349</v>
      </c>
      <c r="K2828" s="155" t="s">
        <v>1350</v>
      </c>
      <c r="L2828" s="17" t="s">
        <v>67</v>
      </c>
      <c r="M2828" s="13" t="s">
        <v>60</v>
      </c>
      <c r="N2828" s="13">
        <v>1</v>
      </c>
      <c r="O2828" s="13"/>
      <c r="P2828" s="33" t="str">
        <f t="shared" si="832"/>
        <v>MAIN UNIT</v>
      </c>
      <c r="Q2828" s="13" t="s">
        <v>61</v>
      </c>
      <c r="R2828" s="13" t="s">
        <v>62</v>
      </c>
      <c r="S2828" s="13" t="s">
        <v>49</v>
      </c>
      <c r="T2828" s="13" t="s">
        <v>78</v>
      </c>
      <c r="U2828" s="13" t="s">
        <v>263</v>
      </c>
      <c r="V2828" s="13" t="s">
        <v>134</v>
      </c>
      <c r="W2828" s="13" t="s">
        <v>109</v>
      </c>
      <c r="X2828" s="135">
        <v>6628360</v>
      </c>
      <c r="Y2828" s="156">
        <v>1</v>
      </c>
      <c r="Z2828" s="18">
        <f t="shared" si="849"/>
        <v>6628360</v>
      </c>
      <c r="AA2828" s="13">
        <v>7.6100000000000001E-2</v>
      </c>
      <c r="AB2828" s="21">
        <f t="shared" si="835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36"/>
        <v>44078731.611185849</v>
      </c>
      <c r="AJ2828" s="19">
        <f t="shared" si="837"/>
        <v>5508173.2163771465</v>
      </c>
      <c r="AK2828" s="20">
        <f t="shared" si="843"/>
        <v>0.12496215328889679</v>
      </c>
      <c r="AL2828" s="17"/>
      <c r="AM2828" s="17"/>
      <c r="AN2828" s="17"/>
      <c r="AO2828" s="17"/>
      <c r="AP2828" s="28" t="str">
        <f t="shared" si="844"/>
        <v>202011</v>
      </c>
      <c r="AQ2828" s="28" t="str">
        <f t="shared" si="845"/>
        <v>202011JPY</v>
      </c>
      <c r="AR2828" s="206" t="str">
        <f t="shared" si="846"/>
        <v>YAMAHA_Mounter</v>
      </c>
      <c r="AS2828" s="22">
        <f t="shared" si="847"/>
        <v>3</v>
      </c>
      <c r="AT2828" s="24" t="str">
        <f t="shared" si="848"/>
        <v>0-3 months</v>
      </c>
      <c r="AU2828" s="22" t="s">
        <v>3745</v>
      </c>
    </row>
    <row r="2829" spans="1:47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48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1349</v>
      </c>
      <c r="K2829" s="155" t="s">
        <v>1350</v>
      </c>
      <c r="L2829" s="17" t="s">
        <v>67</v>
      </c>
      <c r="M2829" s="13" t="s">
        <v>60</v>
      </c>
      <c r="N2829" s="13">
        <v>1</v>
      </c>
      <c r="O2829" s="13"/>
      <c r="P2829" s="33" t="str">
        <f t="shared" si="832"/>
        <v>MAIN UNIT</v>
      </c>
      <c r="Q2829" s="13" t="s">
        <v>61</v>
      </c>
      <c r="R2829" s="13" t="s">
        <v>62</v>
      </c>
      <c r="S2829" s="13" t="s">
        <v>49</v>
      </c>
      <c r="T2829" s="13" t="s">
        <v>78</v>
      </c>
      <c r="U2829" s="13" t="s">
        <v>263</v>
      </c>
      <c r="V2829" s="13" t="s">
        <v>134</v>
      </c>
      <c r="W2829" s="13" t="s">
        <v>109</v>
      </c>
      <c r="X2829" s="135">
        <v>6628360</v>
      </c>
      <c r="Y2829" s="156">
        <v>1</v>
      </c>
      <c r="Z2829" s="18">
        <f t="shared" si="849"/>
        <v>6628360</v>
      </c>
      <c r="AA2829" s="13">
        <v>7.6100000000000001E-2</v>
      </c>
      <c r="AB2829" s="21">
        <f t="shared" si="835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36"/>
        <v>44078731.611185849</v>
      </c>
      <c r="AJ2829" s="19">
        <f t="shared" si="837"/>
        <v>5508173.2163771465</v>
      </c>
      <c r="AK2829" s="20">
        <f t="shared" si="843"/>
        <v>0.12496215328889679</v>
      </c>
      <c r="AL2829" s="17"/>
      <c r="AM2829" s="17"/>
      <c r="AN2829" s="17"/>
      <c r="AO2829" s="17"/>
      <c r="AP2829" s="28" t="str">
        <f t="shared" si="844"/>
        <v>202011</v>
      </c>
      <c r="AQ2829" s="28" t="str">
        <f t="shared" si="845"/>
        <v>202011JPY</v>
      </c>
      <c r="AR2829" s="206" t="str">
        <f t="shared" si="846"/>
        <v>YAMAHA_Mounter</v>
      </c>
      <c r="AS2829" s="22">
        <f t="shared" si="847"/>
        <v>3</v>
      </c>
      <c r="AT2829" s="24" t="str">
        <f t="shared" si="848"/>
        <v>0-3 months</v>
      </c>
      <c r="AU2829" s="22" t="s">
        <v>3745</v>
      </c>
    </row>
    <row r="2830" spans="1:47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48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1347</v>
      </c>
      <c r="K2830" s="155" t="s">
        <v>1348</v>
      </c>
      <c r="L2830" s="17" t="s">
        <v>92</v>
      </c>
      <c r="M2830" s="13" t="s">
        <v>60</v>
      </c>
      <c r="N2830" s="13">
        <v>1</v>
      </c>
      <c r="O2830" s="13"/>
      <c r="P2830" s="33" t="str">
        <f t="shared" si="832"/>
        <v>MAIN UNIT</v>
      </c>
      <c r="Q2830" s="13" t="s">
        <v>68</v>
      </c>
      <c r="R2830" s="13" t="s">
        <v>62</v>
      </c>
      <c r="S2830" s="13" t="s">
        <v>49</v>
      </c>
      <c r="T2830" s="13" t="s">
        <v>78</v>
      </c>
      <c r="U2830" s="13" t="s">
        <v>263</v>
      </c>
      <c r="V2830" s="13" t="s">
        <v>134</v>
      </c>
      <c r="W2830" s="13" t="s">
        <v>109</v>
      </c>
      <c r="X2830" s="135">
        <v>12099500</v>
      </c>
      <c r="Y2830" s="156">
        <v>1</v>
      </c>
      <c r="Z2830" s="18">
        <f t="shared" si="849"/>
        <v>12099500</v>
      </c>
      <c r="AA2830" s="13">
        <v>7.4899999999999994E-2</v>
      </c>
      <c r="AB2830" s="21">
        <f t="shared" si="835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36"/>
        <v>47907808.356810622</v>
      </c>
      <c r="AJ2830" s="19">
        <f t="shared" si="837"/>
        <v>6027384.8806384448</v>
      </c>
      <c r="AK2830" s="20">
        <f t="shared" si="843"/>
        <v>0.12581216063459488</v>
      </c>
      <c r="AL2830" s="17"/>
      <c r="AM2830" s="17"/>
      <c r="AN2830" s="17"/>
      <c r="AO2830" s="17"/>
      <c r="AP2830" s="28" t="str">
        <f t="shared" si="844"/>
        <v>20209</v>
      </c>
      <c r="AQ2830" s="28" t="str">
        <f t="shared" si="845"/>
        <v>20209JPY</v>
      </c>
      <c r="AR2830" s="206" t="str">
        <f t="shared" si="846"/>
        <v>YAMAHA_Mounter</v>
      </c>
      <c r="AS2830" s="22">
        <f t="shared" si="847"/>
        <v>1</v>
      </c>
      <c r="AT2830" s="24" t="str">
        <f t="shared" si="848"/>
        <v>0-3 months</v>
      </c>
      <c r="AU2830" s="22" t="s">
        <v>3745</v>
      </c>
    </row>
    <row r="2831" spans="1:47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48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1347</v>
      </c>
      <c r="K2831" s="155" t="s">
        <v>1348</v>
      </c>
      <c r="L2831" s="17" t="s">
        <v>92</v>
      </c>
      <c r="M2831" s="13" t="s">
        <v>60</v>
      </c>
      <c r="N2831" s="13">
        <v>1</v>
      </c>
      <c r="O2831" s="13"/>
      <c r="P2831" s="33" t="str">
        <f t="shared" si="832"/>
        <v>MAIN UNIT</v>
      </c>
      <c r="Q2831" s="13" t="s">
        <v>68</v>
      </c>
      <c r="R2831" s="13" t="s">
        <v>62</v>
      </c>
      <c r="S2831" s="13" t="s">
        <v>49</v>
      </c>
      <c r="T2831" s="13" t="s">
        <v>78</v>
      </c>
      <c r="U2831" s="13" t="s">
        <v>263</v>
      </c>
      <c r="V2831" s="13" t="s">
        <v>134</v>
      </c>
      <c r="W2831" s="13" t="s">
        <v>109</v>
      </c>
      <c r="X2831" s="135">
        <v>12099500</v>
      </c>
      <c r="Y2831" s="156">
        <v>1</v>
      </c>
      <c r="Z2831" s="18">
        <f t="shared" si="849"/>
        <v>12099500</v>
      </c>
      <c r="AA2831" s="13">
        <v>7.4899999999999994E-2</v>
      </c>
      <c r="AB2831" s="21">
        <f t="shared" si="835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36"/>
        <v>47907808.356810622</v>
      </c>
      <c r="AJ2831" s="19">
        <f t="shared" si="837"/>
        <v>6027384.8806384448</v>
      </c>
      <c r="AK2831" s="20">
        <f t="shared" si="843"/>
        <v>0.12581216063459488</v>
      </c>
      <c r="AL2831" s="17"/>
      <c r="AM2831" s="17"/>
      <c r="AN2831" s="17"/>
      <c r="AO2831" s="17"/>
      <c r="AP2831" s="28" t="str">
        <f t="shared" si="844"/>
        <v>20209</v>
      </c>
      <c r="AQ2831" s="28" t="str">
        <f t="shared" si="845"/>
        <v>20209JPY</v>
      </c>
      <c r="AR2831" s="206" t="str">
        <f t="shared" si="846"/>
        <v>YAMAHA_Mounter</v>
      </c>
      <c r="AS2831" s="22">
        <f t="shared" si="847"/>
        <v>1</v>
      </c>
      <c r="AT2831" s="24" t="str">
        <f t="shared" si="848"/>
        <v>0-3 months</v>
      </c>
      <c r="AU2831" s="22" t="s">
        <v>3745</v>
      </c>
    </row>
    <row r="2832" spans="1:47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185</v>
      </c>
      <c r="F2832" s="13" t="s">
        <v>185</v>
      </c>
      <c r="G2832" s="152" t="s">
        <v>1622</v>
      </c>
      <c r="H2832" s="155"/>
      <c r="I2832" s="33" t="str">
        <f t="shared" si="840"/>
        <v>Cancel</v>
      </c>
      <c r="J2832" s="186" t="s">
        <v>1623</v>
      </c>
      <c r="K2832" s="155" t="s">
        <v>1350</v>
      </c>
      <c r="L2832" s="17" t="s">
        <v>67</v>
      </c>
      <c r="M2832" s="13" t="s">
        <v>60</v>
      </c>
      <c r="N2832" s="13">
        <v>1</v>
      </c>
      <c r="O2832" s="13"/>
      <c r="P2832" s="33" t="str">
        <f t="shared" si="832"/>
        <v>MAIN UNIT</v>
      </c>
      <c r="Q2832" s="13" t="s">
        <v>68</v>
      </c>
      <c r="R2832" s="13" t="s">
        <v>62</v>
      </c>
      <c r="S2832" s="13" t="s">
        <v>49</v>
      </c>
      <c r="T2832" s="13" t="s">
        <v>78</v>
      </c>
      <c r="U2832" s="13" t="s">
        <v>79</v>
      </c>
      <c r="V2832" s="13" t="s">
        <v>1351</v>
      </c>
      <c r="W2832" s="13" t="s">
        <v>109</v>
      </c>
      <c r="X2832" s="135">
        <v>6628360</v>
      </c>
      <c r="Y2832" s="157" t="str">
        <f>IF(W2832="RMB","1.13", "1")</f>
        <v>1</v>
      </c>
      <c r="Z2832" s="18">
        <f t="shared" si="849"/>
        <v>6628360</v>
      </c>
      <c r="AA2832" s="13">
        <v>5.8700000000000002E-2</v>
      </c>
      <c r="AB2832" s="21">
        <f t="shared" si="835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36"/>
        <v>499582152.5142017</v>
      </c>
      <c r="AJ2832" s="19">
        <f t="shared" si="837"/>
        <v>59520528.679470733</v>
      </c>
      <c r="AK2832" s="20">
        <f t="shared" si="843"/>
        <v>0.11914062257814291</v>
      </c>
      <c r="AL2832" s="17"/>
      <c r="AM2832" s="17"/>
      <c r="AN2832" s="17"/>
      <c r="AO2832" s="17"/>
      <c r="AP2832" s="28" t="str">
        <f t="shared" si="844"/>
        <v>Cancelcancel</v>
      </c>
      <c r="AQ2832" s="28" t="str">
        <f t="shared" si="845"/>
        <v>CancelcancelJPY</v>
      </c>
      <c r="AR2832" s="206" t="str">
        <f t="shared" si="846"/>
        <v>YAMAHA_Mounter</v>
      </c>
      <c r="AS2832" s="22" t="str">
        <f t="shared" si="847"/>
        <v/>
      </c>
      <c r="AT2832" s="24" t="str">
        <f t="shared" si="848"/>
        <v/>
      </c>
      <c r="AU2832" s="22" t="s">
        <v>3745</v>
      </c>
    </row>
    <row r="2833" spans="1:47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185</v>
      </c>
      <c r="F2833" s="13" t="s">
        <v>185</v>
      </c>
      <c r="G2833" s="152" t="s">
        <v>1622</v>
      </c>
      <c r="H2833" s="155"/>
      <c r="I2833" s="33" t="str">
        <f t="shared" si="840"/>
        <v>Cancel</v>
      </c>
      <c r="J2833" s="186" t="s">
        <v>1623</v>
      </c>
      <c r="K2833" s="155" t="s">
        <v>1350</v>
      </c>
      <c r="L2833" s="17" t="s">
        <v>67</v>
      </c>
      <c r="M2833" s="13" t="s">
        <v>60</v>
      </c>
      <c r="N2833" s="13">
        <v>1</v>
      </c>
      <c r="O2833" s="13"/>
      <c r="P2833" s="33" t="str">
        <f t="shared" si="832"/>
        <v>MAIN UNIT</v>
      </c>
      <c r="Q2833" s="13" t="s">
        <v>68</v>
      </c>
      <c r="R2833" s="13" t="s">
        <v>62</v>
      </c>
      <c r="S2833" s="13" t="s">
        <v>49</v>
      </c>
      <c r="T2833" s="13" t="s">
        <v>78</v>
      </c>
      <c r="U2833" s="13" t="s">
        <v>1624</v>
      </c>
      <c r="V2833" s="13" t="s">
        <v>134</v>
      </c>
      <c r="W2833" s="13" t="s">
        <v>109</v>
      </c>
      <c r="X2833" s="135">
        <v>6628360</v>
      </c>
      <c r="Y2833" s="157" t="str">
        <f>IF(W2833="RMB","1.13", "1")</f>
        <v>1</v>
      </c>
      <c r="Z2833" s="18">
        <f t="shared" si="849"/>
        <v>6628360</v>
      </c>
      <c r="AA2833" s="13">
        <v>5.8700000000000002E-2</v>
      </c>
      <c r="AB2833" s="21">
        <f t="shared" si="835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36"/>
        <v>499582152.5142017</v>
      </c>
      <c r="AJ2833" s="19">
        <f t="shared" si="837"/>
        <v>59520528.679470733</v>
      </c>
      <c r="AK2833" s="20">
        <f t="shared" si="843"/>
        <v>0.11914062257814291</v>
      </c>
      <c r="AL2833" s="17"/>
      <c r="AM2833" s="17"/>
      <c r="AN2833" s="17"/>
      <c r="AO2833" s="17"/>
      <c r="AP2833" s="28" t="str">
        <f t="shared" si="844"/>
        <v>Cancelcancel</v>
      </c>
      <c r="AQ2833" s="28" t="str">
        <f t="shared" si="845"/>
        <v>CancelcancelJPY</v>
      </c>
      <c r="AR2833" s="206" t="str">
        <f t="shared" si="846"/>
        <v>YAMAHA_Mounter</v>
      </c>
      <c r="AS2833" s="22" t="str">
        <f t="shared" si="847"/>
        <v/>
      </c>
      <c r="AT2833" s="24" t="str">
        <f t="shared" si="848"/>
        <v/>
      </c>
      <c r="AU2833" s="22" t="s">
        <v>3745</v>
      </c>
    </row>
    <row r="2834" spans="1:47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185</v>
      </c>
      <c r="F2834" s="13" t="s">
        <v>185</v>
      </c>
      <c r="G2834" s="152" t="s">
        <v>1622</v>
      </c>
      <c r="H2834" s="155"/>
      <c r="I2834" s="33" t="str">
        <f t="shared" si="840"/>
        <v>Cancel</v>
      </c>
      <c r="J2834" s="186" t="s">
        <v>1623</v>
      </c>
      <c r="K2834" s="155" t="s">
        <v>1350</v>
      </c>
      <c r="L2834" s="17" t="s">
        <v>67</v>
      </c>
      <c r="M2834" s="13" t="s">
        <v>60</v>
      </c>
      <c r="N2834" s="13">
        <v>1</v>
      </c>
      <c r="O2834" s="13"/>
      <c r="P2834" s="33" t="str">
        <f t="shared" si="832"/>
        <v>MAIN UNIT</v>
      </c>
      <c r="Q2834" s="13" t="s">
        <v>68</v>
      </c>
      <c r="R2834" s="13" t="s">
        <v>62</v>
      </c>
      <c r="S2834" s="13" t="s">
        <v>49</v>
      </c>
      <c r="T2834" s="13" t="s">
        <v>78</v>
      </c>
      <c r="U2834" s="13" t="s">
        <v>1624</v>
      </c>
      <c r="V2834" s="13" t="s">
        <v>134</v>
      </c>
      <c r="W2834" s="13" t="s">
        <v>109</v>
      </c>
      <c r="X2834" s="135">
        <v>6628360</v>
      </c>
      <c r="Y2834" s="157" t="str">
        <f>IF(W2834="RMB","1.13", "1")</f>
        <v>1</v>
      </c>
      <c r="Z2834" s="18">
        <f t="shared" si="849"/>
        <v>6628360</v>
      </c>
      <c r="AA2834" s="13">
        <v>5.8700000000000002E-2</v>
      </c>
      <c r="AB2834" s="21">
        <f t="shared" si="835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36"/>
        <v>499582152.5142017</v>
      </c>
      <c r="AJ2834" s="19">
        <f t="shared" si="837"/>
        <v>59520528.679470733</v>
      </c>
      <c r="AK2834" s="20">
        <f t="shared" si="843"/>
        <v>0.11914062257814291</v>
      </c>
      <c r="AL2834" s="17"/>
      <c r="AM2834" s="17"/>
      <c r="AN2834" s="17"/>
      <c r="AO2834" s="17"/>
      <c r="AP2834" s="28" t="str">
        <f t="shared" si="844"/>
        <v>Cancelcancel</v>
      </c>
      <c r="AQ2834" s="28" t="str">
        <f t="shared" si="845"/>
        <v>CancelcancelJPY</v>
      </c>
      <c r="AR2834" s="206" t="str">
        <f t="shared" si="846"/>
        <v>YAMAHA_Mounter</v>
      </c>
      <c r="AS2834" s="22" t="str">
        <f t="shared" si="847"/>
        <v/>
      </c>
      <c r="AT2834" s="24" t="str">
        <f t="shared" si="848"/>
        <v/>
      </c>
      <c r="AU2834" s="22" t="s">
        <v>3745</v>
      </c>
    </row>
    <row r="2835" spans="1:47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185</v>
      </c>
      <c r="F2835" s="13" t="s">
        <v>185</v>
      </c>
      <c r="G2835" s="152" t="s">
        <v>1622</v>
      </c>
      <c r="H2835" s="155"/>
      <c r="I2835" s="33" t="str">
        <f t="shared" si="840"/>
        <v>Cancel</v>
      </c>
      <c r="J2835" s="186" t="s">
        <v>1623</v>
      </c>
      <c r="K2835" s="155" t="s">
        <v>1350</v>
      </c>
      <c r="L2835" s="17" t="s">
        <v>67</v>
      </c>
      <c r="M2835" s="13" t="s">
        <v>60</v>
      </c>
      <c r="N2835" s="13">
        <v>1</v>
      </c>
      <c r="O2835" s="13"/>
      <c r="P2835" s="33" t="str">
        <f t="shared" si="832"/>
        <v>MAIN UNIT</v>
      </c>
      <c r="Q2835" s="13" t="s">
        <v>68</v>
      </c>
      <c r="R2835" s="13" t="s">
        <v>62</v>
      </c>
      <c r="S2835" s="13" t="s">
        <v>49</v>
      </c>
      <c r="T2835" s="13" t="s">
        <v>78</v>
      </c>
      <c r="U2835" s="13" t="s">
        <v>1624</v>
      </c>
      <c r="V2835" s="13" t="s">
        <v>134</v>
      </c>
      <c r="W2835" s="13" t="s">
        <v>109</v>
      </c>
      <c r="X2835" s="135">
        <v>6628360</v>
      </c>
      <c r="Y2835" s="157" t="str">
        <f>IF(W2835="RMB","1.13", "1")</f>
        <v>1</v>
      </c>
      <c r="Z2835" s="18">
        <f t="shared" si="849"/>
        <v>6628360</v>
      </c>
      <c r="AA2835" s="13">
        <v>5.8700000000000002E-2</v>
      </c>
      <c r="AB2835" s="21">
        <f t="shared" si="835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36"/>
        <v>499582152.5142017</v>
      </c>
      <c r="AJ2835" s="19">
        <f t="shared" si="837"/>
        <v>59520528.679470733</v>
      </c>
      <c r="AK2835" s="20">
        <f t="shared" si="843"/>
        <v>0.11914062257814291</v>
      </c>
      <c r="AL2835" s="17"/>
      <c r="AM2835" s="17"/>
      <c r="AN2835" s="17"/>
      <c r="AO2835" s="17"/>
      <c r="AP2835" s="28" t="str">
        <f t="shared" si="844"/>
        <v>Cancelcancel</v>
      </c>
      <c r="AQ2835" s="28" t="str">
        <f t="shared" si="845"/>
        <v>CancelcancelJPY</v>
      </c>
      <c r="AR2835" s="206" t="str">
        <f t="shared" si="846"/>
        <v>YAMAHA_Mounter</v>
      </c>
      <c r="AS2835" s="22" t="str">
        <f t="shared" si="847"/>
        <v/>
      </c>
      <c r="AT2835" s="24" t="str">
        <f t="shared" si="848"/>
        <v/>
      </c>
      <c r="AU2835" s="22" t="s">
        <v>3745</v>
      </c>
    </row>
    <row r="2836" spans="1:47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185</v>
      </c>
      <c r="F2836" s="13" t="s">
        <v>185</v>
      </c>
      <c r="G2836" s="152" t="s">
        <v>1622</v>
      </c>
      <c r="H2836" s="155"/>
      <c r="I2836" s="33" t="str">
        <f t="shared" si="840"/>
        <v>Cancel</v>
      </c>
      <c r="J2836" s="186" t="s">
        <v>1623</v>
      </c>
      <c r="K2836" s="155" t="s">
        <v>1350</v>
      </c>
      <c r="L2836" s="17" t="s">
        <v>67</v>
      </c>
      <c r="M2836" s="13" t="s">
        <v>60</v>
      </c>
      <c r="N2836" s="13">
        <v>1</v>
      </c>
      <c r="O2836" s="13"/>
      <c r="P2836" s="33" t="str">
        <f t="shared" si="832"/>
        <v>MAIN UNIT</v>
      </c>
      <c r="Q2836" s="13" t="s">
        <v>68</v>
      </c>
      <c r="R2836" s="13" t="s">
        <v>62</v>
      </c>
      <c r="S2836" s="13" t="s">
        <v>49</v>
      </c>
      <c r="T2836" s="13" t="s">
        <v>78</v>
      </c>
      <c r="U2836" s="13" t="s">
        <v>1624</v>
      </c>
      <c r="V2836" s="13" t="s">
        <v>134</v>
      </c>
      <c r="W2836" s="13" t="s">
        <v>109</v>
      </c>
      <c r="X2836" s="135">
        <v>6628360</v>
      </c>
      <c r="Y2836" s="157" t="str">
        <f>IF(W2836="RMB","1.13", "1")</f>
        <v>1</v>
      </c>
      <c r="Z2836" s="18">
        <f t="shared" si="849"/>
        <v>6628360</v>
      </c>
      <c r="AA2836" s="13">
        <v>5.8700000000000002E-2</v>
      </c>
      <c r="AB2836" s="21">
        <f t="shared" si="835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36"/>
        <v>499582152.5142017</v>
      </c>
      <c r="AJ2836" s="19">
        <f t="shared" si="837"/>
        <v>59520528.679470733</v>
      </c>
      <c r="AK2836" s="20">
        <f t="shared" si="843"/>
        <v>0.11914062257814291</v>
      </c>
      <c r="AL2836" s="17"/>
      <c r="AM2836" s="17"/>
      <c r="AN2836" s="17"/>
      <c r="AO2836" s="17"/>
      <c r="AP2836" s="28" t="str">
        <f t="shared" si="844"/>
        <v>Cancelcancel</v>
      </c>
      <c r="AQ2836" s="28" t="str">
        <f t="shared" si="845"/>
        <v>CancelcancelJPY</v>
      </c>
      <c r="AR2836" s="206" t="str">
        <f t="shared" si="846"/>
        <v>YAMAHA_Mounter</v>
      </c>
      <c r="AS2836" s="22" t="str">
        <f t="shared" si="847"/>
        <v/>
      </c>
      <c r="AT2836" s="24" t="str">
        <f t="shared" si="848"/>
        <v/>
      </c>
      <c r="AU2836" s="22" t="s">
        <v>3745</v>
      </c>
    </row>
    <row r="2837" spans="1:47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3118</v>
      </c>
      <c r="K2837" s="29" t="s">
        <v>1348</v>
      </c>
      <c r="L2837" s="17" t="s">
        <v>92</v>
      </c>
      <c r="M2837" s="22" t="s">
        <v>60</v>
      </c>
      <c r="N2837" s="22">
        <v>1</v>
      </c>
      <c r="O2837" s="22"/>
      <c r="P2837" s="33" t="str">
        <f t="shared" si="832"/>
        <v>MAIN UNIT</v>
      </c>
      <c r="Q2837" s="13" t="s">
        <v>61</v>
      </c>
      <c r="R2837" s="22" t="s">
        <v>62</v>
      </c>
      <c r="S2837" s="22" t="s">
        <v>49</v>
      </c>
      <c r="T2837" s="22" t="s">
        <v>396</v>
      </c>
      <c r="U2837" s="22" t="s">
        <v>1768</v>
      </c>
      <c r="V2837" s="22" t="s">
        <v>131</v>
      </c>
      <c r="W2837" s="22" t="s">
        <v>109</v>
      </c>
      <c r="X2837" s="30">
        <v>12397500</v>
      </c>
      <c r="Y2837" s="31" t="str">
        <f t="shared" ref="Y2837:Y2850" si="850">IF(W2837="","",IF(W2837="RMB","1.13", "1"))</f>
        <v>1</v>
      </c>
      <c r="Z2837" s="18">
        <f t="shared" si="849"/>
        <v>12397500</v>
      </c>
      <c r="AA2837" s="22">
        <v>5.6300000000000003E-2</v>
      </c>
      <c r="AB2837" s="21">
        <f t="shared" si="835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36"/>
        <v>23146578.081415929</v>
      </c>
      <c r="AJ2837" s="27">
        <f t="shared" si="837"/>
        <v>2745231.3889985834</v>
      </c>
      <c r="AK2837" s="28">
        <f t="shared" si="843"/>
        <v>0.11860204041143742</v>
      </c>
      <c r="AL2837" s="24"/>
      <c r="AM2837" s="24"/>
      <c r="AN2837" s="24"/>
      <c r="AO2837" s="24"/>
      <c r="AP2837" s="28" t="str">
        <f t="shared" si="844"/>
        <v>20241</v>
      </c>
      <c r="AQ2837" s="28" t="str">
        <f t="shared" si="845"/>
        <v>20241JPY</v>
      </c>
      <c r="AR2837" s="206" t="str">
        <f t="shared" si="846"/>
        <v>YAMAHA_Mounter</v>
      </c>
      <c r="AS2837" s="22">
        <f t="shared" si="847"/>
        <v>0</v>
      </c>
      <c r="AT2837" s="24" t="str">
        <f t="shared" si="848"/>
        <v>0-3 months</v>
      </c>
      <c r="AU2837" s="22" t="s">
        <v>3745</v>
      </c>
    </row>
    <row r="2838" spans="1:47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3118</v>
      </c>
      <c r="K2838" s="29" t="s">
        <v>1348</v>
      </c>
      <c r="L2838" s="17" t="s">
        <v>92</v>
      </c>
      <c r="M2838" s="22" t="s">
        <v>60</v>
      </c>
      <c r="N2838" s="22">
        <v>1</v>
      </c>
      <c r="O2838" s="22"/>
      <c r="P2838" s="33" t="str">
        <f t="shared" ref="P2838:P2901" si="851">IF(M2838="","",IF(AND(N2838&gt;0,L2838&lt;&gt;""),"MAIN UNIT",IF(AND(O2838&gt;0,L2838&lt;&gt;""),"SERVICE/ PARTS","C66 SERVICE/OTHERS")))</f>
        <v>MAIN UNIT</v>
      </c>
      <c r="Q2838" s="13" t="s">
        <v>61</v>
      </c>
      <c r="R2838" s="22" t="s">
        <v>62</v>
      </c>
      <c r="S2838" s="22" t="s">
        <v>49</v>
      </c>
      <c r="T2838" s="22" t="s">
        <v>396</v>
      </c>
      <c r="U2838" s="22" t="s">
        <v>1768</v>
      </c>
      <c r="V2838" s="22" t="s">
        <v>131</v>
      </c>
      <c r="W2838" s="22" t="s">
        <v>109</v>
      </c>
      <c r="X2838" s="30">
        <v>12397500</v>
      </c>
      <c r="Y2838" s="31" t="str">
        <f t="shared" si="850"/>
        <v>1</v>
      </c>
      <c r="Z2838" s="18">
        <f t="shared" si="849"/>
        <v>12397500</v>
      </c>
      <c r="AA2838" s="22">
        <v>5.6300000000000003E-2</v>
      </c>
      <c r="AB2838" s="21">
        <f t="shared" si="835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36"/>
        <v>23146578.081415929</v>
      </c>
      <c r="AJ2838" s="27">
        <f t="shared" si="837"/>
        <v>2745231.3889985834</v>
      </c>
      <c r="AK2838" s="28">
        <f t="shared" si="843"/>
        <v>0.11860204041143742</v>
      </c>
      <c r="AL2838" s="24"/>
      <c r="AM2838" s="24"/>
      <c r="AN2838" s="24"/>
      <c r="AO2838" s="24"/>
      <c r="AP2838" s="28" t="str">
        <f t="shared" si="844"/>
        <v>20241</v>
      </c>
      <c r="AQ2838" s="28" t="str">
        <f t="shared" si="845"/>
        <v>20241JPY</v>
      </c>
      <c r="AR2838" s="206" t="str">
        <f t="shared" si="846"/>
        <v>YAMAHA_Mounter</v>
      </c>
      <c r="AS2838" s="22">
        <f t="shared" si="847"/>
        <v>0</v>
      </c>
      <c r="AT2838" s="24" t="str">
        <f t="shared" si="848"/>
        <v>0-3 months</v>
      </c>
      <c r="AU2838" s="22" t="s">
        <v>3745</v>
      </c>
    </row>
    <row r="2839" spans="1:47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3118</v>
      </c>
      <c r="K2839" s="29" t="s">
        <v>1348</v>
      </c>
      <c r="L2839" s="17" t="s">
        <v>92</v>
      </c>
      <c r="M2839" s="22" t="s">
        <v>60</v>
      </c>
      <c r="N2839" s="22">
        <v>1</v>
      </c>
      <c r="O2839" s="22"/>
      <c r="P2839" s="33" t="str">
        <f t="shared" si="851"/>
        <v>MAIN UNIT</v>
      </c>
      <c r="Q2839" s="13" t="s">
        <v>61</v>
      </c>
      <c r="R2839" s="22" t="s">
        <v>62</v>
      </c>
      <c r="S2839" s="22" t="s">
        <v>49</v>
      </c>
      <c r="T2839" s="22" t="s">
        <v>396</v>
      </c>
      <c r="U2839" s="22" t="s">
        <v>1768</v>
      </c>
      <c r="V2839" s="22" t="s">
        <v>131</v>
      </c>
      <c r="W2839" s="22" t="s">
        <v>109</v>
      </c>
      <c r="X2839" s="30">
        <v>12397500</v>
      </c>
      <c r="Y2839" s="31" t="str">
        <f t="shared" si="850"/>
        <v>1</v>
      </c>
      <c r="Z2839" s="18">
        <f t="shared" si="849"/>
        <v>12397500</v>
      </c>
      <c r="AA2839" s="22">
        <v>5.6300000000000003E-2</v>
      </c>
      <c r="AB2839" s="21">
        <f t="shared" si="835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36"/>
        <v>23146578.081415929</v>
      </c>
      <c r="AJ2839" s="27">
        <f t="shared" si="837"/>
        <v>2745231.3889985834</v>
      </c>
      <c r="AK2839" s="28">
        <f t="shared" si="843"/>
        <v>0.11860204041143742</v>
      </c>
      <c r="AL2839" s="24"/>
      <c r="AM2839" s="24"/>
      <c r="AN2839" s="24"/>
      <c r="AO2839" s="24"/>
      <c r="AP2839" s="28" t="str">
        <f t="shared" si="844"/>
        <v>20241</v>
      </c>
      <c r="AQ2839" s="28" t="str">
        <f t="shared" si="845"/>
        <v>20241JPY</v>
      </c>
      <c r="AR2839" s="206" t="str">
        <f t="shared" si="846"/>
        <v>YAMAHA_Mounter</v>
      </c>
      <c r="AS2839" s="22">
        <f t="shared" si="847"/>
        <v>0</v>
      </c>
      <c r="AT2839" s="24" t="str">
        <f t="shared" si="848"/>
        <v>0-3 months</v>
      </c>
      <c r="AU2839" s="22" t="s">
        <v>3745</v>
      </c>
    </row>
    <row r="2840" spans="1:47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3118</v>
      </c>
      <c r="K2840" s="29" t="s">
        <v>1348</v>
      </c>
      <c r="L2840" s="17" t="s">
        <v>92</v>
      </c>
      <c r="M2840" s="22" t="s">
        <v>60</v>
      </c>
      <c r="N2840" s="22">
        <v>1</v>
      </c>
      <c r="O2840" s="22"/>
      <c r="P2840" s="33" t="str">
        <f t="shared" si="851"/>
        <v>MAIN UNIT</v>
      </c>
      <c r="Q2840" s="13" t="s">
        <v>61</v>
      </c>
      <c r="R2840" s="22" t="s">
        <v>62</v>
      </c>
      <c r="S2840" s="22" t="s">
        <v>49</v>
      </c>
      <c r="T2840" s="22" t="s">
        <v>396</v>
      </c>
      <c r="U2840" s="22" t="s">
        <v>1768</v>
      </c>
      <c r="V2840" s="22" t="s">
        <v>131</v>
      </c>
      <c r="W2840" s="22" t="s">
        <v>109</v>
      </c>
      <c r="X2840" s="30">
        <v>12397500</v>
      </c>
      <c r="Y2840" s="31" t="str">
        <f t="shared" si="850"/>
        <v>1</v>
      </c>
      <c r="Z2840" s="18">
        <f t="shared" si="849"/>
        <v>12397500</v>
      </c>
      <c r="AA2840" s="22">
        <v>5.6300000000000003E-2</v>
      </c>
      <c r="AB2840" s="21">
        <f t="shared" si="835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36"/>
        <v>23146578.081415929</v>
      </c>
      <c r="AJ2840" s="27">
        <f t="shared" si="837"/>
        <v>2745231.3889985834</v>
      </c>
      <c r="AK2840" s="28">
        <f t="shared" si="843"/>
        <v>0.11860204041143742</v>
      </c>
      <c r="AL2840" s="24"/>
      <c r="AM2840" s="24"/>
      <c r="AN2840" s="24"/>
      <c r="AO2840" s="24"/>
      <c r="AP2840" s="28" t="str">
        <f t="shared" si="844"/>
        <v>20241</v>
      </c>
      <c r="AQ2840" s="28" t="str">
        <f t="shared" si="845"/>
        <v>20241JPY</v>
      </c>
      <c r="AR2840" s="206" t="str">
        <f t="shared" si="846"/>
        <v>YAMAHA_Mounter</v>
      </c>
      <c r="AS2840" s="22">
        <f t="shared" si="847"/>
        <v>0</v>
      </c>
      <c r="AT2840" s="24" t="str">
        <f t="shared" si="848"/>
        <v>0-3 months</v>
      </c>
      <c r="AU2840" s="22" t="s">
        <v>3745</v>
      </c>
    </row>
    <row r="2841" spans="1:47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3402</v>
      </c>
      <c r="K2841" s="29" t="s">
        <v>1970</v>
      </c>
      <c r="L2841" s="17" t="s">
        <v>67</v>
      </c>
      <c r="M2841" s="22" t="s">
        <v>60</v>
      </c>
      <c r="N2841" s="22">
        <v>1</v>
      </c>
      <c r="O2841" s="22"/>
      <c r="P2841" s="33" t="str">
        <f t="shared" si="851"/>
        <v>MAIN UNIT</v>
      </c>
      <c r="Q2841" s="13" t="s">
        <v>61</v>
      </c>
      <c r="R2841" s="22" t="s">
        <v>62</v>
      </c>
      <c r="S2841" s="22" t="s">
        <v>49</v>
      </c>
      <c r="T2841" s="22" t="s">
        <v>78</v>
      </c>
      <c r="U2841" s="22" t="s">
        <v>3405</v>
      </c>
      <c r="V2841" s="22" t="s">
        <v>121</v>
      </c>
      <c r="W2841" s="22" t="s">
        <v>109</v>
      </c>
      <c r="X2841" s="30">
        <v>11200000</v>
      </c>
      <c r="Y2841" s="31" t="str">
        <f t="shared" si="850"/>
        <v>1</v>
      </c>
      <c r="Z2841" s="18">
        <f t="shared" si="849"/>
        <v>11200000</v>
      </c>
      <c r="AA2841" s="22">
        <v>5.2299999999999999E-2</v>
      </c>
      <c r="AB2841" s="21">
        <f t="shared" si="835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36"/>
        <v>25354039.366920356</v>
      </c>
      <c r="AJ2841" s="27">
        <f t="shared" si="837"/>
        <v>3028631.2816309328</v>
      </c>
      <c r="AK2841" s="28">
        <f t="shared" si="843"/>
        <v>0.11945360018579192</v>
      </c>
      <c r="AL2841" s="24"/>
      <c r="AM2841" s="24"/>
      <c r="AN2841" s="24"/>
      <c r="AO2841" s="24"/>
      <c r="AP2841" s="28" t="str">
        <f t="shared" si="844"/>
        <v>20248</v>
      </c>
      <c r="AQ2841" s="28" t="str">
        <f t="shared" si="845"/>
        <v>20248JPY</v>
      </c>
      <c r="AR2841" s="206" t="str">
        <f t="shared" si="846"/>
        <v>YAMAHA_Mounter</v>
      </c>
      <c r="AS2841" s="22">
        <f t="shared" si="847"/>
        <v>4</v>
      </c>
      <c r="AT2841" s="24" t="str">
        <f t="shared" si="848"/>
        <v>4-6 months</v>
      </c>
      <c r="AU2841" s="22" t="s">
        <v>3746</v>
      </c>
    </row>
    <row r="2842" spans="1:47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3172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3443</v>
      </c>
      <c r="K2842" s="29" t="s">
        <v>3444</v>
      </c>
      <c r="L2842" s="17" t="s">
        <v>67</v>
      </c>
      <c r="M2842" s="22" t="s">
        <v>60</v>
      </c>
      <c r="N2842" s="22">
        <v>1</v>
      </c>
      <c r="O2842" s="22"/>
      <c r="P2842" s="33" t="str">
        <f t="shared" si="851"/>
        <v>MAIN UNIT</v>
      </c>
      <c r="Q2842" s="22" t="s">
        <v>68</v>
      </c>
      <c r="R2842" s="22" t="s">
        <v>62</v>
      </c>
      <c r="S2842" s="22" t="s">
        <v>49</v>
      </c>
      <c r="T2842" s="22" t="s">
        <v>78</v>
      </c>
      <c r="U2842" s="22" t="s">
        <v>78</v>
      </c>
      <c r="V2842" s="22" t="s">
        <v>3134</v>
      </c>
      <c r="W2842" s="22" t="s">
        <v>109</v>
      </c>
      <c r="X2842" s="104">
        <v>9900000</v>
      </c>
      <c r="Y2842" s="195" t="str">
        <f t="shared" si="850"/>
        <v>1</v>
      </c>
      <c r="Z2842" s="196">
        <f t="shared" si="849"/>
        <v>9900000</v>
      </c>
      <c r="AA2842" s="22">
        <v>5.2299999999999999E-2</v>
      </c>
      <c r="AB2842" s="197">
        <f t="shared" si="835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36"/>
        <v>25354039.366920356</v>
      </c>
      <c r="AJ2842" s="200">
        <f t="shared" si="837"/>
        <v>3028631.2816309328</v>
      </c>
      <c r="AK2842" s="201">
        <f t="shared" si="843"/>
        <v>0.11945360018579192</v>
      </c>
      <c r="AL2842" s="24"/>
      <c r="AM2842" s="24"/>
      <c r="AN2842" s="24"/>
      <c r="AO2842" s="24"/>
      <c r="AP2842" s="105" t="str">
        <f t="shared" si="844"/>
        <v>20248</v>
      </c>
      <c r="AQ2842" s="28" t="str">
        <f t="shared" si="845"/>
        <v>20248JPY</v>
      </c>
      <c r="AR2842" s="206" t="str">
        <f t="shared" si="846"/>
        <v>YAMAHA_Mounter</v>
      </c>
      <c r="AS2842" s="22">
        <f t="shared" si="847"/>
        <v>3</v>
      </c>
      <c r="AT2842" s="24" t="str">
        <f t="shared" si="848"/>
        <v>0-3 months</v>
      </c>
      <c r="AU2842" s="22" t="s">
        <v>3745</v>
      </c>
    </row>
    <row r="2843" spans="1:47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2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3385</v>
      </c>
      <c r="K2843" s="29" t="s">
        <v>3389</v>
      </c>
      <c r="L2843" s="17" t="s">
        <v>67</v>
      </c>
      <c r="M2843" s="22" t="s">
        <v>60</v>
      </c>
      <c r="N2843" s="22">
        <v>1</v>
      </c>
      <c r="O2843" s="22"/>
      <c r="P2843" s="33" t="str">
        <f t="shared" si="851"/>
        <v>MAIN UNIT</v>
      </c>
      <c r="Q2843" s="13" t="s">
        <v>68</v>
      </c>
      <c r="R2843" s="22" t="s">
        <v>62</v>
      </c>
      <c r="S2843" s="22" t="s">
        <v>49</v>
      </c>
      <c r="T2843" s="22" t="s">
        <v>78</v>
      </c>
      <c r="U2843" s="22" t="s">
        <v>1071</v>
      </c>
      <c r="V2843" s="22" t="s">
        <v>121</v>
      </c>
      <c r="W2843" s="22" t="s">
        <v>109</v>
      </c>
      <c r="X2843" s="30">
        <v>8495000</v>
      </c>
      <c r="Y2843" s="31" t="str">
        <f t="shared" si="850"/>
        <v>1</v>
      </c>
      <c r="Z2843" s="18">
        <f t="shared" si="849"/>
        <v>8495000</v>
      </c>
      <c r="AA2843" s="22">
        <v>5.2299999999999999E-2</v>
      </c>
      <c r="AB2843" s="21">
        <f t="shared" si="835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36"/>
        <v>25354039.366920356</v>
      </c>
      <c r="AJ2843" s="27">
        <f t="shared" si="837"/>
        <v>3028631.2816309328</v>
      </c>
      <c r="AK2843" s="28">
        <f t="shared" si="843"/>
        <v>0.11945360018579192</v>
      </c>
      <c r="AL2843" s="24"/>
      <c r="AM2843" s="24"/>
      <c r="AN2843" s="24"/>
      <c r="AO2843" s="24"/>
      <c r="AP2843" s="28" t="str">
        <f t="shared" si="844"/>
        <v>20248</v>
      </c>
      <c r="AQ2843" s="28" t="str">
        <f t="shared" si="845"/>
        <v>20248JPY</v>
      </c>
      <c r="AR2843" s="206" t="str">
        <f t="shared" si="846"/>
        <v>YAMAHA_Mounter</v>
      </c>
      <c r="AS2843" s="22">
        <f t="shared" si="847"/>
        <v>4</v>
      </c>
      <c r="AT2843" s="24" t="str">
        <f t="shared" si="848"/>
        <v>4-6 months</v>
      </c>
      <c r="AU2843" s="22" t="s">
        <v>3745</v>
      </c>
    </row>
    <row r="2844" spans="1:47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2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3404</v>
      </c>
      <c r="K2844" s="29" t="s">
        <v>395</v>
      </c>
      <c r="L2844" s="17" t="s">
        <v>92</v>
      </c>
      <c r="M2844" s="22" t="s">
        <v>60</v>
      </c>
      <c r="N2844" s="22">
        <v>1</v>
      </c>
      <c r="O2844" s="22"/>
      <c r="P2844" s="33" t="str">
        <f t="shared" si="851"/>
        <v>MAIN UNIT</v>
      </c>
      <c r="Q2844" s="13" t="s">
        <v>61</v>
      </c>
      <c r="R2844" s="22" t="s">
        <v>62</v>
      </c>
      <c r="S2844" s="22" t="s">
        <v>49</v>
      </c>
      <c r="T2844" s="22" t="s">
        <v>78</v>
      </c>
      <c r="U2844" s="22" t="s">
        <v>396</v>
      </c>
      <c r="V2844" s="22" t="s">
        <v>80</v>
      </c>
      <c r="W2844" s="22" t="s">
        <v>109</v>
      </c>
      <c r="X2844" s="30">
        <v>15400000</v>
      </c>
      <c r="Y2844" s="31" t="str">
        <f t="shared" si="850"/>
        <v>1</v>
      </c>
      <c r="Z2844" s="18">
        <f t="shared" si="849"/>
        <v>15400000</v>
      </c>
      <c r="AA2844" s="22">
        <v>5.2299999999999999E-2</v>
      </c>
      <c r="AB2844" s="21">
        <f t="shared" si="835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36"/>
        <v>25354039.366920356</v>
      </c>
      <c r="AJ2844" s="27">
        <f t="shared" si="837"/>
        <v>3028631.2816309328</v>
      </c>
      <c r="AK2844" s="28">
        <f t="shared" si="843"/>
        <v>0.11945360018579192</v>
      </c>
      <c r="AL2844" s="24"/>
      <c r="AM2844" s="24"/>
      <c r="AN2844" s="24"/>
      <c r="AO2844" s="24"/>
      <c r="AP2844" s="28" t="str">
        <f t="shared" si="844"/>
        <v>20248</v>
      </c>
      <c r="AQ2844" s="28" t="str">
        <f t="shared" si="845"/>
        <v>20248JPY</v>
      </c>
      <c r="AR2844" s="206" t="str">
        <f t="shared" si="846"/>
        <v>YAMAHA_Mounter</v>
      </c>
      <c r="AS2844" s="22">
        <f t="shared" si="847"/>
        <v>4</v>
      </c>
      <c r="AT2844" s="24" t="str">
        <f t="shared" si="848"/>
        <v>4-6 months</v>
      </c>
      <c r="AU2844" s="22" t="s">
        <v>3745</v>
      </c>
    </row>
    <row r="2845" spans="1:47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2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3404</v>
      </c>
      <c r="K2845" s="29" t="s">
        <v>395</v>
      </c>
      <c r="L2845" s="17" t="s">
        <v>92</v>
      </c>
      <c r="M2845" s="22" t="s">
        <v>60</v>
      </c>
      <c r="N2845" s="22">
        <v>1</v>
      </c>
      <c r="O2845" s="22"/>
      <c r="P2845" s="33" t="str">
        <f t="shared" si="851"/>
        <v>MAIN UNIT</v>
      </c>
      <c r="Q2845" s="13" t="s">
        <v>61</v>
      </c>
      <c r="R2845" s="22" t="s">
        <v>62</v>
      </c>
      <c r="S2845" s="22" t="s">
        <v>49</v>
      </c>
      <c r="T2845" s="22" t="s">
        <v>78</v>
      </c>
      <c r="U2845" s="22" t="s">
        <v>396</v>
      </c>
      <c r="V2845" s="22" t="s">
        <v>80</v>
      </c>
      <c r="W2845" s="22" t="s">
        <v>109</v>
      </c>
      <c r="X2845" s="30">
        <v>15400000</v>
      </c>
      <c r="Y2845" s="31" t="str">
        <f t="shared" si="850"/>
        <v>1</v>
      </c>
      <c r="Z2845" s="18">
        <f t="shared" si="849"/>
        <v>15400000</v>
      </c>
      <c r="AA2845" s="22">
        <v>5.2299999999999999E-2</v>
      </c>
      <c r="AB2845" s="21">
        <f t="shared" si="835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36"/>
        <v>25354039.366920356</v>
      </c>
      <c r="AJ2845" s="27">
        <f t="shared" si="837"/>
        <v>3028631.2816309328</v>
      </c>
      <c r="AK2845" s="28">
        <f t="shared" si="843"/>
        <v>0.11945360018579192</v>
      </c>
      <c r="AL2845" s="24"/>
      <c r="AM2845" s="24"/>
      <c r="AN2845" s="24"/>
      <c r="AO2845" s="24"/>
      <c r="AP2845" s="28" t="str">
        <f t="shared" si="844"/>
        <v>20248</v>
      </c>
      <c r="AQ2845" s="28" t="str">
        <f t="shared" si="845"/>
        <v>20248JPY</v>
      </c>
      <c r="AR2845" s="206" t="str">
        <f t="shared" si="846"/>
        <v>YAMAHA_Mounter</v>
      </c>
      <c r="AS2845" s="22">
        <f t="shared" si="847"/>
        <v>4</v>
      </c>
      <c r="AT2845" s="24" t="str">
        <f t="shared" si="848"/>
        <v>4-6 months</v>
      </c>
      <c r="AU2845" s="22" t="s">
        <v>3745</v>
      </c>
    </row>
    <row r="2846" spans="1:47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2"/>
        <v>Cancel</v>
      </c>
      <c r="F2846" s="152" t="s">
        <v>185</v>
      </c>
      <c r="G2846" s="152" t="s">
        <v>185</v>
      </c>
      <c r="H2846" s="29"/>
      <c r="I2846" s="33" t="str">
        <f t="shared" si="840"/>
        <v>Cancel</v>
      </c>
      <c r="J2846" s="188" t="s">
        <v>3179</v>
      </c>
      <c r="K2846" s="29" t="s">
        <v>3180</v>
      </c>
      <c r="L2846" s="17" t="s">
        <v>67</v>
      </c>
      <c r="M2846" s="22" t="s">
        <v>60</v>
      </c>
      <c r="N2846" s="22">
        <v>1</v>
      </c>
      <c r="O2846" s="22"/>
      <c r="P2846" s="33" t="str">
        <f t="shared" si="851"/>
        <v>MAIN UNIT</v>
      </c>
      <c r="Q2846" s="13" t="s">
        <v>68</v>
      </c>
      <c r="R2846" s="22" t="s">
        <v>62</v>
      </c>
      <c r="S2846" s="22" t="s">
        <v>49</v>
      </c>
      <c r="T2846" s="22" t="s">
        <v>1071</v>
      </c>
      <c r="U2846" s="22" t="s">
        <v>2110</v>
      </c>
      <c r="V2846" s="22" t="s">
        <v>2011</v>
      </c>
      <c r="W2846" s="22" t="s">
        <v>64</v>
      </c>
      <c r="X2846" s="30">
        <v>530000</v>
      </c>
      <c r="Y2846" s="31" t="str">
        <f t="shared" si="850"/>
        <v>1.13</v>
      </c>
      <c r="Z2846" s="18">
        <f t="shared" si="849"/>
        <v>530000</v>
      </c>
      <c r="AA2846" s="22">
        <v>1.0640000000000001</v>
      </c>
      <c r="AB2846" s="21">
        <f t="shared" si="835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36"/>
        <v>499582152.5142017</v>
      </c>
      <c r="AJ2846" s="27">
        <f t="shared" si="837"/>
        <v>59520528.679470733</v>
      </c>
      <c r="AK2846" s="28">
        <f t="shared" si="843"/>
        <v>0.11914062257814291</v>
      </c>
      <c r="AL2846" s="24"/>
      <c r="AM2846" s="24"/>
      <c r="AN2846" s="24"/>
      <c r="AO2846" s="24"/>
      <c r="AP2846" s="28" t="str">
        <f t="shared" si="844"/>
        <v>CancelCancel</v>
      </c>
      <c r="AQ2846" s="28" t="str">
        <f t="shared" si="845"/>
        <v>CancelCancelRMB</v>
      </c>
      <c r="AR2846" s="206" t="str">
        <f t="shared" si="846"/>
        <v>YAMAHA_Mounter</v>
      </c>
      <c r="AS2846" s="22" t="str">
        <f t="shared" si="847"/>
        <v/>
      </c>
      <c r="AT2846" s="24" t="str">
        <f t="shared" si="848"/>
        <v/>
      </c>
      <c r="AU2846" s="22" t="s">
        <v>3751</v>
      </c>
    </row>
    <row r="2847" spans="1:47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2"/>
        <v>Cancel</v>
      </c>
      <c r="F2847" s="152" t="s">
        <v>185</v>
      </c>
      <c r="G2847" s="152" t="s">
        <v>185</v>
      </c>
      <c r="H2847" s="29"/>
      <c r="I2847" s="33" t="str">
        <f t="shared" si="840"/>
        <v>Cancel</v>
      </c>
      <c r="J2847" s="188" t="s">
        <v>3179</v>
      </c>
      <c r="K2847" s="29" t="s">
        <v>3180</v>
      </c>
      <c r="L2847" s="17" t="s">
        <v>92</v>
      </c>
      <c r="M2847" s="22" t="s">
        <v>60</v>
      </c>
      <c r="N2847" s="22">
        <v>1</v>
      </c>
      <c r="O2847" s="22"/>
      <c r="P2847" s="33" t="str">
        <f t="shared" si="851"/>
        <v>MAIN UNIT</v>
      </c>
      <c r="Q2847" s="13" t="s">
        <v>68</v>
      </c>
      <c r="R2847" s="22" t="s">
        <v>62</v>
      </c>
      <c r="S2847" s="22" t="s">
        <v>49</v>
      </c>
      <c r="T2847" s="22" t="s">
        <v>1071</v>
      </c>
      <c r="U2847" s="22" t="s">
        <v>2110</v>
      </c>
      <c r="V2847" s="22" t="s">
        <v>2011</v>
      </c>
      <c r="W2847" s="22" t="s">
        <v>64</v>
      </c>
      <c r="X2847" s="30">
        <v>850000</v>
      </c>
      <c r="Y2847" s="31" t="str">
        <f t="shared" si="850"/>
        <v>1.13</v>
      </c>
      <c r="Z2847" s="18">
        <f t="shared" si="849"/>
        <v>850000</v>
      </c>
      <c r="AA2847" s="22">
        <v>1.0640000000000001</v>
      </c>
      <c r="AB2847" s="21">
        <f t="shared" si="835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36"/>
        <v>499582152.5142017</v>
      </c>
      <c r="AJ2847" s="27">
        <f t="shared" si="837"/>
        <v>59520528.679470733</v>
      </c>
      <c r="AK2847" s="28">
        <f t="shared" si="843"/>
        <v>0.11914062257814291</v>
      </c>
      <c r="AL2847" s="24"/>
      <c r="AM2847" s="24"/>
      <c r="AN2847" s="24"/>
      <c r="AO2847" s="24"/>
      <c r="AP2847" s="28" t="str">
        <f t="shared" si="844"/>
        <v>CancelCancel</v>
      </c>
      <c r="AQ2847" s="28" t="str">
        <f t="shared" si="845"/>
        <v>CancelCancelRMB</v>
      </c>
      <c r="AR2847" s="206" t="str">
        <f t="shared" si="846"/>
        <v>YAMAHA_Mounter</v>
      </c>
      <c r="AS2847" s="22" t="str">
        <f t="shared" si="847"/>
        <v/>
      </c>
      <c r="AT2847" s="24" t="str">
        <f t="shared" si="848"/>
        <v/>
      </c>
      <c r="AU2847" s="22" t="s">
        <v>3751</v>
      </c>
    </row>
    <row r="2848" spans="1:47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2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3399</v>
      </c>
      <c r="K2848" s="29" t="s">
        <v>3400</v>
      </c>
      <c r="L2848" s="17" t="s">
        <v>92</v>
      </c>
      <c r="M2848" s="22" t="s">
        <v>60</v>
      </c>
      <c r="N2848" s="22">
        <v>1</v>
      </c>
      <c r="O2848" s="22"/>
      <c r="P2848" s="33" t="str">
        <f t="shared" si="851"/>
        <v>MAIN UNIT</v>
      </c>
      <c r="Q2848" s="13" t="s">
        <v>61</v>
      </c>
      <c r="R2848" s="22" t="s">
        <v>62</v>
      </c>
      <c r="S2848" s="22" t="s">
        <v>49</v>
      </c>
      <c r="T2848" s="22" t="s">
        <v>78</v>
      </c>
      <c r="U2848" s="22" t="s">
        <v>1071</v>
      </c>
      <c r="V2848" s="22" t="s">
        <v>112</v>
      </c>
      <c r="W2848" s="22" t="s">
        <v>109</v>
      </c>
      <c r="X2848" s="30">
        <v>12500000</v>
      </c>
      <c r="Y2848" s="31" t="str">
        <f t="shared" si="850"/>
        <v>1</v>
      </c>
      <c r="Z2848" s="18">
        <f t="shared" si="849"/>
        <v>12500000</v>
      </c>
      <c r="AA2848" s="22">
        <v>5.2299999999999999E-2</v>
      </c>
      <c r="AB2848" s="21">
        <f t="shared" si="835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36"/>
        <v>25354039.366920356</v>
      </c>
      <c r="AJ2848" s="27">
        <f t="shared" si="837"/>
        <v>3028631.2816309328</v>
      </c>
      <c r="AK2848" s="28">
        <f t="shared" si="843"/>
        <v>0.11945360018579192</v>
      </c>
      <c r="AL2848" s="24"/>
      <c r="AM2848" s="24"/>
      <c r="AN2848" s="24"/>
      <c r="AO2848" s="24"/>
      <c r="AP2848" s="28" t="str">
        <f t="shared" si="844"/>
        <v>20248</v>
      </c>
      <c r="AQ2848" s="28" t="str">
        <f t="shared" si="845"/>
        <v>20248JPY</v>
      </c>
      <c r="AR2848" s="206" t="str">
        <f t="shared" si="846"/>
        <v>YAMAHA_Mounter</v>
      </c>
      <c r="AS2848" s="22">
        <f t="shared" si="847"/>
        <v>4</v>
      </c>
      <c r="AT2848" s="24" t="str">
        <f t="shared" si="848"/>
        <v>4-6 months</v>
      </c>
      <c r="AU2848" s="22" t="s">
        <v>3745</v>
      </c>
    </row>
    <row r="2849" spans="1:47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2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3399</v>
      </c>
      <c r="K2849" s="29" t="s">
        <v>3400</v>
      </c>
      <c r="L2849" s="17" t="s">
        <v>92</v>
      </c>
      <c r="M2849" s="22" t="s">
        <v>60</v>
      </c>
      <c r="N2849" s="22">
        <v>1</v>
      </c>
      <c r="O2849" s="22"/>
      <c r="P2849" s="33" t="str">
        <f t="shared" si="851"/>
        <v>MAIN UNIT</v>
      </c>
      <c r="Q2849" s="13" t="s">
        <v>61</v>
      </c>
      <c r="R2849" s="22" t="s">
        <v>62</v>
      </c>
      <c r="S2849" s="22" t="s">
        <v>49</v>
      </c>
      <c r="T2849" s="22" t="s">
        <v>78</v>
      </c>
      <c r="U2849" s="22" t="s">
        <v>1071</v>
      </c>
      <c r="V2849" s="22" t="s">
        <v>112</v>
      </c>
      <c r="W2849" s="22" t="s">
        <v>109</v>
      </c>
      <c r="X2849" s="30">
        <v>12500000</v>
      </c>
      <c r="Y2849" s="31" t="str">
        <f t="shared" si="850"/>
        <v>1</v>
      </c>
      <c r="Z2849" s="18">
        <f t="shared" si="849"/>
        <v>12500000</v>
      </c>
      <c r="AA2849" s="22">
        <v>5.2299999999999999E-2</v>
      </c>
      <c r="AB2849" s="21">
        <f t="shared" si="835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36"/>
        <v>25354039.366920356</v>
      </c>
      <c r="AJ2849" s="27">
        <f t="shared" si="837"/>
        <v>3028631.2816309328</v>
      </c>
      <c r="AK2849" s="28">
        <f t="shared" si="843"/>
        <v>0.11945360018579192</v>
      </c>
      <c r="AL2849" s="24"/>
      <c r="AM2849" s="24"/>
      <c r="AN2849" s="24"/>
      <c r="AO2849" s="24"/>
      <c r="AP2849" s="28" t="str">
        <f t="shared" si="844"/>
        <v>20248</v>
      </c>
      <c r="AQ2849" s="28" t="str">
        <f t="shared" si="845"/>
        <v>20248JPY</v>
      </c>
      <c r="AR2849" s="206" t="str">
        <f t="shared" si="846"/>
        <v>YAMAHA_Mounter</v>
      </c>
      <c r="AS2849" s="22">
        <f t="shared" si="847"/>
        <v>4</v>
      </c>
      <c r="AT2849" s="24" t="str">
        <f t="shared" si="848"/>
        <v>4-6 months</v>
      </c>
      <c r="AU2849" s="22" t="s">
        <v>3745</v>
      </c>
    </row>
    <row r="2850" spans="1:47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3172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3446</v>
      </c>
      <c r="K2850" s="29" t="s">
        <v>3447</v>
      </c>
      <c r="L2850" s="17" t="s">
        <v>67</v>
      </c>
      <c r="M2850" s="22" t="s">
        <v>60</v>
      </c>
      <c r="N2850" s="22">
        <v>1</v>
      </c>
      <c r="O2850" s="22"/>
      <c r="P2850" s="33" t="str">
        <f t="shared" si="851"/>
        <v>MAIN UNIT</v>
      </c>
      <c r="Q2850" s="22" t="s">
        <v>61</v>
      </c>
      <c r="R2850" s="22" t="s">
        <v>62</v>
      </c>
      <c r="S2850" s="22" t="s">
        <v>49</v>
      </c>
      <c r="T2850" s="22" t="s">
        <v>78</v>
      </c>
      <c r="U2850" s="22" t="s">
        <v>78</v>
      </c>
      <c r="V2850" s="22" t="s">
        <v>126</v>
      </c>
      <c r="W2850" s="22" t="s">
        <v>109</v>
      </c>
      <c r="X2850" s="104">
        <v>8500000</v>
      </c>
      <c r="Y2850" s="195" t="str">
        <f t="shared" si="850"/>
        <v>1</v>
      </c>
      <c r="Z2850" s="196">
        <f t="shared" si="849"/>
        <v>8500000</v>
      </c>
      <c r="AA2850" s="22">
        <v>5.5599999999999997E-2</v>
      </c>
      <c r="AB2850" s="197">
        <f t="shared" si="835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36"/>
        <v>22758096.38940867</v>
      </c>
      <c r="AJ2850" s="200">
        <f t="shared" si="837"/>
        <v>2469357.2298956565</v>
      </c>
      <c r="AK2850" s="201">
        <f t="shared" si="843"/>
        <v>0.10850455976822666</v>
      </c>
      <c r="AL2850" s="24"/>
      <c r="AM2850" s="24"/>
      <c r="AN2850" s="24"/>
      <c r="AO2850" s="24"/>
      <c r="AP2850" s="105" t="str">
        <f t="shared" si="844"/>
        <v>202410</v>
      </c>
      <c r="AQ2850" s="28" t="str">
        <f t="shared" si="845"/>
        <v>202410JPY</v>
      </c>
      <c r="AR2850" s="206" t="str">
        <f t="shared" si="846"/>
        <v>YAMAHA_Mounter</v>
      </c>
      <c r="AS2850" s="22">
        <f t="shared" si="847"/>
        <v>5</v>
      </c>
      <c r="AT2850" s="24" t="str">
        <f t="shared" si="848"/>
        <v>4-6 months</v>
      </c>
      <c r="AU2850" s="22" t="s">
        <v>3746</v>
      </c>
    </row>
    <row r="2851" spans="1:47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53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1846</v>
      </c>
      <c r="K2851" s="155" t="s">
        <v>1847</v>
      </c>
      <c r="L2851" s="17" t="s">
        <v>92</v>
      </c>
      <c r="M2851" s="13" t="s">
        <v>60</v>
      </c>
      <c r="N2851" s="13">
        <v>1</v>
      </c>
      <c r="O2851" s="13"/>
      <c r="P2851" s="33" t="str">
        <f t="shared" si="851"/>
        <v>MAIN UNIT</v>
      </c>
      <c r="Q2851" s="13" t="s">
        <v>61</v>
      </c>
      <c r="R2851" s="13" t="s">
        <v>62</v>
      </c>
      <c r="S2851" s="13" t="s">
        <v>49</v>
      </c>
      <c r="T2851" s="13" t="s">
        <v>78</v>
      </c>
      <c r="U2851" s="13" t="s">
        <v>79</v>
      </c>
      <c r="V2851" s="13" t="s">
        <v>1516</v>
      </c>
      <c r="W2851" s="13" t="s">
        <v>109</v>
      </c>
      <c r="X2851" s="135">
        <v>13200000</v>
      </c>
      <c r="Y2851" s="157" t="str">
        <f t="shared" ref="Y2851:Y2858" si="853">IF(W2851="RMB","1.13", "1")</f>
        <v>1</v>
      </c>
      <c r="Z2851" s="18">
        <f t="shared" si="849"/>
        <v>13200000</v>
      </c>
      <c r="AA2851" s="13">
        <v>7.2400000000000006E-2</v>
      </c>
      <c r="AB2851" s="21">
        <f t="shared" si="835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36"/>
        <v>47458373.787610628</v>
      </c>
      <c r="AJ2851" s="19">
        <f t="shared" si="837"/>
        <v>7436880.1411522133</v>
      </c>
      <c r="AK2851" s="20">
        <f t="shared" si="843"/>
        <v>0.15670322321692506</v>
      </c>
      <c r="AL2851" s="17"/>
      <c r="AM2851" s="17"/>
      <c r="AN2851" s="17"/>
      <c r="AO2851" s="17"/>
      <c r="AP2851" s="28" t="str">
        <f t="shared" si="844"/>
        <v>20218</v>
      </c>
      <c r="AQ2851" s="28" t="str">
        <f t="shared" si="845"/>
        <v>20218JPY</v>
      </c>
      <c r="AR2851" s="206" t="str">
        <f t="shared" si="846"/>
        <v>YAMAHA_Mounter</v>
      </c>
      <c r="AS2851" s="22">
        <f t="shared" si="847"/>
        <v>5</v>
      </c>
      <c r="AT2851" s="24" t="str">
        <f t="shared" si="848"/>
        <v>4-6 months</v>
      </c>
      <c r="AU2851" s="22" t="s">
        <v>3745</v>
      </c>
    </row>
    <row r="2852" spans="1:47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53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1846</v>
      </c>
      <c r="K2852" s="155" t="s">
        <v>1847</v>
      </c>
      <c r="L2852" s="17" t="s">
        <v>92</v>
      </c>
      <c r="M2852" s="13" t="s">
        <v>60</v>
      </c>
      <c r="N2852" s="13">
        <v>1</v>
      </c>
      <c r="O2852" s="13"/>
      <c r="P2852" s="33" t="str">
        <f t="shared" si="851"/>
        <v>MAIN UNIT</v>
      </c>
      <c r="Q2852" s="13" t="s">
        <v>61</v>
      </c>
      <c r="R2852" s="13" t="s">
        <v>62</v>
      </c>
      <c r="S2852" s="13" t="s">
        <v>49</v>
      </c>
      <c r="T2852" s="13" t="s">
        <v>78</v>
      </c>
      <c r="U2852" s="13" t="s">
        <v>79</v>
      </c>
      <c r="V2852" s="13" t="s">
        <v>1516</v>
      </c>
      <c r="W2852" s="13" t="s">
        <v>109</v>
      </c>
      <c r="X2852" s="135">
        <v>13200000</v>
      </c>
      <c r="Y2852" s="157" t="str">
        <f t="shared" si="853"/>
        <v>1</v>
      </c>
      <c r="Z2852" s="18">
        <f t="shared" si="849"/>
        <v>13200000</v>
      </c>
      <c r="AA2852" s="13">
        <v>7.2400000000000006E-2</v>
      </c>
      <c r="AB2852" s="21">
        <f t="shared" si="835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36"/>
        <v>47458373.787610628</v>
      </c>
      <c r="AJ2852" s="19">
        <f t="shared" si="837"/>
        <v>7436880.1411522133</v>
      </c>
      <c r="AK2852" s="20">
        <f t="shared" si="843"/>
        <v>0.15670322321692506</v>
      </c>
      <c r="AL2852" s="17"/>
      <c r="AM2852" s="17"/>
      <c r="AN2852" s="17"/>
      <c r="AO2852" s="17"/>
      <c r="AP2852" s="28" t="str">
        <f t="shared" si="844"/>
        <v>20218</v>
      </c>
      <c r="AQ2852" s="28" t="str">
        <f t="shared" si="845"/>
        <v>20218JPY</v>
      </c>
      <c r="AR2852" s="206" t="str">
        <f t="shared" si="846"/>
        <v>YAMAHA_Mounter</v>
      </c>
      <c r="AS2852" s="22">
        <f t="shared" si="847"/>
        <v>5</v>
      </c>
      <c r="AT2852" s="24" t="str">
        <f t="shared" si="848"/>
        <v>4-6 months</v>
      </c>
      <c r="AU2852" s="22" t="s">
        <v>3745</v>
      </c>
    </row>
    <row r="2853" spans="1:47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53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1846</v>
      </c>
      <c r="K2853" s="155" t="s">
        <v>1847</v>
      </c>
      <c r="L2853" s="17" t="s">
        <v>92</v>
      </c>
      <c r="M2853" s="13" t="s">
        <v>60</v>
      </c>
      <c r="N2853" s="13">
        <v>1</v>
      </c>
      <c r="O2853" s="13"/>
      <c r="P2853" s="33" t="str">
        <f t="shared" si="851"/>
        <v>MAIN UNIT</v>
      </c>
      <c r="Q2853" s="13" t="s">
        <v>61</v>
      </c>
      <c r="R2853" s="13" t="s">
        <v>62</v>
      </c>
      <c r="S2853" s="13" t="s">
        <v>49</v>
      </c>
      <c r="T2853" s="13" t="s">
        <v>78</v>
      </c>
      <c r="U2853" s="13" t="s">
        <v>79</v>
      </c>
      <c r="V2853" s="13" t="s">
        <v>1516</v>
      </c>
      <c r="W2853" s="13" t="s">
        <v>109</v>
      </c>
      <c r="X2853" s="135">
        <v>13200000</v>
      </c>
      <c r="Y2853" s="157" t="str">
        <f t="shared" si="853"/>
        <v>1</v>
      </c>
      <c r="Z2853" s="18">
        <f t="shared" si="849"/>
        <v>13200000</v>
      </c>
      <c r="AA2853" s="13">
        <v>7.2400000000000006E-2</v>
      </c>
      <c r="AB2853" s="21">
        <f t="shared" si="835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36"/>
        <v>47458373.787610628</v>
      </c>
      <c r="AJ2853" s="19">
        <f t="shared" si="837"/>
        <v>7436880.1411522133</v>
      </c>
      <c r="AK2853" s="20">
        <f t="shared" si="843"/>
        <v>0.15670322321692506</v>
      </c>
      <c r="AL2853" s="17"/>
      <c r="AM2853" s="17"/>
      <c r="AN2853" s="17"/>
      <c r="AO2853" s="17"/>
      <c r="AP2853" s="28" t="str">
        <f t="shared" si="844"/>
        <v>20218</v>
      </c>
      <c r="AQ2853" s="28" t="str">
        <f t="shared" si="845"/>
        <v>20218JPY</v>
      </c>
      <c r="AR2853" s="206" t="str">
        <f t="shared" si="846"/>
        <v>YAMAHA_Mounter</v>
      </c>
      <c r="AS2853" s="22">
        <f t="shared" si="847"/>
        <v>5</v>
      </c>
      <c r="AT2853" s="24" t="str">
        <f t="shared" si="848"/>
        <v>4-6 months</v>
      </c>
      <c r="AU2853" s="22" t="s">
        <v>3745</v>
      </c>
    </row>
    <row r="2854" spans="1:47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54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1846</v>
      </c>
      <c r="K2854" s="155" t="s">
        <v>1847</v>
      </c>
      <c r="L2854" s="17" t="s">
        <v>92</v>
      </c>
      <c r="M2854" s="13" t="s">
        <v>60</v>
      </c>
      <c r="N2854" s="13">
        <v>1</v>
      </c>
      <c r="O2854" s="13"/>
      <c r="P2854" s="33" t="str">
        <f t="shared" si="851"/>
        <v>MAIN UNIT</v>
      </c>
      <c r="Q2854" s="13" t="s">
        <v>61</v>
      </c>
      <c r="R2854" s="13" t="s">
        <v>62</v>
      </c>
      <c r="S2854" s="13" t="s">
        <v>49</v>
      </c>
      <c r="T2854" s="13" t="s">
        <v>78</v>
      </c>
      <c r="U2854" s="13" t="s">
        <v>79</v>
      </c>
      <c r="V2854" s="13" t="s">
        <v>1516</v>
      </c>
      <c r="W2854" s="13" t="s">
        <v>109</v>
      </c>
      <c r="X2854" s="135">
        <v>13200000</v>
      </c>
      <c r="Y2854" s="157" t="str">
        <f t="shared" si="853"/>
        <v>1</v>
      </c>
      <c r="Z2854" s="18">
        <f t="shared" si="849"/>
        <v>13200000</v>
      </c>
      <c r="AA2854" s="13">
        <v>6.54E-2</v>
      </c>
      <c r="AB2854" s="21">
        <f t="shared" si="835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36"/>
        <v>46600814.041769907</v>
      </c>
      <c r="AJ2854" s="19">
        <f t="shared" si="837"/>
        <v>5956366.3435927071</v>
      </c>
      <c r="AK2854" s="20">
        <f t="shared" si="843"/>
        <v>0.1278167874546958</v>
      </c>
      <c r="AL2854" s="17"/>
      <c r="AM2854" s="17"/>
      <c r="AN2854" s="17"/>
      <c r="AO2854" s="17"/>
      <c r="AP2854" s="28" t="str">
        <f t="shared" si="844"/>
        <v>20224</v>
      </c>
      <c r="AQ2854" s="28" t="str">
        <f t="shared" si="845"/>
        <v>20224JPY</v>
      </c>
      <c r="AR2854" s="206" t="str">
        <f t="shared" si="846"/>
        <v>YAMAHA_Mounter</v>
      </c>
      <c r="AS2854" s="22">
        <f t="shared" si="847"/>
        <v>13</v>
      </c>
      <c r="AT2854" s="24" t="str">
        <f t="shared" si="848"/>
        <v>&gt; 6 months</v>
      </c>
      <c r="AU2854" s="22" t="s">
        <v>3745</v>
      </c>
    </row>
    <row r="2855" spans="1:47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54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1846</v>
      </c>
      <c r="K2855" s="155" t="s">
        <v>1847</v>
      </c>
      <c r="L2855" s="17" t="s">
        <v>92</v>
      </c>
      <c r="M2855" s="13" t="s">
        <v>60</v>
      </c>
      <c r="N2855" s="13">
        <v>1</v>
      </c>
      <c r="O2855" s="13"/>
      <c r="P2855" s="33" t="str">
        <f t="shared" si="851"/>
        <v>MAIN UNIT</v>
      </c>
      <c r="Q2855" s="13" t="s">
        <v>61</v>
      </c>
      <c r="R2855" s="13" t="s">
        <v>62</v>
      </c>
      <c r="S2855" s="13" t="s">
        <v>49</v>
      </c>
      <c r="T2855" s="13" t="s">
        <v>78</v>
      </c>
      <c r="U2855" s="13" t="s">
        <v>79</v>
      </c>
      <c r="V2855" s="13" t="s">
        <v>1516</v>
      </c>
      <c r="W2855" s="13" t="s">
        <v>109</v>
      </c>
      <c r="X2855" s="135">
        <v>13200000</v>
      </c>
      <c r="Y2855" s="157" t="str">
        <f t="shared" si="853"/>
        <v>1</v>
      </c>
      <c r="Z2855" s="18">
        <f t="shared" si="849"/>
        <v>13200000</v>
      </c>
      <c r="AA2855" s="13">
        <v>6.54E-2</v>
      </c>
      <c r="AB2855" s="21">
        <f t="shared" si="835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36"/>
        <v>46600814.041769907</v>
      </c>
      <c r="AJ2855" s="19">
        <f t="shared" si="837"/>
        <v>5956366.3435927071</v>
      </c>
      <c r="AK2855" s="20">
        <f t="shared" si="843"/>
        <v>0.1278167874546958</v>
      </c>
      <c r="AL2855" s="17"/>
      <c r="AM2855" s="17"/>
      <c r="AN2855" s="17"/>
      <c r="AO2855" s="17"/>
      <c r="AP2855" s="28" t="str">
        <f t="shared" si="844"/>
        <v>20224</v>
      </c>
      <c r="AQ2855" s="28" t="str">
        <f t="shared" si="845"/>
        <v>20224JPY</v>
      </c>
      <c r="AR2855" s="206" t="str">
        <f t="shared" si="846"/>
        <v>YAMAHA_Mounter</v>
      </c>
      <c r="AS2855" s="22">
        <f t="shared" si="847"/>
        <v>13</v>
      </c>
      <c r="AT2855" s="24" t="str">
        <f t="shared" si="848"/>
        <v>&gt; 6 months</v>
      </c>
      <c r="AU2855" s="22" t="s">
        <v>3745</v>
      </c>
    </row>
    <row r="2856" spans="1:47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54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1846</v>
      </c>
      <c r="K2856" s="155" t="s">
        <v>1847</v>
      </c>
      <c r="L2856" s="17" t="s">
        <v>92</v>
      </c>
      <c r="M2856" s="13" t="s">
        <v>60</v>
      </c>
      <c r="N2856" s="13">
        <v>1</v>
      </c>
      <c r="O2856" s="13"/>
      <c r="P2856" s="33" t="str">
        <f t="shared" si="851"/>
        <v>MAIN UNIT</v>
      </c>
      <c r="Q2856" s="13" t="s">
        <v>61</v>
      </c>
      <c r="R2856" s="13" t="s">
        <v>62</v>
      </c>
      <c r="S2856" s="13" t="s">
        <v>49</v>
      </c>
      <c r="T2856" s="13" t="s">
        <v>78</v>
      </c>
      <c r="U2856" s="13" t="s">
        <v>79</v>
      </c>
      <c r="V2856" s="13" t="s">
        <v>1516</v>
      </c>
      <c r="W2856" s="13" t="s">
        <v>109</v>
      </c>
      <c r="X2856" s="135">
        <v>13200000</v>
      </c>
      <c r="Y2856" s="157" t="str">
        <f t="shared" si="853"/>
        <v>1</v>
      </c>
      <c r="Z2856" s="18">
        <f t="shared" si="849"/>
        <v>13200000</v>
      </c>
      <c r="AA2856" s="13">
        <v>6.54E-2</v>
      </c>
      <c r="AB2856" s="21">
        <f t="shared" si="835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36"/>
        <v>46600814.041769907</v>
      </c>
      <c r="AJ2856" s="19">
        <f t="shared" si="837"/>
        <v>5956366.3435927071</v>
      </c>
      <c r="AK2856" s="20">
        <f t="shared" si="843"/>
        <v>0.1278167874546958</v>
      </c>
      <c r="AL2856" s="17"/>
      <c r="AM2856" s="17"/>
      <c r="AN2856" s="17"/>
      <c r="AO2856" s="17"/>
      <c r="AP2856" s="28" t="str">
        <f t="shared" si="844"/>
        <v>20224</v>
      </c>
      <c r="AQ2856" s="28" t="str">
        <f t="shared" si="845"/>
        <v>20224JPY</v>
      </c>
      <c r="AR2856" s="206" t="str">
        <f t="shared" si="846"/>
        <v>YAMAHA_Mounter</v>
      </c>
      <c r="AS2856" s="22">
        <f t="shared" si="847"/>
        <v>13</v>
      </c>
      <c r="AT2856" s="24" t="str">
        <f t="shared" si="848"/>
        <v>&gt; 6 months</v>
      </c>
      <c r="AU2856" s="22" t="s">
        <v>3745</v>
      </c>
    </row>
    <row r="2857" spans="1:47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185</v>
      </c>
      <c r="F2857" s="13" t="s">
        <v>185</v>
      </c>
      <c r="G2857" s="152" t="s">
        <v>185</v>
      </c>
      <c r="H2857" s="155" t="s">
        <v>1617</v>
      </c>
      <c r="I2857" s="33" t="str">
        <f t="shared" si="840"/>
        <v>Cancel</v>
      </c>
      <c r="J2857" s="186" t="s">
        <v>2360</v>
      </c>
      <c r="K2857" s="155" t="s">
        <v>2361</v>
      </c>
      <c r="L2857" s="17" t="s">
        <v>92</v>
      </c>
      <c r="M2857" s="13" t="s">
        <v>60</v>
      </c>
      <c r="N2857" s="13">
        <v>1</v>
      </c>
      <c r="O2857" s="13"/>
      <c r="P2857" s="33" t="str">
        <f t="shared" si="851"/>
        <v>MAIN UNIT</v>
      </c>
      <c r="Q2857" s="13" t="s">
        <v>68</v>
      </c>
      <c r="R2857" s="13" t="s">
        <v>62</v>
      </c>
      <c r="S2857" s="13" t="s">
        <v>49</v>
      </c>
      <c r="T2857" s="13" t="s">
        <v>78</v>
      </c>
      <c r="U2857" s="13" t="s">
        <v>79</v>
      </c>
      <c r="V2857" s="13" t="s">
        <v>121</v>
      </c>
      <c r="W2857" s="13" t="s">
        <v>109</v>
      </c>
      <c r="X2857" s="135">
        <v>18100000</v>
      </c>
      <c r="Y2857" s="157" t="str">
        <f t="shared" si="853"/>
        <v>1</v>
      </c>
      <c r="Z2857" s="18">
        <f t="shared" si="849"/>
        <v>18100000</v>
      </c>
      <c r="AA2857" s="13">
        <v>5.8700000000000002E-2</v>
      </c>
      <c r="AB2857" s="21">
        <f t="shared" si="835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36"/>
        <v>499582152.5142017</v>
      </c>
      <c r="AJ2857" s="19">
        <f t="shared" si="837"/>
        <v>59520528.679470733</v>
      </c>
      <c r="AK2857" s="20">
        <f t="shared" si="843"/>
        <v>0.11914062257814291</v>
      </c>
      <c r="AL2857" s="17"/>
      <c r="AM2857" s="17"/>
      <c r="AN2857" s="17"/>
      <c r="AO2857" s="17"/>
      <c r="AP2857" s="28" t="str">
        <f t="shared" si="844"/>
        <v>CancelCancel</v>
      </c>
      <c r="AQ2857" s="28" t="str">
        <f t="shared" si="845"/>
        <v>CancelCancelJPY</v>
      </c>
      <c r="AR2857" s="206" t="str">
        <f t="shared" si="846"/>
        <v>YAMAHA_Mounter</v>
      </c>
      <c r="AS2857" s="22" t="str">
        <f t="shared" si="847"/>
        <v/>
      </c>
      <c r="AT2857" s="24" t="str">
        <f t="shared" si="848"/>
        <v/>
      </c>
      <c r="AU2857" s="22" t="s">
        <v>3745</v>
      </c>
    </row>
    <row r="2858" spans="1:47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185</v>
      </c>
      <c r="F2858" s="13" t="s">
        <v>185</v>
      </c>
      <c r="G2858" s="152" t="s">
        <v>185</v>
      </c>
      <c r="H2858" s="155" t="s">
        <v>1617</v>
      </c>
      <c r="I2858" s="33" t="str">
        <f t="shared" si="840"/>
        <v>Cancel</v>
      </c>
      <c r="J2858" s="186" t="s">
        <v>2360</v>
      </c>
      <c r="K2858" s="155" t="s">
        <v>2361</v>
      </c>
      <c r="L2858" s="17" t="s">
        <v>92</v>
      </c>
      <c r="M2858" s="13" t="s">
        <v>60</v>
      </c>
      <c r="N2858" s="13">
        <v>1</v>
      </c>
      <c r="O2858" s="13"/>
      <c r="P2858" s="33" t="str">
        <f t="shared" si="851"/>
        <v>MAIN UNIT</v>
      </c>
      <c r="Q2858" s="13" t="s">
        <v>68</v>
      </c>
      <c r="R2858" s="13" t="s">
        <v>62</v>
      </c>
      <c r="S2858" s="13" t="s">
        <v>49</v>
      </c>
      <c r="T2858" s="13" t="s">
        <v>78</v>
      </c>
      <c r="U2858" s="13" t="s">
        <v>79</v>
      </c>
      <c r="V2858" s="13" t="s">
        <v>121</v>
      </c>
      <c r="W2858" s="13" t="s">
        <v>109</v>
      </c>
      <c r="X2858" s="135">
        <v>18100000</v>
      </c>
      <c r="Y2858" s="157" t="str">
        <f t="shared" si="853"/>
        <v>1</v>
      </c>
      <c r="Z2858" s="18">
        <f t="shared" si="849"/>
        <v>18100000</v>
      </c>
      <c r="AA2858" s="13">
        <v>5.8700000000000002E-2</v>
      </c>
      <c r="AB2858" s="21">
        <f t="shared" si="835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36"/>
        <v>499582152.5142017</v>
      </c>
      <c r="AJ2858" s="19">
        <f t="shared" si="837"/>
        <v>59520528.679470733</v>
      </c>
      <c r="AK2858" s="20">
        <f t="shared" si="843"/>
        <v>0.11914062257814291</v>
      </c>
      <c r="AL2858" s="17"/>
      <c r="AM2858" s="17"/>
      <c r="AN2858" s="17"/>
      <c r="AO2858" s="17"/>
      <c r="AP2858" s="28" t="str">
        <f t="shared" si="844"/>
        <v>CancelCancel</v>
      </c>
      <c r="AQ2858" s="28" t="str">
        <f t="shared" si="845"/>
        <v>CancelCancelJPY</v>
      </c>
      <c r="AR2858" s="206" t="str">
        <f t="shared" si="846"/>
        <v>YAMAHA_Mounter</v>
      </c>
      <c r="AS2858" s="22" t="str">
        <f t="shared" si="847"/>
        <v/>
      </c>
      <c r="AT2858" s="24" t="str">
        <f t="shared" si="848"/>
        <v/>
      </c>
      <c r="AU2858" s="22" t="s">
        <v>3745</v>
      </c>
    </row>
    <row r="2859" spans="1:47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48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1353</v>
      </c>
      <c r="K2859" s="155" t="s">
        <v>1354</v>
      </c>
      <c r="L2859" s="17" t="s">
        <v>92</v>
      </c>
      <c r="M2859" s="13" t="s">
        <v>60</v>
      </c>
      <c r="N2859" s="13">
        <v>1</v>
      </c>
      <c r="O2859" s="13"/>
      <c r="P2859" s="33" t="str">
        <f t="shared" si="851"/>
        <v>MAIN UNIT</v>
      </c>
      <c r="Q2859" s="13" t="s">
        <v>68</v>
      </c>
      <c r="R2859" s="13" t="s">
        <v>62</v>
      </c>
      <c r="S2859" s="13" t="s">
        <v>49</v>
      </c>
      <c r="T2859" s="13" t="s">
        <v>78</v>
      </c>
      <c r="U2859" s="13" t="s">
        <v>79</v>
      </c>
      <c r="V2859" s="13" t="s">
        <v>121</v>
      </c>
      <c r="W2859" s="13" t="s">
        <v>64</v>
      </c>
      <c r="X2859" s="135">
        <v>915000</v>
      </c>
      <c r="Y2859" s="156">
        <v>1.1299999999999999</v>
      </c>
      <c r="Z2859" s="18">
        <f t="shared" si="849"/>
        <v>915000</v>
      </c>
      <c r="AA2859" s="13">
        <v>1.135</v>
      </c>
      <c r="AB2859" s="21">
        <f t="shared" si="835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36"/>
        <v>28011162.254106201</v>
      </c>
      <c r="AJ2859" s="19">
        <f t="shared" si="837"/>
        <v>3401347.1124888416</v>
      </c>
      <c r="AK2859" s="20">
        <f t="shared" si="843"/>
        <v>0.12142827497242578</v>
      </c>
      <c r="AL2859" s="17"/>
      <c r="AM2859" s="17"/>
      <c r="AN2859" s="17"/>
      <c r="AO2859" s="17"/>
      <c r="AP2859" s="28" t="str">
        <f t="shared" si="844"/>
        <v>202010</v>
      </c>
      <c r="AQ2859" s="28" t="str">
        <f t="shared" si="845"/>
        <v>202010RMB</v>
      </c>
      <c r="AR2859" s="206" t="str">
        <f t="shared" si="846"/>
        <v>YAMAHA_Mounter</v>
      </c>
      <c r="AS2859" s="22">
        <f t="shared" si="847"/>
        <v>2</v>
      </c>
      <c r="AT2859" s="24" t="str">
        <f t="shared" si="848"/>
        <v>0-3 months</v>
      </c>
      <c r="AU2859" s="22" t="s">
        <v>3744</v>
      </c>
    </row>
    <row r="2860" spans="1:47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54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2425</v>
      </c>
      <c r="K2860" s="155" t="s">
        <v>2426</v>
      </c>
      <c r="L2860" s="17" t="s">
        <v>67</v>
      </c>
      <c r="M2860" s="13" t="s">
        <v>60</v>
      </c>
      <c r="N2860" s="13">
        <v>1</v>
      </c>
      <c r="O2860" s="13"/>
      <c r="P2860" s="33" t="str">
        <f t="shared" si="851"/>
        <v>MAIN UNIT</v>
      </c>
      <c r="Q2860" s="13" t="s">
        <v>61</v>
      </c>
      <c r="R2860" s="13" t="s">
        <v>62</v>
      </c>
      <c r="S2860" s="13" t="s">
        <v>49</v>
      </c>
      <c r="T2860" s="13" t="s">
        <v>78</v>
      </c>
      <c r="U2860" s="13" t="s">
        <v>79</v>
      </c>
      <c r="V2860" s="13" t="s">
        <v>121</v>
      </c>
      <c r="W2860" s="13" t="s">
        <v>64</v>
      </c>
      <c r="X2860" s="135">
        <v>400000</v>
      </c>
      <c r="Y2860" s="157" t="str">
        <f t="shared" ref="Y2860:Y2867" si="854">IF(W2860="RMB","1.13", "1")</f>
        <v>1.13</v>
      </c>
      <c r="Z2860" s="18">
        <f t="shared" si="849"/>
        <v>400000</v>
      </c>
      <c r="AA2860" s="13">
        <v>1.1299999999999999</v>
      </c>
      <c r="AB2860" s="21">
        <f t="shared" si="835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36"/>
        <v>33543315.897345133</v>
      </c>
      <c r="AJ2860" s="19">
        <f t="shared" si="837"/>
        <v>4706169.3252984071</v>
      </c>
      <c r="AK2860" s="20">
        <f t="shared" si="843"/>
        <v>0.14030125523967318</v>
      </c>
      <c r="AL2860" s="17"/>
      <c r="AM2860" s="17"/>
      <c r="AN2860" s="17"/>
      <c r="AO2860" s="17"/>
      <c r="AP2860" s="28" t="str">
        <f t="shared" si="844"/>
        <v>20233</v>
      </c>
      <c r="AQ2860" s="28" t="str">
        <f t="shared" si="845"/>
        <v>20233RMB</v>
      </c>
      <c r="AR2860" s="206" t="str">
        <f t="shared" si="846"/>
        <v>YAMAHA_Mounter</v>
      </c>
      <c r="AS2860" s="22">
        <f t="shared" si="847"/>
        <v>1</v>
      </c>
      <c r="AT2860" s="24" t="str">
        <f t="shared" si="848"/>
        <v>0-3 months</v>
      </c>
      <c r="AU2860" s="22" t="s">
        <v>3751</v>
      </c>
    </row>
    <row r="2861" spans="1:47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54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2425</v>
      </c>
      <c r="K2861" s="155" t="s">
        <v>2426</v>
      </c>
      <c r="L2861" s="17" t="s">
        <v>92</v>
      </c>
      <c r="M2861" s="13" t="s">
        <v>60</v>
      </c>
      <c r="N2861" s="13">
        <v>1</v>
      </c>
      <c r="O2861" s="13"/>
      <c r="P2861" s="33" t="str">
        <f t="shared" si="851"/>
        <v>MAIN UNIT</v>
      </c>
      <c r="Q2861" s="13" t="s">
        <v>61</v>
      </c>
      <c r="R2861" s="13" t="s">
        <v>62</v>
      </c>
      <c r="S2861" s="13" t="s">
        <v>49</v>
      </c>
      <c r="T2861" s="13" t="s">
        <v>78</v>
      </c>
      <c r="U2861" s="13" t="s">
        <v>79</v>
      </c>
      <c r="V2861" s="13" t="s">
        <v>121</v>
      </c>
      <c r="W2861" s="13" t="s">
        <v>64</v>
      </c>
      <c r="X2861" s="135">
        <v>700000</v>
      </c>
      <c r="Y2861" s="157" t="str">
        <f t="shared" si="854"/>
        <v>1.13</v>
      </c>
      <c r="Z2861" s="18">
        <f t="shared" si="849"/>
        <v>700000</v>
      </c>
      <c r="AA2861" s="13">
        <v>1.1299999999999999</v>
      </c>
      <c r="AB2861" s="21">
        <f t="shared" si="835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36"/>
        <v>33543315.897345133</v>
      </c>
      <c r="AJ2861" s="19">
        <f t="shared" si="837"/>
        <v>4706169.3252984071</v>
      </c>
      <c r="AK2861" s="20">
        <f t="shared" si="843"/>
        <v>0.14030125523967318</v>
      </c>
      <c r="AL2861" s="17"/>
      <c r="AM2861" s="17"/>
      <c r="AN2861" s="17"/>
      <c r="AO2861" s="17"/>
      <c r="AP2861" s="28" t="str">
        <f t="shared" si="844"/>
        <v>20233</v>
      </c>
      <c r="AQ2861" s="28" t="str">
        <f t="shared" si="845"/>
        <v>20233RMB</v>
      </c>
      <c r="AR2861" s="206" t="str">
        <f t="shared" si="846"/>
        <v>YAMAHA_Mounter</v>
      </c>
      <c r="AS2861" s="22">
        <f t="shared" si="847"/>
        <v>1</v>
      </c>
      <c r="AT2861" s="24" t="str">
        <f t="shared" si="848"/>
        <v>0-3 months</v>
      </c>
      <c r="AU2861" s="22" t="s">
        <v>3751</v>
      </c>
    </row>
    <row r="2862" spans="1:47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54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2157</v>
      </c>
      <c r="K2862" s="155" t="s">
        <v>2158</v>
      </c>
      <c r="L2862" s="17" t="s">
        <v>92</v>
      </c>
      <c r="M2862" s="13" t="s">
        <v>60</v>
      </c>
      <c r="N2862" s="13">
        <v>1</v>
      </c>
      <c r="O2862" s="13"/>
      <c r="P2862" s="33" t="str">
        <f t="shared" si="851"/>
        <v>MAIN UNIT</v>
      </c>
      <c r="Q2862" s="13" t="s">
        <v>61</v>
      </c>
      <c r="R2862" s="13" t="s">
        <v>62</v>
      </c>
      <c r="S2862" s="13" t="s">
        <v>49</v>
      </c>
      <c r="T2862" s="13" t="s">
        <v>78</v>
      </c>
      <c r="U2862" s="13" t="s">
        <v>79</v>
      </c>
      <c r="V2862" s="13" t="s">
        <v>112</v>
      </c>
      <c r="W2862" s="13" t="s">
        <v>109</v>
      </c>
      <c r="X2862" s="135">
        <v>18000000</v>
      </c>
      <c r="Y2862" s="157" t="str">
        <f t="shared" si="854"/>
        <v>1</v>
      </c>
      <c r="Z2862" s="18">
        <f t="shared" si="849"/>
        <v>18000000</v>
      </c>
      <c r="AA2862" s="13">
        <v>6.2799999999999995E-2</v>
      </c>
      <c r="AB2862" s="21">
        <f t="shared" si="835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36"/>
        <v>44014086.982070789</v>
      </c>
      <c r="AJ2862" s="19">
        <f t="shared" si="837"/>
        <v>6419974.0221889298</v>
      </c>
      <c r="AK2862" s="20">
        <f t="shared" si="843"/>
        <v>0.14586180158193709</v>
      </c>
      <c r="AL2862" s="17"/>
      <c r="AM2862" s="17"/>
      <c r="AN2862" s="17"/>
      <c r="AO2862" s="17"/>
      <c r="AP2862" s="28" t="str">
        <f t="shared" si="844"/>
        <v>20225</v>
      </c>
      <c r="AQ2862" s="28" t="str">
        <f t="shared" si="845"/>
        <v>20225JPY</v>
      </c>
      <c r="AR2862" s="206" t="str">
        <f t="shared" si="846"/>
        <v>YAMAHA_Mounter</v>
      </c>
      <c r="AS2862" s="22">
        <f t="shared" si="847"/>
        <v>4</v>
      </c>
      <c r="AT2862" s="24" t="str">
        <f t="shared" si="848"/>
        <v>4-6 months</v>
      </c>
      <c r="AU2862" s="22" t="s">
        <v>3745</v>
      </c>
    </row>
    <row r="2863" spans="1:47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54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2157</v>
      </c>
      <c r="K2863" s="155" t="s">
        <v>2158</v>
      </c>
      <c r="L2863" s="17" t="s">
        <v>92</v>
      </c>
      <c r="M2863" s="13" t="s">
        <v>60</v>
      </c>
      <c r="N2863" s="13">
        <v>1</v>
      </c>
      <c r="O2863" s="13"/>
      <c r="P2863" s="33" t="str">
        <f t="shared" si="851"/>
        <v>MAIN UNIT</v>
      </c>
      <c r="Q2863" s="13" t="s">
        <v>61</v>
      </c>
      <c r="R2863" s="13" t="s">
        <v>62</v>
      </c>
      <c r="S2863" s="13" t="s">
        <v>49</v>
      </c>
      <c r="T2863" s="13" t="s">
        <v>78</v>
      </c>
      <c r="U2863" s="13" t="s">
        <v>79</v>
      </c>
      <c r="V2863" s="13" t="s">
        <v>112</v>
      </c>
      <c r="W2863" s="13" t="s">
        <v>109</v>
      </c>
      <c r="X2863" s="135">
        <v>18000000</v>
      </c>
      <c r="Y2863" s="157" t="str">
        <f t="shared" si="854"/>
        <v>1</v>
      </c>
      <c r="Z2863" s="18">
        <f t="shared" si="849"/>
        <v>18000000</v>
      </c>
      <c r="AA2863" s="13">
        <v>6.2799999999999995E-2</v>
      </c>
      <c r="AB2863" s="21">
        <f t="shared" si="835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36"/>
        <v>44014086.982070789</v>
      </c>
      <c r="AJ2863" s="19">
        <f t="shared" si="837"/>
        <v>6419974.0221889298</v>
      </c>
      <c r="AK2863" s="20">
        <f t="shared" si="843"/>
        <v>0.14586180158193709</v>
      </c>
      <c r="AL2863" s="17"/>
      <c r="AM2863" s="17"/>
      <c r="AN2863" s="17"/>
      <c r="AO2863" s="17"/>
      <c r="AP2863" s="28" t="str">
        <f t="shared" si="844"/>
        <v>20225</v>
      </c>
      <c r="AQ2863" s="28" t="str">
        <f t="shared" si="845"/>
        <v>20225JPY</v>
      </c>
      <c r="AR2863" s="206" t="str">
        <f t="shared" si="846"/>
        <v>YAMAHA_Mounter</v>
      </c>
      <c r="AS2863" s="22">
        <f t="shared" si="847"/>
        <v>4</v>
      </c>
      <c r="AT2863" s="24" t="str">
        <f t="shared" si="848"/>
        <v>4-6 months</v>
      </c>
      <c r="AU2863" s="22" t="s">
        <v>3745</v>
      </c>
    </row>
    <row r="2864" spans="1:47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54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2157</v>
      </c>
      <c r="K2864" s="155" t="s">
        <v>2158</v>
      </c>
      <c r="L2864" s="17" t="s">
        <v>67</v>
      </c>
      <c r="M2864" s="13" t="s">
        <v>60</v>
      </c>
      <c r="N2864" s="13">
        <v>1</v>
      </c>
      <c r="O2864" s="13"/>
      <c r="P2864" s="33" t="str">
        <f t="shared" si="851"/>
        <v>MAIN UNIT</v>
      </c>
      <c r="Q2864" s="13" t="s">
        <v>61</v>
      </c>
      <c r="R2864" s="13" t="s">
        <v>62</v>
      </c>
      <c r="S2864" s="13" t="s">
        <v>49</v>
      </c>
      <c r="T2864" s="13" t="s">
        <v>78</v>
      </c>
      <c r="U2864" s="13" t="s">
        <v>79</v>
      </c>
      <c r="V2864" s="13" t="s">
        <v>112</v>
      </c>
      <c r="W2864" s="13" t="s">
        <v>109</v>
      </c>
      <c r="X2864" s="135">
        <v>13453405</v>
      </c>
      <c r="Y2864" s="157" t="str">
        <f t="shared" si="854"/>
        <v>1</v>
      </c>
      <c r="Z2864" s="18">
        <f t="shared" si="849"/>
        <v>13453405</v>
      </c>
      <c r="AA2864" s="13">
        <v>6.2799999999999995E-2</v>
      </c>
      <c r="AB2864" s="21">
        <f t="shared" si="835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36"/>
        <v>44014086.982070789</v>
      </c>
      <c r="AJ2864" s="19">
        <f t="shared" si="837"/>
        <v>6419974.0221889298</v>
      </c>
      <c r="AK2864" s="20">
        <f t="shared" si="843"/>
        <v>0.14586180158193709</v>
      </c>
      <c r="AL2864" s="17"/>
      <c r="AM2864" s="17"/>
      <c r="AN2864" s="17"/>
      <c r="AO2864" s="17"/>
      <c r="AP2864" s="28" t="str">
        <f t="shared" si="844"/>
        <v>20225</v>
      </c>
      <c r="AQ2864" s="28" t="str">
        <f t="shared" si="845"/>
        <v>20225JPY</v>
      </c>
      <c r="AR2864" s="206" t="str">
        <f t="shared" si="846"/>
        <v>YAMAHA_Mounter</v>
      </c>
      <c r="AS2864" s="22">
        <f t="shared" si="847"/>
        <v>4</v>
      </c>
      <c r="AT2864" s="24" t="str">
        <f t="shared" si="848"/>
        <v>4-6 months</v>
      </c>
      <c r="AU2864" s="22" t="s">
        <v>3745</v>
      </c>
    </row>
    <row r="2865" spans="1:47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54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2157</v>
      </c>
      <c r="K2865" s="155" t="s">
        <v>2158</v>
      </c>
      <c r="L2865" s="17" t="s">
        <v>67</v>
      </c>
      <c r="M2865" s="13" t="s">
        <v>60</v>
      </c>
      <c r="N2865" s="13">
        <v>1</v>
      </c>
      <c r="O2865" s="13"/>
      <c r="P2865" s="33" t="str">
        <f t="shared" si="851"/>
        <v>MAIN UNIT</v>
      </c>
      <c r="Q2865" s="13" t="s">
        <v>61</v>
      </c>
      <c r="R2865" s="13" t="s">
        <v>62</v>
      </c>
      <c r="S2865" s="13" t="s">
        <v>49</v>
      </c>
      <c r="T2865" s="13" t="s">
        <v>78</v>
      </c>
      <c r="U2865" s="13" t="s">
        <v>79</v>
      </c>
      <c r="V2865" s="13" t="s">
        <v>112</v>
      </c>
      <c r="W2865" s="13" t="s">
        <v>109</v>
      </c>
      <c r="X2865" s="135">
        <v>13453405</v>
      </c>
      <c r="Y2865" s="157" t="str">
        <f t="shared" si="854"/>
        <v>1</v>
      </c>
      <c r="Z2865" s="18">
        <f t="shared" si="849"/>
        <v>13453405</v>
      </c>
      <c r="AA2865" s="13">
        <v>6.2799999999999995E-2</v>
      </c>
      <c r="AB2865" s="21">
        <f t="shared" si="835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36"/>
        <v>44014086.982070789</v>
      </c>
      <c r="AJ2865" s="19">
        <f t="shared" si="837"/>
        <v>6419974.0221889298</v>
      </c>
      <c r="AK2865" s="20">
        <f t="shared" si="843"/>
        <v>0.14586180158193709</v>
      </c>
      <c r="AL2865" s="17"/>
      <c r="AM2865" s="17"/>
      <c r="AN2865" s="17"/>
      <c r="AO2865" s="17"/>
      <c r="AP2865" s="28" t="str">
        <f t="shared" si="844"/>
        <v>20225</v>
      </c>
      <c r="AQ2865" s="28" t="str">
        <f t="shared" si="845"/>
        <v>20225JPY</v>
      </c>
      <c r="AR2865" s="206" t="str">
        <f t="shared" si="846"/>
        <v>YAMAHA_Mounter</v>
      </c>
      <c r="AS2865" s="22">
        <f t="shared" si="847"/>
        <v>4</v>
      </c>
      <c r="AT2865" s="24" t="str">
        <f t="shared" si="848"/>
        <v>4-6 months</v>
      </c>
      <c r="AU2865" s="22" t="s">
        <v>3745</v>
      </c>
    </row>
    <row r="2866" spans="1:47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48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1716</v>
      </c>
      <c r="K2866" s="155" t="s">
        <v>1717</v>
      </c>
      <c r="L2866" s="17" t="s">
        <v>67</v>
      </c>
      <c r="M2866" s="13" t="s">
        <v>60</v>
      </c>
      <c r="N2866" s="13">
        <v>1</v>
      </c>
      <c r="O2866" s="13"/>
      <c r="P2866" s="33" t="str">
        <f t="shared" si="851"/>
        <v>MAIN UNIT</v>
      </c>
      <c r="Q2866" s="13" t="s">
        <v>68</v>
      </c>
      <c r="R2866" s="13" t="s">
        <v>62</v>
      </c>
      <c r="S2866" s="13" t="s">
        <v>49</v>
      </c>
      <c r="T2866" s="13" t="s">
        <v>78</v>
      </c>
      <c r="U2866" s="13" t="s">
        <v>79</v>
      </c>
      <c r="V2866" s="13" t="s">
        <v>1407</v>
      </c>
      <c r="W2866" s="13" t="s">
        <v>109</v>
      </c>
      <c r="X2866" s="135">
        <v>7000000</v>
      </c>
      <c r="Y2866" s="157" t="str">
        <f t="shared" si="854"/>
        <v>1</v>
      </c>
      <c r="Z2866" s="18">
        <f t="shared" si="849"/>
        <v>7000000</v>
      </c>
      <c r="AA2866" s="13">
        <v>7.4499999999999997E-2</v>
      </c>
      <c r="AB2866" s="21">
        <f t="shared" si="835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36"/>
        <v>57778307.282035396</v>
      </c>
      <c r="AJ2866" s="19">
        <f t="shared" si="837"/>
        <v>7259860.7225420559</v>
      </c>
      <c r="AK2866" s="20">
        <f t="shared" si="843"/>
        <v>0.12565028406083667</v>
      </c>
      <c r="AL2866" s="17"/>
      <c r="AM2866" s="17"/>
      <c r="AN2866" s="17"/>
      <c r="AO2866" s="17"/>
      <c r="AP2866" s="28" t="str">
        <f t="shared" si="844"/>
        <v>20213</v>
      </c>
      <c r="AQ2866" s="28" t="str">
        <f t="shared" si="845"/>
        <v>20213JPY</v>
      </c>
      <c r="AR2866" s="206" t="str">
        <f t="shared" si="846"/>
        <v>YAMAHA_Mounter</v>
      </c>
      <c r="AS2866" s="22">
        <f t="shared" si="847"/>
        <v>0</v>
      </c>
      <c r="AT2866" s="24" t="str">
        <f t="shared" si="848"/>
        <v>0-3 months</v>
      </c>
      <c r="AU2866" s="22" t="s">
        <v>3745</v>
      </c>
    </row>
    <row r="2867" spans="1:47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48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1567</v>
      </c>
      <c r="K2867" s="155" t="s">
        <v>1568</v>
      </c>
      <c r="L2867" s="17" t="s">
        <v>67</v>
      </c>
      <c r="M2867" s="13" t="s">
        <v>60</v>
      </c>
      <c r="N2867" s="13">
        <v>1</v>
      </c>
      <c r="O2867" s="13"/>
      <c r="P2867" s="33" t="str">
        <f t="shared" si="851"/>
        <v>MAIN UNIT</v>
      </c>
      <c r="Q2867" s="13" t="s">
        <v>61</v>
      </c>
      <c r="R2867" s="13" t="s">
        <v>62</v>
      </c>
      <c r="S2867" s="13" t="s">
        <v>49</v>
      </c>
      <c r="T2867" s="13" t="s">
        <v>78</v>
      </c>
      <c r="U2867" s="13" t="s">
        <v>79</v>
      </c>
      <c r="V2867" s="13" t="s">
        <v>1212</v>
      </c>
      <c r="W2867" s="13" t="s">
        <v>109</v>
      </c>
      <c r="X2867" s="135">
        <v>8225000</v>
      </c>
      <c r="Y2867" s="157" t="str">
        <f t="shared" si="854"/>
        <v>1</v>
      </c>
      <c r="Z2867" s="18">
        <f t="shared" si="849"/>
        <v>8225000</v>
      </c>
      <c r="AA2867" s="13">
        <v>7.5700000000000003E-2</v>
      </c>
      <c r="AB2867" s="21">
        <f t="shared" si="835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36"/>
        <v>31097187.02948761</v>
      </c>
      <c r="AJ2867" s="19">
        <f t="shared" si="837"/>
        <v>3892353.6644401965</v>
      </c>
      <c r="AK2867" s="20">
        <f t="shared" si="843"/>
        <v>0.12516738767237401</v>
      </c>
      <c r="AL2867" s="17"/>
      <c r="AM2867" s="17"/>
      <c r="AN2867" s="17"/>
      <c r="AO2867" s="17"/>
      <c r="AP2867" s="28" t="str">
        <f t="shared" si="844"/>
        <v>20212</v>
      </c>
      <c r="AQ2867" s="28" t="str">
        <f t="shared" si="845"/>
        <v>20212JPY</v>
      </c>
      <c r="AR2867" s="206" t="str">
        <f t="shared" si="846"/>
        <v>YAMAHA_Mounter</v>
      </c>
      <c r="AS2867" s="22">
        <f t="shared" si="847"/>
        <v>2</v>
      </c>
      <c r="AT2867" s="24" t="str">
        <f t="shared" si="848"/>
        <v>0-3 months</v>
      </c>
      <c r="AU2867" s="22" t="s">
        <v>3745</v>
      </c>
    </row>
    <row r="2868" spans="1:47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41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2843</v>
      </c>
      <c r="K2868" s="155" t="s">
        <v>2844</v>
      </c>
      <c r="L2868" s="17" t="s">
        <v>2845</v>
      </c>
      <c r="M2868" s="13" t="s">
        <v>2607</v>
      </c>
      <c r="N2868" s="13">
        <v>1</v>
      </c>
      <c r="O2868" s="13"/>
      <c r="P2868" s="33" t="str">
        <f t="shared" si="851"/>
        <v>MAIN UNIT</v>
      </c>
      <c r="Q2868" s="13" t="s">
        <v>68</v>
      </c>
      <c r="R2868" s="13" t="s">
        <v>2055</v>
      </c>
      <c r="S2868" s="13" t="s">
        <v>49</v>
      </c>
      <c r="T2868" s="13" t="s">
        <v>246</v>
      </c>
      <c r="U2868" s="13" t="s">
        <v>79</v>
      </c>
      <c r="V2868" s="13" t="s">
        <v>2779</v>
      </c>
      <c r="W2868" s="13" t="s">
        <v>2507</v>
      </c>
      <c r="X2868" s="135">
        <v>420000</v>
      </c>
      <c r="Y2868" s="156">
        <v>1</v>
      </c>
      <c r="Z2868" s="18">
        <f t="shared" si="849"/>
        <v>420000</v>
      </c>
      <c r="AA2868" s="13">
        <v>1</v>
      </c>
      <c r="AB2868" s="21">
        <f t="shared" si="835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36"/>
        <v>10785027.603448275</v>
      </c>
      <c r="AJ2868" s="19">
        <f t="shared" si="837"/>
        <v>1540894.1297982759</v>
      </c>
      <c r="AK2868" s="20">
        <f t="shared" si="843"/>
        <v>0.1428734525728621</v>
      </c>
      <c r="AL2868" s="17"/>
      <c r="AM2868" s="17"/>
      <c r="AN2868" s="17"/>
      <c r="AO2868" s="17"/>
      <c r="AP2868" s="28" t="str">
        <f t="shared" si="844"/>
        <v>201811</v>
      </c>
      <c r="AQ2868" s="28" t="str">
        <f t="shared" si="845"/>
        <v>201811HKD</v>
      </c>
      <c r="AR2868" s="206" t="str">
        <f t="shared" si="846"/>
        <v>HELLER</v>
      </c>
      <c r="AS2868" s="22">
        <f t="shared" si="847"/>
        <v>2</v>
      </c>
      <c r="AT2868" s="24" t="str">
        <f t="shared" si="848"/>
        <v>0-3 months</v>
      </c>
      <c r="AU2868" s="22" t="s">
        <v>3746</v>
      </c>
    </row>
    <row r="2869" spans="1:47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53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2975</v>
      </c>
      <c r="K2869" s="155" t="s">
        <v>2976</v>
      </c>
      <c r="L2869" s="17" t="s">
        <v>2960</v>
      </c>
      <c r="M2869" s="13" t="s">
        <v>377</v>
      </c>
      <c r="N2869" s="13">
        <v>1</v>
      </c>
      <c r="O2869" s="13"/>
      <c r="P2869" s="33" t="str">
        <f t="shared" si="851"/>
        <v>MAIN UNIT</v>
      </c>
      <c r="Q2869" s="13" t="s">
        <v>61</v>
      </c>
      <c r="R2869" s="13" t="s">
        <v>2055</v>
      </c>
      <c r="S2869" s="13" t="s">
        <v>49</v>
      </c>
      <c r="T2869" s="13" t="s">
        <v>246</v>
      </c>
      <c r="U2869" s="13" t="s">
        <v>2056</v>
      </c>
      <c r="V2869" s="13" t="s">
        <v>2856</v>
      </c>
      <c r="W2869" s="13" t="s">
        <v>2507</v>
      </c>
      <c r="X2869" s="135">
        <v>282000</v>
      </c>
      <c r="Y2869" s="157" t="str">
        <f>IF(W2869="RMB","1.13", "1")</f>
        <v>1</v>
      </c>
      <c r="Z2869" s="18">
        <f t="shared" si="849"/>
        <v>282000</v>
      </c>
      <c r="AA2869" s="13">
        <v>1</v>
      </c>
      <c r="AB2869" s="21">
        <f t="shared" si="835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36"/>
        <v>25380121.402654871</v>
      </c>
      <c r="AJ2869" s="19">
        <f t="shared" si="837"/>
        <v>3850343.1237796471</v>
      </c>
      <c r="AK2869" s="20">
        <f t="shared" si="843"/>
        <v>0.1517070412191521</v>
      </c>
      <c r="AL2869" s="17"/>
      <c r="AM2869" s="17"/>
      <c r="AN2869" s="17"/>
      <c r="AO2869" s="17"/>
      <c r="AP2869" s="28" t="str">
        <f t="shared" si="844"/>
        <v>202112</v>
      </c>
      <c r="AQ2869" s="28" t="str">
        <f t="shared" si="845"/>
        <v>202112HKD</v>
      </c>
      <c r="AR2869" s="206" t="str">
        <f t="shared" si="846"/>
        <v>LOCAL SUPPLIER</v>
      </c>
      <c r="AS2869" s="22">
        <f t="shared" si="847"/>
        <v>1</v>
      </c>
      <c r="AT2869" s="24" t="str">
        <f t="shared" si="848"/>
        <v>0-3 months</v>
      </c>
      <c r="AU2869" s="22" t="s">
        <v>3746</v>
      </c>
    </row>
    <row r="2870" spans="1:47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53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3024</v>
      </c>
      <c r="K2870" s="155" t="s">
        <v>2976</v>
      </c>
      <c r="L2870" s="17" t="s">
        <v>2060</v>
      </c>
      <c r="M2870" s="13" t="s">
        <v>2054</v>
      </c>
      <c r="N2870" s="13">
        <v>1</v>
      </c>
      <c r="O2870" s="13"/>
      <c r="P2870" s="33" t="str">
        <f t="shared" si="851"/>
        <v>MAIN UNIT</v>
      </c>
      <c r="Q2870" s="13" t="s">
        <v>61</v>
      </c>
      <c r="R2870" s="13" t="s">
        <v>2055</v>
      </c>
      <c r="S2870" s="13" t="s">
        <v>49</v>
      </c>
      <c r="T2870" s="13" t="s">
        <v>246</v>
      </c>
      <c r="U2870" s="13" t="s">
        <v>2056</v>
      </c>
      <c r="V2870" s="13" t="s">
        <v>2856</v>
      </c>
      <c r="W2870" s="13" t="s">
        <v>2507</v>
      </c>
      <c r="X2870" s="135">
        <v>26000</v>
      </c>
      <c r="Y2870" s="157" t="str">
        <f>IF(W2870="RMB","1.13", "1")</f>
        <v>1</v>
      </c>
      <c r="Z2870" s="18">
        <f t="shared" si="849"/>
        <v>26000</v>
      </c>
      <c r="AA2870" s="13">
        <v>1</v>
      </c>
      <c r="AB2870" s="21">
        <f t="shared" si="835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36"/>
        <v>31750699.113741599</v>
      </c>
      <c r="AJ2870" s="19">
        <f t="shared" si="837"/>
        <v>4396077.3195289988</v>
      </c>
      <c r="AK2870" s="20">
        <f t="shared" si="843"/>
        <v>0.13845607946397598</v>
      </c>
      <c r="AL2870" s="17"/>
      <c r="AM2870" s="17"/>
      <c r="AN2870" s="17"/>
      <c r="AO2870" s="17"/>
      <c r="AP2870" s="28" t="str">
        <f t="shared" si="844"/>
        <v>20222</v>
      </c>
      <c r="AQ2870" s="28" t="str">
        <f t="shared" si="845"/>
        <v>20222HKD</v>
      </c>
      <c r="AR2870" s="206" t="str">
        <f t="shared" si="846"/>
        <v>SOLDERSTAR</v>
      </c>
      <c r="AS2870" s="22">
        <f t="shared" si="847"/>
        <v>0</v>
      </c>
      <c r="AT2870" s="24" t="str">
        <f t="shared" si="848"/>
        <v>0-3 months</v>
      </c>
      <c r="AU2870" s="22" t="s">
        <v>3240</v>
      </c>
    </row>
    <row r="2871" spans="1:47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3390</v>
      </c>
      <c r="K2871" s="29" t="s">
        <v>3391</v>
      </c>
      <c r="L2871" s="17" t="s">
        <v>92</v>
      </c>
      <c r="M2871" s="22" t="s">
        <v>60</v>
      </c>
      <c r="N2871" s="22">
        <v>1</v>
      </c>
      <c r="O2871" s="22"/>
      <c r="P2871" s="33" t="str">
        <f t="shared" si="851"/>
        <v>MAIN UNIT</v>
      </c>
      <c r="Q2871" s="13" t="s">
        <v>68</v>
      </c>
      <c r="R2871" s="22" t="s">
        <v>62</v>
      </c>
      <c r="S2871" s="22" t="s">
        <v>49</v>
      </c>
      <c r="T2871" s="22" t="s">
        <v>78</v>
      </c>
      <c r="U2871" s="22" t="s">
        <v>78</v>
      </c>
      <c r="V2871" s="22" t="s">
        <v>2534</v>
      </c>
      <c r="W2871" s="22" t="s">
        <v>109</v>
      </c>
      <c r="X2871" s="30">
        <v>13530000</v>
      </c>
      <c r="Y2871" s="31" t="str">
        <f>IF(W2871="","",IF(W2871="RMB","1.13", "1"))</f>
        <v>1</v>
      </c>
      <c r="Z2871" s="18">
        <f t="shared" si="849"/>
        <v>13530000</v>
      </c>
      <c r="AA2871" s="22">
        <v>5.2299999999999999E-2</v>
      </c>
      <c r="AB2871" s="21">
        <f t="shared" si="835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36"/>
        <v>25354039.366920356</v>
      </c>
      <c r="AJ2871" s="27">
        <f t="shared" si="837"/>
        <v>3028631.2816309328</v>
      </c>
      <c r="AK2871" s="28">
        <f t="shared" si="843"/>
        <v>0.11945360018579192</v>
      </c>
      <c r="AL2871" s="24"/>
      <c r="AM2871" s="24"/>
      <c r="AN2871" s="24"/>
      <c r="AO2871" s="24"/>
      <c r="AP2871" s="28" t="str">
        <f t="shared" si="844"/>
        <v>20248</v>
      </c>
      <c r="AQ2871" s="28" t="str">
        <f t="shared" si="845"/>
        <v>20248JPY</v>
      </c>
      <c r="AR2871" s="206" t="str">
        <f t="shared" si="846"/>
        <v>YAMAHA_Mounter</v>
      </c>
      <c r="AS2871" s="22">
        <f t="shared" si="847"/>
        <v>4</v>
      </c>
      <c r="AT2871" s="24" t="str">
        <f t="shared" si="848"/>
        <v>4-6 months</v>
      </c>
      <c r="AU2871" s="22" t="s">
        <v>3745</v>
      </c>
    </row>
    <row r="2872" spans="1:47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3172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3430</v>
      </c>
      <c r="K2872" s="29" t="s">
        <v>3431</v>
      </c>
      <c r="L2872" s="17" t="s">
        <v>67</v>
      </c>
      <c r="M2872" s="22" t="s">
        <v>60</v>
      </c>
      <c r="N2872" s="22">
        <v>1</v>
      </c>
      <c r="O2872" s="22"/>
      <c r="P2872" s="33" t="str">
        <f t="shared" si="851"/>
        <v>MAIN UNIT</v>
      </c>
      <c r="Q2872" s="22" t="s">
        <v>3432</v>
      </c>
      <c r="R2872" s="22" t="s">
        <v>62</v>
      </c>
      <c r="S2872" s="22" t="s">
        <v>49</v>
      </c>
      <c r="T2872" s="22" t="s">
        <v>78</v>
      </c>
      <c r="U2872" s="22" t="s">
        <v>1071</v>
      </c>
      <c r="V2872" s="22" t="s">
        <v>311</v>
      </c>
      <c r="W2872" s="22" t="s">
        <v>109</v>
      </c>
      <c r="X2872" s="104">
        <v>11000000</v>
      </c>
      <c r="Y2872" s="195" t="str">
        <f>IF(W2872="","",IF(W2872="RMB","1.13", "1"))</f>
        <v>1</v>
      </c>
      <c r="Z2872" s="196">
        <f t="shared" si="849"/>
        <v>11000000</v>
      </c>
      <c r="AA2872" s="22">
        <v>5.2299999999999999E-2</v>
      </c>
      <c r="AB2872" s="197">
        <f t="shared" si="835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36"/>
        <v>25354039.366920356</v>
      </c>
      <c r="AJ2872" s="200">
        <f t="shared" si="837"/>
        <v>3028631.2816309328</v>
      </c>
      <c r="AK2872" s="201">
        <f t="shared" si="843"/>
        <v>0.11945360018579192</v>
      </c>
      <c r="AL2872" s="24"/>
      <c r="AM2872" s="24"/>
      <c r="AN2872" s="24"/>
      <c r="AO2872" s="24"/>
      <c r="AP2872" s="105" t="str">
        <f t="shared" si="844"/>
        <v>20248</v>
      </c>
      <c r="AQ2872" s="28" t="str">
        <f t="shared" si="845"/>
        <v>20248JPY</v>
      </c>
      <c r="AR2872" s="206" t="str">
        <f t="shared" si="846"/>
        <v>YAMAHA_Mounter</v>
      </c>
      <c r="AS2872" s="22">
        <f t="shared" si="847"/>
        <v>3</v>
      </c>
      <c r="AT2872" s="24" t="str">
        <f t="shared" si="848"/>
        <v>0-3 months</v>
      </c>
      <c r="AU2872" s="22" t="s">
        <v>3745</v>
      </c>
    </row>
    <row r="2873" spans="1:47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41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846</v>
      </c>
      <c r="K2873" s="155" t="s">
        <v>847</v>
      </c>
      <c r="L2873" s="17" t="s">
        <v>92</v>
      </c>
      <c r="M2873" s="13" t="s">
        <v>60</v>
      </c>
      <c r="N2873" s="13">
        <v>1</v>
      </c>
      <c r="O2873" s="13"/>
      <c r="P2873" s="33" t="str">
        <f t="shared" si="851"/>
        <v>MAIN UNIT</v>
      </c>
      <c r="Q2873" s="13" t="s">
        <v>68</v>
      </c>
      <c r="R2873" s="13" t="s">
        <v>62</v>
      </c>
      <c r="S2873" s="13" t="s">
        <v>49</v>
      </c>
      <c r="T2873" s="13" t="s">
        <v>78</v>
      </c>
      <c r="U2873" s="13" t="s">
        <v>79</v>
      </c>
      <c r="V2873" s="13" t="s">
        <v>311</v>
      </c>
      <c r="W2873" s="13" t="s">
        <v>109</v>
      </c>
      <c r="X2873" s="135">
        <v>16000000</v>
      </c>
      <c r="Y2873" s="156">
        <v>1</v>
      </c>
      <c r="Z2873" s="18">
        <f t="shared" si="849"/>
        <v>16000000</v>
      </c>
      <c r="AA2873" s="13">
        <v>7.22E-2</v>
      </c>
      <c r="AB2873" s="21">
        <f t="shared" si="835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36"/>
        <v>47416008.333399981</v>
      </c>
      <c r="AJ2873" s="19">
        <f t="shared" si="837"/>
        <v>6981738.4465290187</v>
      </c>
      <c r="AK2873" s="20">
        <f t="shared" si="843"/>
        <v>0.14724433143839863</v>
      </c>
      <c r="AL2873" s="17"/>
      <c r="AM2873" s="17"/>
      <c r="AN2873" s="17"/>
      <c r="AO2873" s="17"/>
      <c r="AP2873" s="28" t="str">
        <f t="shared" si="844"/>
        <v>20193</v>
      </c>
      <c r="AQ2873" s="28" t="str">
        <f t="shared" si="845"/>
        <v>20193JPY</v>
      </c>
      <c r="AR2873" s="206" t="str">
        <f t="shared" si="846"/>
        <v>YAMAHA_Mounter</v>
      </c>
      <c r="AS2873" s="22">
        <f t="shared" si="847"/>
        <v>1</v>
      </c>
      <c r="AT2873" s="24" t="str">
        <f t="shared" si="848"/>
        <v>0-3 months</v>
      </c>
      <c r="AU2873" s="22" t="s">
        <v>3745</v>
      </c>
    </row>
    <row r="2874" spans="1:47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48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1276</v>
      </c>
      <c r="K2874" s="155" t="s">
        <v>1277</v>
      </c>
      <c r="L2874" s="17" t="s">
        <v>92</v>
      </c>
      <c r="M2874" s="13" t="s">
        <v>60</v>
      </c>
      <c r="N2874" s="13">
        <v>1</v>
      </c>
      <c r="O2874" s="13"/>
      <c r="P2874" s="33" t="str">
        <f t="shared" si="851"/>
        <v>MAIN UNIT</v>
      </c>
      <c r="Q2874" s="13" t="s">
        <v>68</v>
      </c>
      <c r="R2874" s="13" t="s">
        <v>62</v>
      </c>
      <c r="S2874" s="13" t="s">
        <v>49</v>
      </c>
      <c r="T2874" s="13" t="s">
        <v>78</v>
      </c>
      <c r="U2874" s="13" t="s">
        <v>79</v>
      </c>
      <c r="V2874" s="13" t="s">
        <v>672</v>
      </c>
      <c r="W2874" s="13" t="s">
        <v>64</v>
      </c>
      <c r="X2874" s="135">
        <v>830000</v>
      </c>
      <c r="Y2874" s="156">
        <v>1.1299999999999999</v>
      </c>
      <c r="Z2874" s="18">
        <f t="shared" si="849"/>
        <v>830000</v>
      </c>
      <c r="AA2874" s="13">
        <v>1.095</v>
      </c>
      <c r="AB2874" s="21">
        <f t="shared" si="835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36"/>
        <v>28065694.408805311</v>
      </c>
      <c r="AJ2874" s="19">
        <f t="shared" si="837"/>
        <v>4157433.2906989697</v>
      </c>
      <c r="AK2874" s="20">
        <f t="shared" si="843"/>
        <v>0.14813220831602228</v>
      </c>
      <c r="AL2874" s="17"/>
      <c r="AM2874" s="17"/>
      <c r="AN2874" s="17"/>
      <c r="AO2874" s="17"/>
      <c r="AP2874" s="28" t="str">
        <f t="shared" si="844"/>
        <v>20205</v>
      </c>
      <c r="AQ2874" s="28" t="str">
        <f t="shared" si="845"/>
        <v>20205RMB</v>
      </c>
      <c r="AR2874" s="206" t="str">
        <f t="shared" si="846"/>
        <v>YAMAHA_Mounter</v>
      </c>
      <c r="AS2874" s="22">
        <f t="shared" si="847"/>
        <v>1</v>
      </c>
      <c r="AT2874" s="24" t="str">
        <f t="shared" si="848"/>
        <v>0-3 months</v>
      </c>
      <c r="AU2874" s="22" t="s">
        <v>3744</v>
      </c>
    </row>
    <row r="2875" spans="1:47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48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1276</v>
      </c>
      <c r="K2875" s="155" t="s">
        <v>1277</v>
      </c>
      <c r="L2875" s="17" t="s">
        <v>92</v>
      </c>
      <c r="M2875" s="13" t="s">
        <v>60</v>
      </c>
      <c r="N2875" s="13">
        <v>1</v>
      </c>
      <c r="O2875" s="13"/>
      <c r="P2875" s="33" t="str">
        <f t="shared" si="851"/>
        <v>MAIN UNIT</v>
      </c>
      <c r="Q2875" s="13" t="s">
        <v>68</v>
      </c>
      <c r="R2875" s="13" t="s">
        <v>62</v>
      </c>
      <c r="S2875" s="13" t="s">
        <v>49</v>
      </c>
      <c r="T2875" s="13" t="s">
        <v>78</v>
      </c>
      <c r="U2875" s="13" t="s">
        <v>79</v>
      </c>
      <c r="V2875" s="13" t="s">
        <v>672</v>
      </c>
      <c r="W2875" s="13" t="s">
        <v>64</v>
      </c>
      <c r="X2875" s="135">
        <v>830000</v>
      </c>
      <c r="Y2875" s="156">
        <v>1.1299999999999999</v>
      </c>
      <c r="Z2875" s="18">
        <f t="shared" si="849"/>
        <v>830000</v>
      </c>
      <c r="AA2875" s="13">
        <v>1.095</v>
      </c>
      <c r="AB2875" s="21">
        <f t="shared" si="835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36"/>
        <v>28065694.408805311</v>
      </c>
      <c r="AJ2875" s="19">
        <f t="shared" si="837"/>
        <v>4157433.2906989697</v>
      </c>
      <c r="AK2875" s="20">
        <f t="shared" si="843"/>
        <v>0.14813220831602228</v>
      </c>
      <c r="AL2875" s="17"/>
      <c r="AM2875" s="17"/>
      <c r="AN2875" s="17"/>
      <c r="AO2875" s="17"/>
      <c r="AP2875" s="28" t="str">
        <f t="shared" si="844"/>
        <v>20205</v>
      </c>
      <c r="AQ2875" s="28" t="str">
        <f t="shared" si="845"/>
        <v>20205RMB</v>
      </c>
      <c r="AR2875" s="206" t="str">
        <f t="shared" si="846"/>
        <v>YAMAHA_Mounter</v>
      </c>
      <c r="AS2875" s="22">
        <f t="shared" si="847"/>
        <v>1</v>
      </c>
      <c r="AT2875" s="24" t="str">
        <f t="shared" si="848"/>
        <v>0-3 months</v>
      </c>
      <c r="AU2875" s="22" t="s">
        <v>3744</v>
      </c>
    </row>
    <row r="2876" spans="1:47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48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1276</v>
      </c>
      <c r="K2876" s="155" t="s">
        <v>1277</v>
      </c>
      <c r="L2876" s="17" t="s">
        <v>92</v>
      </c>
      <c r="M2876" s="13" t="s">
        <v>60</v>
      </c>
      <c r="N2876" s="13">
        <v>1</v>
      </c>
      <c r="O2876" s="13"/>
      <c r="P2876" s="33" t="str">
        <f t="shared" si="851"/>
        <v>MAIN UNIT</v>
      </c>
      <c r="Q2876" s="13" t="s">
        <v>68</v>
      </c>
      <c r="R2876" s="13" t="s">
        <v>62</v>
      </c>
      <c r="S2876" s="13" t="s">
        <v>49</v>
      </c>
      <c r="T2876" s="13" t="s">
        <v>78</v>
      </c>
      <c r="U2876" s="13" t="s">
        <v>79</v>
      </c>
      <c r="V2876" s="13" t="s">
        <v>672</v>
      </c>
      <c r="W2876" s="13" t="s">
        <v>64</v>
      </c>
      <c r="X2876" s="135">
        <v>830000</v>
      </c>
      <c r="Y2876" s="156">
        <v>1.1299999999999999</v>
      </c>
      <c r="Z2876" s="18">
        <f t="shared" si="849"/>
        <v>830000</v>
      </c>
      <c r="AA2876" s="13">
        <v>1.095</v>
      </c>
      <c r="AB2876" s="21">
        <f t="shared" ref="AB2876:AB2939" si="855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36"/>
        <v>28065694.408805311</v>
      </c>
      <c r="AJ2876" s="19">
        <f t="shared" si="837"/>
        <v>4157433.2906989697</v>
      </c>
      <c r="AK2876" s="20">
        <f t="shared" si="843"/>
        <v>0.14813220831602228</v>
      </c>
      <c r="AL2876" s="17"/>
      <c r="AM2876" s="17"/>
      <c r="AN2876" s="17"/>
      <c r="AO2876" s="17"/>
      <c r="AP2876" s="28" t="str">
        <f t="shared" si="844"/>
        <v>20205</v>
      </c>
      <c r="AQ2876" s="28" t="str">
        <f t="shared" si="845"/>
        <v>20205RMB</v>
      </c>
      <c r="AR2876" s="206" t="str">
        <f t="shared" si="846"/>
        <v>YAMAHA_Mounter</v>
      </c>
      <c r="AS2876" s="22">
        <f t="shared" si="847"/>
        <v>1</v>
      </c>
      <c r="AT2876" s="24" t="str">
        <f t="shared" si="848"/>
        <v>0-3 months</v>
      </c>
      <c r="AU2876" s="22" t="s">
        <v>3744</v>
      </c>
    </row>
    <row r="2877" spans="1:47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48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1276</v>
      </c>
      <c r="K2877" s="155" t="s">
        <v>1277</v>
      </c>
      <c r="L2877" s="17" t="s">
        <v>92</v>
      </c>
      <c r="M2877" s="13" t="s">
        <v>60</v>
      </c>
      <c r="N2877" s="13">
        <v>1</v>
      </c>
      <c r="O2877" s="13"/>
      <c r="P2877" s="33" t="str">
        <f t="shared" si="851"/>
        <v>MAIN UNIT</v>
      </c>
      <c r="Q2877" s="13" t="s">
        <v>68</v>
      </c>
      <c r="R2877" s="13" t="s">
        <v>62</v>
      </c>
      <c r="S2877" s="13" t="s">
        <v>49</v>
      </c>
      <c r="T2877" s="13" t="s">
        <v>78</v>
      </c>
      <c r="U2877" s="13" t="s">
        <v>79</v>
      </c>
      <c r="V2877" s="13" t="s">
        <v>672</v>
      </c>
      <c r="W2877" s="13" t="s">
        <v>64</v>
      </c>
      <c r="X2877" s="135">
        <v>830000</v>
      </c>
      <c r="Y2877" s="156">
        <v>1.1299999999999999</v>
      </c>
      <c r="Z2877" s="18">
        <f t="shared" si="849"/>
        <v>830000</v>
      </c>
      <c r="AA2877" s="13">
        <v>1.095</v>
      </c>
      <c r="AB2877" s="21">
        <f t="shared" si="855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36"/>
        <v>28065694.408805311</v>
      </c>
      <c r="AJ2877" s="19">
        <f t="shared" si="837"/>
        <v>4157433.2906989697</v>
      </c>
      <c r="AK2877" s="20">
        <f t="shared" si="843"/>
        <v>0.14813220831602228</v>
      </c>
      <c r="AL2877" s="17"/>
      <c r="AM2877" s="17"/>
      <c r="AN2877" s="17"/>
      <c r="AO2877" s="17"/>
      <c r="AP2877" s="28" t="str">
        <f t="shared" si="844"/>
        <v>20205</v>
      </c>
      <c r="AQ2877" s="28" t="str">
        <f t="shared" si="845"/>
        <v>20205RMB</v>
      </c>
      <c r="AR2877" s="206" t="str">
        <f t="shared" si="846"/>
        <v>YAMAHA_Mounter</v>
      </c>
      <c r="AS2877" s="22">
        <f t="shared" si="847"/>
        <v>1</v>
      </c>
      <c r="AT2877" s="24" t="str">
        <f t="shared" si="848"/>
        <v>0-3 months</v>
      </c>
      <c r="AU2877" s="22" t="s">
        <v>3744</v>
      </c>
    </row>
    <row r="2878" spans="1:47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185</v>
      </c>
      <c r="F2878" s="13" t="s">
        <v>185</v>
      </c>
      <c r="G2878" s="152" t="s">
        <v>185</v>
      </c>
      <c r="H2878" s="155"/>
      <c r="I2878" s="33" t="str">
        <f t="shared" si="840"/>
        <v>Cancel</v>
      </c>
      <c r="J2878" s="186" t="s">
        <v>1630</v>
      </c>
      <c r="K2878" s="155" t="s">
        <v>1277</v>
      </c>
      <c r="L2878" s="17" t="s">
        <v>293</v>
      </c>
      <c r="M2878" s="13" t="s">
        <v>60</v>
      </c>
      <c r="N2878" s="13">
        <v>1</v>
      </c>
      <c r="O2878" s="13"/>
      <c r="P2878" s="33" t="str">
        <f t="shared" si="851"/>
        <v>MAIN UNIT</v>
      </c>
      <c r="Q2878" s="13" t="s">
        <v>61</v>
      </c>
      <c r="R2878" s="13" t="s">
        <v>62</v>
      </c>
      <c r="S2878" s="13" t="s">
        <v>49</v>
      </c>
      <c r="T2878" s="13" t="s">
        <v>78</v>
      </c>
      <c r="U2878" s="13" t="s">
        <v>79</v>
      </c>
      <c r="V2878" s="13" t="s">
        <v>672</v>
      </c>
      <c r="W2878" s="13" t="s">
        <v>64</v>
      </c>
      <c r="X2878" s="135">
        <v>1420000</v>
      </c>
      <c r="Y2878" s="157" t="str">
        <f t="shared" ref="Y2878:Y2893" si="856">IF(W2878="RMB","1.13", "1")</f>
        <v>1.13</v>
      </c>
      <c r="Z2878" s="18">
        <f t="shared" si="849"/>
        <v>1420000</v>
      </c>
      <c r="AA2878" s="13">
        <v>1.17</v>
      </c>
      <c r="AB2878" s="21">
        <f t="shared" si="855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36"/>
        <v>499582152.5142017</v>
      </c>
      <c r="AJ2878" s="19">
        <f t="shared" si="837"/>
        <v>59520528.679470733</v>
      </c>
      <c r="AK2878" s="20">
        <f t="shared" si="843"/>
        <v>0.11914062257814291</v>
      </c>
      <c r="AL2878" s="17"/>
      <c r="AM2878" s="17"/>
      <c r="AN2878" s="17"/>
      <c r="AO2878" s="17"/>
      <c r="AP2878" s="28" t="str">
        <f t="shared" si="844"/>
        <v>CancelCancel</v>
      </c>
      <c r="AQ2878" s="28" t="str">
        <f t="shared" si="845"/>
        <v>CancelCancelRMB</v>
      </c>
      <c r="AR2878" s="206" t="str">
        <f t="shared" si="846"/>
        <v>YAMAHA_Mounter</v>
      </c>
      <c r="AS2878" s="22" t="str">
        <f t="shared" si="847"/>
        <v/>
      </c>
      <c r="AT2878" s="24" t="str">
        <f t="shared" si="848"/>
        <v/>
      </c>
      <c r="AU2878" s="22" t="s">
        <v>3240</v>
      </c>
    </row>
    <row r="2879" spans="1:47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53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1687</v>
      </c>
      <c r="K2879" s="155" t="s">
        <v>1277</v>
      </c>
      <c r="L2879" s="17" t="s">
        <v>92</v>
      </c>
      <c r="M2879" s="13" t="s">
        <v>60</v>
      </c>
      <c r="N2879" s="13">
        <v>1</v>
      </c>
      <c r="O2879" s="13"/>
      <c r="P2879" s="33" t="str">
        <f t="shared" si="851"/>
        <v>MAIN UNIT</v>
      </c>
      <c r="Q2879" s="13" t="s">
        <v>61</v>
      </c>
      <c r="R2879" s="13" t="s">
        <v>62</v>
      </c>
      <c r="S2879" s="13" t="s">
        <v>49</v>
      </c>
      <c r="T2879" s="13" t="s">
        <v>78</v>
      </c>
      <c r="U2879" s="13" t="s">
        <v>79</v>
      </c>
      <c r="V2879" s="13" t="s">
        <v>672</v>
      </c>
      <c r="W2879" s="13" t="s">
        <v>109</v>
      </c>
      <c r="X2879" s="135">
        <v>10900000</v>
      </c>
      <c r="Y2879" s="157" t="str">
        <f t="shared" si="856"/>
        <v>1</v>
      </c>
      <c r="Z2879" s="18">
        <f t="shared" si="849"/>
        <v>10900000</v>
      </c>
      <c r="AA2879" s="13">
        <v>7.17E-2</v>
      </c>
      <c r="AB2879" s="21">
        <f t="shared" si="855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36"/>
        <v>43684091.636631854</v>
      </c>
      <c r="AJ2879" s="19">
        <f t="shared" si="837"/>
        <v>6483951.8242071122</v>
      </c>
      <c r="AK2879" s="20">
        <f t="shared" si="843"/>
        <v>0.14842821680123736</v>
      </c>
      <c r="AL2879" s="17"/>
      <c r="AM2879" s="17"/>
      <c r="AN2879" s="17"/>
      <c r="AO2879" s="17"/>
      <c r="AP2879" s="28" t="str">
        <f t="shared" si="844"/>
        <v>20214</v>
      </c>
      <c r="AQ2879" s="28" t="str">
        <f t="shared" si="845"/>
        <v>20214JPY</v>
      </c>
      <c r="AR2879" s="206" t="str">
        <f t="shared" si="846"/>
        <v>YAMAHA_Mounter</v>
      </c>
      <c r="AS2879" s="22">
        <f t="shared" si="847"/>
        <v>1</v>
      </c>
      <c r="AT2879" s="24" t="str">
        <f t="shared" si="848"/>
        <v>0-3 months</v>
      </c>
      <c r="AU2879" s="22" t="s">
        <v>3745</v>
      </c>
    </row>
    <row r="2880" spans="1:47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53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1687</v>
      </c>
      <c r="K2880" s="155" t="s">
        <v>1277</v>
      </c>
      <c r="L2880" s="17" t="s">
        <v>92</v>
      </c>
      <c r="M2880" s="13" t="s">
        <v>60</v>
      </c>
      <c r="N2880" s="13">
        <v>1</v>
      </c>
      <c r="O2880" s="13"/>
      <c r="P2880" s="33" t="str">
        <f t="shared" si="851"/>
        <v>MAIN UNIT</v>
      </c>
      <c r="Q2880" s="13" t="s">
        <v>61</v>
      </c>
      <c r="R2880" s="13" t="s">
        <v>62</v>
      </c>
      <c r="S2880" s="13" t="s">
        <v>49</v>
      </c>
      <c r="T2880" s="13" t="s">
        <v>78</v>
      </c>
      <c r="U2880" s="13" t="s">
        <v>79</v>
      </c>
      <c r="V2880" s="13" t="s">
        <v>672</v>
      </c>
      <c r="W2880" s="13" t="s">
        <v>109</v>
      </c>
      <c r="X2880" s="135">
        <v>10900000</v>
      </c>
      <c r="Y2880" s="157" t="str">
        <f t="shared" si="856"/>
        <v>1</v>
      </c>
      <c r="Z2880" s="18">
        <f t="shared" si="849"/>
        <v>10900000</v>
      </c>
      <c r="AA2880" s="13">
        <v>7.17E-2</v>
      </c>
      <c r="AB2880" s="21">
        <f t="shared" si="855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36"/>
        <v>43684091.636631854</v>
      </c>
      <c r="AJ2880" s="19">
        <f t="shared" si="837"/>
        <v>6483951.8242071122</v>
      </c>
      <c r="AK2880" s="20">
        <f t="shared" si="843"/>
        <v>0.14842821680123736</v>
      </c>
      <c r="AL2880" s="17"/>
      <c r="AM2880" s="17"/>
      <c r="AN2880" s="17"/>
      <c r="AO2880" s="17"/>
      <c r="AP2880" s="28" t="str">
        <f t="shared" si="844"/>
        <v>20214</v>
      </c>
      <c r="AQ2880" s="28" t="str">
        <f t="shared" si="845"/>
        <v>20214JPY</v>
      </c>
      <c r="AR2880" s="206" t="str">
        <f t="shared" si="846"/>
        <v>YAMAHA_Mounter</v>
      </c>
      <c r="AS2880" s="22">
        <f t="shared" si="847"/>
        <v>1</v>
      </c>
      <c r="AT2880" s="24" t="str">
        <f t="shared" si="848"/>
        <v>0-3 months</v>
      </c>
      <c r="AU2880" s="22" t="s">
        <v>3745</v>
      </c>
    </row>
    <row r="2881" spans="1:47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53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1687</v>
      </c>
      <c r="K2881" s="155" t="s">
        <v>1277</v>
      </c>
      <c r="L2881" s="17" t="s">
        <v>92</v>
      </c>
      <c r="M2881" s="13" t="s">
        <v>60</v>
      </c>
      <c r="N2881" s="13">
        <v>1</v>
      </c>
      <c r="O2881" s="13"/>
      <c r="P2881" s="33" t="str">
        <f t="shared" si="851"/>
        <v>MAIN UNIT</v>
      </c>
      <c r="Q2881" s="13" t="s">
        <v>61</v>
      </c>
      <c r="R2881" s="13" t="s">
        <v>62</v>
      </c>
      <c r="S2881" s="13" t="s">
        <v>49</v>
      </c>
      <c r="T2881" s="13" t="s">
        <v>78</v>
      </c>
      <c r="U2881" s="13" t="s">
        <v>79</v>
      </c>
      <c r="V2881" s="13" t="s">
        <v>672</v>
      </c>
      <c r="W2881" s="13" t="s">
        <v>109</v>
      </c>
      <c r="X2881" s="135">
        <v>10900000</v>
      </c>
      <c r="Y2881" s="157" t="str">
        <f t="shared" si="856"/>
        <v>1</v>
      </c>
      <c r="Z2881" s="18">
        <f t="shared" si="849"/>
        <v>10900000</v>
      </c>
      <c r="AA2881" s="13">
        <v>7.17E-2</v>
      </c>
      <c r="AB2881" s="21">
        <f t="shared" si="855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36"/>
        <v>43684091.636631854</v>
      </c>
      <c r="AJ2881" s="19">
        <f t="shared" si="837"/>
        <v>6483951.8242071122</v>
      </c>
      <c r="AK2881" s="20">
        <f t="shared" si="843"/>
        <v>0.14842821680123736</v>
      </c>
      <c r="AL2881" s="17"/>
      <c r="AM2881" s="17"/>
      <c r="AN2881" s="17"/>
      <c r="AO2881" s="17"/>
      <c r="AP2881" s="28" t="str">
        <f t="shared" si="844"/>
        <v>20214</v>
      </c>
      <c r="AQ2881" s="28" t="str">
        <f t="shared" si="845"/>
        <v>20214JPY</v>
      </c>
      <c r="AR2881" s="206" t="str">
        <f t="shared" si="846"/>
        <v>YAMAHA_Mounter</v>
      </c>
      <c r="AS2881" s="22">
        <f t="shared" si="847"/>
        <v>1</v>
      </c>
      <c r="AT2881" s="24" t="str">
        <f t="shared" si="848"/>
        <v>0-3 months</v>
      </c>
      <c r="AU2881" s="22" t="s">
        <v>3745</v>
      </c>
    </row>
    <row r="2882" spans="1:47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53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1687</v>
      </c>
      <c r="K2882" s="155" t="s">
        <v>1277</v>
      </c>
      <c r="L2882" s="17" t="s">
        <v>92</v>
      </c>
      <c r="M2882" s="13" t="s">
        <v>60</v>
      </c>
      <c r="N2882" s="13">
        <v>1</v>
      </c>
      <c r="O2882" s="13"/>
      <c r="P2882" s="33" t="str">
        <f t="shared" si="851"/>
        <v>MAIN UNIT</v>
      </c>
      <c r="Q2882" s="13" t="s">
        <v>61</v>
      </c>
      <c r="R2882" s="13" t="s">
        <v>62</v>
      </c>
      <c r="S2882" s="13" t="s">
        <v>49</v>
      </c>
      <c r="T2882" s="13" t="s">
        <v>78</v>
      </c>
      <c r="U2882" s="13" t="s">
        <v>79</v>
      </c>
      <c r="V2882" s="13" t="s">
        <v>672</v>
      </c>
      <c r="W2882" s="13" t="s">
        <v>109</v>
      </c>
      <c r="X2882" s="135">
        <v>10900000</v>
      </c>
      <c r="Y2882" s="157" t="str">
        <f t="shared" si="856"/>
        <v>1</v>
      </c>
      <c r="Z2882" s="18">
        <f t="shared" si="849"/>
        <v>10900000</v>
      </c>
      <c r="AA2882" s="13">
        <v>7.2099999999999997E-2</v>
      </c>
      <c r="AB2882" s="21">
        <f t="shared" si="855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ref="AI2882:AI2945" si="857">IF(P2882="C66 SERVICE","",SUMIFS(AB:AB,F:F,F2882,G:G,G2882,E:E,E2882))</f>
        <v>54700260.692079648</v>
      </c>
      <c r="AJ2882" s="19">
        <f t="shared" ref="AJ2882:AJ2945" si="858">IF(P2882="C66 SERVICE","",SUMIFS(AC:AC,F:F,F2882,G:G,G2882,E:E,E2882))</f>
        <v>7482899.5749188727</v>
      </c>
      <c r="AK2882" s="20">
        <f t="shared" si="843"/>
        <v>0.13679824337660537</v>
      </c>
      <c r="AL2882" s="17"/>
      <c r="AM2882" s="17"/>
      <c r="AN2882" s="17"/>
      <c r="AO2882" s="17"/>
      <c r="AP2882" s="28" t="str">
        <f t="shared" si="844"/>
        <v>20216</v>
      </c>
      <c r="AQ2882" s="28" t="str">
        <f t="shared" si="845"/>
        <v>20216JPY</v>
      </c>
      <c r="AR2882" s="206" t="str">
        <f t="shared" si="846"/>
        <v>YAMAHA_Mounter</v>
      </c>
      <c r="AS2882" s="22">
        <f t="shared" si="847"/>
        <v>3</v>
      </c>
      <c r="AT2882" s="24" t="str">
        <f t="shared" si="848"/>
        <v>0-3 months</v>
      </c>
      <c r="AU2882" s="22" t="s">
        <v>3745</v>
      </c>
    </row>
    <row r="2883" spans="1:47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53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1687</v>
      </c>
      <c r="K2883" s="155" t="s">
        <v>1277</v>
      </c>
      <c r="L2883" s="17" t="s">
        <v>92</v>
      </c>
      <c r="M2883" s="13" t="s">
        <v>60</v>
      </c>
      <c r="N2883" s="13">
        <v>1</v>
      </c>
      <c r="O2883" s="13"/>
      <c r="P2883" s="33" t="str">
        <f t="shared" si="851"/>
        <v>MAIN UNIT</v>
      </c>
      <c r="Q2883" s="13" t="s">
        <v>61</v>
      </c>
      <c r="R2883" s="13" t="s">
        <v>62</v>
      </c>
      <c r="S2883" s="13" t="s">
        <v>49</v>
      </c>
      <c r="T2883" s="13" t="s">
        <v>78</v>
      </c>
      <c r="U2883" s="13" t="s">
        <v>79</v>
      </c>
      <c r="V2883" s="13" t="s">
        <v>672</v>
      </c>
      <c r="W2883" s="13" t="s">
        <v>109</v>
      </c>
      <c r="X2883" s="135">
        <v>10900000</v>
      </c>
      <c r="Y2883" s="157" t="str">
        <f t="shared" si="856"/>
        <v>1</v>
      </c>
      <c r="Z2883" s="18">
        <f t="shared" si="849"/>
        <v>10900000</v>
      </c>
      <c r="AA2883" s="13">
        <v>7.2099999999999997E-2</v>
      </c>
      <c r="AB2883" s="21">
        <f t="shared" si="855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57"/>
        <v>54700260.692079648</v>
      </c>
      <c r="AJ2883" s="19">
        <f t="shared" si="858"/>
        <v>7482899.5749188727</v>
      </c>
      <c r="AK2883" s="20">
        <f t="shared" si="843"/>
        <v>0.13679824337660537</v>
      </c>
      <c r="AL2883" s="17"/>
      <c r="AM2883" s="17"/>
      <c r="AN2883" s="17"/>
      <c r="AO2883" s="17"/>
      <c r="AP2883" s="28" t="str">
        <f t="shared" si="844"/>
        <v>20216</v>
      </c>
      <c r="AQ2883" s="28" t="str">
        <f t="shared" si="845"/>
        <v>20216JPY</v>
      </c>
      <c r="AR2883" s="206" t="str">
        <f t="shared" si="846"/>
        <v>YAMAHA_Mounter</v>
      </c>
      <c r="AS2883" s="22">
        <f t="shared" si="847"/>
        <v>3</v>
      </c>
      <c r="AT2883" s="24" t="str">
        <f t="shared" si="848"/>
        <v>0-3 months</v>
      </c>
      <c r="AU2883" s="22" t="s">
        <v>3745</v>
      </c>
    </row>
    <row r="2884" spans="1:47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53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1687</v>
      </c>
      <c r="K2884" s="155" t="s">
        <v>1277</v>
      </c>
      <c r="L2884" s="17" t="s">
        <v>92</v>
      </c>
      <c r="M2884" s="13" t="s">
        <v>60</v>
      </c>
      <c r="N2884" s="13">
        <v>1</v>
      </c>
      <c r="O2884" s="13"/>
      <c r="P2884" s="33" t="str">
        <f t="shared" si="851"/>
        <v>MAIN UNIT</v>
      </c>
      <c r="Q2884" s="13" t="s">
        <v>61</v>
      </c>
      <c r="R2884" s="13" t="s">
        <v>62</v>
      </c>
      <c r="S2884" s="13" t="s">
        <v>49</v>
      </c>
      <c r="T2884" s="13" t="s">
        <v>78</v>
      </c>
      <c r="U2884" s="13" t="s">
        <v>79</v>
      </c>
      <c r="V2884" s="13" t="s">
        <v>672</v>
      </c>
      <c r="W2884" s="13" t="s">
        <v>109</v>
      </c>
      <c r="X2884" s="135">
        <v>10900000</v>
      </c>
      <c r="Y2884" s="157" t="str">
        <f t="shared" si="856"/>
        <v>1</v>
      </c>
      <c r="Z2884" s="18">
        <f t="shared" si="849"/>
        <v>10900000</v>
      </c>
      <c r="AA2884" s="13">
        <v>7.2099999999999997E-2</v>
      </c>
      <c r="AB2884" s="21">
        <f t="shared" si="855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57"/>
        <v>54700260.692079648</v>
      </c>
      <c r="AJ2884" s="19">
        <f t="shared" si="858"/>
        <v>7482899.5749188727</v>
      </c>
      <c r="AK2884" s="20">
        <f t="shared" si="843"/>
        <v>0.13679824337660537</v>
      </c>
      <c r="AL2884" s="17"/>
      <c r="AM2884" s="17"/>
      <c r="AN2884" s="17"/>
      <c r="AO2884" s="17"/>
      <c r="AP2884" s="28" t="str">
        <f t="shared" si="844"/>
        <v>20216</v>
      </c>
      <c r="AQ2884" s="28" t="str">
        <f t="shared" si="845"/>
        <v>20216JPY</v>
      </c>
      <c r="AR2884" s="206" t="str">
        <f t="shared" si="846"/>
        <v>YAMAHA_Mounter</v>
      </c>
      <c r="AS2884" s="22">
        <f t="shared" si="847"/>
        <v>3</v>
      </c>
      <c r="AT2884" s="24" t="str">
        <f t="shared" si="848"/>
        <v>0-3 months</v>
      </c>
      <c r="AU2884" s="22" t="s">
        <v>3745</v>
      </c>
    </row>
    <row r="2885" spans="1:47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54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1687</v>
      </c>
      <c r="K2885" s="155" t="s">
        <v>1277</v>
      </c>
      <c r="L2885" s="17" t="s">
        <v>92</v>
      </c>
      <c r="M2885" s="13" t="s">
        <v>60</v>
      </c>
      <c r="N2885" s="13">
        <v>1</v>
      </c>
      <c r="O2885" s="13"/>
      <c r="P2885" s="33" t="str">
        <f t="shared" si="851"/>
        <v>MAIN UNIT</v>
      </c>
      <c r="Q2885" s="13" t="s">
        <v>61</v>
      </c>
      <c r="R2885" s="13" t="s">
        <v>62</v>
      </c>
      <c r="S2885" s="13" t="s">
        <v>49</v>
      </c>
      <c r="T2885" s="13" t="s">
        <v>78</v>
      </c>
      <c r="U2885" s="13" t="s">
        <v>79</v>
      </c>
      <c r="V2885" s="13" t="s">
        <v>672</v>
      </c>
      <c r="W2885" s="13" t="s">
        <v>109</v>
      </c>
      <c r="X2885" s="135">
        <v>10900000</v>
      </c>
      <c r="Y2885" s="157" t="str">
        <f t="shared" si="856"/>
        <v>1</v>
      </c>
      <c r="Z2885" s="18">
        <f t="shared" si="849"/>
        <v>10900000</v>
      </c>
      <c r="AA2885" s="13">
        <v>5.96E-2</v>
      </c>
      <c r="AB2885" s="21">
        <f t="shared" si="855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57"/>
        <v>35073581.838938057</v>
      </c>
      <c r="AJ2885" s="19">
        <f t="shared" si="858"/>
        <v>5034113.9728989396</v>
      </c>
      <c r="AK2885" s="20">
        <f t="shared" si="843"/>
        <v>0.14353007902118958</v>
      </c>
      <c r="AL2885" s="17"/>
      <c r="AM2885" s="17"/>
      <c r="AN2885" s="17"/>
      <c r="AO2885" s="17"/>
      <c r="AP2885" s="28" t="str">
        <f t="shared" si="844"/>
        <v>20228</v>
      </c>
      <c r="AQ2885" s="28" t="str">
        <f t="shared" si="845"/>
        <v>20228JPY</v>
      </c>
      <c r="AR2885" s="206" t="str">
        <f t="shared" si="846"/>
        <v>YAMAHA_Mounter</v>
      </c>
      <c r="AS2885" s="22">
        <f t="shared" si="847"/>
        <v>17</v>
      </c>
      <c r="AT2885" s="24" t="str">
        <f t="shared" si="848"/>
        <v>&gt; 6 months</v>
      </c>
      <c r="AU2885" s="22" t="s">
        <v>3745</v>
      </c>
    </row>
    <row r="2886" spans="1:47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185</v>
      </c>
      <c r="F2886" s="13" t="s">
        <v>185</v>
      </c>
      <c r="G2886" s="152" t="s">
        <v>185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1687</v>
      </c>
      <c r="K2886" s="155" t="s">
        <v>1277</v>
      </c>
      <c r="L2886" s="17" t="s">
        <v>92</v>
      </c>
      <c r="M2886" s="13" t="s">
        <v>60</v>
      </c>
      <c r="N2886" s="13">
        <v>1</v>
      </c>
      <c r="O2886" s="13"/>
      <c r="P2886" s="33" t="str">
        <f t="shared" si="851"/>
        <v>MAIN UNIT</v>
      </c>
      <c r="Q2886" s="13" t="s">
        <v>61</v>
      </c>
      <c r="R2886" s="13" t="s">
        <v>62</v>
      </c>
      <c r="S2886" s="13" t="s">
        <v>49</v>
      </c>
      <c r="T2886" s="13" t="s">
        <v>78</v>
      </c>
      <c r="U2886" s="13" t="s">
        <v>79</v>
      </c>
      <c r="V2886" s="13" t="s">
        <v>672</v>
      </c>
      <c r="W2886" s="13" t="s">
        <v>109</v>
      </c>
      <c r="X2886" s="135">
        <v>10900000</v>
      </c>
      <c r="Y2886" s="157" t="str">
        <f t="shared" si="856"/>
        <v>1</v>
      </c>
      <c r="Z2886" s="18">
        <f t="shared" si="849"/>
        <v>10900000</v>
      </c>
      <c r="AA2886" s="13">
        <v>5.8700000000000002E-2</v>
      </c>
      <c r="AB2886" s="21">
        <f t="shared" si="855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si="857"/>
        <v>499582152.5142017</v>
      </c>
      <c r="AJ2886" s="19">
        <f t="shared" si="858"/>
        <v>59520528.679470733</v>
      </c>
      <c r="AK2886" s="20">
        <f t="shared" ref="AK2886:AK2949" si="864">IF(AJ2886&gt;0,AJ2886/AI2886,"")</f>
        <v>0.11914062257814291</v>
      </c>
      <c r="AL2886" s="17"/>
      <c r="AM2886" s="17"/>
      <c r="AN2886" s="17"/>
      <c r="AO2886" s="17"/>
      <c r="AP2886" s="28" t="str">
        <f t="shared" ref="AP2886:AP2949" si="865">IF(F2886="","",F2886&amp;G2886)</f>
        <v>CancelCancel</v>
      </c>
      <c r="AQ2886" s="28" t="str">
        <f t="shared" ref="AQ2886:AQ2949" si="866">IF(W2886="","",F2886&amp;G2886&amp;W2886)</f>
        <v>CancelCancelJPY</v>
      </c>
      <c r="AR2886" s="206" t="str">
        <f t="shared" ref="AR2886:AR2949" si="867">IFERROR(IF(AND(M2886="YAMAHA", R2886="C28"), "YAMAHA_Non_Mounter", IF(AND(M2886="YAMAHA", R2886="C49"), "YAMAHA_Mounter", M2886)),"")</f>
        <v>YAMAHA_Mounter</v>
      </c>
      <c r="AS2886" s="22" t="str">
        <f t="shared" ref="AS2886:AS2949" si="868">IFERROR(IF(OR(G2886="TBA", G2886=""), "", DATEDIF(DATE(B2886, C2886, 1), DATE(F2886, G2886, 1), "M")),"")</f>
        <v/>
      </c>
      <c r="AT2886" s="24" t="str">
        <f t="shared" ref="AT2886:AT2949" si="869">IF(ISNUMBER(AS2886), IF(AS2886&gt;=0, IF(AS2886&lt;=3, "0-3 months", IF(AS2886&lt;=6, "4-6 months", "&gt; 6 months"))), "")</f>
        <v/>
      </c>
      <c r="AU2886" s="22" t="s">
        <v>3745</v>
      </c>
    </row>
    <row r="2887" spans="1:47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185</v>
      </c>
      <c r="F2887" s="13" t="s">
        <v>185</v>
      </c>
      <c r="G2887" s="152" t="s">
        <v>185</v>
      </c>
      <c r="H2887" s="155"/>
      <c r="I2887" s="33" t="str">
        <f t="shared" si="861"/>
        <v>Cancel</v>
      </c>
      <c r="J2887" s="186" t="s">
        <v>1687</v>
      </c>
      <c r="K2887" s="155" t="s">
        <v>1277</v>
      </c>
      <c r="L2887" s="17" t="s">
        <v>92</v>
      </c>
      <c r="M2887" s="13" t="s">
        <v>60</v>
      </c>
      <c r="N2887" s="13">
        <v>1</v>
      </c>
      <c r="O2887" s="13"/>
      <c r="P2887" s="33" t="str">
        <f t="shared" si="851"/>
        <v>MAIN UNIT</v>
      </c>
      <c r="Q2887" s="13" t="s">
        <v>61</v>
      </c>
      <c r="R2887" s="13" t="s">
        <v>62</v>
      </c>
      <c r="S2887" s="13" t="s">
        <v>49</v>
      </c>
      <c r="T2887" s="13" t="s">
        <v>78</v>
      </c>
      <c r="U2887" s="13" t="s">
        <v>79</v>
      </c>
      <c r="V2887" s="13" t="s">
        <v>672</v>
      </c>
      <c r="W2887" s="13" t="s">
        <v>109</v>
      </c>
      <c r="X2887" s="135">
        <v>10900000</v>
      </c>
      <c r="Y2887" s="157" t="str">
        <f t="shared" si="856"/>
        <v>1</v>
      </c>
      <c r="Z2887" s="18">
        <f t="shared" si="849"/>
        <v>10900000</v>
      </c>
      <c r="AA2887" s="13">
        <v>5.8700000000000002E-2</v>
      </c>
      <c r="AB2887" s="21">
        <f t="shared" si="855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57"/>
        <v>499582152.5142017</v>
      </c>
      <c r="AJ2887" s="19">
        <f t="shared" si="858"/>
        <v>59520528.679470733</v>
      </c>
      <c r="AK2887" s="20">
        <f t="shared" si="864"/>
        <v>0.11914062257814291</v>
      </c>
      <c r="AL2887" s="17"/>
      <c r="AM2887" s="17"/>
      <c r="AN2887" s="17"/>
      <c r="AO2887" s="17"/>
      <c r="AP2887" s="28" t="str">
        <f t="shared" si="865"/>
        <v>CancelCancel</v>
      </c>
      <c r="AQ2887" s="28" t="str">
        <f t="shared" si="866"/>
        <v>CancelCancelJPY</v>
      </c>
      <c r="AR2887" s="206" t="str">
        <f t="shared" si="867"/>
        <v>YAMAHA_Mounter</v>
      </c>
      <c r="AS2887" s="22" t="str">
        <f t="shared" si="868"/>
        <v/>
      </c>
      <c r="AT2887" s="24" t="str">
        <f t="shared" si="869"/>
        <v/>
      </c>
      <c r="AU2887" s="22" t="s">
        <v>3745</v>
      </c>
    </row>
    <row r="2888" spans="1:47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185</v>
      </c>
      <c r="F2888" s="13" t="s">
        <v>185</v>
      </c>
      <c r="G2888" s="152" t="s">
        <v>185</v>
      </c>
      <c r="H2888" s="155"/>
      <c r="I2888" s="33" t="str">
        <f t="shared" si="861"/>
        <v>Cancel</v>
      </c>
      <c r="J2888" s="186" t="s">
        <v>1687</v>
      </c>
      <c r="K2888" s="155" t="s">
        <v>1277</v>
      </c>
      <c r="L2888" s="17" t="s">
        <v>92</v>
      </c>
      <c r="M2888" s="13" t="s">
        <v>60</v>
      </c>
      <c r="N2888" s="13">
        <v>1</v>
      </c>
      <c r="O2888" s="13"/>
      <c r="P2888" s="33" t="str">
        <f t="shared" si="851"/>
        <v>MAIN UNIT</v>
      </c>
      <c r="Q2888" s="13" t="s">
        <v>61</v>
      </c>
      <c r="R2888" s="13" t="s">
        <v>62</v>
      </c>
      <c r="S2888" s="13" t="s">
        <v>49</v>
      </c>
      <c r="T2888" s="13" t="s">
        <v>78</v>
      </c>
      <c r="U2888" s="13" t="s">
        <v>79</v>
      </c>
      <c r="V2888" s="13" t="s">
        <v>672</v>
      </c>
      <c r="W2888" s="13" t="s">
        <v>109</v>
      </c>
      <c r="X2888" s="135">
        <v>10900000</v>
      </c>
      <c r="Y2888" s="157" t="str">
        <f t="shared" si="856"/>
        <v>1</v>
      </c>
      <c r="Z2888" s="18">
        <f t="shared" si="849"/>
        <v>10900000</v>
      </c>
      <c r="AA2888" s="13">
        <v>5.8700000000000002E-2</v>
      </c>
      <c r="AB2888" s="21">
        <f t="shared" si="855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57"/>
        <v>499582152.5142017</v>
      </c>
      <c r="AJ2888" s="19">
        <f t="shared" si="858"/>
        <v>59520528.679470733</v>
      </c>
      <c r="AK2888" s="20">
        <f t="shared" si="864"/>
        <v>0.11914062257814291</v>
      </c>
      <c r="AL2888" s="17"/>
      <c r="AM2888" s="17"/>
      <c r="AN2888" s="17"/>
      <c r="AO2888" s="17"/>
      <c r="AP2888" s="28" t="str">
        <f t="shared" si="865"/>
        <v>CancelCancel</v>
      </c>
      <c r="AQ2888" s="28" t="str">
        <f t="shared" si="866"/>
        <v>CancelCancelJPY</v>
      </c>
      <c r="AR2888" s="206" t="str">
        <f t="shared" si="867"/>
        <v>YAMAHA_Mounter</v>
      </c>
      <c r="AS2888" s="22" t="str">
        <f t="shared" si="868"/>
        <v/>
      </c>
      <c r="AT2888" s="24" t="str">
        <f t="shared" si="869"/>
        <v/>
      </c>
      <c r="AU2888" s="22" t="s">
        <v>3745</v>
      </c>
    </row>
    <row r="2889" spans="1:47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185</v>
      </c>
      <c r="F2889" s="13" t="s">
        <v>185</v>
      </c>
      <c r="G2889" s="152" t="s">
        <v>185</v>
      </c>
      <c r="H2889" s="155"/>
      <c r="I2889" s="33" t="str">
        <f t="shared" si="861"/>
        <v>Cancel</v>
      </c>
      <c r="J2889" s="186" t="s">
        <v>1687</v>
      </c>
      <c r="K2889" s="155" t="s">
        <v>1277</v>
      </c>
      <c r="L2889" s="17" t="s">
        <v>92</v>
      </c>
      <c r="M2889" s="13" t="s">
        <v>60</v>
      </c>
      <c r="N2889" s="13">
        <v>1</v>
      </c>
      <c r="O2889" s="13"/>
      <c r="P2889" s="33" t="str">
        <f t="shared" si="851"/>
        <v>MAIN UNIT</v>
      </c>
      <c r="Q2889" s="13" t="s">
        <v>61</v>
      </c>
      <c r="R2889" s="13" t="s">
        <v>62</v>
      </c>
      <c r="S2889" s="13" t="s">
        <v>49</v>
      </c>
      <c r="T2889" s="13" t="s">
        <v>78</v>
      </c>
      <c r="U2889" s="13" t="s">
        <v>79</v>
      </c>
      <c r="V2889" s="13" t="s">
        <v>672</v>
      </c>
      <c r="W2889" s="13" t="s">
        <v>109</v>
      </c>
      <c r="X2889" s="135">
        <v>10900000</v>
      </c>
      <c r="Y2889" s="157" t="str">
        <f t="shared" si="856"/>
        <v>1</v>
      </c>
      <c r="Z2889" s="18">
        <f t="shared" si="849"/>
        <v>10900000</v>
      </c>
      <c r="AA2889" s="13">
        <v>5.8700000000000002E-2</v>
      </c>
      <c r="AB2889" s="21">
        <f t="shared" si="855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57"/>
        <v>499582152.5142017</v>
      </c>
      <c r="AJ2889" s="19">
        <f t="shared" si="858"/>
        <v>59520528.679470733</v>
      </c>
      <c r="AK2889" s="20">
        <f t="shared" si="864"/>
        <v>0.11914062257814291</v>
      </c>
      <c r="AL2889" s="17"/>
      <c r="AM2889" s="17"/>
      <c r="AN2889" s="17"/>
      <c r="AO2889" s="17"/>
      <c r="AP2889" s="28" t="str">
        <f t="shared" si="865"/>
        <v>CancelCancel</v>
      </c>
      <c r="AQ2889" s="28" t="str">
        <f t="shared" si="866"/>
        <v>CancelCancelJPY</v>
      </c>
      <c r="AR2889" s="206" t="str">
        <f t="shared" si="867"/>
        <v>YAMAHA_Mounter</v>
      </c>
      <c r="AS2889" s="22" t="str">
        <f t="shared" si="868"/>
        <v/>
      </c>
      <c r="AT2889" s="24" t="str">
        <f t="shared" si="869"/>
        <v/>
      </c>
      <c r="AU2889" s="22" t="s">
        <v>3745</v>
      </c>
    </row>
    <row r="2890" spans="1:47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185</v>
      </c>
      <c r="F2890" s="13" t="s">
        <v>185</v>
      </c>
      <c r="G2890" s="152" t="s">
        <v>185</v>
      </c>
      <c r="H2890" s="155" t="s">
        <v>2349</v>
      </c>
      <c r="I2890" s="33" t="str">
        <f t="shared" si="861"/>
        <v>Cancel</v>
      </c>
      <c r="J2890" s="186" t="s">
        <v>2350</v>
      </c>
      <c r="K2890" s="155" t="s">
        <v>1277</v>
      </c>
      <c r="L2890" s="17" t="s">
        <v>293</v>
      </c>
      <c r="M2890" s="13" t="s">
        <v>60</v>
      </c>
      <c r="N2890" s="13">
        <v>1</v>
      </c>
      <c r="O2890" s="13"/>
      <c r="P2890" s="33" t="str">
        <f t="shared" si="851"/>
        <v>MAIN UNIT</v>
      </c>
      <c r="Q2890" s="13" t="s">
        <v>61</v>
      </c>
      <c r="R2890" s="13" t="s">
        <v>62</v>
      </c>
      <c r="S2890" s="13" t="s">
        <v>49</v>
      </c>
      <c r="T2890" s="13" t="s">
        <v>78</v>
      </c>
      <c r="U2890" s="13" t="s">
        <v>79</v>
      </c>
      <c r="V2890" s="13" t="s">
        <v>672</v>
      </c>
      <c r="W2890" s="13" t="s">
        <v>64</v>
      </c>
      <c r="X2890" s="135">
        <v>1300000</v>
      </c>
      <c r="Y2890" s="157" t="str">
        <f t="shared" si="856"/>
        <v>1.13</v>
      </c>
      <c r="Z2890" s="18">
        <f t="shared" ref="Z2890:Z2953" si="870">IF(X2890="","",X2890*MAX(O2890,N2890))</f>
        <v>1300000</v>
      </c>
      <c r="AA2890" s="13">
        <v>1.175</v>
      </c>
      <c r="AB2890" s="21">
        <f t="shared" si="855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57"/>
        <v>499582152.5142017</v>
      </c>
      <c r="AJ2890" s="19">
        <f t="shared" si="858"/>
        <v>59520528.679470733</v>
      </c>
      <c r="AK2890" s="20">
        <f t="shared" si="864"/>
        <v>0.11914062257814291</v>
      </c>
      <c r="AL2890" s="17"/>
      <c r="AM2890" s="17"/>
      <c r="AN2890" s="17"/>
      <c r="AO2890" s="17" t="s">
        <v>2351</v>
      </c>
      <c r="AP2890" s="28" t="str">
        <f t="shared" si="865"/>
        <v>CancelCancel</v>
      </c>
      <c r="AQ2890" s="28" t="str">
        <f t="shared" si="866"/>
        <v>CancelCancelRMB</v>
      </c>
      <c r="AR2890" s="206" t="str">
        <f t="shared" si="867"/>
        <v>YAMAHA_Mounter</v>
      </c>
      <c r="AS2890" s="22" t="str">
        <f t="shared" si="868"/>
        <v/>
      </c>
      <c r="AT2890" s="24" t="str">
        <f t="shared" si="869"/>
        <v/>
      </c>
      <c r="AU2890" s="22" t="s">
        <v>3751</v>
      </c>
    </row>
    <row r="2891" spans="1:47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53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2128</v>
      </c>
      <c r="K2891" s="155" t="s">
        <v>2129</v>
      </c>
      <c r="L2891" s="17" t="s">
        <v>92</v>
      </c>
      <c r="M2891" s="13" t="s">
        <v>60</v>
      </c>
      <c r="N2891" s="13">
        <v>1</v>
      </c>
      <c r="O2891" s="13"/>
      <c r="P2891" s="33" t="str">
        <f t="shared" si="851"/>
        <v>MAIN UNIT</v>
      </c>
      <c r="Q2891" s="13" t="s">
        <v>68</v>
      </c>
      <c r="R2891" s="13" t="s">
        <v>62</v>
      </c>
      <c r="S2891" s="13" t="s">
        <v>49</v>
      </c>
      <c r="T2891" s="13" t="s">
        <v>78</v>
      </c>
      <c r="U2891" s="13" t="s">
        <v>79</v>
      </c>
      <c r="V2891" s="13" t="s">
        <v>2130</v>
      </c>
      <c r="W2891" s="13" t="s">
        <v>109</v>
      </c>
      <c r="X2891" s="135">
        <v>12800000</v>
      </c>
      <c r="Y2891" s="157" t="str">
        <f t="shared" si="856"/>
        <v>1</v>
      </c>
      <c r="Z2891" s="18">
        <f t="shared" si="870"/>
        <v>12800000</v>
      </c>
      <c r="AA2891" s="13">
        <v>6.9199999999999998E-2</v>
      </c>
      <c r="AB2891" s="21">
        <f t="shared" si="855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57"/>
        <v>31750699.113741599</v>
      </c>
      <c r="AJ2891" s="19">
        <f t="shared" si="858"/>
        <v>4396077.3195289988</v>
      </c>
      <c r="AK2891" s="20">
        <f t="shared" si="864"/>
        <v>0.13845607946397598</v>
      </c>
      <c r="AL2891" s="17"/>
      <c r="AM2891" s="17"/>
      <c r="AN2891" s="17"/>
      <c r="AO2891" s="17"/>
      <c r="AP2891" s="28" t="str">
        <f t="shared" si="865"/>
        <v>20222</v>
      </c>
      <c r="AQ2891" s="28" t="str">
        <f t="shared" si="866"/>
        <v>20222JPY</v>
      </c>
      <c r="AR2891" s="206" t="str">
        <f t="shared" si="867"/>
        <v>YAMAHA_Mounter</v>
      </c>
      <c r="AS2891" s="22">
        <f t="shared" si="868"/>
        <v>1</v>
      </c>
      <c r="AT2891" s="24" t="str">
        <f t="shared" si="869"/>
        <v>0-3 months</v>
      </c>
      <c r="AU2891" s="22" t="s">
        <v>3745</v>
      </c>
    </row>
    <row r="2892" spans="1:47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54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2128</v>
      </c>
      <c r="K2892" s="155" t="s">
        <v>2129</v>
      </c>
      <c r="L2892" s="17" t="s">
        <v>67</v>
      </c>
      <c r="M2892" s="13" t="s">
        <v>60</v>
      </c>
      <c r="N2892" s="13">
        <v>1</v>
      </c>
      <c r="O2892" s="13"/>
      <c r="P2892" s="33" t="str">
        <f t="shared" si="851"/>
        <v>MAIN UNIT</v>
      </c>
      <c r="Q2892" s="13" t="s">
        <v>68</v>
      </c>
      <c r="R2892" s="13" t="s">
        <v>62</v>
      </c>
      <c r="S2892" s="13" t="s">
        <v>49</v>
      </c>
      <c r="T2892" s="13" t="s">
        <v>78</v>
      </c>
      <c r="U2892" s="13" t="s">
        <v>79</v>
      </c>
      <c r="V2892" s="13" t="s">
        <v>2130</v>
      </c>
      <c r="W2892" s="13" t="s">
        <v>109</v>
      </c>
      <c r="X2892" s="135">
        <v>7800000</v>
      </c>
      <c r="Y2892" s="157" t="str">
        <f t="shared" si="856"/>
        <v>1</v>
      </c>
      <c r="Z2892" s="18">
        <f t="shared" si="870"/>
        <v>7800000</v>
      </c>
      <c r="AA2892" s="13">
        <v>6.54E-2</v>
      </c>
      <c r="AB2892" s="21">
        <f t="shared" si="855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57"/>
        <v>46600814.041769907</v>
      </c>
      <c r="AJ2892" s="19">
        <f t="shared" si="858"/>
        <v>5956366.3435927071</v>
      </c>
      <c r="AK2892" s="20">
        <f t="shared" si="864"/>
        <v>0.1278167874546958</v>
      </c>
      <c r="AL2892" s="17"/>
      <c r="AM2892" s="17"/>
      <c r="AN2892" s="17"/>
      <c r="AO2892" s="17"/>
      <c r="AP2892" s="28" t="str">
        <f t="shared" si="865"/>
        <v>20224</v>
      </c>
      <c r="AQ2892" s="28" t="str">
        <f t="shared" si="866"/>
        <v>20224JPY</v>
      </c>
      <c r="AR2892" s="206" t="str">
        <f t="shared" si="867"/>
        <v>YAMAHA_Mounter</v>
      </c>
      <c r="AS2892" s="22">
        <f t="shared" si="868"/>
        <v>3</v>
      </c>
      <c r="AT2892" s="24" t="str">
        <f t="shared" si="869"/>
        <v>0-3 months</v>
      </c>
      <c r="AU2892" s="22" t="s">
        <v>3745</v>
      </c>
    </row>
    <row r="2893" spans="1:47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53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1740</v>
      </c>
      <c r="K2893" s="155" t="s">
        <v>1741</v>
      </c>
      <c r="L2893" s="17" t="s">
        <v>67</v>
      </c>
      <c r="M2893" s="13" t="s">
        <v>60</v>
      </c>
      <c r="N2893" s="13">
        <v>1</v>
      </c>
      <c r="O2893" s="13"/>
      <c r="P2893" s="33" t="str">
        <f t="shared" si="851"/>
        <v>MAIN UNIT</v>
      </c>
      <c r="Q2893" s="13" t="s">
        <v>68</v>
      </c>
      <c r="R2893" s="13" t="s">
        <v>62</v>
      </c>
      <c r="S2893" s="13" t="s">
        <v>50</v>
      </c>
      <c r="T2893" s="13" t="s">
        <v>88</v>
      </c>
      <c r="U2893" s="13" t="s">
        <v>70</v>
      </c>
      <c r="V2893" s="13" t="s">
        <v>1010</v>
      </c>
      <c r="W2893" s="13" t="s">
        <v>64</v>
      </c>
      <c r="X2893" s="135">
        <v>620000</v>
      </c>
      <c r="Y2893" s="157" t="str">
        <f t="shared" si="856"/>
        <v>1.13</v>
      </c>
      <c r="Z2893" s="18">
        <f t="shared" si="870"/>
        <v>620000</v>
      </c>
      <c r="AA2893" s="13">
        <v>1.1950000000000001</v>
      </c>
      <c r="AB2893" s="21">
        <f t="shared" si="855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57"/>
        <v>63006605.696460173</v>
      </c>
      <c r="AJ2893" s="19">
        <f t="shared" si="858"/>
        <v>8897485.660753984</v>
      </c>
      <c r="AK2893" s="20">
        <f t="shared" si="864"/>
        <v>0.141215124388995</v>
      </c>
      <c r="AL2893" s="17"/>
      <c r="AM2893" s="17"/>
      <c r="AN2893" s="17"/>
      <c r="AO2893" s="17"/>
      <c r="AP2893" s="28" t="str">
        <f t="shared" si="865"/>
        <v>20215</v>
      </c>
      <c r="AQ2893" s="28" t="str">
        <f t="shared" si="866"/>
        <v>20215RMB</v>
      </c>
      <c r="AR2893" s="206" t="str">
        <f t="shared" si="867"/>
        <v>YAMAHA_Mounter</v>
      </c>
      <c r="AS2893" s="22">
        <f t="shared" si="868"/>
        <v>3</v>
      </c>
      <c r="AT2893" s="24" t="str">
        <f t="shared" si="869"/>
        <v>0-3 months</v>
      </c>
      <c r="AU2893" s="22" t="s">
        <v>3240</v>
      </c>
    </row>
    <row r="2894" spans="1:47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47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798</v>
      </c>
      <c r="K2894" s="155" t="s">
        <v>799</v>
      </c>
      <c r="L2894" s="17" t="s">
        <v>67</v>
      </c>
      <c r="M2894" s="13" t="s">
        <v>60</v>
      </c>
      <c r="N2894" s="13">
        <v>1</v>
      </c>
      <c r="O2894" s="13"/>
      <c r="P2894" s="33" t="str">
        <f t="shared" si="851"/>
        <v>MAIN UNIT</v>
      </c>
      <c r="Q2894" s="13" t="s">
        <v>61</v>
      </c>
      <c r="R2894" s="13" t="s">
        <v>62</v>
      </c>
      <c r="S2894" s="13" t="s">
        <v>50</v>
      </c>
      <c r="T2894" s="13" t="s">
        <v>88</v>
      </c>
      <c r="U2894" s="13" t="s">
        <v>70</v>
      </c>
      <c r="V2894" s="13" t="s">
        <v>169</v>
      </c>
      <c r="W2894" s="13" t="s">
        <v>64</v>
      </c>
      <c r="X2894" s="135">
        <v>665000</v>
      </c>
      <c r="Y2894" s="156">
        <v>1.1299999999999999</v>
      </c>
      <c r="Z2894" s="18">
        <f t="shared" si="870"/>
        <v>665000</v>
      </c>
      <c r="AA2894" s="13">
        <v>1.135</v>
      </c>
      <c r="AB2894" s="21">
        <f t="shared" si="855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57"/>
        <v>31296887.037898075</v>
      </c>
      <c r="AJ2894" s="19">
        <f t="shared" si="858"/>
        <v>3588873.9502021763</v>
      </c>
      <c r="AK2894" s="20">
        <f t="shared" si="864"/>
        <v>0.11467191436184473</v>
      </c>
      <c r="AL2894" s="17"/>
      <c r="AM2894" s="17"/>
      <c r="AN2894" s="17"/>
      <c r="AO2894" s="17"/>
      <c r="AP2894" s="28" t="str">
        <f t="shared" si="865"/>
        <v>20196</v>
      </c>
      <c r="AQ2894" s="28" t="str">
        <f t="shared" si="866"/>
        <v>20196RMB</v>
      </c>
      <c r="AR2894" s="206" t="str">
        <f t="shared" si="867"/>
        <v>YAMAHA_Mounter</v>
      </c>
      <c r="AS2894" s="22">
        <f t="shared" si="868"/>
        <v>2</v>
      </c>
      <c r="AT2894" s="24" t="str">
        <f t="shared" si="869"/>
        <v>0-3 months</v>
      </c>
      <c r="AU2894" s="22" t="s">
        <v>3240</v>
      </c>
    </row>
    <row r="2895" spans="1:47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54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2196</v>
      </c>
      <c r="K2895" s="155" t="s">
        <v>799</v>
      </c>
      <c r="L2895" s="17" t="s">
        <v>67</v>
      </c>
      <c r="M2895" s="13" t="s">
        <v>60</v>
      </c>
      <c r="N2895" s="13">
        <v>1</v>
      </c>
      <c r="O2895" s="13"/>
      <c r="P2895" s="33" t="str">
        <f t="shared" si="851"/>
        <v>MAIN UNIT</v>
      </c>
      <c r="Q2895" s="13" t="s">
        <v>61</v>
      </c>
      <c r="R2895" s="13" t="s">
        <v>62</v>
      </c>
      <c r="S2895" s="13" t="s">
        <v>50</v>
      </c>
      <c r="T2895" s="13" t="s">
        <v>88</v>
      </c>
      <c r="U2895" s="13" t="s">
        <v>70</v>
      </c>
      <c r="V2895" s="13" t="s">
        <v>169</v>
      </c>
      <c r="W2895" s="13" t="s">
        <v>64</v>
      </c>
      <c r="X2895" s="135">
        <v>610000</v>
      </c>
      <c r="Y2895" s="157" t="str">
        <f>IF(W2895="RMB","1.13", "1")</f>
        <v>1.13</v>
      </c>
      <c r="Z2895" s="18">
        <f t="shared" si="870"/>
        <v>610000</v>
      </c>
      <c r="AA2895" s="13">
        <v>1.175</v>
      </c>
      <c r="AB2895" s="21">
        <f t="shared" si="855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57"/>
        <v>35682787.057522126</v>
      </c>
      <c r="AJ2895" s="19">
        <f t="shared" si="858"/>
        <v>5833368.3789623892</v>
      </c>
      <c r="AK2895" s="20">
        <f t="shared" si="864"/>
        <v>0.16347849649632912</v>
      </c>
      <c r="AL2895" s="17"/>
      <c r="AM2895" s="17"/>
      <c r="AN2895" s="17"/>
      <c r="AO2895" s="17"/>
      <c r="AP2895" s="28" t="str">
        <f t="shared" si="865"/>
        <v>20226</v>
      </c>
      <c r="AQ2895" s="28" t="str">
        <f t="shared" si="866"/>
        <v>20226RMB</v>
      </c>
      <c r="AR2895" s="206" t="str">
        <f t="shared" si="867"/>
        <v>YAMAHA_Mounter</v>
      </c>
      <c r="AS2895" s="22">
        <f t="shared" si="868"/>
        <v>3</v>
      </c>
      <c r="AT2895" s="24" t="str">
        <f t="shared" si="869"/>
        <v>0-3 months</v>
      </c>
      <c r="AU2895" s="22" t="s">
        <v>3240</v>
      </c>
    </row>
    <row r="2896" spans="1:47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54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2228</v>
      </c>
      <c r="K2896" s="155" t="s">
        <v>799</v>
      </c>
      <c r="L2896" s="17" t="s">
        <v>67</v>
      </c>
      <c r="M2896" s="13" t="s">
        <v>60</v>
      </c>
      <c r="N2896" s="13">
        <v>1</v>
      </c>
      <c r="O2896" s="13"/>
      <c r="P2896" s="33" t="str">
        <f t="shared" si="851"/>
        <v>MAIN UNIT</v>
      </c>
      <c r="Q2896" s="13" t="s">
        <v>61</v>
      </c>
      <c r="R2896" s="13" t="s">
        <v>62</v>
      </c>
      <c r="S2896" s="13" t="s">
        <v>50</v>
      </c>
      <c r="T2896" s="13" t="s">
        <v>88</v>
      </c>
      <c r="U2896" s="13" t="s">
        <v>70</v>
      </c>
      <c r="V2896" s="13" t="s">
        <v>169</v>
      </c>
      <c r="W2896" s="13" t="s">
        <v>64</v>
      </c>
      <c r="X2896" s="135">
        <v>590000</v>
      </c>
      <c r="Y2896" s="157" t="str">
        <f>IF(W2896="RMB","1.13", "1")</f>
        <v>1.13</v>
      </c>
      <c r="Z2896" s="18">
        <f t="shared" si="870"/>
        <v>590000</v>
      </c>
      <c r="AA2896" s="13">
        <v>1.17</v>
      </c>
      <c r="AB2896" s="21">
        <f t="shared" si="855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57"/>
        <v>36480247.665929198</v>
      </c>
      <c r="AJ2896" s="19">
        <f t="shared" si="858"/>
        <v>5330996.6372757526</v>
      </c>
      <c r="AK2896" s="20">
        <f t="shared" si="864"/>
        <v>0.14613378412599562</v>
      </c>
      <c r="AL2896" s="17"/>
      <c r="AM2896" s="17"/>
      <c r="AN2896" s="17"/>
      <c r="AO2896" s="17"/>
      <c r="AP2896" s="28" t="str">
        <f t="shared" si="865"/>
        <v>20227</v>
      </c>
      <c r="AQ2896" s="28" t="str">
        <f t="shared" si="866"/>
        <v>20227RMB</v>
      </c>
      <c r="AR2896" s="206" t="str">
        <f t="shared" si="867"/>
        <v>YAMAHA_Mounter</v>
      </c>
      <c r="AS2896" s="22">
        <f t="shared" si="868"/>
        <v>1</v>
      </c>
      <c r="AT2896" s="24" t="str">
        <f t="shared" si="869"/>
        <v>0-3 months</v>
      </c>
      <c r="AU2896" s="22" t="s">
        <v>3240</v>
      </c>
    </row>
    <row r="2897" spans="1:47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54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2228</v>
      </c>
      <c r="K2897" s="155" t="s">
        <v>799</v>
      </c>
      <c r="L2897" s="17" t="s">
        <v>67</v>
      </c>
      <c r="M2897" s="13" t="s">
        <v>60</v>
      </c>
      <c r="N2897" s="13">
        <v>1</v>
      </c>
      <c r="O2897" s="13"/>
      <c r="P2897" s="33" t="str">
        <f t="shared" si="851"/>
        <v>MAIN UNIT</v>
      </c>
      <c r="Q2897" s="13" t="s">
        <v>61</v>
      </c>
      <c r="R2897" s="13" t="s">
        <v>62</v>
      </c>
      <c r="S2897" s="13" t="s">
        <v>50</v>
      </c>
      <c r="T2897" s="13" t="s">
        <v>88</v>
      </c>
      <c r="U2897" s="13" t="s">
        <v>70</v>
      </c>
      <c r="V2897" s="13" t="s">
        <v>169</v>
      </c>
      <c r="W2897" s="13" t="s">
        <v>64</v>
      </c>
      <c r="X2897" s="135">
        <v>590000</v>
      </c>
      <c r="Y2897" s="157" t="str">
        <f>IF(W2897="RMB","1.13", "1")</f>
        <v>1.13</v>
      </c>
      <c r="Z2897" s="18">
        <f t="shared" si="870"/>
        <v>590000</v>
      </c>
      <c r="AA2897" s="13">
        <v>1.17</v>
      </c>
      <c r="AB2897" s="21">
        <f t="shared" si="855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57"/>
        <v>36480247.665929198</v>
      </c>
      <c r="AJ2897" s="19">
        <f t="shared" si="858"/>
        <v>5330996.6372757526</v>
      </c>
      <c r="AK2897" s="20">
        <f t="shared" si="864"/>
        <v>0.14613378412599562</v>
      </c>
      <c r="AL2897" s="17"/>
      <c r="AM2897" s="17"/>
      <c r="AN2897" s="17"/>
      <c r="AO2897" s="17"/>
      <c r="AP2897" s="28" t="str">
        <f t="shared" si="865"/>
        <v>20227</v>
      </c>
      <c r="AQ2897" s="28" t="str">
        <f t="shared" si="866"/>
        <v>20227RMB</v>
      </c>
      <c r="AR2897" s="206" t="str">
        <f t="shared" si="867"/>
        <v>YAMAHA_Mounter</v>
      </c>
      <c r="AS2897" s="22">
        <f t="shared" si="868"/>
        <v>1</v>
      </c>
      <c r="AT2897" s="24" t="str">
        <f t="shared" si="869"/>
        <v>0-3 months</v>
      </c>
      <c r="AU2897" s="22" t="s">
        <v>3240</v>
      </c>
    </row>
    <row r="2898" spans="1:47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3172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3446</v>
      </c>
      <c r="K2898" s="29" t="s">
        <v>3447</v>
      </c>
      <c r="L2898" s="17" t="s">
        <v>67</v>
      </c>
      <c r="M2898" s="22" t="s">
        <v>60</v>
      </c>
      <c r="N2898" s="22">
        <v>1</v>
      </c>
      <c r="O2898" s="22"/>
      <c r="P2898" s="33" t="str">
        <f t="shared" si="851"/>
        <v>MAIN UNIT</v>
      </c>
      <c r="Q2898" s="22" t="s">
        <v>61</v>
      </c>
      <c r="R2898" s="22" t="s">
        <v>62</v>
      </c>
      <c r="S2898" s="22" t="s">
        <v>49</v>
      </c>
      <c r="T2898" s="22" t="s">
        <v>78</v>
      </c>
      <c r="U2898" s="22" t="s">
        <v>78</v>
      </c>
      <c r="V2898" s="22" t="s">
        <v>126</v>
      </c>
      <c r="W2898" s="22" t="s">
        <v>109</v>
      </c>
      <c r="X2898" s="104">
        <v>8500000</v>
      </c>
      <c r="Y2898" s="195" t="str">
        <f>IF(W2898="","",IF(W2898="RMB","1.13", "1"))</f>
        <v>1</v>
      </c>
      <c r="Z2898" s="196">
        <f t="shared" si="870"/>
        <v>8500000</v>
      </c>
      <c r="AA2898" s="22">
        <v>5.5599999999999997E-2</v>
      </c>
      <c r="AB2898" s="197">
        <f t="shared" si="855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57"/>
        <v>22758096.38940867</v>
      </c>
      <c r="AJ2898" s="200">
        <f t="shared" si="858"/>
        <v>2469357.2298956565</v>
      </c>
      <c r="AK2898" s="201">
        <f t="shared" si="864"/>
        <v>0.10850455976822666</v>
      </c>
      <c r="AL2898" s="24"/>
      <c r="AM2898" s="24"/>
      <c r="AN2898" s="24"/>
      <c r="AO2898" s="24"/>
      <c r="AP2898" s="105" t="str">
        <f t="shared" si="865"/>
        <v>202410</v>
      </c>
      <c r="AQ2898" s="28" t="str">
        <f t="shared" si="866"/>
        <v>202410JPY</v>
      </c>
      <c r="AR2898" s="206" t="str">
        <f t="shared" si="867"/>
        <v>YAMAHA_Mounter</v>
      </c>
      <c r="AS2898" s="22">
        <f t="shared" si="868"/>
        <v>5</v>
      </c>
      <c r="AT2898" s="24" t="str">
        <f t="shared" si="869"/>
        <v>4-6 months</v>
      </c>
      <c r="AU2898" s="22" t="s">
        <v>3746</v>
      </c>
    </row>
    <row r="2899" spans="1:47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41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295</v>
      </c>
      <c r="K2899" s="155" t="s">
        <v>296</v>
      </c>
      <c r="L2899" s="17" t="s">
        <v>67</v>
      </c>
      <c r="M2899" s="13" t="s">
        <v>60</v>
      </c>
      <c r="N2899" s="13">
        <v>1</v>
      </c>
      <c r="O2899" s="13"/>
      <c r="P2899" s="33" t="str">
        <f t="shared" si="851"/>
        <v>MAIN UNIT</v>
      </c>
      <c r="Q2899" s="13" t="s">
        <v>68</v>
      </c>
      <c r="R2899" s="13" t="s">
        <v>62</v>
      </c>
      <c r="S2899" s="13" t="s">
        <v>50</v>
      </c>
      <c r="T2899" s="13" t="s">
        <v>297</v>
      </c>
      <c r="U2899" s="13" t="s">
        <v>70</v>
      </c>
      <c r="V2899" s="13" t="s">
        <v>169</v>
      </c>
      <c r="W2899" s="13" t="s">
        <v>64</v>
      </c>
      <c r="X2899" s="135">
        <v>615000</v>
      </c>
      <c r="Y2899" s="156">
        <v>1.17</v>
      </c>
      <c r="Z2899" s="18">
        <f t="shared" si="870"/>
        <v>615000</v>
      </c>
      <c r="AA2899" s="13">
        <v>1.23</v>
      </c>
      <c r="AB2899" s="21">
        <f t="shared" si="855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57"/>
        <v>29288201.603076916</v>
      </c>
      <c r="AJ2899" s="19">
        <f t="shared" si="858"/>
        <v>3870159.1769246152</v>
      </c>
      <c r="AK2899" s="20">
        <f t="shared" si="864"/>
        <v>0.13214055370740244</v>
      </c>
      <c r="AL2899" s="17" t="s">
        <v>298</v>
      </c>
      <c r="AM2899" s="17">
        <v>615000</v>
      </c>
      <c r="AN2899" s="17" t="s">
        <v>299</v>
      </c>
      <c r="AO2899" s="17"/>
      <c r="AP2899" s="28" t="str">
        <f t="shared" si="865"/>
        <v>20184</v>
      </c>
      <c r="AQ2899" s="28" t="str">
        <f t="shared" si="866"/>
        <v>20184RMB</v>
      </c>
      <c r="AR2899" s="206" t="str">
        <f t="shared" si="867"/>
        <v>YAMAHA_Mounter</v>
      </c>
      <c r="AS2899" s="22" t="str">
        <f t="shared" si="868"/>
        <v/>
      </c>
      <c r="AT2899" s="24" t="str">
        <f t="shared" si="869"/>
        <v/>
      </c>
      <c r="AU2899" s="22" t="s">
        <v>3240</v>
      </c>
    </row>
    <row r="2900" spans="1:47" s="12" customFormat="1">
      <c r="A2900" s="33" t="str">
        <f t="shared" si="859"/>
        <v>cancel</v>
      </c>
      <c r="B2900" s="152"/>
      <c r="C2900" s="152" t="s">
        <v>185</v>
      </c>
      <c r="D2900" s="33" t="str">
        <f t="shared" si="860"/>
        <v/>
      </c>
      <c r="E2900" s="33" t="s">
        <v>185</v>
      </c>
      <c r="F2900" s="13" t="s">
        <v>185</v>
      </c>
      <c r="G2900" s="152" t="s">
        <v>185</v>
      </c>
      <c r="H2900" s="155"/>
      <c r="I2900" s="33" t="str">
        <f t="shared" si="861"/>
        <v>Cancel</v>
      </c>
      <c r="J2900" s="186" t="s">
        <v>2727</v>
      </c>
      <c r="K2900" s="155" t="s">
        <v>2728</v>
      </c>
      <c r="L2900" s="17" t="s">
        <v>92</v>
      </c>
      <c r="M2900" s="13" t="s">
        <v>60</v>
      </c>
      <c r="N2900" s="13">
        <v>1</v>
      </c>
      <c r="O2900" s="13"/>
      <c r="P2900" s="33" t="str">
        <f t="shared" si="851"/>
        <v>MAIN UNIT</v>
      </c>
      <c r="Q2900" s="13" t="s">
        <v>68</v>
      </c>
      <c r="R2900" s="13" t="s">
        <v>62</v>
      </c>
      <c r="S2900" s="13" t="s">
        <v>50</v>
      </c>
      <c r="T2900" s="13" t="s">
        <v>297</v>
      </c>
      <c r="U2900" s="13" t="s">
        <v>70</v>
      </c>
      <c r="V2900" s="13" t="s">
        <v>71</v>
      </c>
      <c r="W2900" s="13" t="s">
        <v>64</v>
      </c>
      <c r="X2900" s="135">
        <v>970000</v>
      </c>
      <c r="Y2900" s="156" t="s">
        <v>1058</v>
      </c>
      <c r="Z2900" s="18">
        <f t="shared" si="870"/>
        <v>970000</v>
      </c>
      <c r="AA2900" s="13">
        <v>1.155</v>
      </c>
      <c r="AB2900" s="21">
        <f t="shared" si="855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57"/>
        <v>499582152.5142017</v>
      </c>
      <c r="AJ2900" s="19">
        <f t="shared" si="858"/>
        <v>59520528.679470733</v>
      </c>
      <c r="AK2900" s="20">
        <f t="shared" si="864"/>
        <v>0.11914062257814291</v>
      </c>
      <c r="AL2900" s="17"/>
      <c r="AM2900" s="17"/>
      <c r="AN2900" s="17"/>
      <c r="AO2900" s="17"/>
      <c r="AP2900" s="28" t="str">
        <f t="shared" si="865"/>
        <v>CancelCancel</v>
      </c>
      <c r="AQ2900" s="28" t="str">
        <f t="shared" si="866"/>
        <v>CancelCancelRMB</v>
      </c>
      <c r="AR2900" s="206" t="str">
        <f t="shared" si="867"/>
        <v>YAMAHA_Mounter</v>
      </c>
      <c r="AS2900" s="22" t="str">
        <f t="shared" si="868"/>
        <v/>
      </c>
      <c r="AT2900" s="24" t="str">
        <f t="shared" si="869"/>
        <v/>
      </c>
      <c r="AU2900" s="22" t="s">
        <v>3240</v>
      </c>
    </row>
    <row r="2901" spans="1:47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53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1734</v>
      </c>
      <c r="K2901" s="155" t="s">
        <v>1735</v>
      </c>
      <c r="L2901" s="17" t="s">
        <v>67</v>
      </c>
      <c r="M2901" s="13" t="s">
        <v>60</v>
      </c>
      <c r="N2901" s="13">
        <v>1</v>
      </c>
      <c r="O2901" s="13"/>
      <c r="P2901" s="33" t="str">
        <f t="shared" si="851"/>
        <v>MAIN UNIT</v>
      </c>
      <c r="Q2901" s="13" t="s">
        <v>68</v>
      </c>
      <c r="R2901" s="13" t="s">
        <v>62</v>
      </c>
      <c r="S2901" s="13" t="s">
        <v>50</v>
      </c>
      <c r="T2901" s="13" t="s">
        <v>88</v>
      </c>
      <c r="U2901" s="13" t="s">
        <v>70</v>
      </c>
      <c r="V2901" s="13" t="s">
        <v>1400</v>
      </c>
      <c r="W2901" s="13" t="s">
        <v>64</v>
      </c>
      <c r="X2901" s="135">
        <v>619350</v>
      </c>
      <c r="Y2901" s="157" t="str">
        <f t="shared" ref="Y2901:Y2914" si="871">IF(W2901="RMB","1.13", "1")</f>
        <v>1.13</v>
      </c>
      <c r="Z2901" s="18">
        <f t="shared" si="870"/>
        <v>619350</v>
      </c>
      <c r="AA2901" s="13">
        <v>1.1950000000000001</v>
      </c>
      <c r="AB2901" s="21">
        <f t="shared" si="855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57"/>
        <v>63006605.696460173</v>
      </c>
      <c r="AJ2901" s="19">
        <f t="shared" si="858"/>
        <v>8897485.660753984</v>
      </c>
      <c r="AK2901" s="20">
        <f t="shared" si="864"/>
        <v>0.141215124388995</v>
      </c>
      <c r="AL2901" s="17"/>
      <c r="AM2901" s="17"/>
      <c r="AN2901" s="17"/>
      <c r="AO2901" s="17"/>
      <c r="AP2901" s="28" t="str">
        <f t="shared" si="865"/>
        <v>20215</v>
      </c>
      <c r="AQ2901" s="28" t="str">
        <f t="shared" si="866"/>
        <v>20215RMB</v>
      </c>
      <c r="AR2901" s="206" t="str">
        <f t="shared" si="867"/>
        <v>YAMAHA_Mounter</v>
      </c>
      <c r="AS2901" s="22">
        <f t="shared" si="868"/>
        <v>2</v>
      </c>
      <c r="AT2901" s="24" t="str">
        <f t="shared" si="869"/>
        <v>0-3 months</v>
      </c>
      <c r="AU2901" s="22" t="s">
        <v>3240</v>
      </c>
    </row>
    <row r="2902" spans="1:47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53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1734</v>
      </c>
      <c r="K2902" s="155" t="s">
        <v>1735</v>
      </c>
      <c r="L2902" s="17" t="s">
        <v>67</v>
      </c>
      <c r="M2902" s="13" t="s">
        <v>60</v>
      </c>
      <c r="N2902" s="13">
        <v>1</v>
      </c>
      <c r="O2902" s="13"/>
      <c r="P2902" s="33" t="str">
        <f t="shared" ref="P2902:P2965" si="872">IF(M2902="","",IF(AND(N2902&gt;0,L2902&lt;&gt;""),"MAIN UNIT",IF(AND(O2902&gt;0,L2902&lt;&gt;""),"SERVICE/ PARTS","C66 SERVICE/OTHERS")))</f>
        <v>MAIN UNIT</v>
      </c>
      <c r="Q2902" s="13" t="s">
        <v>68</v>
      </c>
      <c r="R2902" s="13" t="s">
        <v>62</v>
      </c>
      <c r="S2902" s="13" t="s">
        <v>50</v>
      </c>
      <c r="T2902" s="13" t="s">
        <v>88</v>
      </c>
      <c r="U2902" s="13" t="s">
        <v>70</v>
      </c>
      <c r="V2902" s="13" t="s">
        <v>1400</v>
      </c>
      <c r="W2902" s="13" t="s">
        <v>64</v>
      </c>
      <c r="X2902" s="135">
        <v>619350</v>
      </c>
      <c r="Y2902" s="157" t="str">
        <f t="shared" si="871"/>
        <v>1.13</v>
      </c>
      <c r="Z2902" s="18">
        <f t="shared" si="870"/>
        <v>619350</v>
      </c>
      <c r="AA2902" s="13">
        <v>1.1950000000000001</v>
      </c>
      <c r="AB2902" s="21">
        <f t="shared" si="855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57"/>
        <v>63006605.696460173</v>
      </c>
      <c r="AJ2902" s="19">
        <f t="shared" si="858"/>
        <v>8897485.660753984</v>
      </c>
      <c r="AK2902" s="20">
        <f t="shared" si="864"/>
        <v>0.141215124388995</v>
      </c>
      <c r="AL2902" s="17"/>
      <c r="AM2902" s="17"/>
      <c r="AN2902" s="17"/>
      <c r="AO2902" s="17"/>
      <c r="AP2902" s="28" t="str">
        <f t="shared" si="865"/>
        <v>20215</v>
      </c>
      <c r="AQ2902" s="28" t="str">
        <f t="shared" si="866"/>
        <v>20215RMB</v>
      </c>
      <c r="AR2902" s="206" t="str">
        <f t="shared" si="867"/>
        <v>YAMAHA_Mounter</v>
      </c>
      <c r="AS2902" s="22">
        <f t="shared" si="868"/>
        <v>2</v>
      </c>
      <c r="AT2902" s="24" t="str">
        <f t="shared" si="869"/>
        <v>0-3 months</v>
      </c>
      <c r="AU2902" s="22" t="s">
        <v>3240</v>
      </c>
    </row>
    <row r="2903" spans="1:47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53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1734</v>
      </c>
      <c r="K2903" s="155" t="s">
        <v>1735</v>
      </c>
      <c r="L2903" s="17" t="s">
        <v>67</v>
      </c>
      <c r="M2903" s="13" t="s">
        <v>60</v>
      </c>
      <c r="N2903" s="13">
        <v>1</v>
      </c>
      <c r="O2903" s="13"/>
      <c r="P2903" s="33" t="str">
        <f t="shared" si="872"/>
        <v>MAIN UNIT</v>
      </c>
      <c r="Q2903" s="13" t="s">
        <v>68</v>
      </c>
      <c r="R2903" s="13" t="s">
        <v>62</v>
      </c>
      <c r="S2903" s="13" t="s">
        <v>50</v>
      </c>
      <c r="T2903" s="13" t="s">
        <v>88</v>
      </c>
      <c r="U2903" s="13" t="s">
        <v>70</v>
      </c>
      <c r="V2903" s="13" t="s">
        <v>1400</v>
      </c>
      <c r="W2903" s="13" t="s">
        <v>64</v>
      </c>
      <c r="X2903" s="135">
        <v>619350</v>
      </c>
      <c r="Y2903" s="157" t="str">
        <f t="shared" si="871"/>
        <v>1.13</v>
      </c>
      <c r="Z2903" s="18">
        <f t="shared" si="870"/>
        <v>619350</v>
      </c>
      <c r="AA2903" s="13">
        <v>1.1950000000000001</v>
      </c>
      <c r="AB2903" s="21">
        <f t="shared" si="855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57"/>
        <v>63006605.696460173</v>
      </c>
      <c r="AJ2903" s="19">
        <f t="shared" si="858"/>
        <v>8897485.660753984</v>
      </c>
      <c r="AK2903" s="20">
        <f t="shared" si="864"/>
        <v>0.141215124388995</v>
      </c>
      <c r="AL2903" s="17"/>
      <c r="AM2903" s="17"/>
      <c r="AN2903" s="17"/>
      <c r="AO2903" s="17"/>
      <c r="AP2903" s="28" t="str">
        <f t="shared" si="865"/>
        <v>20215</v>
      </c>
      <c r="AQ2903" s="28" t="str">
        <f t="shared" si="866"/>
        <v>20215RMB</v>
      </c>
      <c r="AR2903" s="206" t="str">
        <f t="shared" si="867"/>
        <v>YAMAHA_Mounter</v>
      </c>
      <c r="AS2903" s="22">
        <f t="shared" si="868"/>
        <v>2</v>
      </c>
      <c r="AT2903" s="24" t="str">
        <f t="shared" si="869"/>
        <v>0-3 months</v>
      </c>
      <c r="AU2903" s="22" t="s">
        <v>3240</v>
      </c>
    </row>
    <row r="2904" spans="1:47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53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1734</v>
      </c>
      <c r="K2904" s="155" t="s">
        <v>1735</v>
      </c>
      <c r="L2904" s="17" t="s">
        <v>67</v>
      </c>
      <c r="M2904" s="13" t="s">
        <v>60</v>
      </c>
      <c r="N2904" s="13">
        <v>1</v>
      </c>
      <c r="O2904" s="13"/>
      <c r="P2904" s="33" t="str">
        <f t="shared" si="872"/>
        <v>MAIN UNIT</v>
      </c>
      <c r="Q2904" s="13" t="s">
        <v>68</v>
      </c>
      <c r="R2904" s="13" t="s">
        <v>62</v>
      </c>
      <c r="S2904" s="13" t="s">
        <v>50</v>
      </c>
      <c r="T2904" s="13" t="s">
        <v>88</v>
      </c>
      <c r="U2904" s="13" t="s">
        <v>70</v>
      </c>
      <c r="V2904" s="13" t="s">
        <v>1400</v>
      </c>
      <c r="W2904" s="13" t="s">
        <v>64</v>
      </c>
      <c r="X2904" s="135">
        <v>619350</v>
      </c>
      <c r="Y2904" s="157" t="str">
        <f t="shared" si="871"/>
        <v>1.13</v>
      </c>
      <c r="Z2904" s="18">
        <f t="shared" si="870"/>
        <v>619350</v>
      </c>
      <c r="AA2904" s="13">
        <v>1.1950000000000001</v>
      </c>
      <c r="AB2904" s="21">
        <f t="shared" si="855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57"/>
        <v>63006605.696460173</v>
      </c>
      <c r="AJ2904" s="19">
        <f t="shared" si="858"/>
        <v>8897485.660753984</v>
      </c>
      <c r="AK2904" s="20">
        <f t="shared" si="864"/>
        <v>0.141215124388995</v>
      </c>
      <c r="AL2904" s="17"/>
      <c r="AM2904" s="17"/>
      <c r="AN2904" s="17"/>
      <c r="AO2904" s="17"/>
      <c r="AP2904" s="28" t="str">
        <f t="shared" si="865"/>
        <v>20215</v>
      </c>
      <c r="AQ2904" s="28" t="str">
        <f t="shared" si="866"/>
        <v>20215RMB</v>
      </c>
      <c r="AR2904" s="206" t="str">
        <f t="shared" si="867"/>
        <v>YAMAHA_Mounter</v>
      </c>
      <c r="AS2904" s="22">
        <f t="shared" si="868"/>
        <v>2</v>
      </c>
      <c r="AT2904" s="24" t="str">
        <f t="shared" si="869"/>
        <v>0-3 months</v>
      </c>
      <c r="AU2904" s="22" t="s">
        <v>3240</v>
      </c>
    </row>
    <row r="2905" spans="1:47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185</v>
      </c>
      <c r="F2905" s="13" t="s">
        <v>185</v>
      </c>
      <c r="G2905" s="152" t="s">
        <v>1616</v>
      </c>
      <c r="H2905" s="155" t="s">
        <v>2070</v>
      </c>
      <c r="I2905" s="33" t="str">
        <f t="shared" si="861"/>
        <v>Cancel</v>
      </c>
      <c r="J2905" s="186" t="s">
        <v>2076</v>
      </c>
      <c r="K2905" s="155" t="s">
        <v>2077</v>
      </c>
      <c r="L2905" s="17" t="s">
        <v>67</v>
      </c>
      <c r="M2905" s="13" t="s">
        <v>60</v>
      </c>
      <c r="N2905" s="13">
        <v>1</v>
      </c>
      <c r="O2905" s="13"/>
      <c r="P2905" s="33" t="str">
        <f t="shared" si="872"/>
        <v>MAIN UNIT</v>
      </c>
      <c r="Q2905" s="13" t="s">
        <v>68</v>
      </c>
      <c r="R2905" s="13" t="s">
        <v>62</v>
      </c>
      <c r="S2905" s="13" t="s">
        <v>50</v>
      </c>
      <c r="T2905" s="13" t="s">
        <v>297</v>
      </c>
      <c r="U2905" s="13" t="s">
        <v>70</v>
      </c>
      <c r="V2905" s="13" t="s">
        <v>71</v>
      </c>
      <c r="W2905" s="13" t="s">
        <v>64</v>
      </c>
      <c r="X2905" s="135">
        <v>621300</v>
      </c>
      <c r="Y2905" s="157" t="str">
        <f t="shared" si="871"/>
        <v>1.13</v>
      </c>
      <c r="Z2905" s="18">
        <f t="shared" si="870"/>
        <v>621300</v>
      </c>
      <c r="AA2905" s="13">
        <v>1.2</v>
      </c>
      <c r="AB2905" s="21">
        <f t="shared" si="855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57"/>
        <v>499582152.5142017</v>
      </c>
      <c r="AJ2905" s="19">
        <f t="shared" si="858"/>
        <v>59520528.679470733</v>
      </c>
      <c r="AK2905" s="20">
        <f t="shared" si="864"/>
        <v>0.11914062257814291</v>
      </c>
      <c r="AL2905" s="17"/>
      <c r="AM2905" s="17"/>
      <c r="AN2905" s="17"/>
      <c r="AO2905" s="17"/>
      <c r="AP2905" s="28" t="str">
        <f t="shared" si="865"/>
        <v>CancelCANCEL</v>
      </c>
      <c r="AQ2905" s="28" t="str">
        <f t="shared" si="866"/>
        <v>CancelCANCELRMB</v>
      </c>
      <c r="AR2905" s="206" t="str">
        <f t="shared" si="867"/>
        <v>YAMAHA_Mounter</v>
      </c>
      <c r="AS2905" s="22" t="str">
        <f t="shared" si="868"/>
        <v/>
      </c>
      <c r="AT2905" s="24" t="str">
        <f t="shared" si="869"/>
        <v/>
      </c>
      <c r="AU2905" s="22" t="s">
        <v>3240</v>
      </c>
    </row>
    <row r="2906" spans="1:47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54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2314</v>
      </c>
      <c r="K2906" s="155" t="s">
        <v>2315</v>
      </c>
      <c r="L2906" s="17" t="s">
        <v>67</v>
      </c>
      <c r="M2906" s="13" t="s">
        <v>60</v>
      </c>
      <c r="N2906" s="13">
        <v>1</v>
      </c>
      <c r="O2906" s="13"/>
      <c r="P2906" s="33" t="str">
        <f t="shared" si="872"/>
        <v>MAIN UNIT</v>
      </c>
      <c r="Q2906" s="13" t="s">
        <v>68</v>
      </c>
      <c r="R2906" s="13" t="s">
        <v>62</v>
      </c>
      <c r="S2906" s="13" t="s">
        <v>52</v>
      </c>
      <c r="T2906" s="13" t="s">
        <v>141</v>
      </c>
      <c r="U2906" s="13" t="s">
        <v>1077</v>
      </c>
      <c r="V2906" s="13" t="s">
        <v>143</v>
      </c>
      <c r="W2906" s="13" t="s">
        <v>64</v>
      </c>
      <c r="X2906" s="135">
        <v>650000</v>
      </c>
      <c r="Y2906" s="157" t="str">
        <f t="shared" si="871"/>
        <v>1.13</v>
      </c>
      <c r="Z2906" s="18">
        <f t="shared" si="870"/>
        <v>650000</v>
      </c>
      <c r="AA2906" s="13">
        <v>1.08</v>
      </c>
      <c r="AB2906" s="21">
        <f t="shared" si="855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57"/>
        <v>31017966.201968137</v>
      </c>
      <c r="AJ2906" s="19">
        <f t="shared" si="858"/>
        <v>4704250.3347305888</v>
      </c>
      <c r="AK2906" s="20">
        <f t="shared" si="864"/>
        <v>0.15166211427595458</v>
      </c>
      <c r="AL2906" s="17"/>
      <c r="AM2906" s="17"/>
      <c r="AN2906" s="17"/>
      <c r="AO2906" s="17"/>
      <c r="AP2906" s="28" t="str">
        <f t="shared" si="865"/>
        <v>202211</v>
      </c>
      <c r="AQ2906" s="28" t="str">
        <f t="shared" si="866"/>
        <v>202211RMB</v>
      </c>
      <c r="AR2906" s="206" t="str">
        <f t="shared" si="867"/>
        <v>YAMAHA_Mounter</v>
      </c>
      <c r="AS2906" s="22">
        <f t="shared" si="868"/>
        <v>1</v>
      </c>
      <c r="AT2906" s="24" t="str">
        <f t="shared" si="869"/>
        <v>0-3 months</v>
      </c>
      <c r="AU2906" s="22" t="s">
        <v>3240</v>
      </c>
    </row>
    <row r="2907" spans="1:47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54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2314</v>
      </c>
      <c r="K2907" s="155" t="s">
        <v>2315</v>
      </c>
      <c r="L2907" s="17" t="s">
        <v>92</v>
      </c>
      <c r="M2907" s="13" t="s">
        <v>60</v>
      </c>
      <c r="N2907" s="13">
        <v>1</v>
      </c>
      <c r="O2907" s="13"/>
      <c r="P2907" s="33" t="str">
        <f t="shared" si="872"/>
        <v>MAIN UNIT</v>
      </c>
      <c r="Q2907" s="13" t="s">
        <v>68</v>
      </c>
      <c r="R2907" s="13" t="s">
        <v>62</v>
      </c>
      <c r="S2907" s="13" t="s">
        <v>52</v>
      </c>
      <c r="T2907" s="13" t="s">
        <v>141</v>
      </c>
      <c r="U2907" s="13" t="s">
        <v>1077</v>
      </c>
      <c r="V2907" s="13" t="s">
        <v>143</v>
      </c>
      <c r="W2907" s="13" t="s">
        <v>64</v>
      </c>
      <c r="X2907" s="135">
        <v>820000</v>
      </c>
      <c r="Y2907" s="157" t="str">
        <f t="shared" si="871"/>
        <v>1.13</v>
      </c>
      <c r="Z2907" s="18">
        <f t="shared" si="870"/>
        <v>820000</v>
      </c>
      <c r="AA2907" s="13">
        <v>1.08</v>
      </c>
      <c r="AB2907" s="21">
        <f t="shared" si="855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57"/>
        <v>31017966.201968137</v>
      </c>
      <c r="AJ2907" s="19">
        <f t="shared" si="858"/>
        <v>4704250.3347305888</v>
      </c>
      <c r="AK2907" s="20">
        <f t="shared" si="864"/>
        <v>0.15166211427595458</v>
      </c>
      <c r="AL2907" s="17"/>
      <c r="AM2907" s="17"/>
      <c r="AN2907" s="17"/>
      <c r="AO2907" s="17"/>
      <c r="AP2907" s="28" t="str">
        <f t="shared" si="865"/>
        <v>202211</v>
      </c>
      <c r="AQ2907" s="28" t="str">
        <f t="shared" si="866"/>
        <v>202211RMB</v>
      </c>
      <c r="AR2907" s="206" t="str">
        <f t="shared" si="867"/>
        <v>YAMAHA_Mounter</v>
      </c>
      <c r="AS2907" s="22">
        <f t="shared" si="868"/>
        <v>1</v>
      </c>
      <c r="AT2907" s="24" t="str">
        <f t="shared" si="869"/>
        <v>0-3 months</v>
      </c>
      <c r="AU2907" s="22" t="s">
        <v>3240</v>
      </c>
    </row>
    <row r="2908" spans="1:47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53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1917</v>
      </c>
      <c r="K2908" s="155" t="s">
        <v>1918</v>
      </c>
      <c r="L2908" s="17" t="s">
        <v>67</v>
      </c>
      <c r="M2908" s="13" t="s">
        <v>60</v>
      </c>
      <c r="N2908" s="13">
        <v>1</v>
      </c>
      <c r="O2908" s="13"/>
      <c r="P2908" s="33" t="str">
        <f t="shared" si="872"/>
        <v>MAIN UNIT</v>
      </c>
      <c r="Q2908" s="13" t="s">
        <v>61</v>
      </c>
      <c r="R2908" s="13" t="s">
        <v>62</v>
      </c>
      <c r="S2908" s="13" t="s">
        <v>49</v>
      </c>
      <c r="T2908" s="13" t="s">
        <v>479</v>
      </c>
      <c r="U2908" s="13" t="s">
        <v>479</v>
      </c>
      <c r="V2908" s="13" t="s">
        <v>112</v>
      </c>
      <c r="W2908" s="13" t="s">
        <v>64</v>
      </c>
      <c r="X2908" s="135">
        <v>868670</v>
      </c>
      <c r="Y2908" s="157" t="str">
        <f t="shared" si="871"/>
        <v>1.13</v>
      </c>
      <c r="Z2908" s="18">
        <f t="shared" si="870"/>
        <v>868670</v>
      </c>
      <c r="AA2908" s="13">
        <v>1.2150000000000001</v>
      </c>
      <c r="AB2908" s="21">
        <f t="shared" si="855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57"/>
        <v>25380121.402654871</v>
      </c>
      <c r="AJ2908" s="19">
        <f t="shared" si="858"/>
        <v>3850343.1237796471</v>
      </c>
      <c r="AK2908" s="20">
        <f t="shared" si="864"/>
        <v>0.1517070412191521</v>
      </c>
      <c r="AL2908" s="17"/>
      <c r="AM2908" s="17"/>
      <c r="AN2908" s="17"/>
      <c r="AO2908" s="17"/>
      <c r="AP2908" s="28" t="str">
        <f t="shared" si="865"/>
        <v>202112</v>
      </c>
      <c r="AQ2908" s="28" t="str">
        <f t="shared" si="866"/>
        <v>202112RMB</v>
      </c>
      <c r="AR2908" s="206" t="str">
        <f t="shared" si="867"/>
        <v>YAMAHA_Mounter</v>
      </c>
      <c r="AS2908" s="22">
        <f t="shared" si="868"/>
        <v>1</v>
      </c>
      <c r="AT2908" s="24" t="str">
        <f t="shared" si="869"/>
        <v>0-3 months</v>
      </c>
      <c r="AU2908" s="22" t="s">
        <v>3751</v>
      </c>
    </row>
    <row r="2909" spans="1:47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53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1917</v>
      </c>
      <c r="K2909" s="155" t="s">
        <v>1918</v>
      </c>
      <c r="L2909" s="17" t="s">
        <v>67</v>
      </c>
      <c r="M2909" s="13" t="s">
        <v>60</v>
      </c>
      <c r="N2909" s="13">
        <v>1</v>
      </c>
      <c r="O2909" s="13"/>
      <c r="P2909" s="33" t="str">
        <f t="shared" si="872"/>
        <v>MAIN UNIT</v>
      </c>
      <c r="Q2909" s="13" t="s">
        <v>61</v>
      </c>
      <c r="R2909" s="13" t="s">
        <v>62</v>
      </c>
      <c r="S2909" s="13" t="s">
        <v>49</v>
      </c>
      <c r="T2909" s="13" t="s">
        <v>479</v>
      </c>
      <c r="U2909" s="13" t="s">
        <v>479</v>
      </c>
      <c r="V2909" s="13" t="s">
        <v>112</v>
      </c>
      <c r="W2909" s="13" t="s">
        <v>64</v>
      </c>
      <c r="X2909" s="135">
        <v>868670</v>
      </c>
      <c r="Y2909" s="157" t="str">
        <f t="shared" si="871"/>
        <v>1.13</v>
      </c>
      <c r="Z2909" s="18">
        <f t="shared" si="870"/>
        <v>868670</v>
      </c>
      <c r="AA2909" s="13">
        <v>1.2150000000000001</v>
      </c>
      <c r="AB2909" s="21">
        <f t="shared" si="855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57"/>
        <v>25380121.402654871</v>
      </c>
      <c r="AJ2909" s="19">
        <f t="shared" si="858"/>
        <v>3850343.1237796471</v>
      </c>
      <c r="AK2909" s="20">
        <f t="shared" si="864"/>
        <v>0.1517070412191521</v>
      </c>
      <c r="AL2909" s="17"/>
      <c r="AM2909" s="17"/>
      <c r="AN2909" s="17"/>
      <c r="AO2909" s="17"/>
      <c r="AP2909" s="28" t="str">
        <f t="shared" si="865"/>
        <v>202112</v>
      </c>
      <c r="AQ2909" s="28" t="str">
        <f t="shared" si="866"/>
        <v>202112RMB</v>
      </c>
      <c r="AR2909" s="206" t="str">
        <f t="shared" si="867"/>
        <v>YAMAHA_Mounter</v>
      </c>
      <c r="AS2909" s="22">
        <f t="shared" si="868"/>
        <v>1</v>
      </c>
      <c r="AT2909" s="24" t="str">
        <f t="shared" si="869"/>
        <v>0-3 months</v>
      </c>
      <c r="AU2909" s="22" t="s">
        <v>3751</v>
      </c>
    </row>
    <row r="2910" spans="1:47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53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1936</v>
      </c>
      <c r="K2910" s="155" t="s">
        <v>1937</v>
      </c>
      <c r="L2910" s="17" t="s">
        <v>67</v>
      </c>
      <c r="M2910" s="13" t="s">
        <v>60</v>
      </c>
      <c r="N2910" s="13">
        <v>1</v>
      </c>
      <c r="O2910" s="13"/>
      <c r="P2910" s="33" t="str">
        <f t="shared" si="872"/>
        <v>MAIN UNIT</v>
      </c>
      <c r="Q2910" s="13" t="s">
        <v>68</v>
      </c>
      <c r="R2910" s="13" t="s">
        <v>62</v>
      </c>
      <c r="S2910" s="13" t="s">
        <v>49</v>
      </c>
      <c r="T2910" s="13" t="s">
        <v>78</v>
      </c>
      <c r="U2910" s="13" t="s">
        <v>79</v>
      </c>
      <c r="V2910" s="13" t="s">
        <v>1938</v>
      </c>
      <c r="W2910" s="13" t="s">
        <v>109</v>
      </c>
      <c r="X2910" s="135">
        <v>8452000</v>
      </c>
      <c r="Y2910" s="157" t="str">
        <f t="shared" si="871"/>
        <v>1</v>
      </c>
      <c r="Z2910" s="18">
        <f t="shared" si="870"/>
        <v>8452000</v>
      </c>
      <c r="AA2910" s="13">
        <v>6.9199999999999998E-2</v>
      </c>
      <c r="AB2910" s="21">
        <f t="shared" si="855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57"/>
        <v>26407088.359292038</v>
      </c>
      <c r="AJ2910" s="19">
        <f t="shared" si="858"/>
        <v>3424510.6998470789</v>
      </c>
      <c r="AK2910" s="20">
        <f t="shared" si="864"/>
        <v>0.12968149510667554</v>
      </c>
      <c r="AL2910" s="17"/>
      <c r="AM2910" s="17"/>
      <c r="AN2910" s="17"/>
      <c r="AO2910" s="17"/>
      <c r="AP2910" s="28" t="str">
        <f t="shared" si="865"/>
        <v>20221</v>
      </c>
      <c r="AQ2910" s="28" t="str">
        <f t="shared" si="866"/>
        <v>20221JPY</v>
      </c>
      <c r="AR2910" s="206" t="str">
        <f t="shared" si="867"/>
        <v>YAMAHA_Mounter</v>
      </c>
      <c r="AS2910" s="22">
        <f t="shared" si="868"/>
        <v>7</v>
      </c>
      <c r="AT2910" s="24" t="str">
        <f t="shared" si="869"/>
        <v>&gt; 6 months</v>
      </c>
      <c r="AU2910" s="22" t="s">
        <v>3745</v>
      </c>
    </row>
    <row r="2911" spans="1:47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53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1987</v>
      </c>
      <c r="K2911" s="155" t="s">
        <v>1988</v>
      </c>
      <c r="L2911" s="17" t="s">
        <v>293</v>
      </c>
      <c r="M2911" s="13" t="s">
        <v>60</v>
      </c>
      <c r="N2911" s="13">
        <v>1</v>
      </c>
      <c r="O2911" s="13"/>
      <c r="P2911" s="33" t="str">
        <f t="shared" si="872"/>
        <v>MAIN UNIT</v>
      </c>
      <c r="Q2911" s="13" t="s">
        <v>61</v>
      </c>
      <c r="R2911" s="13" t="s">
        <v>62</v>
      </c>
      <c r="S2911" s="13" t="s">
        <v>49</v>
      </c>
      <c r="T2911" s="13" t="s">
        <v>78</v>
      </c>
      <c r="U2911" s="13" t="s">
        <v>79</v>
      </c>
      <c r="V2911" s="13" t="s">
        <v>112</v>
      </c>
      <c r="W2911" s="13" t="s">
        <v>64</v>
      </c>
      <c r="X2911" s="135">
        <v>1300000</v>
      </c>
      <c r="Y2911" s="157" t="str">
        <f t="shared" si="871"/>
        <v>1.13</v>
      </c>
      <c r="Z2911" s="18">
        <f t="shared" si="870"/>
        <v>1300000</v>
      </c>
      <c r="AA2911" s="13">
        <v>1.22</v>
      </c>
      <c r="AB2911" s="21">
        <f t="shared" si="855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57"/>
        <v>28726768.133805312</v>
      </c>
      <c r="AJ2911" s="19">
        <f t="shared" si="858"/>
        <v>3853638.1988864429</v>
      </c>
      <c r="AK2911" s="20">
        <f t="shared" si="864"/>
        <v>0.1341479898099476</v>
      </c>
      <c r="AL2911" s="17"/>
      <c r="AM2911" s="17"/>
      <c r="AN2911" s="17"/>
      <c r="AO2911" s="17"/>
      <c r="AP2911" s="28" t="str">
        <f t="shared" si="865"/>
        <v>20223</v>
      </c>
      <c r="AQ2911" s="28" t="str">
        <f t="shared" si="866"/>
        <v>20223RMB</v>
      </c>
      <c r="AR2911" s="206" t="str">
        <f t="shared" si="867"/>
        <v>YAMAHA_Mounter</v>
      </c>
      <c r="AS2911" s="22">
        <f t="shared" si="868"/>
        <v>3</v>
      </c>
      <c r="AT2911" s="24" t="str">
        <f t="shared" si="869"/>
        <v>0-3 months</v>
      </c>
      <c r="AU2911" s="22" t="s">
        <v>3751</v>
      </c>
    </row>
    <row r="2912" spans="1:47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53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1987</v>
      </c>
      <c r="K2912" s="155" t="s">
        <v>1988</v>
      </c>
      <c r="L2912" s="17" t="s">
        <v>293</v>
      </c>
      <c r="M2912" s="13" t="s">
        <v>60</v>
      </c>
      <c r="N2912" s="13">
        <v>1</v>
      </c>
      <c r="O2912" s="13"/>
      <c r="P2912" s="33" t="str">
        <f t="shared" si="872"/>
        <v>MAIN UNIT</v>
      </c>
      <c r="Q2912" s="13" t="s">
        <v>61</v>
      </c>
      <c r="R2912" s="13" t="s">
        <v>62</v>
      </c>
      <c r="S2912" s="13" t="s">
        <v>49</v>
      </c>
      <c r="T2912" s="13" t="s">
        <v>78</v>
      </c>
      <c r="U2912" s="13" t="s">
        <v>79</v>
      </c>
      <c r="V2912" s="13" t="s">
        <v>112</v>
      </c>
      <c r="W2912" s="13" t="s">
        <v>64</v>
      </c>
      <c r="X2912" s="135">
        <v>1300000</v>
      </c>
      <c r="Y2912" s="157" t="str">
        <f t="shared" si="871"/>
        <v>1.13</v>
      </c>
      <c r="Z2912" s="18">
        <f t="shared" si="870"/>
        <v>1300000</v>
      </c>
      <c r="AA2912" s="13">
        <v>1.22</v>
      </c>
      <c r="AB2912" s="21">
        <f t="shared" si="855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57"/>
        <v>28726768.133805312</v>
      </c>
      <c r="AJ2912" s="19">
        <f t="shared" si="858"/>
        <v>3853638.1988864429</v>
      </c>
      <c r="AK2912" s="20">
        <f t="shared" si="864"/>
        <v>0.1341479898099476</v>
      </c>
      <c r="AL2912" s="17"/>
      <c r="AM2912" s="17"/>
      <c r="AN2912" s="17"/>
      <c r="AO2912" s="17"/>
      <c r="AP2912" s="28" t="str">
        <f t="shared" si="865"/>
        <v>20223</v>
      </c>
      <c r="AQ2912" s="28" t="str">
        <f t="shared" si="866"/>
        <v>20223RMB</v>
      </c>
      <c r="AR2912" s="206" t="str">
        <f t="shared" si="867"/>
        <v>YAMAHA_Mounter</v>
      </c>
      <c r="AS2912" s="22">
        <f t="shared" si="868"/>
        <v>3</v>
      </c>
      <c r="AT2912" s="24" t="str">
        <f t="shared" si="869"/>
        <v>0-3 months</v>
      </c>
      <c r="AU2912" s="22" t="s">
        <v>3751</v>
      </c>
    </row>
    <row r="2913" spans="1:47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54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2229</v>
      </c>
      <c r="K2913" s="155" t="s">
        <v>2230</v>
      </c>
      <c r="L2913" s="17" t="s">
        <v>67</v>
      </c>
      <c r="M2913" s="13" t="s">
        <v>60</v>
      </c>
      <c r="N2913" s="13">
        <v>1</v>
      </c>
      <c r="O2913" s="13"/>
      <c r="P2913" s="33" t="str">
        <f t="shared" si="872"/>
        <v>MAIN UNIT</v>
      </c>
      <c r="Q2913" s="13" t="s">
        <v>68</v>
      </c>
      <c r="R2913" s="13" t="s">
        <v>62</v>
      </c>
      <c r="S2913" s="13" t="s">
        <v>49</v>
      </c>
      <c r="T2913" s="13" t="s">
        <v>78</v>
      </c>
      <c r="U2913" s="13" t="s">
        <v>79</v>
      </c>
      <c r="V2913" s="13" t="s">
        <v>2011</v>
      </c>
      <c r="W2913" s="13" t="s">
        <v>64</v>
      </c>
      <c r="X2913" s="135">
        <v>623546</v>
      </c>
      <c r="Y2913" s="157" t="str">
        <f t="shared" si="871"/>
        <v>1.13</v>
      </c>
      <c r="Z2913" s="18">
        <f t="shared" si="870"/>
        <v>623546</v>
      </c>
      <c r="AA2913" s="13">
        <v>1.17</v>
      </c>
      <c r="AB2913" s="21">
        <f t="shared" si="855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57"/>
        <v>36480247.665929198</v>
      </c>
      <c r="AJ2913" s="19">
        <f t="shared" si="858"/>
        <v>5330996.6372757526</v>
      </c>
      <c r="AK2913" s="20">
        <f t="shared" si="864"/>
        <v>0.14613378412599562</v>
      </c>
      <c r="AL2913" s="17"/>
      <c r="AM2913" s="17"/>
      <c r="AN2913" s="17"/>
      <c r="AO2913" s="17"/>
      <c r="AP2913" s="28" t="str">
        <f t="shared" si="865"/>
        <v>20227</v>
      </c>
      <c r="AQ2913" s="28" t="str">
        <f t="shared" si="866"/>
        <v>20227RMB</v>
      </c>
      <c r="AR2913" s="206" t="str">
        <f t="shared" si="867"/>
        <v>YAMAHA_Mounter</v>
      </c>
      <c r="AS2913" s="22">
        <f t="shared" si="868"/>
        <v>1</v>
      </c>
      <c r="AT2913" s="24" t="str">
        <f t="shared" si="869"/>
        <v>0-3 months</v>
      </c>
      <c r="AU2913" s="22" t="s">
        <v>3751</v>
      </c>
    </row>
    <row r="2914" spans="1:47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55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2508</v>
      </c>
      <c r="K2914" s="155" t="s">
        <v>2509</v>
      </c>
      <c r="L2914" s="17" t="s">
        <v>67</v>
      </c>
      <c r="M2914" s="13" t="s">
        <v>60</v>
      </c>
      <c r="N2914" s="13">
        <v>1</v>
      </c>
      <c r="O2914" s="13"/>
      <c r="P2914" s="33" t="str">
        <f t="shared" si="872"/>
        <v>MAIN UNIT</v>
      </c>
      <c r="Q2914" s="13" t="s">
        <v>68</v>
      </c>
      <c r="R2914" s="13" t="s">
        <v>62</v>
      </c>
      <c r="S2914" s="13" t="s">
        <v>49</v>
      </c>
      <c r="T2914" s="13" t="s">
        <v>78</v>
      </c>
      <c r="U2914" s="13" t="s">
        <v>79</v>
      </c>
      <c r="V2914" s="13" t="s">
        <v>80</v>
      </c>
      <c r="W2914" s="13" t="s">
        <v>64</v>
      </c>
      <c r="X2914" s="135">
        <v>515000</v>
      </c>
      <c r="Y2914" s="157" t="str">
        <f t="shared" si="871"/>
        <v>1.13</v>
      </c>
      <c r="Z2914" s="18">
        <f t="shared" si="870"/>
        <v>515000</v>
      </c>
      <c r="AA2914" s="13">
        <v>1.135</v>
      </c>
      <c r="AB2914" s="21">
        <f t="shared" si="855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57"/>
        <v>28177779.013274338</v>
      </c>
      <c r="AJ2914" s="19">
        <f t="shared" si="858"/>
        <v>4727216.6376190251</v>
      </c>
      <c r="AK2914" s="20">
        <f t="shared" si="864"/>
        <v>0.1677639900359808</v>
      </c>
      <c r="AL2914" s="17"/>
      <c r="AM2914" s="17"/>
      <c r="AN2914" s="17"/>
      <c r="AO2914" s="17"/>
      <c r="AP2914" s="28" t="str">
        <f t="shared" si="865"/>
        <v>20235</v>
      </c>
      <c r="AQ2914" s="28" t="str">
        <f t="shared" si="866"/>
        <v>20235RMB</v>
      </c>
      <c r="AR2914" s="206" t="str">
        <f t="shared" si="867"/>
        <v>YAMAHA_Mounter</v>
      </c>
      <c r="AS2914" s="22">
        <f t="shared" si="868"/>
        <v>0</v>
      </c>
      <c r="AT2914" s="24" t="str">
        <f t="shared" si="869"/>
        <v>0-3 months</v>
      </c>
      <c r="AU2914" s="22" t="s">
        <v>3751</v>
      </c>
    </row>
    <row r="2915" spans="1:47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3106</v>
      </c>
      <c r="K2915" s="155" t="s">
        <v>2509</v>
      </c>
      <c r="L2915" s="17" t="s">
        <v>67</v>
      </c>
      <c r="M2915" s="13" t="s">
        <v>60</v>
      </c>
      <c r="N2915" s="13">
        <v>1</v>
      </c>
      <c r="O2915" s="13"/>
      <c r="P2915" s="33" t="str">
        <f t="shared" si="872"/>
        <v>MAIN UNIT</v>
      </c>
      <c r="Q2915" s="13" t="s">
        <v>61</v>
      </c>
      <c r="R2915" s="13" t="s">
        <v>62</v>
      </c>
      <c r="S2915" s="13" t="s">
        <v>49</v>
      </c>
      <c r="T2915" s="13" t="s">
        <v>78</v>
      </c>
      <c r="U2915" s="13" t="s">
        <v>3107</v>
      </c>
      <c r="V2915" s="13" t="s">
        <v>80</v>
      </c>
      <c r="W2915" s="13" t="s">
        <v>64</v>
      </c>
      <c r="X2915" s="135">
        <v>506000</v>
      </c>
      <c r="Y2915" s="157" t="str">
        <f>IF(W2915="","",IF(W2915="RMB","1.13", "1"))</f>
        <v>1.13</v>
      </c>
      <c r="Z2915" s="18">
        <f t="shared" si="870"/>
        <v>506000</v>
      </c>
      <c r="AA2915" s="13">
        <v>1.095</v>
      </c>
      <c r="AB2915" s="21">
        <f t="shared" si="855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57"/>
        <v>10271727.486725664</v>
      </c>
      <c r="AJ2915" s="19">
        <f t="shared" si="858"/>
        <v>1227228.7260761063</v>
      </c>
      <c r="AK2915" s="20">
        <f t="shared" si="864"/>
        <v>0.11947637120066472</v>
      </c>
      <c r="AL2915" s="17"/>
      <c r="AM2915" s="17"/>
      <c r="AN2915" s="17"/>
      <c r="AO2915" s="17"/>
      <c r="AP2915" s="28" t="str">
        <f t="shared" si="865"/>
        <v>202312</v>
      </c>
      <c r="AQ2915" s="28" t="str">
        <f t="shared" si="866"/>
        <v>202312RMB</v>
      </c>
      <c r="AR2915" s="206" t="str">
        <f t="shared" si="867"/>
        <v>YAMAHA_Mounter</v>
      </c>
      <c r="AS2915" s="22">
        <f t="shared" si="868"/>
        <v>1</v>
      </c>
      <c r="AT2915" s="24" t="str">
        <f t="shared" si="869"/>
        <v>0-3 months</v>
      </c>
      <c r="AU2915" s="22" t="s">
        <v>3751</v>
      </c>
    </row>
    <row r="2916" spans="1:47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3186</v>
      </c>
      <c r="K2916" s="29" t="s">
        <v>2509</v>
      </c>
      <c r="L2916" s="17" t="s">
        <v>67</v>
      </c>
      <c r="M2916" s="13" t="s">
        <v>60</v>
      </c>
      <c r="N2916" s="13">
        <v>1</v>
      </c>
      <c r="O2916" s="22"/>
      <c r="P2916" s="33" t="str">
        <f t="shared" si="872"/>
        <v>MAIN UNIT</v>
      </c>
      <c r="Q2916" s="13" t="s">
        <v>61</v>
      </c>
      <c r="R2916" s="22" t="s">
        <v>62</v>
      </c>
      <c r="S2916" s="22" t="s">
        <v>49</v>
      </c>
      <c r="T2916" s="22" t="s">
        <v>78</v>
      </c>
      <c r="U2916" s="22" t="s">
        <v>3107</v>
      </c>
      <c r="V2916" s="22" t="s">
        <v>80</v>
      </c>
      <c r="W2916" s="22" t="s">
        <v>64</v>
      </c>
      <c r="X2916" s="104">
        <v>500000</v>
      </c>
      <c r="Y2916" s="157" t="str">
        <f t="shared" ref="Y2916:Y2921" si="873">IF(W2916="RMB","1.13", "1")</f>
        <v>1.13</v>
      </c>
      <c r="Z2916" s="18">
        <f t="shared" si="870"/>
        <v>500000</v>
      </c>
      <c r="AA2916" s="22">
        <v>1.0900000000000001</v>
      </c>
      <c r="AB2916" s="21">
        <f t="shared" si="855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57"/>
        <v>21241742.157380536</v>
      </c>
      <c r="AJ2916" s="27">
        <f t="shared" si="858"/>
        <v>2987081.1613773629</v>
      </c>
      <c r="AK2916" s="28">
        <f t="shared" si="864"/>
        <v>0.14062317201884914</v>
      </c>
      <c r="AL2916" s="24"/>
      <c r="AM2916" s="24"/>
      <c r="AN2916" s="24"/>
      <c r="AO2916" s="24"/>
      <c r="AP2916" s="105" t="str">
        <f t="shared" si="865"/>
        <v>20243</v>
      </c>
      <c r="AQ2916" s="28" t="str">
        <f t="shared" si="866"/>
        <v>20243RMB</v>
      </c>
      <c r="AR2916" s="206" t="str">
        <f t="shared" si="867"/>
        <v>YAMAHA_Mounter</v>
      </c>
      <c r="AS2916" s="22">
        <f t="shared" si="868"/>
        <v>1</v>
      </c>
      <c r="AT2916" s="24" t="str">
        <f t="shared" si="869"/>
        <v>0-3 months</v>
      </c>
      <c r="AU2916" s="22" t="s">
        <v>3751</v>
      </c>
    </row>
    <row r="2917" spans="1:47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48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1541</v>
      </c>
      <c r="K2917" s="155" t="s">
        <v>1542</v>
      </c>
      <c r="L2917" s="17" t="s">
        <v>67</v>
      </c>
      <c r="M2917" s="13" t="s">
        <v>60</v>
      </c>
      <c r="N2917" s="13">
        <v>1</v>
      </c>
      <c r="O2917" s="13"/>
      <c r="P2917" s="33" t="str">
        <f t="shared" si="872"/>
        <v>MAIN UNIT</v>
      </c>
      <c r="Q2917" s="13" t="s">
        <v>61</v>
      </c>
      <c r="R2917" s="13" t="s">
        <v>62</v>
      </c>
      <c r="S2917" s="13" t="s">
        <v>49</v>
      </c>
      <c r="T2917" s="13" t="s">
        <v>78</v>
      </c>
      <c r="U2917" s="13" t="s">
        <v>79</v>
      </c>
      <c r="V2917" s="13" t="s">
        <v>121</v>
      </c>
      <c r="W2917" s="13" t="s">
        <v>109</v>
      </c>
      <c r="X2917" s="135">
        <v>8000000</v>
      </c>
      <c r="Y2917" s="157" t="str">
        <f t="shared" si="873"/>
        <v>1</v>
      </c>
      <c r="Z2917" s="18">
        <f t="shared" si="870"/>
        <v>8000000</v>
      </c>
      <c r="AA2917" s="13">
        <v>7.5700000000000003E-2</v>
      </c>
      <c r="AB2917" s="21">
        <f t="shared" si="855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57"/>
        <v>31097187.02948761</v>
      </c>
      <c r="AJ2917" s="19">
        <f t="shared" si="858"/>
        <v>3892353.6644401965</v>
      </c>
      <c r="AK2917" s="20">
        <f t="shared" si="864"/>
        <v>0.12516738767237401</v>
      </c>
      <c r="AL2917" s="17"/>
      <c r="AM2917" s="17"/>
      <c r="AN2917" s="17"/>
      <c r="AO2917" s="17"/>
      <c r="AP2917" s="28" t="str">
        <f t="shared" si="865"/>
        <v>20212</v>
      </c>
      <c r="AQ2917" s="28" t="str">
        <f t="shared" si="866"/>
        <v>20212JPY</v>
      </c>
      <c r="AR2917" s="206" t="str">
        <f t="shared" si="867"/>
        <v>YAMAHA_Mounter</v>
      </c>
      <c r="AS2917" s="22">
        <f t="shared" si="868"/>
        <v>3</v>
      </c>
      <c r="AT2917" s="24" t="str">
        <f t="shared" si="869"/>
        <v>0-3 months</v>
      </c>
      <c r="AU2917" s="22" t="s">
        <v>3745</v>
      </c>
    </row>
    <row r="2918" spans="1:47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185</v>
      </c>
      <c r="F2918" s="13" t="s">
        <v>185</v>
      </c>
      <c r="G2918" s="152" t="s">
        <v>185</v>
      </c>
      <c r="H2918" s="155"/>
      <c r="I2918" s="33" t="str">
        <f t="shared" si="861"/>
        <v>Cancel</v>
      </c>
      <c r="J2918" s="186" t="s">
        <v>2590</v>
      </c>
      <c r="K2918" s="155" t="s">
        <v>2591</v>
      </c>
      <c r="L2918" s="17" t="s">
        <v>67</v>
      </c>
      <c r="M2918" s="13" t="s">
        <v>60</v>
      </c>
      <c r="N2918" s="13">
        <v>1</v>
      </c>
      <c r="O2918" s="13"/>
      <c r="P2918" s="33" t="str">
        <f t="shared" si="872"/>
        <v>MAIN UNIT</v>
      </c>
      <c r="Q2918" s="13" t="s">
        <v>68</v>
      </c>
      <c r="R2918" s="13" t="s">
        <v>62</v>
      </c>
      <c r="S2918" s="13" t="s">
        <v>49</v>
      </c>
      <c r="T2918" s="13" t="s">
        <v>78</v>
      </c>
      <c r="U2918" s="13" t="s">
        <v>79</v>
      </c>
      <c r="V2918" s="13" t="s">
        <v>112</v>
      </c>
      <c r="W2918" s="13" t="s">
        <v>64</v>
      </c>
      <c r="X2918" s="135">
        <v>425000</v>
      </c>
      <c r="Y2918" s="157" t="str">
        <f t="shared" si="873"/>
        <v>1.13</v>
      </c>
      <c r="Z2918" s="18">
        <f t="shared" si="870"/>
        <v>425000</v>
      </c>
      <c r="AA2918" s="13">
        <v>1.095</v>
      </c>
      <c r="AB2918" s="21">
        <f t="shared" si="855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57"/>
        <v>499582152.5142017</v>
      </c>
      <c r="AJ2918" s="19">
        <f t="shared" si="858"/>
        <v>59520528.679470733</v>
      </c>
      <c r="AK2918" s="20">
        <f t="shared" si="864"/>
        <v>0.11914062257814291</v>
      </c>
      <c r="AL2918" s="17"/>
      <c r="AM2918" s="17"/>
      <c r="AN2918" s="17"/>
      <c r="AO2918" s="17"/>
      <c r="AP2918" s="28" t="str">
        <f t="shared" si="865"/>
        <v>CancelCancel</v>
      </c>
      <c r="AQ2918" s="28" t="str">
        <f t="shared" si="866"/>
        <v>CancelCancelRMB</v>
      </c>
      <c r="AR2918" s="206" t="str">
        <f t="shared" si="867"/>
        <v>YAMAHA_Mounter</v>
      </c>
      <c r="AS2918" s="22" t="str">
        <f t="shared" si="868"/>
        <v/>
      </c>
      <c r="AT2918" s="24" t="str">
        <f t="shared" si="869"/>
        <v/>
      </c>
      <c r="AU2918" s="22" t="s">
        <v>3751</v>
      </c>
    </row>
    <row r="2919" spans="1:47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185</v>
      </c>
      <c r="F2919" s="13" t="s">
        <v>185</v>
      </c>
      <c r="G2919" s="152" t="s">
        <v>185</v>
      </c>
      <c r="H2919" s="155"/>
      <c r="I2919" s="33" t="str">
        <f t="shared" si="861"/>
        <v>Cancel</v>
      </c>
      <c r="J2919" s="186" t="s">
        <v>2590</v>
      </c>
      <c r="K2919" s="155" t="s">
        <v>2591</v>
      </c>
      <c r="L2919" s="17" t="s">
        <v>67</v>
      </c>
      <c r="M2919" s="13" t="s">
        <v>60</v>
      </c>
      <c r="N2919" s="13">
        <v>1</v>
      </c>
      <c r="O2919" s="13"/>
      <c r="P2919" s="33" t="str">
        <f t="shared" si="872"/>
        <v>MAIN UNIT</v>
      </c>
      <c r="Q2919" s="13" t="s">
        <v>68</v>
      </c>
      <c r="R2919" s="13" t="s">
        <v>62</v>
      </c>
      <c r="S2919" s="13" t="s">
        <v>49</v>
      </c>
      <c r="T2919" s="13" t="s">
        <v>78</v>
      </c>
      <c r="U2919" s="13" t="s">
        <v>79</v>
      </c>
      <c r="V2919" s="13" t="s">
        <v>112</v>
      </c>
      <c r="W2919" s="13" t="s">
        <v>64</v>
      </c>
      <c r="X2919" s="135">
        <v>425000</v>
      </c>
      <c r="Y2919" s="157" t="str">
        <f t="shared" si="873"/>
        <v>1.13</v>
      </c>
      <c r="Z2919" s="18">
        <f t="shared" si="870"/>
        <v>425000</v>
      </c>
      <c r="AA2919" s="13">
        <v>1.095</v>
      </c>
      <c r="AB2919" s="21">
        <f t="shared" si="855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57"/>
        <v>499582152.5142017</v>
      </c>
      <c r="AJ2919" s="19">
        <f t="shared" si="858"/>
        <v>59520528.679470733</v>
      </c>
      <c r="AK2919" s="20">
        <f t="shared" si="864"/>
        <v>0.11914062257814291</v>
      </c>
      <c r="AL2919" s="17"/>
      <c r="AM2919" s="17"/>
      <c r="AN2919" s="17"/>
      <c r="AO2919" s="17"/>
      <c r="AP2919" s="28" t="str">
        <f t="shared" si="865"/>
        <v>CancelCancel</v>
      </c>
      <c r="AQ2919" s="28" t="str">
        <f t="shared" si="866"/>
        <v>CancelCancelRMB</v>
      </c>
      <c r="AR2919" s="206" t="str">
        <f t="shared" si="867"/>
        <v>YAMAHA_Mounter</v>
      </c>
      <c r="AS2919" s="22" t="str">
        <f t="shared" si="868"/>
        <v/>
      </c>
      <c r="AT2919" s="24" t="str">
        <f t="shared" si="869"/>
        <v/>
      </c>
      <c r="AU2919" s="22" t="s">
        <v>3751</v>
      </c>
    </row>
    <row r="2920" spans="1:47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185</v>
      </c>
      <c r="F2920" s="13" t="s">
        <v>185</v>
      </c>
      <c r="G2920" s="152" t="s">
        <v>185</v>
      </c>
      <c r="H2920" s="155"/>
      <c r="I2920" s="33" t="str">
        <f t="shared" si="861"/>
        <v>Cancel</v>
      </c>
      <c r="J2920" s="186" t="s">
        <v>2590</v>
      </c>
      <c r="K2920" s="155" t="s">
        <v>2591</v>
      </c>
      <c r="L2920" s="17" t="s">
        <v>92</v>
      </c>
      <c r="M2920" s="13" t="s">
        <v>60</v>
      </c>
      <c r="N2920" s="13">
        <v>1</v>
      </c>
      <c r="O2920" s="13"/>
      <c r="P2920" s="33" t="str">
        <f t="shared" si="872"/>
        <v>MAIN UNIT</v>
      </c>
      <c r="Q2920" s="13" t="s">
        <v>68</v>
      </c>
      <c r="R2920" s="13" t="s">
        <v>62</v>
      </c>
      <c r="S2920" s="13" t="s">
        <v>49</v>
      </c>
      <c r="T2920" s="13" t="s">
        <v>78</v>
      </c>
      <c r="U2920" s="13" t="s">
        <v>79</v>
      </c>
      <c r="V2920" s="13" t="s">
        <v>112</v>
      </c>
      <c r="W2920" s="13" t="s">
        <v>64</v>
      </c>
      <c r="X2920" s="135">
        <v>710000</v>
      </c>
      <c r="Y2920" s="157" t="str">
        <f t="shared" si="873"/>
        <v>1.13</v>
      </c>
      <c r="Z2920" s="18">
        <f t="shared" si="870"/>
        <v>710000</v>
      </c>
      <c r="AA2920" s="13">
        <v>1.095</v>
      </c>
      <c r="AB2920" s="21">
        <f t="shared" si="855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57"/>
        <v>499582152.5142017</v>
      </c>
      <c r="AJ2920" s="19">
        <f t="shared" si="858"/>
        <v>59520528.679470733</v>
      </c>
      <c r="AK2920" s="20">
        <f t="shared" si="864"/>
        <v>0.11914062257814291</v>
      </c>
      <c r="AL2920" s="17"/>
      <c r="AM2920" s="17"/>
      <c r="AN2920" s="17"/>
      <c r="AO2920" s="17"/>
      <c r="AP2920" s="28" t="str">
        <f t="shared" si="865"/>
        <v>CancelCancel</v>
      </c>
      <c r="AQ2920" s="28" t="str">
        <f t="shared" si="866"/>
        <v>CancelCancelRMB</v>
      </c>
      <c r="AR2920" s="206" t="str">
        <f t="shared" si="867"/>
        <v>YAMAHA_Mounter</v>
      </c>
      <c r="AS2920" s="22" t="str">
        <f t="shared" si="868"/>
        <v/>
      </c>
      <c r="AT2920" s="24" t="str">
        <f t="shared" si="869"/>
        <v/>
      </c>
      <c r="AU2920" s="22" t="s">
        <v>3751</v>
      </c>
    </row>
    <row r="2921" spans="1:47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185</v>
      </c>
      <c r="F2921" s="13" t="s">
        <v>185</v>
      </c>
      <c r="G2921" s="152" t="s">
        <v>185</v>
      </c>
      <c r="H2921" s="155"/>
      <c r="I2921" s="33" t="str">
        <f t="shared" si="861"/>
        <v>Cancel</v>
      </c>
      <c r="J2921" s="186" t="s">
        <v>2590</v>
      </c>
      <c r="K2921" s="155" t="s">
        <v>2591</v>
      </c>
      <c r="L2921" s="17" t="s">
        <v>92</v>
      </c>
      <c r="M2921" s="13" t="s">
        <v>60</v>
      </c>
      <c r="N2921" s="13">
        <v>1</v>
      </c>
      <c r="O2921" s="13"/>
      <c r="P2921" s="33" t="str">
        <f t="shared" si="872"/>
        <v>MAIN UNIT</v>
      </c>
      <c r="Q2921" s="13" t="s">
        <v>68</v>
      </c>
      <c r="R2921" s="13" t="s">
        <v>62</v>
      </c>
      <c r="S2921" s="13" t="s">
        <v>49</v>
      </c>
      <c r="T2921" s="13" t="s">
        <v>78</v>
      </c>
      <c r="U2921" s="13" t="s">
        <v>79</v>
      </c>
      <c r="V2921" s="13" t="s">
        <v>112</v>
      </c>
      <c r="W2921" s="13" t="s">
        <v>64</v>
      </c>
      <c r="X2921" s="135">
        <v>710000</v>
      </c>
      <c r="Y2921" s="157" t="str">
        <f t="shared" si="873"/>
        <v>1.13</v>
      </c>
      <c r="Z2921" s="18">
        <f t="shared" si="870"/>
        <v>710000</v>
      </c>
      <c r="AA2921" s="13">
        <v>1.095</v>
      </c>
      <c r="AB2921" s="21">
        <f t="shared" si="855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57"/>
        <v>499582152.5142017</v>
      </c>
      <c r="AJ2921" s="19">
        <f t="shared" si="858"/>
        <v>59520528.679470733</v>
      </c>
      <c r="AK2921" s="20">
        <f t="shared" si="864"/>
        <v>0.11914062257814291</v>
      </c>
      <c r="AL2921" s="17"/>
      <c r="AM2921" s="17"/>
      <c r="AN2921" s="17"/>
      <c r="AO2921" s="17"/>
      <c r="AP2921" s="28" t="str">
        <f t="shared" si="865"/>
        <v>CancelCancel</v>
      </c>
      <c r="AQ2921" s="28" t="str">
        <f t="shared" si="866"/>
        <v>CancelCancelRMB</v>
      </c>
      <c r="AR2921" s="206" t="str">
        <f t="shared" si="867"/>
        <v>YAMAHA_Mounter</v>
      </c>
      <c r="AS2921" s="22" t="str">
        <f t="shared" si="868"/>
        <v/>
      </c>
      <c r="AT2921" s="24" t="str">
        <f t="shared" si="869"/>
        <v/>
      </c>
      <c r="AU2921" s="22" t="s">
        <v>3751</v>
      </c>
    </row>
    <row r="2922" spans="1:47" s="12" customFormat="1">
      <c r="A2922" s="33" t="str">
        <f t="shared" si="859"/>
        <v>cancel</v>
      </c>
      <c r="B2922" s="152"/>
      <c r="C2922" s="152" t="s">
        <v>185</v>
      </c>
      <c r="D2922" s="33" t="str">
        <f t="shared" si="860"/>
        <v/>
      </c>
      <c r="E2922" s="33" t="s">
        <v>185</v>
      </c>
      <c r="F2922" s="13" t="s">
        <v>185</v>
      </c>
      <c r="G2922" s="152" t="s">
        <v>185</v>
      </c>
      <c r="H2922" s="155"/>
      <c r="I2922" s="33" t="str">
        <f t="shared" si="861"/>
        <v>Cancel</v>
      </c>
      <c r="J2922" s="186" t="s">
        <v>2691</v>
      </c>
      <c r="K2922" s="155" t="s">
        <v>2692</v>
      </c>
      <c r="L2922" s="17" t="s">
        <v>67</v>
      </c>
      <c r="M2922" s="13" t="s">
        <v>60</v>
      </c>
      <c r="N2922" s="13">
        <v>1</v>
      </c>
      <c r="O2922" s="13"/>
      <c r="P2922" s="33" t="str">
        <f t="shared" si="872"/>
        <v>MAIN UNIT</v>
      </c>
      <c r="Q2922" s="13" t="s">
        <v>61</v>
      </c>
      <c r="R2922" s="13" t="s">
        <v>701</v>
      </c>
      <c r="S2922" s="13" t="s">
        <v>49</v>
      </c>
      <c r="T2922" s="13" t="s">
        <v>78</v>
      </c>
      <c r="U2922" s="13" t="s">
        <v>79</v>
      </c>
      <c r="V2922" s="13" t="s">
        <v>751</v>
      </c>
      <c r="W2922" s="13" t="s">
        <v>777</v>
      </c>
      <c r="X2922" s="135">
        <v>10705500</v>
      </c>
      <c r="Y2922" s="156">
        <v>1</v>
      </c>
      <c r="Z2922" s="18">
        <f t="shared" si="870"/>
        <v>10705500</v>
      </c>
      <c r="AA2922" s="13">
        <v>7.3400000000000007E-2</v>
      </c>
      <c r="AB2922" s="21">
        <f t="shared" si="855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57"/>
        <v>499582152.5142017</v>
      </c>
      <c r="AJ2922" s="19">
        <f t="shared" si="858"/>
        <v>59520528.679470733</v>
      </c>
      <c r="AK2922" s="20">
        <f t="shared" si="864"/>
        <v>0.11914062257814291</v>
      </c>
      <c r="AL2922" s="17"/>
      <c r="AM2922" s="17"/>
      <c r="AN2922" s="17"/>
      <c r="AO2922" s="17"/>
      <c r="AP2922" s="28" t="str">
        <f t="shared" si="865"/>
        <v>CancelCancel</v>
      </c>
      <c r="AQ2922" s="28" t="str">
        <f t="shared" si="866"/>
        <v>CancelCancelJPY</v>
      </c>
      <c r="AR2922" s="206" t="str">
        <f t="shared" si="867"/>
        <v>YAMAHA_Mounter</v>
      </c>
      <c r="AS2922" s="22" t="str">
        <f t="shared" si="868"/>
        <v/>
      </c>
      <c r="AT2922" s="24" t="str">
        <f t="shared" si="869"/>
        <v/>
      </c>
      <c r="AU2922" s="22" t="s">
        <v>3746</v>
      </c>
    </row>
    <row r="2923" spans="1:47" s="12" customFormat="1">
      <c r="A2923" s="33" t="str">
        <f t="shared" si="859"/>
        <v>cancel</v>
      </c>
      <c r="B2923" s="152"/>
      <c r="C2923" s="152" t="s">
        <v>185</v>
      </c>
      <c r="D2923" s="33" t="str">
        <f t="shared" si="860"/>
        <v/>
      </c>
      <c r="E2923" s="33" t="s">
        <v>185</v>
      </c>
      <c r="F2923" s="13" t="s">
        <v>185</v>
      </c>
      <c r="G2923" s="152" t="s">
        <v>185</v>
      </c>
      <c r="H2923" s="155"/>
      <c r="I2923" s="33" t="str">
        <f t="shared" si="861"/>
        <v>Cancel</v>
      </c>
      <c r="J2923" s="186" t="s">
        <v>2691</v>
      </c>
      <c r="K2923" s="155" t="s">
        <v>2693</v>
      </c>
      <c r="L2923" s="17" t="s">
        <v>92</v>
      </c>
      <c r="M2923" s="13" t="s">
        <v>60</v>
      </c>
      <c r="N2923" s="13">
        <v>1</v>
      </c>
      <c r="O2923" s="13"/>
      <c r="P2923" s="33" t="str">
        <f t="shared" si="872"/>
        <v>MAIN UNIT</v>
      </c>
      <c r="Q2923" s="13" t="s">
        <v>61</v>
      </c>
      <c r="R2923" s="13" t="s">
        <v>701</v>
      </c>
      <c r="S2923" s="13" t="s">
        <v>49</v>
      </c>
      <c r="T2923" s="13" t="s">
        <v>78</v>
      </c>
      <c r="U2923" s="13" t="s">
        <v>79</v>
      </c>
      <c r="V2923" s="13" t="s">
        <v>751</v>
      </c>
      <c r="W2923" s="13" t="s">
        <v>777</v>
      </c>
      <c r="X2923" s="135">
        <v>13794500</v>
      </c>
      <c r="Y2923" s="156">
        <v>1</v>
      </c>
      <c r="Z2923" s="18">
        <f t="shared" si="870"/>
        <v>13794500</v>
      </c>
      <c r="AA2923" s="13">
        <v>7.3400000000000007E-2</v>
      </c>
      <c r="AB2923" s="21">
        <f t="shared" si="855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57"/>
        <v>499582152.5142017</v>
      </c>
      <c r="AJ2923" s="19">
        <f t="shared" si="858"/>
        <v>59520528.679470733</v>
      </c>
      <c r="AK2923" s="20">
        <f t="shared" si="864"/>
        <v>0.11914062257814291</v>
      </c>
      <c r="AL2923" s="17"/>
      <c r="AM2923" s="17"/>
      <c r="AN2923" s="17"/>
      <c r="AO2923" s="17"/>
      <c r="AP2923" s="28" t="str">
        <f t="shared" si="865"/>
        <v>CancelCancel</v>
      </c>
      <c r="AQ2923" s="28" t="str">
        <f t="shared" si="866"/>
        <v>CancelCancelJPY</v>
      </c>
      <c r="AR2923" s="206" t="str">
        <f t="shared" si="867"/>
        <v>YAMAHA_Mounter</v>
      </c>
      <c r="AS2923" s="22" t="str">
        <f t="shared" si="868"/>
        <v/>
      </c>
      <c r="AT2923" s="24" t="str">
        <f t="shared" si="869"/>
        <v/>
      </c>
      <c r="AU2923" s="22" t="s">
        <v>3746</v>
      </c>
    </row>
    <row r="2924" spans="1:47" s="12" customFormat="1">
      <c r="A2924" s="33" t="str">
        <f t="shared" si="859"/>
        <v>cancel</v>
      </c>
      <c r="B2924" s="152"/>
      <c r="C2924" s="152" t="s">
        <v>185</v>
      </c>
      <c r="D2924" s="33" t="str">
        <f t="shared" si="860"/>
        <v/>
      </c>
      <c r="E2924" s="33" t="s">
        <v>185</v>
      </c>
      <c r="F2924" s="13" t="s">
        <v>185</v>
      </c>
      <c r="G2924" s="152" t="s">
        <v>185</v>
      </c>
      <c r="H2924" s="155"/>
      <c r="I2924" s="33" t="str">
        <f t="shared" si="861"/>
        <v>Cancel</v>
      </c>
      <c r="J2924" s="186" t="s">
        <v>2694</v>
      </c>
      <c r="K2924" s="155" t="s">
        <v>2693</v>
      </c>
      <c r="L2924" s="17" t="s">
        <v>67</v>
      </c>
      <c r="M2924" s="13" t="s">
        <v>60</v>
      </c>
      <c r="N2924" s="13">
        <v>1</v>
      </c>
      <c r="O2924" s="13"/>
      <c r="P2924" s="33" t="str">
        <f t="shared" si="872"/>
        <v>MAIN UNIT</v>
      </c>
      <c r="Q2924" s="13" t="s">
        <v>61</v>
      </c>
      <c r="R2924" s="13" t="s">
        <v>701</v>
      </c>
      <c r="S2924" s="13" t="s">
        <v>49</v>
      </c>
      <c r="T2924" s="13" t="s">
        <v>78</v>
      </c>
      <c r="U2924" s="13" t="s">
        <v>79</v>
      </c>
      <c r="V2924" s="13" t="s">
        <v>751</v>
      </c>
      <c r="W2924" s="13" t="s">
        <v>777</v>
      </c>
      <c r="X2924" s="135">
        <v>10705500</v>
      </c>
      <c r="Y2924" s="156">
        <v>1</v>
      </c>
      <c r="Z2924" s="18">
        <f t="shared" si="870"/>
        <v>10705500</v>
      </c>
      <c r="AA2924" s="13">
        <v>7.3999999999999996E-2</v>
      </c>
      <c r="AB2924" s="21">
        <f t="shared" si="855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57"/>
        <v>499582152.5142017</v>
      </c>
      <c r="AJ2924" s="19">
        <f t="shared" si="858"/>
        <v>59520528.679470733</v>
      </c>
      <c r="AK2924" s="20">
        <f t="shared" si="864"/>
        <v>0.11914062257814291</v>
      </c>
      <c r="AL2924" s="17"/>
      <c r="AM2924" s="17"/>
      <c r="AN2924" s="17"/>
      <c r="AO2924" s="17"/>
      <c r="AP2924" s="28" t="str">
        <f t="shared" si="865"/>
        <v>CancelCancel</v>
      </c>
      <c r="AQ2924" s="28" t="str">
        <f t="shared" si="866"/>
        <v>CancelCancelJPY</v>
      </c>
      <c r="AR2924" s="206" t="str">
        <f t="shared" si="867"/>
        <v>YAMAHA_Mounter</v>
      </c>
      <c r="AS2924" s="22" t="str">
        <f t="shared" si="868"/>
        <v/>
      </c>
      <c r="AT2924" s="24" t="str">
        <f t="shared" si="869"/>
        <v/>
      </c>
      <c r="AU2924" s="22" t="s">
        <v>3746</v>
      </c>
    </row>
    <row r="2925" spans="1:47" s="12" customFormat="1">
      <c r="A2925" s="33" t="str">
        <f t="shared" si="859"/>
        <v>cancel</v>
      </c>
      <c r="B2925" s="152"/>
      <c r="C2925" s="152" t="s">
        <v>185</v>
      </c>
      <c r="D2925" s="33" t="str">
        <f t="shared" si="860"/>
        <v/>
      </c>
      <c r="E2925" s="33" t="s">
        <v>185</v>
      </c>
      <c r="F2925" s="13" t="s">
        <v>185</v>
      </c>
      <c r="G2925" s="152" t="s">
        <v>185</v>
      </c>
      <c r="H2925" s="155"/>
      <c r="I2925" s="33" t="str">
        <f t="shared" si="861"/>
        <v>Cancel</v>
      </c>
      <c r="J2925" s="186" t="s">
        <v>2695</v>
      </c>
      <c r="K2925" s="155" t="s">
        <v>2693</v>
      </c>
      <c r="L2925" s="17" t="s">
        <v>92</v>
      </c>
      <c r="M2925" s="13" t="s">
        <v>60</v>
      </c>
      <c r="N2925" s="13">
        <v>1</v>
      </c>
      <c r="O2925" s="13"/>
      <c r="P2925" s="33" t="str">
        <f t="shared" si="872"/>
        <v>MAIN UNIT</v>
      </c>
      <c r="Q2925" s="13" t="s">
        <v>61</v>
      </c>
      <c r="R2925" s="13" t="s">
        <v>701</v>
      </c>
      <c r="S2925" s="13" t="s">
        <v>49</v>
      </c>
      <c r="T2925" s="13" t="s">
        <v>78</v>
      </c>
      <c r="U2925" s="13" t="s">
        <v>79</v>
      </c>
      <c r="V2925" s="13" t="s">
        <v>751</v>
      </c>
      <c r="W2925" s="13" t="s">
        <v>777</v>
      </c>
      <c r="X2925" s="135">
        <v>13794500</v>
      </c>
      <c r="Y2925" s="156">
        <v>1</v>
      </c>
      <c r="Z2925" s="18">
        <f t="shared" si="870"/>
        <v>13794500</v>
      </c>
      <c r="AA2925" s="13">
        <v>7.3999999999999996E-2</v>
      </c>
      <c r="AB2925" s="21">
        <f t="shared" si="855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57"/>
        <v>499582152.5142017</v>
      </c>
      <c r="AJ2925" s="19">
        <f t="shared" si="858"/>
        <v>59520528.679470733</v>
      </c>
      <c r="AK2925" s="20">
        <f t="shared" si="864"/>
        <v>0.11914062257814291</v>
      </c>
      <c r="AL2925" s="17"/>
      <c r="AM2925" s="17"/>
      <c r="AN2925" s="17"/>
      <c r="AO2925" s="17"/>
      <c r="AP2925" s="28" t="str">
        <f t="shared" si="865"/>
        <v>CancelCancel</v>
      </c>
      <c r="AQ2925" s="28" t="str">
        <f t="shared" si="866"/>
        <v>CancelCancelJPY</v>
      </c>
      <c r="AR2925" s="206" t="str">
        <f t="shared" si="867"/>
        <v>YAMAHA_Mounter</v>
      </c>
      <c r="AS2925" s="22" t="str">
        <f t="shared" si="868"/>
        <v/>
      </c>
      <c r="AT2925" s="24" t="str">
        <f t="shared" si="869"/>
        <v/>
      </c>
      <c r="AU2925" s="22" t="s">
        <v>3746</v>
      </c>
    </row>
    <row r="2926" spans="1:47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48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1149</v>
      </c>
      <c r="K2926" s="155" t="s">
        <v>1150</v>
      </c>
      <c r="L2926" s="17" t="s">
        <v>92</v>
      </c>
      <c r="M2926" s="13" t="s">
        <v>60</v>
      </c>
      <c r="N2926" s="13">
        <v>1</v>
      </c>
      <c r="O2926" s="13"/>
      <c r="P2926" s="33" t="str">
        <f t="shared" si="872"/>
        <v>MAIN UNIT</v>
      </c>
      <c r="Q2926" s="13" t="s">
        <v>68</v>
      </c>
      <c r="R2926" s="13" t="s">
        <v>62</v>
      </c>
      <c r="S2926" s="13" t="s">
        <v>51</v>
      </c>
      <c r="T2926" s="13" t="s">
        <v>349</v>
      </c>
      <c r="U2926" s="13" t="s">
        <v>149</v>
      </c>
      <c r="V2926" s="13" t="s">
        <v>954</v>
      </c>
      <c r="W2926" s="13" t="s">
        <v>64</v>
      </c>
      <c r="X2926" s="135">
        <v>1006000</v>
      </c>
      <c r="Y2926" s="156">
        <v>1.1299999999999999</v>
      </c>
      <c r="Z2926" s="18">
        <f t="shared" si="870"/>
        <v>1006000</v>
      </c>
      <c r="AA2926" s="13">
        <v>1.135</v>
      </c>
      <c r="AB2926" s="21">
        <f t="shared" si="855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57"/>
        <v>28011162.254106201</v>
      </c>
      <c r="AJ2926" s="19">
        <f t="shared" si="858"/>
        <v>3401347.1124888416</v>
      </c>
      <c r="AK2926" s="20">
        <f t="shared" si="864"/>
        <v>0.12142827497242578</v>
      </c>
      <c r="AL2926" s="17"/>
      <c r="AM2926" s="17"/>
      <c r="AN2926" s="17"/>
      <c r="AO2926" s="17"/>
      <c r="AP2926" s="28" t="str">
        <f t="shared" si="865"/>
        <v>202010</v>
      </c>
      <c r="AQ2926" s="28" t="str">
        <f t="shared" si="866"/>
        <v>202010RMB</v>
      </c>
      <c r="AR2926" s="206" t="str">
        <f t="shared" si="867"/>
        <v>YAMAHA_Mounter</v>
      </c>
      <c r="AS2926" s="22">
        <f t="shared" si="868"/>
        <v>2</v>
      </c>
      <c r="AT2926" s="24" t="str">
        <f t="shared" si="869"/>
        <v>0-3 months</v>
      </c>
      <c r="AU2926" s="22" t="s">
        <v>3240</v>
      </c>
    </row>
    <row r="2927" spans="1:47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3132</v>
      </c>
      <c r="K2927" s="29" t="s">
        <v>3133</v>
      </c>
      <c r="L2927" s="17" t="s">
        <v>92</v>
      </c>
      <c r="M2927" s="22" t="s">
        <v>60</v>
      </c>
      <c r="N2927" s="22">
        <v>1</v>
      </c>
      <c r="O2927" s="22"/>
      <c r="P2927" s="33" t="str">
        <f t="shared" si="872"/>
        <v>MAIN UNIT</v>
      </c>
      <c r="Q2927" s="13" t="s">
        <v>68</v>
      </c>
      <c r="R2927" s="22" t="s">
        <v>62</v>
      </c>
      <c r="S2927" s="22" t="s">
        <v>49</v>
      </c>
      <c r="T2927" s="22" t="s">
        <v>78</v>
      </c>
      <c r="U2927" s="22" t="s">
        <v>79</v>
      </c>
      <c r="V2927" s="22" t="s">
        <v>3134</v>
      </c>
      <c r="W2927" s="22" t="s">
        <v>109</v>
      </c>
      <c r="X2927" s="30">
        <v>14600000</v>
      </c>
      <c r="Y2927" s="31" t="str">
        <f>IF(W2927="","",IF(W2927="RMB","1.13", "1"))</f>
        <v>1</v>
      </c>
      <c r="Z2927" s="18">
        <f t="shared" si="870"/>
        <v>14600000</v>
      </c>
      <c r="AA2927" s="22">
        <v>5.4199999999999998E-2</v>
      </c>
      <c r="AB2927" s="21">
        <f t="shared" si="855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57"/>
        <v>10271727.486725664</v>
      </c>
      <c r="AJ2927" s="27">
        <f t="shared" si="858"/>
        <v>1227228.7260761063</v>
      </c>
      <c r="AK2927" s="28">
        <f t="shared" si="864"/>
        <v>0.11947637120066472</v>
      </c>
      <c r="AL2927" s="24"/>
      <c r="AM2927" s="24"/>
      <c r="AN2927" s="24"/>
      <c r="AO2927" s="24"/>
      <c r="AP2927" s="28" t="str">
        <f t="shared" si="865"/>
        <v>202312</v>
      </c>
      <c r="AQ2927" s="28" t="str">
        <f t="shared" si="866"/>
        <v>202312JPY</v>
      </c>
      <c r="AR2927" s="206" t="str">
        <f t="shared" si="867"/>
        <v>YAMAHA_Mounter</v>
      </c>
      <c r="AS2927" s="22">
        <f t="shared" si="868"/>
        <v>0</v>
      </c>
      <c r="AT2927" s="24" t="str">
        <f t="shared" si="869"/>
        <v>0-3 months</v>
      </c>
      <c r="AU2927" s="22" t="s">
        <v>3745</v>
      </c>
    </row>
    <row r="2928" spans="1:47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55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2466</v>
      </c>
      <c r="K2928" s="155" t="s">
        <v>2467</v>
      </c>
      <c r="L2928" s="17" t="s">
        <v>92</v>
      </c>
      <c r="M2928" s="13" t="s">
        <v>60</v>
      </c>
      <c r="N2928" s="13">
        <v>1</v>
      </c>
      <c r="O2928" s="13"/>
      <c r="P2928" s="33" t="str">
        <f t="shared" si="872"/>
        <v>MAIN UNIT</v>
      </c>
      <c r="Q2928" s="13" t="s">
        <v>68</v>
      </c>
      <c r="R2928" s="13" t="s">
        <v>62</v>
      </c>
      <c r="S2928" s="13" t="s">
        <v>49</v>
      </c>
      <c r="T2928" s="13" t="s">
        <v>78</v>
      </c>
      <c r="U2928" s="13" t="s">
        <v>79</v>
      </c>
      <c r="V2928" s="13" t="s">
        <v>2468</v>
      </c>
      <c r="W2928" s="13" t="s">
        <v>64</v>
      </c>
      <c r="X2928" s="135">
        <v>1160000</v>
      </c>
      <c r="Y2928" s="157" t="str">
        <f t="shared" ref="Y2928:Y2933" si="874">IF(W2928="RMB","1.13", "1")</f>
        <v>1.13</v>
      </c>
      <c r="Z2928" s="18">
        <f t="shared" si="870"/>
        <v>1160000</v>
      </c>
      <c r="AA2928" s="13">
        <v>1.1399999999999999</v>
      </c>
      <c r="AB2928" s="21">
        <f t="shared" si="855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57"/>
        <v>30573205.452778768</v>
      </c>
      <c r="AJ2928" s="19">
        <f t="shared" si="858"/>
        <v>3790930.1683151261</v>
      </c>
      <c r="AK2928" s="20">
        <f t="shared" si="864"/>
        <v>0.12399518179964254</v>
      </c>
      <c r="AL2928" s="17"/>
      <c r="AM2928" s="17"/>
      <c r="AN2928" s="17"/>
      <c r="AO2928" s="17"/>
      <c r="AP2928" s="28" t="str">
        <f t="shared" si="865"/>
        <v>20234</v>
      </c>
      <c r="AQ2928" s="28" t="str">
        <f t="shared" si="866"/>
        <v>20234RMB</v>
      </c>
      <c r="AR2928" s="206" t="str">
        <f t="shared" si="867"/>
        <v>YAMAHA_Mounter</v>
      </c>
      <c r="AS2928" s="22">
        <f t="shared" si="868"/>
        <v>1</v>
      </c>
      <c r="AT2928" s="24" t="str">
        <f t="shared" si="869"/>
        <v>0-3 months</v>
      </c>
      <c r="AU2928" s="22" t="s">
        <v>3751</v>
      </c>
    </row>
    <row r="2929" spans="1:47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55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2466</v>
      </c>
      <c r="K2929" s="155" t="s">
        <v>2467</v>
      </c>
      <c r="L2929" s="17" t="s">
        <v>67</v>
      </c>
      <c r="M2929" s="13" t="s">
        <v>60</v>
      </c>
      <c r="N2929" s="13">
        <v>1</v>
      </c>
      <c r="O2929" s="13"/>
      <c r="P2929" s="33" t="str">
        <f t="shared" si="872"/>
        <v>MAIN UNIT</v>
      </c>
      <c r="Q2929" s="13" t="s">
        <v>68</v>
      </c>
      <c r="R2929" s="13" t="s">
        <v>62</v>
      </c>
      <c r="S2929" s="13" t="s">
        <v>49</v>
      </c>
      <c r="T2929" s="13" t="s">
        <v>78</v>
      </c>
      <c r="U2929" s="13" t="s">
        <v>79</v>
      </c>
      <c r="V2929" s="13" t="s">
        <v>2468</v>
      </c>
      <c r="W2929" s="13" t="s">
        <v>64</v>
      </c>
      <c r="X2929" s="135">
        <v>600000</v>
      </c>
      <c r="Y2929" s="157" t="str">
        <f t="shared" si="874"/>
        <v>1.13</v>
      </c>
      <c r="Z2929" s="18">
        <f t="shared" si="870"/>
        <v>600000</v>
      </c>
      <c r="AA2929" s="13">
        <v>1.1399999999999999</v>
      </c>
      <c r="AB2929" s="21">
        <f t="shared" si="855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57"/>
        <v>30573205.452778768</v>
      </c>
      <c r="AJ2929" s="19">
        <f t="shared" si="858"/>
        <v>3790930.1683151261</v>
      </c>
      <c r="AK2929" s="20">
        <f t="shared" si="864"/>
        <v>0.12399518179964254</v>
      </c>
      <c r="AL2929" s="17"/>
      <c r="AM2929" s="17"/>
      <c r="AN2929" s="17"/>
      <c r="AO2929" s="17"/>
      <c r="AP2929" s="28" t="str">
        <f t="shared" si="865"/>
        <v>20234</v>
      </c>
      <c r="AQ2929" s="28" t="str">
        <f t="shared" si="866"/>
        <v>20234RMB</v>
      </c>
      <c r="AR2929" s="206" t="str">
        <f t="shared" si="867"/>
        <v>YAMAHA_Mounter</v>
      </c>
      <c r="AS2929" s="22">
        <f t="shared" si="868"/>
        <v>1</v>
      </c>
      <c r="AT2929" s="24" t="str">
        <f t="shared" si="869"/>
        <v>0-3 months</v>
      </c>
      <c r="AU2929" s="22" t="s">
        <v>3751</v>
      </c>
    </row>
    <row r="2930" spans="1:47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55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2613</v>
      </c>
      <c r="K2930" s="155" t="s">
        <v>2467</v>
      </c>
      <c r="L2930" s="17" t="s">
        <v>92</v>
      </c>
      <c r="M2930" s="13" t="s">
        <v>60</v>
      </c>
      <c r="N2930" s="13">
        <v>1</v>
      </c>
      <c r="O2930" s="13"/>
      <c r="P2930" s="33" t="str">
        <f t="shared" si="872"/>
        <v>MAIN UNIT</v>
      </c>
      <c r="Q2930" s="13" t="s">
        <v>61</v>
      </c>
      <c r="R2930" s="13" t="s">
        <v>62</v>
      </c>
      <c r="S2930" s="13" t="s">
        <v>49</v>
      </c>
      <c r="T2930" s="13" t="s">
        <v>120</v>
      </c>
      <c r="U2930" s="13" t="s">
        <v>2370</v>
      </c>
      <c r="V2930" s="13" t="s">
        <v>2468</v>
      </c>
      <c r="W2930" s="13" t="s">
        <v>109</v>
      </c>
      <c r="X2930" s="135">
        <v>12500000</v>
      </c>
      <c r="Y2930" s="157" t="str">
        <f t="shared" si="874"/>
        <v>1</v>
      </c>
      <c r="Z2930" s="18">
        <f t="shared" si="870"/>
        <v>12500000</v>
      </c>
      <c r="AA2930" s="13">
        <v>5.3400000000000003E-2</v>
      </c>
      <c r="AB2930" s="21">
        <f t="shared" si="855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57"/>
        <v>5219988.5752212387</v>
      </c>
      <c r="AJ2930" s="19">
        <f t="shared" si="858"/>
        <v>631627.0013460177</v>
      </c>
      <c r="AK2930" s="20">
        <f t="shared" si="864"/>
        <v>0.12100160608478869</v>
      </c>
      <c r="AL2930" s="17"/>
      <c r="AM2930" s="17"/>
      <c r="AN2930" s="17"/>
      <c r="AO2930" s="17"/>
      <c r="AP2930" s="28" t="str">
        <f t="shared" si="865"/>
        <v>202310</v>
      </c>
      <c r="AQ2930" s="28" t="str">
        <f t="shared" si="866"/>
        <v>202310JPY</v>
      </c>
      <c r="AR2930" s="206" t="str">
        <f t="shared" si="867"/>
        <v>YAMAHA_Mounter</v>
      </c>
      <c r="AS2930" s="22">
        <f t="shared" si="868"/>
        <v>1</v>
      </c>
      <c r="AT2930" s="24" t="str">
        <f t="shared" si="869"/>
        <v>0-3 months</v>
      </c>
      <c r="AU2930" s="22" t="s">
        <v>3240</v>
      </c>
    </row>
    <row r="2931" spans="1:47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185</v>
      </c>
      <c r="F2931" s="152" t="s">
        <v>185</v>
      </c>
      <c r="G2931" s="152" t="s">
        <v>185</v>
      </c>
      <c r="H2931" s="155"/>
      <c r="I2931" s="33" t="str">
        <f t="shared" si="861"/>
        <v>Cancel</v>
      </c>
      <c r="J2931" s="186" t="s">
        <v>2614</v>
      </c>
      <c r="K2931" s="155" t="s">
        <v>2467</v>
      </c>
      <c r="L2931" s="17" t="s">
        <v>92</v>
      </c>
      <c r="M2931" s="13" t="s">
        <v>60</v>
      </c>
      <c r="N2931" s="13">
        <v>1</v>
      </c>
      <c r="O2931" s="13"/>
      <c r="P2931" s="33" t="str">
        <f t="shared" si="872"/>
        <v>MAIN UNIT</v>
      </c>
      <c r="Q2931" s="13" t="s">
        <v>61</v>
      </c>
      <c r="R2931" s="13" t="s">
        <v>62</v>
      </c>
      <c r="S2931" s="13" t="s">
        <v>49</v>
      </c>
      <c r="T2931" s="13" t="s">
        <v>120</v>
      </c>
      <c r="U2931" s="13" t="s">
        <v>2370</v>
      </c>
      <c r="V2931" s="13" t="s">
        <v>2468</v>
      </c>
      <c r="W2931" s="13" t="s">
        <v>109</v>
      </c>
      <c r="X2931" s="135">
        <v>12450000</v>
      </c>
      <c r="Y2931" s="157" t="str">
        <f t="shared" si="874"/>
        <v>1</v>
      </c>
      <c r="Z2931" s="18">
        <f t="shared" si="870"/>
        <v>12450000</v>
      </c>
      <c r="AA2931" s="13">
        <v>5.4899999999999997E-2</v>
      </c>
      <c r="AB2931" s="21">
        <f t="shared" si="855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57"/>
        <v>499582152.5142017</v>
      </c>
      <c r="AJ2931" s="19">
        <f t="shared" si="858"/>
        <v>59520528.679470733</v>
      </c>
      <c r="AK2931" s="20">
        <f t="shared" si="864"/>
        <v>0.11914062257814291</v>
      </c>
      <c r="AL2931" s="17"/>
      <c r="AM2931" s="17"/>
      <c r="AN2931" s="17"/>
      <c r="AO2931" s="17"/>
      <c r="AP2931" s="28" t="str">
        <f t="shared" si="865"/>
        <v>CancelCancel</v>
      </c>
      <c r="AQ2931" s="28" t="str">
        <f t="shared" si="866"/>
        <v>CancelCancelJPY</v>
      </c>
      <c r="AR2931" s="206" t="str">
        <f t="shared" si="867"/>
        <v>YAMAHA_Mounter</v>
      </c>
      <c r="AS2931" s="22" t="str">
        <f t="shared" si="868"/>
        <v/>
      </c>
      <c r="AT2931" s="24" t="str">
        <f t="shared" si="869"/>
        <v/>
      </c>
      <c r="AU2931" s="22" t="s">
        <v>3745</v>
      </c>
    </row>
    <row r="2932" spans="1:47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55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2613</v>
      </c>
      <c r="K2932" s="155" t="s">
        <v>2467</v>
      </c>
      <c r="L2932" s="17" t="s">
        <v>67</v>
      </c>
      <c r="M2932" s="13" t="s">
        <v>60</v>
      </c>
      <c r="N2932" s="13">
        <v>1</v>
      </c>
      <c r="O2932" s="13"/>
      <c r="P2932" s="33" t="str">
        <f t="shared" si="872"/>
        <v>MAIN UNIT</v>
      </c>
      <c r="Q2932" s="13" t="s">
        <v>61</v>
      </c>
      <c r="R2932" s="13" t="s">
        <v>62</v>
      </c>
      <c r="S2932" s="13" t="s">
        <v>49</v>
      </c>
      <c r="T2932" s="13" t="s">
        <v>120</v>
      </c>
      <c r="U2932" s="13" t="s">
        <v>2370</v>
      </c>
      <c r="V2932" s="13" t="s">
        <v>2468</v>
      </c>
      <c r="W2932" s="13" t="s">
        <v>109</v>
      </c>
      <c r="X2932" s="135">
        <v>8170000</v>
      </c>
      <c r="Y2932" s="157" t="str">
        <f t="shared" si="874"/>
        <v>1</v>
      </c>
      <c r="Z2932" s="18">
        <f t="shared" si="870"/>
        <v>8170000</v>
      </c>
      <c r="AA2932" s="13">
        <v>5.3400000000000003E-2</v>
      </c>
      <c r="AB2932" s="21">
        <f t="shared" si="855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57"/>
        <v>5219988.5752212387</v>
      </c>
      <c r="AJ2932" s="19">
        <f t="shared" si="858"/>
        <v>631627.0013460177</v>
      </c>
      <c r="AK2932" s="20">
        <f t="shared" si="864"/>
        <v>0.12100160608478869</v>
      </c>
      <c r="AL2932" s="17"/>
      <c r="AM2932" s="17"/>
      <c r="AN2932" s="17"/>
      <c r="AO2932" s="17"/>
      <c r="AP2932" s="28" t="str">
        <f t="shared" si="865"/>
        <v>202310</v>
      </c>
      <c r="AQ2932" s="28" t="str">
        <f t="shared" si="866"/>
        <v>202310JPY</v>
      </c>
      <c r="AR2932" s="206" t="str">
        <f t="shared" si="867"/>
        <v>YAMAHA_Mounter</v>
      </c>
      <c r="AS2932" s="22">
        <f t="shared" si="868"/>
        <v>1</v>
      </c>
      <c r="AT2932" s="24" t="str">
        <f t="shared" si="869"/>
        <v>0-3 months</v>
      </c>
      <c r="AU2932" s="22" t="s">
        <v>3240</v>
      </c>
    </row>
    <row r="2933" spans="1:47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185</v>
      </c>
      <c r="F2933" s="152" t="s">
        <v>185</v>
      </c>
      <c r="G2933" s="152" t="s">
        <v>185</v>
      </c>
      <c r="H2933" s="155"/>
      <c r="I2933" s="33" t="str">
        <f t="shared" si="861"/>
        <v>Cancel</v>
      </c>
      <c r="J2933" s="186" t="s">
        <v>2614</v>
      </c>
      <c r="K2933" s="155" t="s">
        <v>2467</v>
      </c>
      <c r="L2933" s="17" t="s">
        <v>67</v>
      </c>
      <c r="M2933" s="13" t="s">
        <v>60</v>
      </c>
      <c r="N2933" s="13">
        <v>1</v>
      </c>
      <c r="O2933" s="13"/>
      <c r="P2933" s="33" t="str">
        <f t="shared" si="872"/>
        <v>MAIN UNIT</v>
      </c>
      <c r="Q2933" s="13" t="s">
        <v>61</v>
      </c>
      <c r="R2933" s="13" t="s">
        <v>62</v>
      </c>
      <c r="S2933" s="13" t="s">
        <v>49</v>
      </c>
      <c r="T2933" s="13" t="s">
        <v>120</v>
      </c>
      <c r="U2933" s="13" t="s">
        <v>2370</v>
      </c>
      <c r="V2933" s="13" t="s">
        <v>2468</v>
      </c>
      <c r="W2933" s="13" t="s">
        <v>109</v>
      </c>
      <c r="X2933" s="135">
        <v>7800000</v>
      </c>
      <c r="Y2933" s="157" t="str">
        <f t="shared" si="874"/>
        <v>1</v>
      </c>
      <c r="Z2933" s="18">
        <f t="shared" si="870"/>
        <v>7800000</v>
      </c>
      <c r="AA2933" s="13">
        <v>5.4899999999999997E-2</v>
      </c>
      <c r="AB2933" s="21">
        <f t="shared" si="855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57"/>
        <v>499582152.5142017</v>
      </c>
      <c r="AJ2933" s="19">
        <f t="shared" si="858"/>
        <v>59520528.679470733</v>
      </c>
      <c r="AK2933" s="20">
        <f t="shared" si="864"/>
        <v>0.11914062257814291</v>
      </c>
      <c r="AL2933" s="17"/>
      <c r="AM2933" s="17"/>
      <c r="AN2933" s="17"/>
      <c r="AO2933" s="17"/>
      <c r="AP2933" s="28" t="str">
        <f t="shared" si="865"/>
        <v>CancelCancel</v>
      </c>
      <c r="AQ2933" s="28" t="str">
        <f t="shared" si="866"/>
        <v>CancelCancelJPY</v>
      </c>
      <c r="AR2933" s="206" t="str">
        <f t="shared" si="867"/>
        <v>YAMAHA_Mounter</v>
      </c>
      <c r="AS2933" s="22" t="str">
        <f t="shared" si="868"/>
        <v/>
      </c>
      <c r="AT2933" s="24" t="str">
        <f t="shared" si="869"/>
        <v/>
      </c>
      <c r="AU2933" s="22" t="s">
        <v>3745</v>
      </c>
    </row>
    <row r="2934" spans="1:47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55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1035</v>
      </c>
      <c r="K2934" s="155" t="s">
        <v>1036</v>
      </c>
      <c r="L2934" s="17" t="s">
        <v>67</v>
      </c>
      <c r="M2934" s="13" t="s">
        <v>1037</v>
      </c>
      <c r="N2934" s="13">
        <v>1</v>
      </c>
      <c r="O2934" s="13"/>
      <c r="P2934" s="33" t="str">
        <f t="shared" si="872"/>
        <v>MAIN UNIT</v>
      </c>
      <c r="Q2934" s="13" t="s">
        <v>61</v>
      </c>
      <c r="R2934" s="13" t="s">
        <v>62</v>
      </c>
      <c r="S2934" s="13" t="s">
        <v>49</v>
      </c>
      <c r="T2934" s="13" t="s">
        <v>78</v>
      </c>
      <c r="U2934" s="13" t="s">
        <v>1038</v>
      </c>
      <c r="V2934" s="13" t="s">
        <v>80</v>
      </c>
      <c r="W2934" s="13" t="s">
        <v>901</v>
      </c>
      <c r="X2934" s="137">
        <v>63000</v>
      </c>
      <c r="Y2934" s="157" t="str">
        <f>IF(W2934="","",IF(W2934="RMB","1.13", "1"))</f>
        <v>1</v>
      </c>
      <c r="Z2934" s="18">
        <f t="shared" si="870"/>
        <v>63000</v>
      </c>
      <c r="AA2934" s="13">
        <v>7.8</v>
      </c>
      <c r="AB2934" s="21">
        <f t="shared" si="855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57"/>
        <v>11730565.00042478</v>
      </c>
      <c r="AJ2934" s="19">
        <f t="shared" si="858"/>
        <v>1439625.5685810833</v>
      </c>
      <c r="AK2934" s="20">
        <f t="shared" si="864"/>
        <v>0.12272431622253084</v>
      </c>
      <c r="AL2934" s="17"/>
      <c r="AM2934" s="17"/>
      <c r="AN2934" s="17"/>
      <c r="AO2934" s="17"/>
      <c r="AP2934" s="28" t="str">
        <f t="shared" si="865"/>
        <v>202311</v>
      </c>
      <c r="AQ2934" s="28" t="str">
        <f t="shared" si="866"/>
        <v>202311USD</v>
      </c>
      <c r="AR2934" s="206" t="str">
        <f t="shared" si="867"/>
        <v>YAMAHA_Mounter</v>
      </c>
      <c r="AS2934" s="22">
        <f t="shared" si="868"/>
        <v>1</v>
      </c>
      <c r="AT2934" s="24" t="str">
        <f t="shared" si="869"/>
        <v>0-3 months</v>
      </c>
      <c r="AU2934" s="22" t="s">
        <v>3746</v>
      </c>
    </row>
    <row r="2935" spans="1:47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3189</v>
      </c>
      <c r="K2935" s="29" t="s">
        <v>1036</v>
      </c>
      <c r="L2935" s="17" t="s">
        <v>92</v>
      </c>
      <c r="M2935" s="13" t="s">
        <v>60</v>
      </c>
      <c r="N2935" s="22">
        <v>1</v>
      </c>
      <c r="O2935" s="22"/>
      <c r="P2935" s="33" t="str">
        <f t="shared" si="872"/>
        <v>MAIN UNIT</v>
      </c>
      <c r="Q2935" s="13" t="s">
        <v>61</v>
      </c>
      <c r="R2935" s="22" t="s">
        <v>62</v>
      </c>
      <c r="S2935" s="22" t="s">
        <v>49</v>
      </c>
      <c r="T2935" s="22" t="s">
        <v>78</v>
      </c>
      <c r="U2935" s="22" t="s">
        <v>1038</v>
      </c>
      <c r="V2935" s="22" t="s">
        <v>80</v>
      </c>
      <c r="W2935" s="22" t="s">
        <v>901</v>
      </c>
      <c r="X2935" s="30">
        <v>94600</v>
      </c>
      <c r="Y2935" s="31" t="str">
        <f>IF(W2935="","",IF(W2935="RMB","1.13", "1"))</f>
        <v>1</v>
      </c>
      <c r="Z2935" s="18">
        <f t="shared" si="870"/>
        <v>94600</v>
      </c>
      <c r="AA2935" s="22">
        <v>7.8</v>
      </c>
      <c r="AB2935" s="21">
        <f t="shared" si="855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57"/>
        <v>21241742.157380536</v>
      </c>
      <c r="AJ2935" s="27">
        <f t="shared" si="858"/>
        <v>2987081.1613773629</v>
      </c>
      <c r="AK2935" s="28">
        <f t="shared" si="864"/>
        <v>0.14062317201884914</v>
      </c>
      <c r="AL2935" s="24"/>
      <c r="AM2935" s="24"/>
      <c r="AN2935" s="24"/>
      <c r="AO2935" s="24"/>
      <c r="AP2935" s="28" t="str">
        <f t="shared" si="865"/>
        <v>20243</v>
      </c>
      <c r="AQ2935" s="28" t="str">
        <f t="shared" si="866"/>
        <v>20243USD</v>
      </c>
      <c r="AR2935" s="206" t="str">
        <f t="shared" si="867"/>
        <v>YAMAHA_Mounter</v>
      </c>
      <c r="AS2935" s="22">
        <f t="shared" si="868"/>
        <v>1</v>
      </c>
      <c r="AT2935" s="24" t="str">
        <f t="shared" si="869"/>
        <v>0-3 months</v>
      </c>
      <c r="AU2935" s="22" t="s">
        <v>3752</v>
      </c>
    </row>
    <row r="2936" spans="1:47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53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1708</v>
      </c>
      <c r="K2936" s="155" t="s">
        <v>1709</v>
      </c>
      <c r="L2936" s="17" t="s">
        <v>67</v>
      </c>
      <c r="M2936" s="13" t="s">
        <v>60</v>
      </c>
      <c r="N2936" s="13">
        <v>1</v>
      </c>
      <c r="O2936" s="13"/>
      <c r="P2936" s="33" t="str">
        <f t="shared" si="872"/>
        <v>MAIN UNIT</v>
      </c>
      <c r="Q2936" s="13" t="s">
        <v>61</v>
      </c>
      <c r="R2936" s="13" t="s">
        <v>62</v>
      </c>
      <c r="S2936" s="13" t="s">
        <v>49</v>
      </c>
      <c r="T2936" s="13" t="s">
        <v>78</v>
      </c>
      <c r="U2936" s="13" t="s">
        <v>79</v>
      </c>
      <c r="V2936" s="13" t="s">
        <v>311</v>
      </c>
      <c r="W2936" s="13" t="s">
        <v>109</v>
      </c>
      <c r="X2936" s="135">
        <v>6800000</v>
      </c>
      <c r="Y2936" s="157" t="str">
        <f>IF(W2936="RMB","1.13", "1")</f>
        <v>1</v>
      </c>
      <c r="Z2936" s="18">
        <f t="shared" si="870"/>
        <v>6800000</v>
      </c>
      <c r="AA2936" s="13">
        <v>7.2800000000000004E-2</v>
      </c>
      <c r="AB2936" s="21">
        <f t="shared" si="855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57"/>
        <v>63006605.696460173</v>
      </c>
      <c r="AJ2936" s="19">
        <f t="shared" si="858"/>
        <v>8897485.660753984</v>
      </c>
      <c r="AK2936" s="20">
        <f t="shared" si="864"/>
        <v>0.141215124388995</v>
      </c>
      <c r="AL2936" s="17"/>
      <c r="AM2936" s="17"/>
      <c r="AN2936" s="17"/>
      <c r="AO2936" s="17"/>
      <c r="AP2936" s="28" t="str">
        <f t="shared" si="865"/>
        <v>20215</v>
      </c>
      <c r="AQ2936" s="28" t="str">
        <f t="shared" si="866"/>
        <v>20215JPY</v>
      </c>
      <c r="AR2936" s="206" t="str">
        <f t="shared" si="867"/>
        <v>YAMAHA_Mounter</v>
      </c>
      <c r="AS2936" s="22">
        <f t="shared" si="868"/>
        <v>4</v>
      </c>
      <c r="AT2936" s="24" t="str">
        <f t="shared" si="869"/>
        <v>4-6 months</v>
      </c>
      <c r="AU2936" s="22" t="s">
        <v>3745</v>
      </c>
    </row>
    <row r="2937" spans="1:47" s="12" customFormat="1">
      <c r="A2937" s="33" t="str">
        <f t="shared" si="859"/>
        <v>cancel</v>
      </c>
      <c r="B2937" s="152"/>
      <c r="C2937" s="152" t="s">
        <v>185</v>
      </c>
      <c r="D2937" s="33" t="str">
        <f t="shared" si="860"/>
        <v/>
      </c>
      <c r="E2937" s="33" t="s">
        <v>185</v>
      </c>
      <c r="F2937" s="13" t="s">
        <v>185</v>
      </c>
      <c r="G2937" s="152" t="s">
        <v>185</v>
      </c>
      <c r="H2937" s="155"/>
      <c r="I2937" s="33" t="str">
        <f t="shared" si="861"/>
        <v>Cancel</v>
      </c>
      <c r="J2937" s="186" t="s">
        <v>2743</v>
      </c>
      <c r="K2937" s="155" t="s">
        <v>2744</v>
      </c>
      <c r="L2937" s="17" t="s">
        <v>67</v>
      </c>
      <c r="M2937" s="13" t="s">
        <v>60</v>
      </c>
      <c r="N2937" s="13">
        <v>1</v>
      </c>
      <c r="O2937" s="13"/>
      <c r="P2937" s="33" t="str">
        <f t="shared" si="872"/>
        <v>MAIN UNIT</v>
      </c>
      <c r="Q2937" s="13" t="s">
        <v>61</v>
      </c>
      <c r="R2937" s="13" t="s">
        <v>62</v>
      </c>
      <c r="S2937" s="13" t="s">
        <v>49</v>
      </c>
      <c r="T2937" s="13" t="s">
        <v>78</v>
      </c>
      <c r="U2937" s="13" t="s">
        <v>79</v>
      </c>
      <c r="V2937" s="13" t="s">
        <v>1486</v>
      </c>
      <c r="W2937" s="13" t="s">
        <v>1341</v>
      </c>
      <c r="X2937" s="135">
        <v>7448000</v>
      </c>
      <c r="Y2937" s="157" t="str">
        <f>IF(W2937="RMB","1.13", "1")</f>
        <v>1</v>
      </c>
      <c r="Z2937" s="18">
        <f t="shared" si="870"/>
        <v>7448000</v>
      </c>
      <c r="AA2937" s="13">
        <v>7.5700000000000003E-2</v>
      </c>
      <c r="AB2937" s="21">
        <f t="shared" si="855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57"/>
        <v>499582152.5142017</v>
      </c>
      <c r="AJ2937" s="19">
        <f t="shared" si="858"/>
        <v>59520528.679470733</v>
      </c>
      <c r="AK2937" s="20">
        <f t="shared" si="864"/>
        <v>0.11914062257814291</v>
      </c>
      <c r="AL2937" s="17"/>
      <c r="AM2937" s="17"/>
      <c r="AN2937" s="17"/>
      <c r="AO2937" s="17"/>
      <c r="AP2937" s="28" t="str">
        <f t="shared" si="865"/>
        <v>CancelCancel</v>
      </c>
      <c r="AQ2937" s="28" t="str">
        <f t="shared" si="866"/>
        <v>CancelCancelJPY</v>
      </c>
      <c r="AR2937" s="206" t="str">
        <f t="shared" si="867"/>
        <v>YAMAHA_Mounter</v>
      </c>
      <c r="AS2937" s="22" t="str">
        <f t="shared" si="868"/>
        <v/>
      </c>
      <c r="AT2937" s="24" t="str">
        <f t="shared" si="869"/>
        <v/>
      </c>
      <c r="AU2937" s="22" t="s">
        <v>3240</v>
      </c>
    </row>
    <row r="2938" spans="1:47" s="12" customFormat="1">
      <c r="A2938" s="33" t="str">
        <f t="shared" si="859"/>
        <v>cancel</v>
      </c>
      <c r="B2938" s="152"/>
      <c r="C2938" s="152" t="s">
        <v>185</v>
      </c>
      <c r="D2938" s="33" t="str">
        <f t="shared" si="860"/>
        <v/>
      </c>
      <c r="E2938" s="33" t="s">
        <v>185</v>
      </c>
      <c r="F2938" s="13" t="s">
        <v>185</v>
      </c>
      <c r="G2938" s="152" t="s">
        <v>185</v>
      </c>
      <c r="H2938" s="155"/>
      <c r="I2938" s="33" t="str">
        <f t="shared" si="861"/>
        <v>Cancel</v>
      </c>
      <c r="J2938" s="186" t="s">
        <v>2743</v>
      </c>
      <c r="K2938" s="155" t="s">
        <v>2744</v>
      </c>
      <c r="L2938" s="17" t="s">
        <v>67</v>
      </c>
      <c r="M2938" s="13" t="s">
        <v>60</v>
      </c>
      <c r="N2938" s="13">
        <v>1</v>
      </c>
      <c r="O2938" s="13"/>
      <c r="P2938" s="33" t="str">
        <f t="shared" si="872"/>
        <v>MAIN UNIT</v>
      </c>
      <c r="Q2938" s="13" t="s">
        <v>61</v>
      </c>
      <c r="R2938" s="13" t="s">
        <v>62</v>
      </c>
      <c r="S2938" s="13" t="s">
        <v>49</v>
      </c>
      <c r="T2938" s="13" t="s">
        <v>78</v>
      </c>
      <c r="U2938" s="13" t="s">
        <v>79</v>
      </c>
      <c r="V2938" s="13" t="s">
        <v>1486</v>
      </c>
      <c r="W2938" s="13" t="s">
        <v>1341</v>
      </c>
      <c r="X2938" s="135">
        <v>7448000</v>
      </c>
      <c r="Y2938" s="157" t="str">
        <f>IF(W2938="RMB","1.13", "1")</f>
        <v>1</v>
      </c>
      <c r="Z2938" s="18">
        <f t="shared" si="870"/>
        <v>7448000</v>
      </c>
      <c r="AA2938" s="13">
        <v>7.5700000000000003E-2</v>
      </c>
      <c r="AB2938" s="21">
        <f t="shared" si="855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57"/>
        <v>499582152.5142017</v>
      </c>
      <c r="AJ2938" s="19">
        <f t="shared" si="858"/>
        <v>59520528.679470733</v>
      </c>
      <c r="AK2938" s="20">
        <f t="shared" si="864"/>
        <v>0.11914062257814291</v>
      </c>
      <c r="AL2938" s="17"/>
      <c r="AM2938" s="17"/>
      <c r="AN2938" s="17"/>
      <c r="AO2938" s="17"/>
      <c r="AP2938" s="28" t="str">
        <f t="shared" si="865"/>
        <v>CancelCancel</v>
      </c>
      <c r="AQ2938" s="28" t="str">
        <f t="shared" si="866"/>
        <v>CancelCancelJPY</v>
      </c>
      <c r="AR2938" s="206" t="str">
        <f t="shared" si="867"/>
        <v>YAMAHA_Mounter</v>
      </c>
      <c r="AS2938" s="22" t="str">
        <f t="shared" si="868"/>
        <v/>
      </c>
      <c r="AT2938" s="24" t="str">
        <f t="shared" si="869"/>
        <v/>
      </c>
      <c r="AU2938" s="22" t="s">
        <v>3240</v>
      </c>
    </row>
    <row r="2939" spans="1:47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41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378</v>
      </c>
      <c r="K2939" s="155" t="s">
        <v>379</v>
      </c>
      <c r="L2939" s="17" t="s">
        <v>77</v>
      </c>
      <c r="M2939" s="13" t="s">
        <v>60</v>
      </c>
      <c r="N2939" s="13">
        <v>1</v>
      </c>
      <c r="O2939" s="13"/>
      <c r="P2939" s="33" t="str">
        <f t="shared" si="872"/>
        <v>MAIN UNIT</v>
      </c>
      <c r="Q2939" s="13" t="s">
        <v>68</v>
      </c>
      <c r="R2939" s="13" t="s">
        <v>62</v>
      </c>
      <c r="S2939" s="13" t="s">
        <v>49</v>
      </c>
      <c r="T2939" s="13" t="s">
        <v>120</v>
      </c>
      <c r="U2939" s="13" t="s">
        <v>79</v>
      </c>
      <c r="V2939" s="13" t="s">
        <v>112</v>
      </c>
      <c r="W2939" s="13" t="s">
        <v>109</v>
      </c>
      <c r="X2939" s="135">
        <v>11819760</v>
      </c>
      <c r="Y2939" s="156">
        <v>1</v>
      </c>
      <c r="Z2939" s="18">
        <f t="shared" si="870"/>
        <v>11819760</v>
      </c>
      <c r="AA2939" s="13">
        <v>7.22E-2</v>
      </c>
      <c r="AB2939" s="21">
        <f t="shared" si="855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57"/>
        <v>26492741.106427077</v>
      </c>
      <c r="AJ2939" s="19">
        <f t="shared" si="858"/>
        <v>3348032.1325698122</v>
      </c>
      <c r="AK2939" s="20">
        <f t="shared" si="864"/>
        <v>0.12637545201985867</v>
      </c>
      <c r="AL2939" s="17"/>
      <c r="AM2939" s="17"/>
      <c r="AN2939" s="17"/>
      <c r="AO2939" s="17"/>
      <c r="AP2939" s="28" t="str">
        <f t="shared" si="865"/>
        <v>20189</v>
      </c>
      <c r="AQ2939" s="28" t="str">
        <f t="shared" si="866"/>
        <v>20189JPY</v>
      </c>
      <c r="AR2939" s="206" t="str">
        <f t="shared" si="867"/>
        <v>YAMAHA_Mounter</v>
      </c>
      <c r="AS2939" s="22">
        <f t="shared" si="868"/>
        <v>2</v>
      </c>
      <c r="AT2939" s="24" t="str">
        <f t="shared" si="869"/>
        <v>0-3 months</v>
      </c>
      <c r="AU2939" s="22" t="s">
        <v>3745</v>
      </c>
    </row>
    <row r="2940" spans="1:47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47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711</v>
      </c>
      <c r="K2940" s="155" t="s">
        <v>712</v>
      </c>
      <c r="L2940" s="17" t="s">
        <v>293</v>
      </c>
      <c r="M2940" s="13" t="s">
        <v>60</v>
      </c>
      <c r="N2940" s="13">
        <v>1</v>
      </c>
      <c r="O2940" s="13"/>
      <c r="P2940" s="33" t="str">
        <f t="shared" si="872"/>
        <v>MAIN UNIT</v>
      </c>
      <c r="Q2940" s="13" t="s">
        <v>61</v>
      </c>
      <c r="R2940" s="13" t="s">
        <v>62</v>
      </c>
      <c r="S2940" s="13" t="s">
        <v>49</v>
      </c>
      <c r="T2940" s="13" t="s">
        <v>120</v>
      </c>
      <c r="U2940" s="13" t="s">
        <v>79</v>
      </c>
      <c r="V2940" s="13" t="s">
        <v>112</v>
      </c>
      <c r="W2940" s="13" t="s">
        <v>64</v>
      </c>
      <c r="X2940" s="135">
        <v>1530000</v>
      </c>
      <c r="Y2940" s="156">
        <v>1.1299999999999999</v>
      </c>
      <c r="Z2940" s="18">
        <f t="shared" si="870"/>
        <v>1530000</v>
      </c>
      <c r="AA2940" s="13">
        <v>1.1100000000000001</v>
      </c>
      <c r="AB2940" s="21">
        <f t="shared" ref="AB2940:AB3003" si="875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57"/>
        <v>27318180.088495575</v>
      </c>
      <c r="AJ2940" s="19">
        <f t="shared" si="858"/>
        <v>3014099.212353982</v>
      </c>
      <c r="AK2940" s="20">
        <f t="shared" si="864"/>
        <v>0.11033308963444827</v>
      </c>
      <c r="AL2940" s="17"/>
      <c r="AM2940" s="17"/>
      <c r="AN2940" s="17"/>
      <c r="AO2940" s="17"/>
      <c r="AP2940" s="28" t="str">
        <f t="shared" si="865"/>
        <v>201912</v>
      </c>
      <c r="AQ2940" s="28" t="str">
        <f t="shared" si="866"/>
        <v>201912RMB</v>
      </c>
      <c r="AR2940" s="206" t="str">
        <f t="shared" si="867"/>
        <v>YAMAHA_Mounter</v>
      </c>
      <c r="AS2940" s="22">
        <f t="shared" si="868"/>
        <v>0</v>
      </c>
      <c r="AT2940" s="24" t="str">
        <f t="shared" si="869"/>
        <v>0-3 months</v>
      </c>
      <c r="AU2940" s="22" t="s">
        <v>3751</v>
      </c>
    </row>
    <row r="2941" spans="1:47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47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782</v>
      </c>
      <c r="K2941" s="155" t="s">
        <v>712</v>
      </c>
      <c r="L2941" s="17" t="s">
        <v>67</v>
      </c>
      <c r="M2941" s="13" t="s">
        <v>60</v>
      </c>
      <c r="N2941" s="13">
        <v>1</v>
      </c>
      <c r="O2941" s="13"/>
      <c r="P2941" s="33" t="str">
        <f t="shared" si="872"/>
        <v>MAIN UNIT</v>
      </c>
      <c r="Q2941" s="13" t="s">
        <v>61</v>
      </c>
      <c r="R2941" s="13" t="s">
        <v>701</v>
      </c>
      <c r="S2941" s="13" t="s">
        <v>261</v>
      </c>
      <c r="T2941" s="13" t="s">
        <v>783</v>
      </c>
      <c r="U2941" s="13" t="s">
        <v>691</v>
      </c>
      <c r="V2941" s="13" t="s">
        <v>270</v>
      </c>
      <c r="W2941" s="13" t="s">
        <v>737</v>
      </c>
      <c r="X2941" s="135">
        <v>630000</v>
      </c>
      <c r="Y2941" s="156">
        <v>1.1299999999999999</v>
      </c>
      <c r="Z2941" s="18">
        <f t="shared" si="870"/>
        <v>630000</v>
      </c>
      <c r="AA2941" s="13">
        <v>1.135</v>
      </c>
      <c r="AB2941" s="21">
        <f t="shared" si="875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57"/>
        <v>34015877.71150443</v>
      </c>
      <c r="AJ2941" s="19">
        <f t="shared" si="858"/>
        <v>4446292.375441948</v>
      </c>
      <c r="AK2941" s="20">
        <f t="shared" si="864"/>
        <v>0.13071226364205143</v>
      </c>
      <c r="AL2941" s="17"/>
      <c r="AM2941" s="17"/>
      <c r="AN2941" s="17"/>
      <c r="AO2941" s="17"/>
      <c r="AP2941" s="28" t="str">
        <f t="shared" si="865"/>
        <v>20197</v>
      </c>
      <c r="AQ2941" s="28" t="str">
        <f t="shared" si="866"/>
        <v>20197RMB</v>
      </c>
      <c r="AR2941" s="206" t="str">
        <f t="shared" si="867"/>
        <v>YAMAHA_Mounter</v>
      </c>
      <c r="AS2941" s="22">
        <f t="shared" si="868"/>
        <v>1</v>
      </c>
      <c r="AT2941" s="24" t="str">
        <f t="shared" si="869"/>
        <v>0-3 months</v>
      </c>
      <c r="AU2941" s="22" t="s">
        <v>3744</v>
      </c>
    </row>
    <row r="2942" spans="1:47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48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1121</v>
      </c>
      <c r="K2942" s="155" t="s">
        <v>1122</v>
      </c>
      <c r="L2942" s="17" t="s">
        <v>67</v>
      </c>
      <c r="M2942" s="13" t="s">
        <v>60</v>
      </c>
      <c r="N2942" s="13">
        <v>1</v>
      </c>
      <c r="O2942" s="13"/>
      <c r="P2942" s="33" t="str">
        <f t="shared" si="872"/>
        <v>MAIN UNIT</v>
      </c>
      <c r="Q2942" s="13" t="s">
        <v>61</v>
      </c>
      <c r="R2942" s="13" t="s">
        <v>62</v>
      </c>
      <c r="S2942" s="13" t="s">
        <v>49</v>
      </c>
      <c r="T2942" s="13" t="s">
        <v>78</v>
      </c>
      <c r="U2942" s="13" t="s">
        <v>79</v>
      </c>
      <c r="V2942" s="13" t="s">
        <v>112</v>
      </c>
      <c r="W2942" s="13" t="s">
        <v>1105</v>
      </c>
      <c r="X2942" s="135">
        <v>7175000</v>
      </c>
      <c r="Y2942" s="156">
        <v>1</v>
      </c>
      <c r="Z2942" s="18">
        <f t="shared" si="870"/>
        <v>7175000</v>
      </c>
      <c r="AA2942" s="13">
        <v>7.5700000000000003E-2</v>
      </c>
      <c r="AB2942" s="21">
        <f t="shared" si="875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57"/>
        <v>37969334.083628319</v>
      </c>
      <c r="AJ2942" s="19">
        <f t="shared" si="858"/>
        <v>5097226.4551657084</v>
      </c>
      <c r="AK2942" s="20">
        <f t="shared" si="864"/>
        <v>0.13424587441904964</v>
      </c>
      <c r="AL2942" s="17"/>
      <c r="AM2942" s="17"/>
      <c r="AN2942" s="17"/>
      <c r="AO2942" s="17"/>
      <c r="AP2942" s="28" t="str">
        <f t="shared" si="865"/>
        <v>20208</v>
      </c>
      <c r="AQ2942" s="28" t="str">
        <f t="shared" si="866"/>
        <v>20208JPY</v>
      </c>
      <c r="AR2942" s="206" t="str">
        <f t="shared" si="867"/>
        <v>YAMAHA_Mounter</v>
      </c>
      <c r="AS2942" s="22">
        <f t="shared" si="868"/>
        <v>1</v>
      </c>
      <c r="AT2942" s="24" t="str">
        <f t="shared" si="869"/>
        <v>0-3 months</v>
      </c>
      <c r="AU2942" s="22" t="s">
        <v>3745</v>
      </c>
    </row>
    <row r="2943" spans="1:47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48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1121</v>
      </c>
      <c r="K2943" s="155" t="s">
        <v>1122</v>
      </c>
      <c r="L2943" s="17" t="s">
        <v>67</v>
      </c>
      <c r="M2943" s="13" t="s">
        <v>60</v>
      </c>
      <c r="N2943" s="13">
        <v>1</v>
      </c>
      <c r="O2943" s="13"/>
      <c r="P2943" s="33" t="str">
        <f t="shared" si="872"/>
        <v>MAIN UNIT</v>
      </c>
      <c r="Q2943" s="13" t="s">
        <v>61</v>
      </c>
      <c r="R2943" s="13" t="s">
        <v>62</v>
      </c>
      <c r="S2943" s="13" t="s">
        <v>49</v>
      </c>
      <c r="T2943" s="13" t="s">
        <v>78</v>
      </c>
      <c r="U2943" s="13" t="s">
        <v>79</v>
      </c>
      <c r="V2943" s="13" t="s">
        <v>112</v>
      </c>
      <c r="W2943" s="13" t="s">
        <v>1105</v>
      </c>
      <c r="X2943" s="135">
        <v>7175000</v>
      </c>
      <c r="Y2943" s="156">
        <v>1</v>
      </c>
      <c r="Z2943" s="18">
        <f t="shared" si="870"/>
        <v>7175000</v>
      </c>
      <c r="AA2943" s="13">
        <v>7.5700000000000003E-2</v>
      </c>
      <c r="AB2943" s="21">
        <f t="shared" si="875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57"/>
        <v>37969334.083628319</v>
      </c>
      <c r="AJ2943" s="19">
        <f t="shared" si="858"/>
        <v>5097226.4551657084</v>
      </c>
      <c r="AK2943" s="20">
        <f t="shared" si="864"/>
        <v>0.13424587441904964</v>
      </c>
      <c r="AL2943" s="17"/>
      <c r="AM2943" s="17"/>
      <c r="AN2943" s="17"/>
      <c r="AO2943" s="17"/>
      <c r="AP2943" s="28" t="str">
        <f t="shared" si="865"/>
        <v>20208</v>
      </c>
      <c r="AQ2943" s="28" t="str">
        <f t="shared" si="866"/>
        <v>20208JPY</v>
      </c>
      <c r="AR2943" s="206" t="str">
        <f t="shared" si="867"/>
        <v>YAMAHA_Mounter</v>
      </c>
      <c r="AS2943" s="22">
        <f t="shared" si="868"/>
        <v>1</v>
      </c>
      <c r="AT2943" s="24" t="str">
        <f t="shared" si="869"/>
        <v>0-3 months</v>
      </c>
      <c r="AU2943" s="22" t="s">
        <v>3745</v>
      </c>
    </row>
    <row r="2944" spans="1:47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48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1652</v>
      </c>
      <c r="K2944" s="155" t="s">
        <v>712</v>
      </c>
      <c r="L2944" s="17" t="s">
        <v>67</v>
      </c>
      <c r="M2944" s="13" t="s">
        <v>60</v>
      </c>
      <c r="N2944" s="13">
        <v>1</v>
      </c>
      <c r="O2944" s="13"/>
      <c r="P2944" s="33" t="str">
        <f t="shared" si="872"/>
        <v>MAIN UNIT</v>
      </c>
      <c r="Q2944" s="13" t="s">
        <v>61</v>
      </c>
      <c r="R2944" s="13" t="s">
        <v>62</v>
      </c>
      <c r="S2944" s="13" t="s">
        <v>49</v>
      </c>
      <c r="T2944" s="13" t="s">
        <v>78</v>
      </c>
      <c r="U2944" s="13" t="s">
        <v>79</v>
      </c>
      <c r="V2944" s="13" t="s">
        <v>112</v>
      </c>
      <c r="W2944" s="13" t="s">
        <v>109</v>
      </c>
      <c r="X2944" s="135">
        <v>6920000</v>
      </c>
      <c r="Y2944" s="157" t="str">
        <f t="shared" ref="Y2944:Y2950" si="876">IF(W2944="RMB","1.13", "1")</f>
        <v>1</v>
      </c>
      <c r="Z2944" s="18">
        <f t="shared" si="870"/>
        <v>6920000</v>
      </c>
      <c r="AA2944" s="13">
        <v>7.5700000000000003E-2</v>
      </c>
      <c r="AB2944" s="21">
        <f t="shared" si="875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57"/>
        <v>31097187.02948761</v>
      </c>
      <c r="AJ2944" s="19">
        <f t="shared" si="858"/>
        <v>3892353.6644401965</v>
      </c>
      <c r="AK2944" s="20">
        <f t="shared" si="864"/>
        <v>0.12516738767237401</v>
      </c>
      <c r="AL2944" s="17"/>
      <c r="AM2944" s="17"/>
      <c r="AN2944" s="17"/>
      <c r="AO2944" s="17"/>
      <c r="AP2944" s="28" t="str">
        <f t="shared" si="865"/>
        <v>20212</v>
      </c>
      <c r="AQ2944" s="28" t="str">
        <f t="shared" si="866"/>
        <v>20212JPY</v>
      </c>
      <c r="AR2944" s="206" t="str">
        <f t="shared" si="867"/>
        <v>YAMAHA_Mounter</v>
      </c>
      <c r="AS2944" s="22">
        <f t="shared" si="868"/>
        <v>1</v>
      </c>
      <c r="AT2944" s="24" t="str">
        <f t="shared" si="869"/>
        <v>0-3 months</v>
      </c>
      <c r="AU2944" s="22" t="s">
        <v>3745</v>
      </c>
    </row>
    <row r="2945" spans="1:47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53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1877</v>
      </c>
      <c r="K2945" s="155" t="s">
        <v>712</v>
      </c>
      <c r="L2945" s="17" t="s">
        <v>293</v>
      </c>
      <c r="M2945" s="13" t="s">
        <v>60</v>
      </c>
      <c r="N2945" s="13">
        <v>1</v>
      </c>
      <c r="O2945" s="13"/>
      <c r="P2945" s="33" t="str">
        <f t="shared" si="872"/>
        <v>MAIN UNIT</v>
      </c>
      <c r="Q2945" s="13" t="s">
        <v>61</v>
      </c>
      <c r="R2945" s="13" t="s">
        <v>62</v>
      </c>
      <c r="S2945" s="13" t="s">
        <v>49</v>
      </c>
      <c r="T2945" s="13" t="s">
        <v>78</v>
      </c>
      <c r="U2945" s="13" t="s">
        <v>79</v>
      </c>
      <c r="V2945" s="13" t="s">
        <v>112</v>
      </c>
      <c r="W2945" s="13" t="s">
        <v>109</v>
      </c>
      <c r="X2945" s="135">
        <v>21900000</v>
      </c>
      <c r="Y2945" s="157" t="str">
        <f t="shared" si="876"/>
        <v>1</v>
      </c>
      <c r="Z2945" s="18">
        <f t="shared" si="870"/>
        <v>21900000</v>
      </c>
      <c r="AA2945" s="13">
        <v>7.0999999999999994E-2</v>
      </c>
      <c r="AB2945" s="21">
        <f t="shared" si="875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57"/>
        <v>15533177.71460177</v>
      </c>
      <c r="AJ2945" s="19">
        <f t="shared" si="858"/>
        <v>1819298.5437526547</v>
      </c>
      <c r="AK2945" s="20">
        <f t="shared" si="864"/>
        <v>0.11712339723265033</v>
      </c>
      <c r="AL2945" s="17"/>
      <c r="AM2945" s="17"/>
      <c r="AN2945" s="17"/>
      <c r="AO2945" s="17"/>
      <c r="AP2945" s="28" t="str">
        <f t="shared" si="865"/>
        <v>202110</v>
      </c>
      <c r="AQ2945" s="28" t="str">
        <f t="shared" si="866"/>
        <v>202110JPY</v>
      </c>
      <c r="AR2945" s="206" t="str">
        <f t="shared" si="867"/>
        <v>YAMAHA_Mounter</v>
      </c>
      <c r="AS2945" s="22">
        <f t="shared" si="868"/>
        <v>1</v>
      </c>
      <c r="AT2945" s="24" t="str">
        <f t="shared" si="869"/>
        <v>0-3 months</v>
      </c>
      <c r="AU2945" s="22" t="s">
        <v>3745</v>
      </c>
    </row>
    <row r="2946" spans="1:47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54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2305</v>
      </c>
      <c r="K2946" s="155" t="s">
        <v>712</v>
      </c>
      <c r="L2946" s="17" t="s">
        <v>92</v>
      </c>
      <c r="M2946" s="13" t="s">
        <v>60</v>
      </c>
      <c r="N2946" s="13">
        <v>1</v>
      </c>
      <c r="O2946" s="13"/>
      <c r="P2946" s="33" t="str">
        <f t="shared" si="872"/>
        <v>MAIN UNIT</v>
      </c>
      <c r="Q2946" s="13" t="s">
        <v>61</v>
      </c>
      <c r="R2946" s="13" t="s">
        <v>62</v>
      </c>
      <c r="S2946" s="13" t="s">
        <v>49</v>
      </c>
      <c r="T2946" s="13" t="s">
        <v>78</v>
      </c>
      <c r="U2946" s="13" t="s">
        <v>79</v>
      </c>
      <c r="V2946" s="13" t="s">
        <v>112</v>
      </c>
      <c r="W2946" s="13" t="s">
        <v>64</v>
      </c>
      <c r="X2946" s="135">
        <v>826000</v>
      </c>
      <c r="Y2946" s="157" t="str">
        <f t="shared" si="876"/>
        <v>1.13</v>
      </c>
      <c r="Z2946" s="18">
        <f t="shared" si="870"/>
        <v>826000</v>
      </c>
      <c r="AA2946" s="13">
        <v>1.1000000000000001</v>
      </c>
      <c r="AB2946" s="21">
        <f t="shared" si="875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ref="AI2946:AI3009" si="877">IF(P2946="C66 SERVICE","",SUMIFS(AB:AB,F:F,F2946,G:G,G2946,E:E,E2946))</f>
        <v>22717528.991150443</v>
      </c>
      <c r="AJ2946" s="19">
        <f t="shared" ref="AJ2946:AJ3009" si="878">IF(P2946="C66 SERVICE","",SUMIFS(AC:AC,F:F,F2946,G:G,G2946,E:E,E2946))</f>
        <v>3947747.192555753</v>
      </c>
      <c r="AK2946" s="20">
        <f t="shared" si="864"/>
        <v>0.1737753782153679</v>
      </c>
      <c r="AL2946" s="17"/>
      <c r="AM2946" s="17"/>
      <c r="AN2946" s="17"/>
      <c r="AO2946" s="17"/>
      <c r="AP2946" s="28" t="str">
        <f t="shared" si="865"/>
        <v>202210</v>
      </c>
      <c r="AQ2946" s="28" t="str">
        <f t="shared" si="866"/>
        <v>202210RMB</v>
      </c>
      <c r="AR2946" s="206" t="str">
        <f t="shared" si="867"/>
        <v>YAMAHA_Mounter</v>
      </c>
      <c r="AS2946" s="22">
        <f t="shared" si="868"/>
        <v>0</v>
      </c>
      <c r="AT2946" s="24" t="str">
        <f t="shared" si="869"/>
        <v>0-3 months</v>
      </c>
      <c r="AU2946" s="22" t="s">
        <v>3751</v>
      </c>
    </row>
    <row r="2947" spans="1:47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55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2367</v>
      </c>
      <c r="K2947" s="155" t="s">
        <v>712</v>
      </c>
      <c r="L2947" s="17" t="s">
        <v>67</v>
      </c>
      <c r="M2947" s="13" t="s">
        <v>60</v>
      </c>
      <c r="N2947" s="13">
        <v>1</v>
      </c>
      <c r="O2947" s="13"/>
      <c r="P2947" s="33" t="str">
        <f t="shared" si="872"/>
        <v>MAIN UNIT</v>
      </c>
      <c r="Q2947" s="13" t="s">
        <v>61</v>
      </c>
      <c r="R2947" s="13" t="s">
        <v>62</v>
      </c>
      <c r="S2947" s="13" t="s">
        <v>49</v>
      </c>
      <c r="T2947" s="13" t="s">
        <v>78</v>
      </c>
      <c r="U2947" s="13" t="s">
        <v>79</v>
      </c>
      <c r="V2947" s="13" t="s">
        <v>112</v>
      </c>
      <c r="W2947" s="13" t="s">
        <v>64</v>
      </c>
      <c r="X2947" s="135">
        <v>460000</v>
      </c>
      <c r="Y2947" s="157" t="str">
        <f t="shared" si="876"/>
        <v>1.13</v>
      </c>
      <c r="Z2947" s="18">
        <f t="shared" si="870"/>
        <v>460000</v>
      </c>
      <c r="AA2947" s="13">
        <v>1.07</v>
      </c>
      <c r="AB2947" s="21">
        <f t="shared" si="875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77"/>
        <v>5219988.5752212387</v>
      </c>
      <c r="AJ2947" s="19">
        <f t="shared" si="878"/>
        <v>631627.0013460177</v>
      </c>
      <c r="AK2947" s="20">
        <f t="shared" si="864"/>
        <v>0.12100160608478869</v>
      </c>
      <c r="AL2947" s="17"/>
      <c r="AM2947" s="17"/>
      <c r="AN2947" s="17"/>
      <c r="AO2947" s="17"/>
      <c r="AP2947" s="28" t="str">
        <f t="shared" si="865"/>
        <v>202310</v>
      </c>
      <c r="AQ2947" s="28" t="str">
        <f t="shared" si="866"/>
        <v>202310RMB</v>
      </c>
      <c r="AR2947" s="206" t="str">
        <f t="shared" si="867"/>
        <v>YAMAHA_Mounter</v>
      </c>
      <c r="AS2947" s="22">
        <f t="shared" si="868"/>
        <v>2</v>
      </c>
      <c r="AT2947" s="24" t="str">
        <f t="shared" si="869"/>
        <v>0-3 months</v>
      </c>
      <c r="AU2947" s="22" t="s">
        <v>3751</v>
      </c>
    </row>
    <row r="2948" spans="1:47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54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2421</v>
      </c>
      <c r="K2948" s="155" t="s">
        <v>712</v>
      </c>
      <c r="L2948" s="17" t="s">
        <v>67</v>
      </c>
      <c r="M2948" s="13" t="s">
        <v>60</v>
      </c>
      <c r="N2948" s="13">
        <v>1</v>
      </c>
      <c r="O2948" s="13"/>
      <c r="P2948" s="33" t="str">
        <f t="shared" si="872"/>
        <v>MAIN UNIT</v>
      </c>
      <c r="Q2948" s="13" t="s">
        <v>61</v>
      </c>
      <c r="R2948" s="13" t="s">
        <v>62</v>
      </c>
      <c r="S2948" s="13" t="s">
        <v>49</v>
      </c>
      <c r="T2948" s="13" t="s">
        <v>78</v>
      </c>
      <c r="U2948" s="13" t="s">
        <v>79</v>
      </c>
      <c r="V2948" s="13" t="s">
        <v>112</v>
      </c>
      <c r="W2948" s="13" t="s">
        <v>64</v>
      </c>
      <c r="X2948" s="135">
        <v>415000</v>
      </c>
      <c r="Y2948" s="157" t="str">
        <f t="shared" si="876"/>
        <v>1.13</v>
      </c>
      <c r="Z2948" s="18">
        <f t="shared" si="870"/>
        <v>415000</v>
      </c>
      <c r="AA2948" s="13">
        <v>1.1299999999999999</v>
      </c>
      <c r="AB2948" s="21">
        <f t="shared" si="875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77"/>
        <v>33543315.897345133</v>
      </c>
      <c r="AJ2948" s="19">
        <f t="shared" si="878"/>
        <v>4706169.3252984071</v>
      </c>
      <c r="AK2948" s="20">
        <f t="shared" si="864"/>
        <v>0.14030125523967318</v>
      </c>
      <c r="AL2948" s="17"/>
      <c r="AM2948" s="17"/>
      <c r="AN2948" s="17"/>
      <c r="AO2948" s="17"/>
      <c r="AP2948" s="28" t="str">
        <f t="shared" si="865"/>
        <v>20233</v>
      </c>
      <c r="AQ2948" s="28" t="str">
        <f t="shared" si="866"/>
        <v>20233RMB</v>
      </c>
      <c r="AR2948" s="206" t="str">
        <f t="shared" si="867"/>
        <v>YAMAHA_Mounter</v>
      </c>
      <c r="AS2948" s="22">
        <f t="shared" si="868"/>
        <v>1</v>
      </c>
      <c r="AT2948" s="24" t="str">
        <f t="shared" si="869"/>
        <v>0-3 months</v>
      </c>
      <c r="AU2948" s="22" t="s">
        <v>3751</v>
      </c>
    </row>
    <row r="2949" spans="1:47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54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2421</v>
      </c>
      <c r="K2949" s="155" t="s">
        <v>712</v>
      </c>
      <c r="L2949" s="17" t="s">
        <v>67</v>
      </c>
      <c r="M2949" s="13" t="s">
        <v>60</v>
      </c>
      <c r="N2949" s="13">
        <v>1</v>
      </c>
      <c r="O2949" s="13"/>
      <c r="P2949" s="33" t="str">
        <f t="shared" si="872"/>
        <v>MAIN UNIT</v>
      </c>
      <c r="Q2949" s="13" t="s">
        <v>61</v>
      </c>
      <c r="R2949" s="13" t="s">
        <v>62</v>
      </c>
      <c r="S2949" s="13" t="s">
        <v>49</v>
      </c>
      <c r="T2949" s="13" t="s">
        <v>78</v>
      </c>
      <c r="U2949" s="13" t="s">
        <v>79</v>
      </c>
      <c r="V2949" s="13" t="s">
        <v>112</v>
      </c>
      <c r="W2949" s="13" t="s">
        <v>64</v>
      </c>
      <c r="X2949" s="135">
        <v>415000</v>
      </c>
      <c r="Y2949" s="157" t="str">
        <f t="shared" si="876"/>
        <v>1.13</v>
      </c>
      <c r="Z2949" s="18">
        <f t="shared" si="870"/>
        <v>415000</v>
      </c>
      <c r="AA2949" s="13">
        <v>1.1299999999999999</v>
      </c>
      <c r="AB2949" s="21">
        <f t="shared" si="875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77"/>
        <v>33543315.897345133</v>
      </c>
      <c r="AJ2949" s="19">
        <f t="shared" si="878"/>
        <v>4706169.3252984071</v>
      </c>
      <c r="AK2949" s="20">
        <f t="shared" si="864"/>
        <v>0.14030125523967318</v>
      </c>
      <c r="AL2949" s="17"/>
      <c r="AM2949" s="17"/>
      <c r="AN2949" s="17"/>
      <c r="AO2949" s="17"/>
      <c r="AP2949" s="28" t="str">
        <f t="shared" si="865"/>
        <v>20233</v>
      </c>
      <c r="AQ2949" s="28" t="str">
        <f t="shared" si="866"/>
        <v>20233RMB</v>
      </c>
      <c r="AR2949" s="206" t="str">
        <f t="shared" si="867"/>
        <v>YAMAHA_Mounter</v>
      </c>
      <c r="AS2949" s="22">
        <f t="shared" si="868"/>
        <v>1</v>
      </c>
      <c r="AT2949" s="24" t="str">
        <f t="shared" si="869"/>
        <v>0-3 months</v>
      </c>
      <c r="AU2949" s="22" t="s">
        <v>3751</v>
      </c>
    </row>
    <row r="2950" spans="1:47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54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2421</v>
      </c>
      <c r="K2950" s="155" t="s">
        <v>712</v>
      </c>
      <c r="L2950" s="17" t="s">
        <v>67</v>
      </c>
      <c r="M2950" s="13" t="s">
        <v>60</v>
      </c>
      <c r="N2950" s="13">
        <v>1</v>
      </c>
      <c r="O2950" s="13"/>
      <c r="P2950" s="33" t="str">
        <f t="shared" si="872"/>
        <v>MAIN UNIT</v>
      </c>
      <c r="Q2950" s="13" t="s">
        <v>61</v>
      </c>
      <c r="R2950" s="13" t="s">
        <v>62</v>
      </c>
      <c r="S2950" s="13" t="s">
        <v>49</v>
      </c>
      <c r="T2950" s="13" t="s">
        <v>78</v>
      </c>
      <c r="U2950" s="13" t="s">
        <v>79</v>
      </c>
      <c r="V2950" s="13" t="s">
        <v>112</v>
      </c>
      <c r="W2950" s="13" t="s">
        <v>64</v>
      </c>
      <c r="X2950" s="135">
        <v>415000</v>
      </c>
      <c r="Y2950" s="157" t="str">
        <f t="shared" si="876"/>
        <v>1.13</v>
      </c>
      <c r="Z2950" s="18">
        <f t="shared" si="870"/>
        <v>415000</v>
      </c>
      <c r="AA2950" s="13">
        <v>1.1299999999999999</v>
      </c>
      <c r="AB2950" s="21">
        <f t="shared" si="875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si="877"/>
        <v>33543315.897345133</v>
      </c>
      <c r="AJ2950" s="19">
        <f t="shared" si="878"/>
        <v>4706169.3252984071</v>
      </c>
      <c r="AK2950" s="20">
        <f t="shared" ref="AK2950:AK3013" si="884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5">IF(F2950="","",F2950&amp;G2950)</f>
        <v>20233</v>
      </c>
      <c r="AQ2950" s="28" t="str">
        <f t="shared" ref="AQ2950:AQ3013" si="886">IF(W2950="","",F2950&amp;G2950&amp;W2950)</f>
        <v>20233RMB</v>
      </c>
      <c r="AR2950" s="206" t="str">
        <f t="shared" ref="AR2950:AR3013" si="887">IFERROR(IF(AND(M2950="YAMAHA", R2950="C28"), "YAMAHA_Non_Mounter", IF(AND(M2950="YAMAHA", R2950="C49"), "YAMAHA_Mounter", M2950)),"")</f>
        <v>YAMAHA_Mounter</v>
      </c>
      <c r="AS2950" s="22">
        <f t="shared" ref="AS2950:AS3013" si="888">IFERROR(IF(OR(G2950="TBA", G2950=""), "", DATEDIF(DATE(B2950, C2950, 1), DATE(F2950, G2950, 1), "M")),"")</f>
        <v>1</v>
      </c>
      <c r="AT2950" s="24" t="str">
        <f t="shared" ref="AT2950:AT3013" si="889">IF(ISNUMBER(AS2950), IF(AS2950&gt;=0, IF(AS2950&lt;=3, "0-3 months", IF(AS2950&lt;=6, "4-6 months", "&gt; 6 months"))), "")</f>
        <v>0-3 months</v>
      </c>
      <c r="AU2950" s="22" t="s">
        <v>3751</v>
      </c>
    </row>
    <row r="2951" spans="1:47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3088</v>
      </c>
      <c r="K2951" s="155" t="s">
        <v>712</v>
      </c>
      <c r="L2951" s="17" t="s">
        <v>92</v>
      </c>
      <c r="M2951" s="13" t="s">
        <v>60</v>
      </c>
      <c r="N2951" s="13">
        <v>1</v>
      </c>
      <c r="O2951" s="13"/>
      <c r="P2951" s="33" t="str">
        <f t="shared" si="872"/>
        <v>MAIN UNIT</v>
      </c>
      <c r="Q2951" s="13" t="s">
        <v>61</v>
      </c>
      <c r="R2951" s="13" t="s">
        <v>62</v>
      </c>
      <c r="S2951" s="13" t="s">
        <v>49</v>
      </c>
      <c r="T2951" s="13" t="s">
        <v>78</v>
      </c>
      <c r="U2951" s="13" t="s">
        <v>79</v>
      </c>
      <c r="V2951" s="13" t="s">
        <v>112</v>
      </c>
      <c r="W2951" s="13" t="s">
        <v>109</v>
      </c>
      <c r="X2951" s="135">
        <v>12200000</v>
      </c>
      <c r="Y2951" s="157" t="str">
        <f>IF(W2951="","",IF(W2951="RMB","1.13", "1"))</f>
        <v>1</v>
      </c>
      <c r="Z2951" s="18">
        <f t="shared" si="870"/>
        <v>12200000</v>
      </c>
      <c r="AA2951" s="13">
        <v>5.3400000000000003E-2</v>
      </c>
      <c r="AB2951" s="21">
        <f t="shared" si="875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77"/>
        <v>11730565.00042478</v>
      </c>
      <c r="AJ2951" s="19">
        <f t="shared" si="878"/>
        <v>1439625.5685810833</v>
      </c>
      <c r="AK2951" s="20">
        <f t="shared" si="884"/>
        <v>0.12272431622253084</v>
      </c>
      <c r="AL2951" s="17"/>
      <c r="AM2951" s="17"/>
      <c r="AN2951" s="17"/>
      <c r="AO2951" s="17"/>
      <c r="AP2951" s="28" t="str">
        <f t="shared" si="885"/>
        <v>202311</v>
      </c>
      <c r="AQ2951" s="28" t="str">
        <f t="shared" si="886"/>
        <v>202311JPY</v>
      </c>
      <c r="AR2951" s="206" t="str">
        <f t="shared" si="887"/>
        <v>YAMAHA_Mounter</v>
      </c>
      <c r="AS2951" s="22">
        <f t="shared" si="888"/>
        <v>0</v>
      </c>
      <c r="AT2951" s="24" t="str">
        <f t="shared" si="889"/>
        <v>0-3 months</v>
      </c>
      <c r="AU2951" s="22" t="s">
        <v>3745</v>
      </c>
    </row>
    <row r="2952" spans="1:47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3088</v>
      </c>
      <c r="K2952" s="155" t="s">
        <v>712</v>
      </c>
      <c r="L2952" s="17" t="s">
        <v>67</v>
      </c>
      <c r="M2952" s="13" t="s">
        <v>60</v>
      </c>
      <c r="N2952" s="13">
        <v>1</v>
      </c>
      <c r="O2952" s="13"/>
      <c r="P2952" s="33" t="str">
        <f t="shared" si="872"/>
        <v>MAIN UNIT</v>
      </c>
      <c r="Q2952" s="13" t="s">
        <v>61</v>
      </c>
      <c r="R2952" s="13" t="s">
        <v>62</v>
      </c>
      <c r="S2952" s="13" t="s">
        <v>49</v>
      </c>
      <c r="T2952" s="13" t="s">
        <v>78</v>
      </c>
      <c r="U2952" s="13" t="s">
        <v>79</v>
      </c>
      <c r="V2952" s="13" t="s">
        <v>112</v>
      </c>
      <c r="W2952" s="13" t="s">
        <v>109</v>
      </c>
      <c r="X2952" s="135">
        <v>7200000</v>
      </c>
      <c r="Y2952" s="157" t="str">
        <f>IF(W2952="","",IF(W2952="RMB","1.13", "1"))</f>
        <v>1</v>
      </c>
      <c r="Z2952" s="18">
        <f t="shared" si="870"/>
        <v>7200000</v>
      </c>
      <c r="AA2952" s="13">
        <v>5.3400000000000003E-2</v>
      </c>
      <c r="AB2952" s="21">
        <f t="shared" si="875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77"/>
        <v>11730565.00042478</v>
      </c>
      <c r="AJ2952" s="19">
        <f t="shared" si="878"/>
        <v>1439625.5685810833</v>
      </c>
      <c r="AK2952" s="20">
        <f t="shared" si="884"/>
        <v>0.12272431622253084</v>
      </c>
      <c r="AL2952" s="17"/>
      <c r="AM2952" s="17"/>
      <c r="AN2952" s="17"/>
      <c r="AO2952" s="17"/>
      <c r="AP2952" s="28" t="str">
        <f t="shared" si="885"/>
        <v>202311</v>
      </c>
      <c r="AQ2952" s="28" t="str">
        <f t="shared" si="886"/>
        <v>202311JPY</v>
      </c>
      <c r="AR2952" s="206" t="str">
        <f t="shared" si="887"/>
        <v>YAMAHA_Mounter</v>
      </c>
      <c r="AS2952" s="22">
        <f t="shared" si="888"/>
        <v>0</v>
      </c>
      <c r="AT2952" s="24" t="str">
        <f t="shared" si="889"/>
        <v>0-3 months</v>
      </c>
      <c r="AU2952" s="22" t="s">
        <v>3745</v>
      </c>
    </row>
    <row r="2953" spans="1:47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3143</v>
      </c>
      <c r="K2953" s="155" t="s">
        <v>712</v>
      </c>
      <c r="L2953" s="17" t="s">
        <v>2620</v>
      </c>
      <c r="M2953" s="13" t="s">
        <v>60</v>
      </c>
      <c r="N2953" s="13">
        <v>1</v>
      </c>
      <c r="O2953" s="13"/>
      <c r="P2953" s="33" t="str">
        <f t="shared" si="872"/>
        <v>MAIN UNIT</v>
      </c>
      <c r="Q2953" s="13" t="s">
        <v>61</v>
      </c>
      <c r="R2953" s="13" t="s">
        <v>2055</v>
      </c>
      <c r="S2953" s="13" t="s">
        <v>49</v>
      </c>
      <c r="T2953" s="13" t="s">
        <v>78</v>
      </c>
      <c r="U2953" s="13" t="s">
        <v>79</v>
      </c>
      <c r="V2953" s="13" t="s">
        <v>112</v>
      </c>
      <c r="W2953" s="13" t="s">
        <v>109</v>
      </c>
      <c r="X2953" s="135">
        <v>8160000</v>
      </c>
      <c r="Y2953" s="157" t="str">
        <f>IF(W2953="","",IF(W2953="RMB","1.13", "1"))</f>
        <v>1</v>
      </c>
      <c r="Z2953" s="18">
        <f t="shared" si="870"/>
        <v>8160000</v>
      </c>
      <c r="AA2953" s="13">
        <v>5.3100000000000001E-2</v>
      </c>
      <c r="AB2953" s="21">
        <f t="shared" si="875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77"/>
        <v>21241742.157380536</v>
      </c>
      <c r="AJ2953" s="19">
        <f t="shared" si="878"/>
        <v>2987081.1613773629</v>
      </c>
      <c r="AK2953" s="20">
        <f t="shared" si="884"/>
        <v>0.14062317201884914</v>
      </c>
      <c r="AL2953" s="17"/>
      <c r="AM2953" s="17"/>
      <c r="AN2953" s="17"/>
      <c r="AO2953" s="17"/>
      <c r="AP2953" s="28" t="str">
        <f t="shared" si="885"/>
        <v>20243</v>
      </c>
      <c r="AQ2953" s="28" t="str">
        <f t="shared" si="886"/>
        <v>20243JPY</v>
      </c>
      <c r="AR2953" s="206" t="str">
        <f t="shared" si="887"/>
        <v>YAMAHA_Non_Mounter</v>
      </c>
      <c r="AS2953" s="22">
        <f t="shared" si="888"/>
        <v>4</v>
      </c>
      <c r="AT2953" s="24" t="str">
        <f t="shared" si="889"/>
        <v>4-6 months</v>
      </c>
      <c r="AU2953" s="22" t="s">
        <v>3745</v>
      </c>
    </row>
    <row r="2954" spans="1:47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3312</v>
      </c>
      <c r="K2954" s="29" t="s">
        <v>712</v>
      </c>
      <c r="L2954" s="17" t="s">
        <v>92</v>
      </c>
      <c r="M2954" s="13" t="s">
        <v>60</v>
      </c>
      <c r="N2954" s="22">
        <v>1</v>
      </c>
      <c r="O2954" s="22"/>
      <c r="P2954" s="33" t="str">
        <f t="shared" si="872"/>
        <v>MAIN UNIT</v>
      </c>
      <c r="Q2954" s="13" t="s">
        <v>61</v>
      </c>
      <c r="R2954" s="22" t="s">
        <v>62</v>
      </c>
      <c r="S2954" s="22" t="s">
        <v>49</v>
      </c>
      <c r="T2954" s="22" t="s">
        <v>78</v>
      </c>
      <c r="U2954" s="22" t="s">
        <v>2370</v>
      </c>
      <c r="V2954" s="22" t="s">
        <v>112</v>
      </c>
      <c r="W2954" s="22" t="s">
        <v>64</v>
      </c>
      <c r="X2954" s="30">
        <v>669000</v>
      </c>
      <c r="Y2954" s="31" t="str">
        <f>IF(W2954="","",IF(W2954="RMB","1.13", "1"))</f>
        <v>1.13</v>
      </c>
      <c r="Z2954" s="18">
        <f t="shared" ref="Z2954:Z3017" si="890">IF(X2954="","",X2954*MAX(O2954,N2954))</f>
        <v>669000</v>
      </c>
      <c r="AA2954" s="22">
        <v>1.0900000000000001</v>
      </c>
      <c r="AB2954" s="21">
        <f t="shared" si="875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77"/>
        <v>21241742.157380536</v>
      </c>
      <c r="AJ2954" s="27">
        <f t="shared" si="878"/>
        <v>2987081.1613773629</v>
      </c>
      <c r="AK2954" s="28">
        <f t="shared" si="884"/>
        <v>0.14062317201884914</v>
      </c>
      <c r="AL2954" s="24"/>
      <c r="AM2954" s="24"/>
      <c r="AN2954" s="24"/>
      <c r="AO2954" s="24"/>
      <c r="AP2954" s="28" t="str">
        <f t="shared" si="885"/>
        <v>20243</v>
      </c>
      <c r="AQ2954" s="28" t="str">
        <f t="shared" si="886"/>
        <v>20243RMB</v>
      </c>
      <c r="AR2954" s="206" t="str">
        <f t="shared" si="887"/>
        <v>YAMAHA_Mounter</v>
      </c>
      <c r="AS2954" s="22">
        <f t="shared" si="888"/>
        <v>0</v>
      </c>
      <c r="AT2954" s="24" t="str">
        <f t="shared" si="889"/>
        <v>0-3 months</v>
      </c>
      <c r="AU2954" s="22" t="s">
        <v>3751</v>
      </c>
    </row>
    <row r="2955" spans="1:47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3312</v>
      </c>
      <c r="K2955" s="29" t="s">
        <v>712</v>
      </c>
      <c r="L2955" s="17" t="s">
        <v>92</v>
      </c>
      <c r="M2955" s="13" t="s">
        <v>60</v>
      </c>
      <c r="N2955" s="22">
        <v>1</v>
      </c>
      <c r="O2955" s="22"/>
      <c r="P2955" s="33" t="str">
        <f t="shared" si="872"/>
        <v>MAIN UNIT</v>
      </c>
      <c r="Q2955" s="13" t="s">
        <v>61</v>
      </c>
      <c r="R2955" s="22" t="s">
        <v>62</v>
      </c>
      <c r="S2955" s="22" t="s">
        <v>49</v>
      </c>
      <c r="T2955" s="22" t="s">
        <v>78</v>
      </c>
      <c r="U2955" s="22" t="s">
        <v>2370</v>
      </c>
      <c r="V2955" s="22" t="s">
        <v>112</v>
      </c>
      <c r="W2955" s="22" t="s">
        <v>64</v>
      </c>
      <c r="X2955" s="30">
        <v>669000</v>
      </c>
      <c r="Y2955" s="31" t="str">
        <f>IF(W2955="","",IF(W2955="RMB","1.13", "1"))</f>
        <v>1.13</v>
      </c>
      <c r="Z2955" s="18">
        <f t="shared" si="890"/>
        <v>669000</v>
      </c>
      <c r="AA2955" s="22">
        <v>1.0900000000000001</v>
      </c>
      <c r="AB2955" s="21">
        <f t="shared" si="875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77"/>
        <v>21241742.157380536</v>
      </c>
      <c r="AJ2955" s="27">
        <f t="shared" si="878"/>
        <v>2987081.1613773629</v>
      </c>
      <c r="AK2955" s="28">
        <f t="shared" si="884"/>
        <v>0.14062317201884914</v>
      </c>
      <c r="AL2955" s="24"/>
      <c r="AM2955" s="24"/>
      <c r="AN2955" s="24"/>
      <c r="AO2955" s="24"/>
      <c r="AP2955" s="28" t="str">
        <f t="shared" si="885"/>
        <v>20243</v>
      </c>
      <c r="AQ2955" s="28" t="str">
        <f t="shared" si="886"/>
        <v>20243RMB</v>
      </c>
      <c r="AR2955" s="206" t="str">
        <f t="shared" si="887"/>
        <v>YAMAHA_Mounter</v>
      </c>
      <c r="AS2955" s="22">
        <f t="shared" si="888"/>
        <v>0</v>
      </c>
      <c r="AT2955" s="24" t="str">
        <f t="shared" si="889"/>
        <v>0-3 months</v>
      </c>
      <c r="AU2955" s="22" t="s">
        <v>3751</v>
      </c>
    </row>
    <row r="2956" spans="1:47" s="12" customFormat="1">
      <c r="A2956" s="33" t="str">
        <f t="shared" si="879"/>
        <v>cancel</v>
      </c>
      <c r="B2956" s="152"/>
      <c r="C2956" s="152" t="s">
        <v>185</v>
      </c>
      <c r="D2956" s="33" t="str">
        <f t="shared" si="880"/>
        <v/>
      </c>
      <c r="E2956" s="33" t="s">
        <v>185</v>
      </c>
      <c r="F2956" s="13" t="s">
        <v>185</v>
      </c>
      <c r="G2956" s="152" t="s">
        <v>185</v>
      </c>
      <c r="H2956" s="155"/>
      <c r="I2956" s="33" t="str">
        <f t="shared" si="881"/>
        <v>Cancel</v>
      </c>
      <c r="J2956" s="186" t="s">
        <v>2752</v>
      </c>
      <c r="K2956" s="155" t="s">
        <v>2753</v>
      </c>
      <c r="L2956" s="17" t="s">
        <v>67</v>
      </c>
      <c r="M2956" s="13" t="s">
        <v>60</v>
      </c>
      <c r="N2956" s="13">
        <v>1</v>
      </c>
      <c r="O2956" s="13"/>
      <c r="P2956" s="33" t="str">
        <f t="shared" si="872"/>
        <v>MAIN UNIT</v>
      </c>
      <c r="Q2956" s="13" t="s">
        <v>68</v>
      </c>
      <c r="R2956" s="13" t="s">
        <v>62</v>
      </c>
      <c r="S2956" s="13" t="s">
        <v>49</v>
      </c>
      <c r="T2956" s="13" t="s">
        <v>78</v>
      </c>
      <c r="U2956" s="13" t="s">
        <v>79</v>
      </c>
      <c r="V2956" s="13" t="s">
        <v>311</v>
      </c>
      <c r="W2956" s="13" t="s">
        <v>109</v>
      </c>
      <c r="X2956" s="135">
        <v>6500000</v>
      </c>
      <c r="Y2956" s="156">
        <v>1</v>
      </c>
      <c r="Z2956" s="18">
        <f t="shared" si="890"/>
        <v>6500000</v>
      </c>
      <c r="AA2956" s="13">
        <v>7.4899999999999994E-2</v>
      </c>
      <c r="AB2956" s="21">
        <f t="shared" si="875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77"/>
        <v>499582152.5142017</v>
      </c>
      <c r="AJ2956" s="19">
        <f t="shared" si="878"/>
        <v>59520528.679470733</v>
      </c>
      <c r="AK2956" s="20">
        <f t="shared" si="884"/>
        <v>0.11914062257814291</v>
      </c>
      <c r="AL2956" s="17"/>
      <c r="AM2956" s="17"/>
      <c r="AN2956" s="17"/>
      <c r="AO2956" s="17"/>
      <c r="AP2956" s="28" t="str">
        <f t="shared" si="885"/>
        <v>CancelCancel</v>
      </c>
      <c r="AQ2956" s="28" t="str">
        <f t="shared" si="886"/>
        <v>CancelCancelJPY</v>
      </c>
      <c r="AR2956" s="206" t="str">
        <f t="shared" si="887"/>
        <v>YAMAHA_Mounter</v>
      </c>
      <c r="AS2956" s="22" t="str">
        <f t="shared" si="888"/>
        <v/>
      </c>
      <c r="AT2956" s="24" t="str">
        <f t="shared" si="889"/>
        <v/>
      </c>
      <c r="AU2956" s="22" t="s">
        <v>3745</v>
      </c>
    </row>
    <row r="2957" spans="1:47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41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517</v>
      </c>
      <c r="K2957" s="155" t="s">
        <v>518</v>
      </c>
      <c r="L2957" s="17" t="s">
        <v>67</v>
      </c>
      <c r="M2957" s="13" t="s">
        <v>60</v>
      </c>
      <c r="N2957" s="13">
        <v>1</v>
      </c>
      <c r="O2957" s="13"/>
      <c r="P2957" s="33" t="str">
        <f t="shared" si="872"/>
        <v>MAIN UNIT</v>
      </c>
      <c r="Q2957" s="13" t="s">
        <v>61</v>
      </c>
      <c r="R2957" s="13" t="s">
        <v>62</v>
      </c>
      <c r="S2957" s="13" t="s">
        <v>49</v>
      </c>
      <c r="T2957" s="13" t="s">
        <v>78</v>
      </c>
      <c r="U2957" s="13" t="s">
        <v>79</v>
      </c>
      <c r="V2957" s="13" t="s">
        <v>134</v>
      </c>
      <c r="W2957" s="13" t="s">
        <v>109</v>
      </c>
      <c r="X2957" s="135">
        <v>9000000</v>
      </c>
      <c r="Y2957" s="156">
        <v>1</v>
      </c>
      <c r="Z2957" s="18">
        <f t="shared" si="890"/>
        <v>9000000</v>
      </c>
      <c r="AA2957" s="13">
        <v>7.0199999999999999E-2</v>
      </c>
      <c r="AB2957" s="21">
        <f t="shared" si="875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77"/>
        <v>10786543.370020689</v>
      </c>
      <c r="AJ2957" s="19">
        <f t="shared" si="878"/>
        <v>1330367.5841569281</v>
      </c>
      <c r="AK2957" s="20">
        <f t="shared" si="884"/>
        <v>0.123335858255987</v>
      </c>
      <c r="AL2957" s="17"/>
      <c r="AM2957" s="17"/>
      <c r="AN2957" s="17"/>
      <c r="AO2957" s="17"/>
      <c r="AP2957" s="28" t="str">
        <f t="shared" si="885"/>
        <v>201810</v>
      </c>
      <c r="AQ2957" s="28" t="str">
        <f t="shared" si="886"/>
        <v>201810JPY</v>
      </c>
      <c r="AR2957" s="206" t="str">
        <f t="shared" si="887"/>
        <v>YAMAHA_Mounter</v>
      </c>
      <c r="AS2957" s="22">
        <f t="shared" si="888"/>
        <v>0</v>
      </c>
      <c r="AT2957" s="24" t="str">
        <f t="shared" si="889"/>
        <v>0-3 months</v>
      </c>
      <c r="AU2957" s="22" t="s">
        <v>3746</v>
      </c>
    </row>
    <row r="2958" spans="1:47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41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517</v>
      </c>
      <c r="K2958" s="155" t="s">
        <v>518</v>
      </c>
      <c r="L2958" s="17" t="s">
        <v>92</v>
      </c>
      <c r="M2958" s="13" t="s">
        <v>60</v>
      </c>
      <c r="N2958" s="13">
        <v>1</v>
      </c>
      <c r="O2958" s="13"/>
      <c r="P2958" s="33" t="str">
        <f t="shared" si="872"/>
        <v>MAIN UNIT</v>
      </c>
      <c r="Q2958" s="13" t="s">
        <v>61</v>
      </c>
      <c r="R2958" s="13" t="s">
        <v>62</v>
      </c>
      <c r="S2958" s="13" t="s">
        <v>49</v>
      </c>
      <c r="T2958" s="13" t="s">
        <v>78</v>
      </c>
      <c r="U2958" s="13" t="s">
        <v>79</v>
      </c>
      <c r="V2958" s="13" t="s">
        <v>134</v>
      </c>
      <c r="W2958" s="13" t="s">
        <v>109</v>
      </c>
      <c r="X2958" s="135">
        <v>14000000</v>
      </c>
      <c r="Y2958" s="156">
        <v>1</v>
      </c>
      <c r="Z2958" s="18">
        <f t="shared" si="890"/>
        <v>14000000</v>
      </c>
      <c r="AA2958" s="13">
        <v>7.0199999999999999E-2</v>
      </c>
      <c r="AB2958" s="21">
        <f t="shared" si="875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77"/>
        <v>10786543.370020689</v>
      </c>
      <c r="AJ2958" s="19">
        <f t="shared" si="878"/>
        <v>1330367.5841569281</v>
      </c>
      <c r="AK2958" s="20">
        <f t="shared" si="884"/>
        <v>0.123335858255987</v>
      </c>
      <c r="AL2958" s="17"/>
      <c r="AM2958" s="17"/>
      <c r="AN2958" s="17"/>
      <c r="AO2958" s="17"/>
      <c r="AP2958" s="28" t="str">
        <f t="shared" si="885"/>
        <v>201810</v>
      </c>
      <c r="AQ2958" s="28" t="str">
        <f t="shared" si="886"/>
        <v>201810JPY</v>
      </c>
      <c r="AR2958" s="206" t="str">
        <f t="shared" si="887"/>
        <v>YAMAHA_Mounter</v>
      </c>
      <c r="AS2958" s="22">
        <f t="shared" si="888"/>
        <v>0</v>
      </c>
      <c r="AT2958" s="24" t="str">
        <f t="shared" si="889"/>
        <v>0-3 months</v>
      </c>
      <c r="AU2958" s="22" t="s">
        <v>3746</v>
      </c>
    </row>
    <row r="2959" spans="1:47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41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517</v>
      </c>
      <c r="K2959" s="155" t="s">
        <v>518</v>
      </c>
      <c r="L2959" s="17" t="s">
        <v>92</v>
      </c>
      <c r="M2959" s="13" t="s">
        <v>60</v>
      </c>
      <c r="N2959" s="13">
        <v>1</v>
      </c>
      <c r="O2959" s="13"/>
      <c r="P2959" s="33" t="str">
        <f t="shared" si="872"/>
        <v>MAIN UNIT</v>
      </c>
      <c r="Q2959" s="13" t="s">
        <v>61</v>
      </c>
      <c r="R2959" s="13" t="s">
        <v>62</v>
      </c>
      <c r="S2959" s="13" t="s">
        <v>49</v>
      </c>
      <c r="T2959" s="13" t="s">
        <v>78</v>
      </c>
      <c r="U2959" s="13" t="s">
        <v>79</v>
      </c>
      <c r="V2959" s="13" t="s">
        <v>134</v>
      </c>
      <c r="W2959" s="13" t="s">
        <v>109</v>
      </c>
      <c r="X2959" s="135">
        <v>14000000</v>
      </c>
      <c r="Y2959" s="156">
        <v>1</v>
      </c>
      <c r="Z2959" s="18">
        <f t="shared" si="890"/>
        <v>14000000</v>
      </c>
      <c r="AA2959" s="13">
        <v>7.0199999999999999E-2</v>
      </c>
      <c r="AB2959" s="21">
        <f t="shared" si="875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77"/>
        <v>10786543.370020689</v>
      </c>
      <c r="AJ2959" s="19">
        <f t="shared" si="878"/>
        <v>1330367.5841569281</v>
      </c>
      <c r="AK2959" s="20">
        <f t="shared" si="884"/>
        <v>0.123335858255987</v>
      </c>
      <c r="AL2959" s="17"/>
      <c r="AM2959" s="17"/>
      <c r="AN2959" s="17"/>
      <c r="AO2959" s="17"/>
      <c r="AP2959" s="28" t="str">
        <f t="shared" si="885"/>
        <v>201810</v>
      </c>
      <c r="AQ2959" s="28" t="str">
        <f t="shared" si="886"/>
        <v>201810JPY</v>
      </c>
      <c r="AR2959" s="206" t="str">
        <f t="shared" si="887"/>
        <v>YAMAHA_Mounter</v>
      </c>
      <c r="AS2959" s="22">
        <f t="shared" si="888"/>
        <v>0</v>
      </c>
      <c r="AT2959" s="24" t="str">
        <f t="shared" si="889"/>
        <v>0-3 months</v>
      </c>
      <c r="AU2959" s="22" t="s">
        <v>3746</v>
      </c>
    </row>
    <row r="2960" spans="1:47" s="12" customFormat="1">
      <c r="A2960" s="33" t="str">
        <f t="shared" si="879"/>
        <v>cancel</v>
      </c>
      <c r="B2960" s="152"/>
      <c r="C2960" s="152" t="s">
        <v>185</v>
      </c>
      <c r="D2960" s="33" t="str">
        <f t="shared" si="880"/>
        <v/>
      </c>
      <c r="E2960" s="33" t="s">
        <v>185</v>
      </c>
      <c r="F2960" s="13" t="s">
        <v>185</v>
      </c>
      <c r="G2960" s="152" t="s">
        <v>185</v>
      </c>
      <c r="H2960" s="155"/>
      <c r="I2960" s="33" t="str">
        <f t="shared" si="881"/>
        <v>Cancel</v>
      </c>
      <c r="J2960" s="186" t="s">
        <v>2673</v>
      </c>
      <c r="K2960" s="155" t="s">
        <v>2674</v>
      </c>
      <c r="L2960" s="17" t="s">
        <v>67</v>
      </c>
      <c r="M2960" s="13" t="s">
        <v>60</v>
      </c>
      <c r="N2960" s="13">
        <v>1</v>
      </c>
      <c r="O2960" s="13"/>
      <c r="P2960" s="33" t="str">
        <f t="shared" si="872"/>
        <v>MAIN UNIT</v>
      </c>
      <c r="Q2960" s="13" t="s">
        <v>61</v>
      </c>
      <c r="R2960" s="13" t="s">
        <v>62</v>
      </c>
      <c r="S2960" s="13" t="s">
        <v>49</v>
      </c>
      <c r="T2960" s="13" t="s">
        <v>78</v>
      </c>
      <c r="U2960" s="13" t="s">
        <v>79</v>
      </c>
      <c r="V2960" s="13" t="s">
        <v>134</v>
      </c>
      <c r="W2960" s="13" t="s">
        <v>109</v>
      </c>
      <c r="X2960" s="135">
        <v>9000000</v>
      </c>
      <c r="Y2960" s="156">
        <v>1</v>
      </c>
      <c r="Z2960" s="18">
        <f t="shared" si="890"/>
        <v>9000000</v>
      </c>
      <c r="AA2960" s="13">
        <v>7.17E-2</v>
      </c>
      <c r="AB2960" s="21">
        <f t="shared" si="875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77"/>
        <v>499582152.5142017</v>
      </c>
      <c r="AJ2960" s="19">
        <f t="shared" si="878"/>
        <v>59520528.679470733</v>
      </c>
      <c r="AK2960" s="20">
        <f t="shared" si="884"/>
        <v>0.11914062257814291</v>
      </c>
      <c r="AL2960" s="17"/>
      <c r="AM2960" s="17"/>
      <c r="AN2960" s="17"/>
      <c r="AO2960" s="17"/>
      <c r="AP2960" s="28" t="str">
        <f t="shared" si="885"/>
        <v>CancelCancel</v>
      </c>
      <c r="AQ2960" s="28" t="str">
        <f t="shared" si="886"/>
        <v>CancelCancelJPY</v>
      </c>
      <c r="AR2960" s="206" t="str">
        <f t="shared" si="887"/>
        <v>YAMAHA_Mounter</v>
      </c>
      <c r="AS2960" s="22" t="str">
        <f t="shared" si="888"/>
        <v/>
      </c>
      <c r="AT2960" s="24" t="str">
        <f t="shared" si="889"/>
        <v/>
      </c>
      <c r="AU2960" s="22" t="s">
        <v>3746</v>
      </c>
    </row>
    <row r="2961" spans="1:47" s="12" customFormat="1">
      <c r="A2961" s="33" t="str">
        <f t="shared" si="879"/>
        <v>cancel</v>
      </c>
      <c r="B2961" s="152"/>
      <c r="C2961" s="152" t="s">
        <v>185</v>
      </c>
      <c r="D2961" s="33" t="str">
        <f t="shared" si="880"/>
        <v/>
      </c>
      <c r="E2961" s="33" t="s">
        <v>185</v>
      </c>
      <c r="F2961" s="13" t="s">
        <v>185</v>
      </c>
      <c r="G2961" s="152" t="s">
        <v>185</v>
      </c>
      <c r="H2961" s="155"/>
      <c r="I2961" s="33" t="str">
        <f t="shared" si="881"/>
        <v>Cancel</v>
      </c>
      <c r="J2961" s="186" t="s">
        <v>2673</v>
      </c>
      <c r="K2961" s="155" t="s">
        <v>2674</v>
      </c>
      <c r="L2961" s="17" t="s">
        <v>67</v>
      </c>
      <c r="M2961" s="13" t="s">
        <v>60</v>
      </c>
      <c r="N2961" s="13">
        <v>1</v>
      </c>
      <c r="O2961" s="13"/>
      <c r="P2961" s="33" t="str">
        <f t="shared" si="872"/>
        <v>MAIN UNIT</v>
      </c>
      <c r="Q2961" s="13" t="s">
        <v>61</v>
      </c>
      <c r="R2961" s="13" t="s">
        <v>62</v>
      </c>
      <c r="S2961" s="13" t="s">
        <v>49</v>
      </c>
      <c r="T2961" s="13" t="s">
        <v>78</v>
      </c>
      <c r="U2961" s="13" t="s">
        <v>79</v>
      </c>
      <c r="V2961" s="13" t="s">
        <v>134</v>
      </c>
      <c r="W2961" s="13" t="s">
        <v>109</v>
      </c>
      <c r="X2961" s="135">
        <v>9000000</v>
      </c>
      <c r="Y2961" s="156">
        <v>1</v>
      </c>
      <c r="Z2961" s="18">
        <f t="shared" si="890"/>
        <v>9000000</v>
      </c>
      <c r="AA2961" s="13">
        <v>7.17E-2</v>
      </c>
      <c r="AB2961" s="21">
        <f t="shared" si="875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77"/>
        <v>499582152.5142017</v>
      </c>
      <c r="AJ2961" s="19">
        <f t="shared" si="878"/>
        <v>59520528.679470733</v>
      </c>
      <c r="AK2961" s="20">
        <f t="shared" si="884"/>
        <v>0.11914062257814291</v>
      </c>
      <c r="AL2961" s="17"/>
      <c r="AM2961" s="17"/>
      <c r="AN2961" s="17"/>
      <c r="AO2961" s="17"/>
      <c r="AP2961" s="28" t="str">
        <f t="shared" si="885"/>
        <v>CancelCancel</v>
      </c>
      <c r="AQ2961" s="28" t="str">
        <f t="shared" si="886"/>
        <v>CancelCancelJPY</v>
      </c>
      <c r="AR2961" s="206" t="str">
        <f t="shared" si="887"/>
        <v>YAMAHA_Mounter</v>
      </c>
      <c r="AS2961" s="22" t="str">
        <f t="shared" si="888"/>
        <v/>
      </c>
      <c r="AT2961" s="24" t="str">
        <f t="shared" si="889"/>
        <v/>
      </c>
      <c r="AU2961" s="22" t="s">
        <v>3746</v>
      </c>
    </row>
    <row r="2962" spans="1:47" s="12" customFormat="1">
      <c r="A2962" s="33" t="str">
        <f t="shared" si="879"/>
        <v>cancel</v>
      </c>
      <c r="B2962" s="152"/>
      <c r="C2962" s="152" t="s">
        <v>185</v>
      </c>
      <c r="D2962" s="33" t="str">
        <f t="shared" si="880"/>
        <v/>
      </c>
      <c r="E2962" s="33" t="s">
        <v>185</v>
      </c>
      <c r="F2962" s="13" t="s">
        <v>185</v>
      </c>
      <c r="G2962" s="152" t="s">
        <v>185</v>
      </c>
      <c r="H2962" s="155"/>
      <c r="I2962" s="33" t="str">
        <f t="shared" si="881"/>
        <v>Cancel</v>
      </c>
      <c r="J2962" s="186" t="s">
        <v>2673</v>
      </c>
      <c r="K2962" s="155" t="s">
        <v>2674</v>
      </c>
      <c r="L2962" s="17" t="s">
        <v>92</v>
      </c>
      <c r="M2962" s="13" t="s">
        <v>60</v>
      </c>
      <c r="N2962" s="13">
        <v>1</v>
      </c>
      <c r="O2962" s="13"/>
      <c r="P2962" s="33" t="str">
        <f t="shared" si="872"/>
        <v>MAIN UNIT</v>
      </c>
      <c r="Q2962" s="13" t="s">
        <v>61</v>
      </c>
      <c r="R2962" s="13" t="s">
        <v>62</v>
      </c>
      <c r="S2962" s="13" t="s">
        <v>49</v>
      </c>
      <c r="T2962" s="13" t="s">
        <v>78</v>
      </c>
      <c r="U2962" s="13" t="s">
        <v>79</v>
      </c>
      <c r="V2962" s="13" t="s">
        <v>134</v>
      </c>
      <c r="W2962" s="13" t="s">
        <v>109</v>
      </c>
      <c r="X2962" s="135">
        <v>13275000</v>
      </c>
      <c r="Y2962" s="156">
        <v>1</v>
      </c>
      <c r="Z2962" s="18">
        <f t="shared" si="890"/>
        <v>13275000</v>
      </c>
      <c r="AA2962" s="13">
        <v>7.1599999999999997E-2</v>
      </c>
      <c r="AB2962" s="21">
        <f t="shared" si="875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77"/>
        <v>499582152.5142017</v>
      </c>
      <c r="AJ2962" s="19">
        <f t="shared" si="878"/>
        <v>59520528.679470733</v>
      </c>
      <c r="AK2962" s="20">
        <f t="shared" si="884"/>
        <v>0.11914062257814291</v>
      </c>
      <c r="AL2962" s="17"/>
      <c r="AM2962" s="17"/>
      <c r="AN2962" s="17"/>
      <c r="AO2962" s="17"/>
      <c r="AP2962" s="28" t="str">
        <f t="shared" si="885"/>
        <v>CancelCancel</v>
      </c>
      <c r="AQ2962" s="28" t="str">
        <f t="shared" si="886"/>
        <v>CancelCancelJPY</v>
      </c>
      <c r="AR2962" s="206" t="str">
        <f t="shared" si="887"/>
        <v>YAMAHA_Mounter</v>
      </c>
      <c r="AS2962" s="22" t="str">
        <f t="shared" si="888"/>
        <v/>
      </c>
      <c r="AT2962" s="24" t="str">
        <f t="shared" si="889"/>
        <v/>
      </c>
      <c r="AU2962" s="22" t="s">
        <v>3746</v>
      </c>
    </row>
    <row r="2963" spans="1:47" s="12" customFormat="1">
      <c r="A2963" s="33" t="str">
        <f t="shared" si="879"/>
        <v>cancel</v>
      </c>
      <c r="B2963" s="152"/>
      <c r="C2963" s="152" t="s">
        <v>185</v>
      </c>
      <c r="D2963" s="33" t="str">
        <f t="shared" si="880"/>
        <v/>
      </c>
      <c r="E2963" s="33" t="s">
        <v>185</v>
      </c>
      <c r="F2963" s="13" t="s">
        <v>185</v>
      </c>
      <c r="G2963" s="152" t="s">
        <v>185</v>
      </c>
      <c r="H2963" s="155"/>
      <c r="I2963" s="33" t="str">
        <f t="shared" si="881"/>
        <v>Cancel</v>
      </c>
      <c r="J2963" s="186" t="s">
        <v>2673</v>
      </c>
      <c r="K2963" s="155" t="s">
        <v>2674</v>
      </c>
      <c r="L2963" s="17" t="s">
        <v>92</v>
      </c>
      <c r="M2963" s="13" t="s">
        <v>60</v>
      </c>
      <c r="N2963" s="13">
        <v>1</v>
      </c>
      <c r="O2963" s="13"/>
      <c r="P2963" s="33" t="str">
        <f t="shared" si="872"/>
        <v>MAIN UNIT</v>
      </c>
      <c r="Q2963" s="13" t="s">
        <v>61</v>
      </c>
      <c r="R2963" s="13" t="s">
        <v>62</v>
      </c>
      <c r="S2963" s="13" t="s">
        <v>49</v>
      </c>
      <c r="T2963" s="13" t="s">
        <v>78</v>
      </c>
      <c r="U2963" s="13" t="s">
        <v>79</v>
      </c>
      <c r="V2963" s="13" t="s">
        <v>134</v>
      </c>
      <c r="W2963" s="13" t="s">
        <v>109</v>
      </c>
      <c r="X2963" s="135">
        <v>13275000</v>
      </c>
      <c r="Y2963" s="156">
        <v>1</v>
      </c>
      <c r="Z2963" s="18">
        <f t="shared" si="890"/>
        <v>13275000</v>
      </c>
      <c r="AA2963" s="13">
        <v>7.17E-2</v>
      </c>
      <c r="AB2963" s="21">
        <f t="shared" si="875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77"/>
        <v>499582152.5142017</v>
      </c>
      <c r="AJ2963" s="19">
        <f t="shared" si="878"/>
        <v>59520528.679470733</v>
      </c>
      <c r="AK2963" s="20">
        <f t="shared" si="884"/>
        <v>0.11914062257814291</v>
      </c>
      <c r="AL2963" s="17"/>
      <c r="AM2963" s="17"/>
      <c r="AN2963" s="17"/>
      <c r="AO2963" s="17"/>
      <c r="AP2963" s="28" t="str">
        <f t="shared" si="885"/>
        <v>CancelCancel</v>
      </c>
      <c r="AQ2963" s="28" t="str">
        <f t="shared" si="886"/>
        <v>CancelCancelJPY</v>
      </c>
      <c r="AR2963" s="206" t="str">
        <f t="shared" si="887"/>
        <v>YAMAHA_Mounter</v>
      </c>
      <c r="AS2963" s="22" t="str">
        <f t="shared" si="888"/>
        <v/>
      </c>
      <c r="AT2963" s="24" t="str">
        <f t="shared" si="889"/>
        <v/>
      </c>
      <c r="AU2963" s="22" t="s">
        <v>3746</v>
      </c>
    </row>
    <row r="2964" spans="1:47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47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1252</v>
      </c>
      <c r="K2964" s="155" t="s">
        <v>1253</v>
      </c>
      <c r="L2964" s="17" t="s">
        <v>92</v>
      </c>
      <c r="M2964" s="13" t="s">
        <v>60</v>
      </c>
      <c r="N2964" s="13">
        <v>1</v>
      </c>
      <c r="O2964" s="13"/>
      <c r="P2964" s="33" t="str">
        <f t="shared" si="872"/>
        <v>MAIN UNIT</v>
      </c>
      <c r="Q2964" s="13" t="s">
        <v>68</v>
      </c>
      <c r="R2964" s="13" t="s">
        <v>62</v>
      </c>
      <c r="S2964" s="13" t="s">
        <v>49</v>
      </c>
      <c r="T2964" s="13" t="s">
        <v>78</v>
      </c>
      <c r="U2964" s="13" t="s">
        <v>79</v>
      </c>
      <c r="V2964" s="13" t="s">
        <v>725</v>
      </c>
      <c r="W2964" s="13" t="s">
        <v>109</v>
      </c>
      <c r="X2964" s="135">
        <v>14500000</v>
      </c>
      <c r="Y2964" s="156">
        <v>1</v>
      </c>
      <c r="Z2964" s="18">
        <f t="shared" si="890"/>
        <v>14500000</v>
      </c>
      <c r="AA2964" s="13">
        <v>7.2999999999999995E-2</v>
      </c>
      <c r="AB2964" s="21">
        <f t="shared" si="875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77"/>
        <v>23168285.927433632</v>
      </c>
      <c r="AJ2964" s="19">
        <f t="shared" si="878"/>
        <v>2764878.916878053</v>
      </c>
      <c r="AK2964" s="20">
        <f t="shared" si="884"/>
        <v>0.11933895004309111</v>
      </c>
      <c r="AL2964" s="17"/>
      <c r="AM2964" s="17"/>
      <c r="AN2964" s="17"/>
      <c r="AO2964" s="17"/>
      <c r="AP2964" s="28" t="str">
        <f t="shared" si="885"/>
        <v>20203</v>
      </c>
      <c r="AQ2964" s="28" t="str">
        <f t="shared" si="886"/>
        <v>20203JPY</v>
      </c>
      <c r="AR2964" s="206" t="str">
        <f t="shared" si="887"/>
        <v>YAMAHA_Mounter</v>
      </c>
      <c r="AS2964" s="22">
        <f t="shared" si="888"/>
        <v>2</v>
      </c>
      <c r="AT2964" s="24" t="str">
        <f t="shared" si="889"/>
        <v>0-3 months</v>
      </c>
      <c r="AU2964" s="22" t="s">
        <v>3745</v>
      </c>
    </row>
    <row r="2965" spans="1:47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185</v>
      </c>
      <c r="G2965" s="152" t="s">
        <v>185</v>
      </c>
      <c r="H2965" s="155"/>
      <c r="I2965" s="33" t="str">
        <f t="shared" si="881"/>
        <v>Cancel</v>
      </c>
      <c r="J2965" s="186" t="s">
        <v>2241</v>
      </c>
      <c r="K2965" s="155" t="s">
        <v>1747</v>
      </c>
      <c r="L2965" s="17" t="s">
        <v>92</v>
      </c>
      <c r="M2965" s="13" t="s">
        <v>60</v>
      </c>
      <c r="N2965" s="13">
        <v>1</v>
      </c>
      <c r="O2965" s="13"/>
      <c r="P2965" s="33" t="str">
        <f t="shared" si="872"/>
        <v>MAIN UNIT</v>
      </c>
      <c r="Q2965" s="13" t="s">
        <v>61</v>
      </c>
      <c r="R2965" s="22" t="s">
        <v>62</v>
      </c>
      <c r="S2965" s="13" t="s">
        <v>49</v>
      </c>
      <c r="T2965" s="13" t="s">
        <v>78</v>
      </c>
      <c r="U2965" s="13" t="s">
        <v>79</v>
      </c>
      <c r="V2965" s="13" t="s">
        <v>126</v>
      </c>
      <c r="W2965" s="13" t="s">
        <v>109</v>
      </c>
      <c r="X2965" s="135">
        <v>13900000</v>
      </c>
      <c r="Y2965" s="157" t="str">
        <f>IF(W2965="RMB","1.13", "1")</f>
        <v>1</v>
      </c>
      <c r="Z2965" s="18">
        <f t="shared" si="890"/>
        <v>13900000</v>
      </c>
      <c r="AA2965" s="13">
        <v>5.5599999999999997E-2</v>
      </c>
      <c r="AB2965" s="21">
        <f t="shared" si="875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77"/>
        <v>499582152.5142017</v>
      </c>
      <c r="AJ2965" s="19">
        <f t="shared" si="878"/>
        <v>59520528.679470733</v>
      </c>
      <c r="AK2965" s="20">
        <f t="shared" si="884"/>
        <v>0.11914062257814291</v>
      </c>
      <c r="AL2965" s="17"/>
      <c r="AM2965" s="17"/>
      <c r="AN2965" s="17"/>
      <c r="AO2965" s="17"/>
      <c r="AP2965" s="28" t="str">
        <f t="shared" si="885"/>
        <v>CancelCancel</v>
      </c>
      <c r="AQ2965" s="28" t="str">
        <f t="shared" si="886"/>
        <v>CancelCancelJPY</v>
      </c>
      <c r="AR2965" s="206" t="str">
        <f t="shared" si="887"/>
        <v>YAMAHA_Mounter</v>
      </c>
      <c r="AS2965" s="22" t="str">
        <f t="shared" si="888"/>
        <v/>
      </c>
      <c r="AT2965" s="24" t="str">
        <f t="shared" si="889"/>
        <v/>
      </c>
      <c r="AU2965" s="22" t="s">
        <v>3746</v>
      </c>
    </row>
    <row r="2966" spans="1:47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185</v>
      </c>
      <c r="G2966" s="152" t="s">
        <v>185</v>
      </c>
      <c r="H2966" s="155"/>
      <c r="I2966" s="33" t="str">
        <f t="shared" si="881"/>
        <v>Cancel</v>
      </c>
      <c r="J2966" s="186" t="s">
        <v>2241</v>
      </c>
      <c r="K2966" s="155" t="s">
        <v>1747</v>
      </c>
      <c r="L2966" s="17" t="s">
        <v>92</v>
      </c>
      <c r="M2966" s="13" t="s">
        <v>60</v>
      </c>
      <c r="N2966" s="13">
        <v>1</v>
      </c>
      <c r="O2966" s="13"/>
      <c r="P2966" s="33" t="str">
        <f t="shared" ref="P2966:P3029" si="891">IF(M2966="","",IF(AND(N2966&gt;0,L2966&lt;&gt;""),"MAIN UNIT",IF(AND(O2966&gt;0,L2966&lt;&gt;""),"SERVICE/ PARTS","C66 SERVICE/OTHERS")))</f>
        <v>MAIN UNIT</v>
      </c>
      <c r="Q2966" s="13" t="s">
        <v>61</v>
      </c>
      <c r="R2966" s="22" t="s">
        <v>62</v>
      </c>
      <c r="S2966" s="13" t="s">
        <v>49</v>
      </c>
      <c r="T2966" s="13" t="s">
        <v>78</v>
      </c>
      <c r="U2966" s="13" t="s">
        <v>79</v>
      </c>
      <c r="V2966" s="13" t="s">
        <v>126</v>
      </c>
      <c r="W2966" s="13" t="s">
        <v>109</v>
      </c>
      <c r="X2966" s="135">
        <v>13900000</v>
      </c>
      <c r="Y2966" s="157" t="str">
        <f>IF(W2966="RMB","1.13", "1")</f>
        <v>1</v>
      </c>
      <c r="Z2966" s="18">
        <f t="shared" si="890"/>
        <v>13900000</v>
      </c>
      <c r="AA2966" s="13">
        <v>5.5599999999999997E-2</v>
      </c>
      <c r="AB2966" s="21">
        <f t="shared" si="875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77"/>
        <v>499582152.5142017</v>
      </c>
      <c r="AJ2966" s="19">
        <f t="shared" si="878"/>
        <v>59520528.679470733</v>
      </c>
      <c r="AK2966" s="20">
        <f t="shared" si="884"/>
        <v>0.11914062257814291</v>
      </c>
      <c r="AL2966" s="17"/>
      <c r="AM2966" s="17"/>
      <c r="AN2966" s="17"/>
      <c r="AO2966" s="17"/>
      <c r="AP2966" s="28" t="str">
        <f t="shared" si="885"/>
        <v>CancelCancel</v>
      </c>
      <c r="AQ2966" s="28" t="str">
        <f t="shared" si="886"/>
        <v>CancelCancelJPY</v>
      </c>
      <c r="AR2966" s="206" t="str">
        <f t="shared" si="887"/>
        <v>YAMAHA_Mounter</v>
      </c>
      <c r="AS2966" s="22" t="str">
        <f t="shared" si="888"/>
        <v/>
      </c>
      <c r="AT2966" s="24" t="str">
        <f t="shared" si="889"/>
        <v/>
      </c>
      <c r="AU2966" s="22" t="s">
        <v>3746</v>
      </c>
    </row>
    <row r="2967" spans="1:47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185</v>
      </c>
      <c r="G2967" s="23" t="s">
        <v>185</v>
      </c>
      <c r="H2967" s="29"/>
      <c r="I2967" s="33" t="str">
        <f t="shared" si="881"/>
        <v>Cancel</v>
      </c>
      <c r="J2967" s="188" t="s">
        <v>3414</v>
      </c>
      <c r="K2967" s="29" t="s">
        <v>3309</v>
      </c>
      <c r="L2967" s="17" t="s">
        <v>3429</v>
      </c>
      <c r="M2967" s="13" t="s">
        <v>60</v>
      </c>
      <c r="N2967" s="22">
        <v>1</v>
      </c>
      <c r="O2967" s="22"/>
      <c r="P2967" s="33" t="str">
        <f t="shared" si="891"/>
        <v>MAIN UNIT</v>
      </c>
      <c r="Q2967" s="13" t="s">
        <v>68</v>
      </c>
      <c r="R2967" s="22" t="s">
        <v>62</v>
      </c>
      <c r="S2967" s="22" t="s">
        <v>50</v>
      </c>
      <c r="T2967" s="22" t="s">
        <v>238</v>
      </c>
      <c r="U2967" s="22" t="s">
        <v>3310</v>
      </c>
      <c r="V2967" s="22" t="s">
        <v>121</v>
      </c>
      <c r="W2967" s="22" t="s">
        <v>109</v>
      </c>
      <c r="X2967" s="30">
        <v>12300000</v>
      </c>
      <c r="Y2967" s="31" t="str">
        <f>IF(W2967="","",IF(W2967="RMB","1.13", "1"))</f>
        <v>1</v>
      </c>
      <c r="Z2967" s="18">
        <f t="shared" si="890"/>
        <v>12300000</v>
      </c>
      <c r="AA2967" s="13">
        <v>4.9500000000000002E-2</v>
      </c>
      <c r="AB2967" s="21">
        <f t="shared" si="875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77"/>
        <v>499582152.5142017</v>
      </c>
      <c r="AJ2967" s="27">
        <f t="shared" si="878"/>
        <v>59520528.679470733</v>
      </c>
      <c r="AK2967" s="28">
        <f t="shared" si="884"/>
        <v>0.11914062257814291</v>
      </c>
      <c r="AL2967" s="24"/>
      <c r="AM2967" s="24"/>
      <c r="AN2967" s="24"/>
      <c r="AO2967" s="24"/>
      <c r="AP2967" s="28" t="str">
        <f t="shared" si="885"/>
        <v>CancelCancel</v>
      </c>
      <c r="AQ2967" s="28" t="str">
        <f t="shared" si="886"/>
        <v>CancelCancelJPY</v>
      </c>
      <c r="AR2967" s="206" t="str">
        <f t="shared" si="887"/>
        <v>YAMAHA_Mounter</v>
      </c>
      <c r="AS2967" s="22" t="str">
        <f t="shared" si="888"/>
        <v/>
      </c>
      <c r="AT2967" s="24" t="str">
        <f t="shared" si="889"/>
        <v/>
      </c>
      <c r="AU2967" s="22" t="s">
        <v>3745</v>
      </c>
    </row>
    <row r="2968" spans="1:47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47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748</v>
      </c>
      <c r="K2968" s="155" t="s">
        <v>749</v>
      </c>
      <c r="L2968" s="17" t="s">
        <v>92</v>
      </c>
      <c r="M2968" s="13" t="s">
        <v>60</v>
      </c>
      <c r="N2968" s="13">
        <v>1</v>
      </c>
      <c r="O2968" s="13"/>
      <c r="P2968" s="33" t="str">
        <f t="shared" si="891"/>
        <v>MAIN UNIT</v>
      </c>
      <c r="Q2968" s="13" t="s">
        <v>61</v>
      </c>
      <c r="R2968" s="13" t="s">
        <v>701</v>
      </c>
      <c r="S2968" s="13" t="s">
        <v>750</v>
      </c>
      <c r="T2968" s="13" t="s">
        <v>78</v>
      </c>
      <c r="U2968" s="13" t="s">
        <v>79</v>
      </c>
      <c r="V2968" s="13" t="s">
        <v>751</v>
      </c>
      <c r="W2968" s="13" t="s">
        <v>109</v>
      </c>
      <c r="X2968" s="135">
        <v>13610000</v>
      </c>
      <c r="Y2968" s="156">
        <v>1</v>
      </c>
      <c r="Z2968" s="18">
        <f t="shared" si="890"/>
        <v>13610000</v>
      </c>
      <c r="AA2968" s="13">
        <v>7.3999999999999996E-2</v>
      </c>
      <c r="AB2968" s="21">
        <f t="shared" si="875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77"/>
        <v>34015877.71150443</v>
      </c>
      <c r="AJ2968" s="19">
        <f t="shared" si="878"/>
        <v>4446292.375441948</v>
      </c>
      <c r="AK2968" s="20">
        <f t="shared" si="884"/>
        <v>0.13071226364205143</v>
      </c>
      <c r="AL2968" s="17"/>
      <c r="AM2968" s="17"/>
      <c r="AN2968" s="17"/>
      <c r="AO2968" s="17"/>
      <c r="AP2968" s="28" t="str">
        <f t="shared" si="885"/>
        <v>20197</v>
      </c>
      <c r="AQ2968" s="28" t="str">
        <f t="shared" si="886"/>
        <v>20197JPY</v>
      </c>
      <c r="AR2968" s="206" t="str">
        <f t="shared" si="887"/>
        <v>YAMAHA_Mounter</v>
      </c>
      <c r="AS2968" s="22">
        <f t="shared" si="888"/>
        <v>3</v>
      </c>
      <c r="AT2968" s="24" t="str">
        <f t="shared" si="889"/>
        <v>0-3 months</v>
      </c>
      <c r="AU2968" s="22" t="s">
        <v>3746</v>
      </c>
    </row>
    <row r="2969" spans="1:47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47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869</v>
      </c>
      <c r="K2969" s="155" t="s">
        <v>870</v>
      </c>
      <c r="L2969" s="17" t="s">
        <v>67</v>
      </c>
      <c r="M2969" s="13" t="s">
        <v>60</v>
      </c>
      <c r="N2969" s="13">
        <v>1</v>
      </c>
      <c r="O2969" s="13"/>
      <c r="P2969" s="33" t="str">
        <f t="shared" si="891"/>
        <v>MAIN UNIT</v>
      </c>
      <c r="Q2969" s="13" t="s">
        <v>61</v>
      </c>
      <c r="R2969" s="13" t="s">
        <v>701</v>
      </c>
      <c r="S2969" s="13" t="s">
        <v>750</v>
      </c>
      <c r="T2969" s="13" t="s">
        <v>78</v>
      </c>
      <c r="U2969" s="13" t="s">
        <v>79</v>
      </c>
      <c r="V2969" s="13" t="s">
        <v>751</v>
      </c>
      <c r="W2969" s="13" t="s">
        <v>871</v>
      </c>
      <c r="X2969" s="135">
        <v>9340000</v>
      </c>
      <c r="Y2969" s="156">
        <v>1</v>
      </c>
      <c r="Z2969" s="18">
        <f t="shared" si="890"/>
        <v>9340000</v>
      </c>
      <c r="AA2969" s="13">
        <v>7.17E-2</v>
      </c>
      <c r="AB2969" s="21">
        <f t="shared" si="875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77"/>
        <v>14593788.187146019</v>
      </c>
      <c r="AJ2969" s="19">
        <f t="shared" si="878"/>
        <v>1868647.7321969916</v>
      </c>
      <c r="AK2969" s="20">
        <f t="shared" si="884"/>
        <v>0.12804404916900652</v>
      </c>
      <c r="AL2969" s="17"/>
      <c r="AM2969" s="17"/>
      <c r="AN2969" s="17"/>
      <c r="AO2969" s="17"/>
      <c r="AP2969" s="28" t="str">
        <f t="shared" si="885"/>
        <v>20195</v>
      </c>
      <c r="AQ2969" s="28" t="str">
        <f t="shared" si="886"/>
        <v>20195JPY</v>
      </c>
      <c r="AR2969" s="206" t="str">
        <f t="shared" si="887"/>
        <v>YAMAHA_Mounter</v>
      </c>
      <c r="AS2969" s="22">
        <f t="shared" si="888"/>
        <v>1</v>
      </c>
      <c r="AT2969" s="24" t="str">
        <f t="shared" si="889"/>
        <v>0-3 months</v>
      </c>
      <c r="AU2969" s="22" t="s">
        <v>3746</v>
      </c>
    </row>
    <row r="2970" spans="1:47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47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753</v>
      </c>
      <c r="K2970" s="155" t="s">
        <v>749</v>
      </c>
      <c r="L2970" s="17" t="s">
        <v>92</v>
      </c>
      <c r="M2970" s="13" t="s">
        <v>60</v>
      </c>
      <c r="N2970" s="13">
        <v>1</v>
      </c>
      <c r="O2970" s="13"/>
      <c r="P2970" s="33" t="str">
        <f t="shared" si="891"/>
        <v>MAIN UNIT</v>
      </c>
      <c r="Q2970" s="13" t="s">
        <v>68</v>
      </c>
      <c r="R2970" s="13" t="s">
        <v>62</v>
      </c>
      <c r="S2970" s="13" t="s">
        <v>49</v>
      </c>
      <c r="T2970" s="13" t="s">
        <v>78</v>
      </c>
      <c r="U2970" s="13" t="s">
        <v>79</v>
      </c>
      <c r="V2970" s="13" t="s">
        <v>80</v>
      </c>
      <c r="W2970" s="13" t="s">
        <v>109</v>
      </c>
      <c r="X2970" s="135">
        <v>13707000</v>
      </c>
      <c r="Y2970" s="156">
        <v>1</v>
      </c>
      <c r="Z2970" s="18">
        <f t="shared" si="890"/>
        <v>13707000</v>
      </c>
      <c r="AA2970" s="13">
        <v>7.17E-2</v>
      </c>
      <c r="AB2970" s="21">
        <f t="shared" si="875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77"/>
        <v>14593788.187146019</v>
      </c>
      <c r="AJ2970" s="19">
        <f t="shared" si="878"/>
        <v>1868647.7321969916</v>
      </c>
      <c r="AK2970" s="20">
        <f t="shared" si="884"/>
        <v>0.12804404916900652</v>
      </c>
      <c r="AL2970" s="17"/>
      <c r="AM2970" s="17"/>
      <c r="AN2970" s="17"/>
      <c r="AO2970" s="17"/>
      <c r="AP2970" s="28" t="str">
        <f t="shared" si="885"/>
        <v>20195</v>
      </c>
      <c r="AQ2970" s="28" t="str">
        <f t="shared" si="886"/>
        <v>20195JPY</v>
      </c>
      <c r="AR2970" s="206" t="str">
        <f t="shared" si="887"/>
        <v>YAMAHA_Mounter</v>
      </c>
      <c r="AS2970" s="22">
        <f t="shared" si="888"/>
        <v>2</v>
      </c>
      <c r="AT2970" s="24" t="str">
        <f t="shared" si="889"/>
        <v>0-3 months</v>
      </c>
      <c r="AU2970" s="22" t="s">
        <v>3746</v>
      </c>
    </row>
    <row r="2971" spans="1:47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47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2865</v>
      </c>
      <c r="K2971" s="155" t="s">
        <v>870</v>
      </c>
      <c r="L2971" s="17" t="s">
        <v>2802</v>
      </c>
      <c r="M2971" s="13" t="s">
        <v>2607</v>
      </c>
      <c r="N2971" s="13">
        <v>1</v>
      </c>
      <c r="O2971" s="13"/>
      <c r="P2971" s="33" t="str">
        <f t="shared" si="891"/>
        <v>MAIN UNIT</v>
      </c>
      <c r="Q2971" s="13" t="s">
        <v>61</v>
      </c>
      <c r="R2971" s="13" t="s">
        <v>2866</v>
      </c>
      <c r="S2971" s="13" t="s">
        <v>750</v>
      </c>
      <c r="T2971" s="13" t="s">
        <v>78</v>
      </c>
      <c r="U2971" s="13" t="s">
        <v>79</v>
      </c>
      <c r="V2971" s="13" t="s">
        <v>2867</v>
      </c>
      <c r="W2971" s="13" t="s">
        <v>773</v>
      </c>
      <c r="X2971" s="135">
        <v>300000</v>
      </c>
      <c r="Y2971" s="156">
        <v>1.1299999999999999</v>
      </c>
      <c r="Z2971" s="18">
        <f t="shared" si="890"/>
        <v>300000</v>
      </c>
      <c r="AA2971" s="13">
        <v>1.135</v>
      </c>
      <c r="AB2971" s="21">
        <f t="shared" si="875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77"/>
        <v>31296887.037898075</v>
      </c>
      <c r="AJ2971" s="19">
        <f t="shared" si="878"/>
        <v>3588873.9502021763</v>
      </c>
      <c r="AK2971" s="20">
        <f t="shared" si="884"/>
        <v>0.11467191436184473</v>
      </c>
      <c r="AL2971" s="17"/>
      <c r="AM2971" s="17"/>
      <c r="AN2971" s="17"/>
      <c r="AO2971" s="17"/>
      <c r="AP2971" s="28" t="str">
        <f t="shared" si="885"/>
        <v>20196</v>
      </c>
      <c r="AQ2971" s="28" t="str">
        <f t="shared" si="886"/>
        <v>20196RMB</v>
      </c>
      <c r="AR2971" s="206" t="str">
        <f t="shared" si="887"/>
        <v>HELLER</v>
      </c>
      <c r="AS2971" s="22">
        <f t="shared" si="888"/>
        <v>2</v>
      </c>
      <c r="AT2971" s="24" t="str">
        <f t="shared" si="889"/>
        <v>0-3 months</v>
      </c>
      <c r="AU2971" s="22" t="s">
        <v>3744</v>
      </c>
    </row>
    <row r="2972" spans="1:47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47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753</v>
      </c>
      <c r="K2972" s="155" t="s">
        <v>754</v>
      </c>
      <c r="L2972" s="17" t="s">
        <v>92</v>
      </c>
      <c r="M2972" s="13" t="s">
        <v>60</v>
      </c>
      <c r="N2972" s="13">
        <v>1</v>
      </c>
      <c r="O2972" s="13"/>
      <c r="P2972" s="33" t="str">
        <f t="shared" si="891"/>
        <v>MAIN UNIT</v>
      </c>
      <c r="Q2972" s="13" t="s">
        <v>68</v>
      </c>
      <c r="R2972" s="13" t="s">
        <v>62</v>
      </c>
      <c r="S2972" s="13" t="s">
        <v>49</v>
      </c>
      <c r="T2972" s="13" t="s">
        <v>78</v>
      </c>
      <c r="U2972" s="13" t="s">
        <v>79</v>
      </c>
      <c r="V2972" s="13" t="s">
        <v>80</v>
      </c>
      <c r="W2972" s="13" t="s">
        <v>109</v>
      </c>
      <c r="X2972" s="135">
        <v>13707000</v>
      </c>
      <c r="Y2972" s="156">
        <v>1</v>
      </c>
      <c r="Z2972" s="18">
        <f t="shared" si="890"/>
        <v>13707000</v>
      </c>
      <c r="AA2972" s="13">
        <v>7.3999999999999996E-2</v>
      </c>
      <c r="AB2972" s="21">
        <f t="shared" si="875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77"/>
        <v>34015877.71150443</v>
      </c>
      <c r="AJ2972" s="19">
        <f t="shared" si="878"/>
        <v>4446292.375441948</v>
      </c>
      <c r="AK2972" s="20">
        <f t="shared" si="884"/>
        <v>0.13071226364205143</v>
      </c>
      <c r="AL2972" s="17"/>
      <c r="AM2972" s="17"/>
      <c r="AN2972" s="17"/>
      <c r="AO2972" s="17"/>
      <c r="AP2972" s="28" t="str">
        <f t="shared" si="885"/>
        <v>20197</v>
      </c>
      <c r="AQ2972" s="28" t="str">
        <f t="shared" si="886"/>
        <v>20197JPY</v>
      </c>
      <c r="AR2972" s="206" t="str">
        <f t="shared" si="887"/>
        <v>YAMAHA_Mounter</v>
      </c>
      <c r="AS2972" s="22">
        <f t="shared" si="888"/>
        <v>4</v>
      </c>
      <c r="AT2972" s="24" t="str">
        <f t="shared" si="889"/>
        <v>4-6 months</v>
      </c>
      <c r="AU2972" s="22" t="s">
        <v>3746</v>
      </c>
    </row>
    <row r="2973" spans="1:47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54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2145</v>
      </c>
      <c r="K2973" s="155" t="s">
        <v>2146</v>
      </c>
      <c r="L2973" s="17" t="s">
        <v>688</v>
      </c>
      <c r="M2973" s="13" t="s">
        <v>689</v>
      </c>
      <c r="N2973" s="13">
        <v>1</v>
      </c>
      <c r="O2973" s="13"/>
      <c r="P2973" s="33" t="str">
        <f t="shared" si="891"/>
        <v>MAIN UNIT</v>
      </c>
      <c r="Q2973" s="13" t="s">
        <v>68</v>
      </c>
      <c r="R2973" s="13" t="s">
        <v>62</v>
      </c>
      <c r="S2973" s="13" t="s">
        <v>49</v>
      </c>
      <c r="T2973" s="13" t="s">
        <v>78</v>
      </c>
      <c r="U2973" s="13" t="s">
        <v>79</v>
      </c>
      <c r="V2973" s="13" t="s">
        <v>112</v>
      </c>
      <c r="W2973" s="13" t="s">
        <v>109</v>
      </c>
      <c r="X2973" s="135">
        <v>16665000</v>
      </c>
      <c r="Y2973" s="157" t="str">
        <f t="shared" ref="Y2973:Y2980" si="892">IF(W2973="RMB","1.13", "1")</f>
        <v>1</v>
      </c>
      <c r="Z2973" s="18">
        <f t="shared" si="890"/>
        <v>16665000</v>
      </c>
      <c r="AA2973" s="13">
        <v>6.54E-2</v>
      </c>
      <c r="AB2973" s="21">
        <f t="shared" si="875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77"/>
        <v>46600814.041769907</v>
      </c>
      <c r="AJ2973" s="19">
        <f t="shared" si="878"/>
        <v>5956366.3435927071</v>
      </c>
      <c r="AK2973" s="20">
        <f t="shared" si="884"/>
        <v>0.1278167874546958</v>
      </c>
      <c r="AL2973" s="17"/>
      <c r="AM2973" s="17"/>
      <c r="AN2973" s="17"/>
      <c r="AO2973" s="17"/>
      <c r="AP2973" s="28" t="str">
        <f t="shared" si="885"/>
        <v>20224</v>
      </c>
      <c r="AQ2973" s="28" t="str">
        <f t="shared" si="886"/>
        <v>20224JPY</v>
      </c>
      <c r="AR2973" s="206" t="str">
        <f t="shared" si="887"/>
        <v>SIGMA</v>
      </c>
      <c r="AS2973" s="22">
        <f t="shared" si="888"/>
        <v>3</v>
      </c>
      <c r="AT2973" s="24" t="str">
        <f t="shared" si="889"/>
        <v>0-3 months</v>
      </c>
      <c r="AU2973" s="22" t="s">
        <v>3745</v>
      </c>
    </row>
    <row r="2974" spans="1:47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54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2145</v>
      </c>
      <c r="K2974" s="155" t="s">
        <v>2146</v>
      </c>
      <c r="L2974" s="17" t="s">
        <v>688</v>
      </c>
      <c r="M2974" s="13" t="s">
        <v>689</v>
      </c>
      <c r="N2974" s="13">
        <v>1</v>
      </c>
      <c r="O2974" s="13"/>
      <c r="P2974" s="33" t="str">
        <f t="shared" si="891"/>
        <v>MAIN UNIT</v>
      </c>
      <c r="Q2974" s="13" t="s">
        <v>68</v>
      </c>
      <c r="R2974" s="13" t="s">
        <v>62</v>
      </c>
      <c r="S2974" s="13" t="s">
        <v>49</v>
      </c>
      <c r="T2974" s="13" t="s">
        <v>78</v>
      </c>
      <c r="U2974" s="13" t="s">
        <v>79</v>
      </c>
      <c r="V2974" s="13" t="s">
        <v>112</v>
      </c>
      <c r="W2974" s="13" t="s">
        <v>109</v>
      </c>
      <c r="X2974" s="135">
        <v>16665000</v>
      </c>
      <c r="Y2974" s="157" t="str">
        <f t="shared" si="892"/>
        <v>1</v>
      </c>
      <c r="Z2974" s="18">
        <f t="shared" si="890"/>
        <v>16665000</v>
      </c>
      <c r="AA2974" s="13">
        <v>6.54E-2</v>
      </c>
      <c r="AB2974" s="21">
        <f t="shared" si="875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77"/>
        <v>46600814.041769907</v>
      </c>
      <c r="AJ2974" s="19">
        <f t="shared" si="878"/>
        <v>5956366.3435927071</v>
      </c>
      <c r="AK2974" s="20">
        <f t="shared" si="884"/>
        <v>0.1278167874546958</v>
      </c>
      <c r="AL2974" s="17"/>
      <c r="AM2974" s="17"/>
      <c r="AN2974" s="17"/>
      <c r="AO2974" s="17"/>
      <c r="AP2974" s="28" t="str">
        <f t="shared" si="885"/>
        <v>20224</v>
      </c>
      <c r="AQ2974" s="28" t="str">
        <f t="shared" si="886"/>
        <v>20224JPY</v>
      </c>
      <c r="AR2974" s="206" t="str">
        <f t="shared" si="887"/>
        <v>SIGMA</v>
      </c>
      <c r="AS2974" s="22">
        <f t="shared" si="888"/>
        <v>3</v>
      </c>
      <c r="AT2974" s="24" t="str">
        <f t="shared" si="889"/>
        <v>0-3 months</v>
      </c>
      <c r="AU2974" s="22" t="s">
        <v>3745</v>
      </c>
    </row>
    <row r="2975" spans="1:47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54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2145</v>
      </c>
      <c r="K2975" s="155" t="s">
        <v>2146</v>
      </c>
      <c r="L2975" s="17" t="s">
        <v>688</v>
      </c>
      <c r="M2975" s="13" t="s">
        <v>689</v>
      </c>
      <c r="N2975" s="13">
        <v>1</v>
      </c>
      <c r="O2975" s="13"/>
      <c r="P2975" s="33" t="str">
        <f t="shared" si="891"/>
        <v>MAIN UNIT</v>
      </c>
      <c r="Q2975" s="13" t="s">
        <v>68</v>
      </c>
      <c r="R2975" s="13" t="s">
        <v>62</v>
      </c>
      <c r="S2975" s="13" t="s">
        <v>49</v>
      </c>
      <c r="T2975" s="13" t="s">
        <v>78</v>
      </c>
      <c r="U2975" s="13" t="s">
        <v>79</v>
      </c>
      <c r="V2975" s="13" t="s">
        <v>112</v>
      </c>
      <c r="W2975" s="13" t="s">
        <v>109</v>
      </c>
      <c r="X2975" s="135">
        <v>16665000</v>
      </c>
      <c r="Y2975" s="157" t="str">
        <f t="shared" si="892"/>
        <v>1</v>
      </c>
      <c r="Z2975" s="18">
        <f t="shared" si="890"/>
        <v>16665000</v>
      </c>
      <c r="AA2975" s="13">
        <v>6.54E-2</v>
      </c>
      <c r="AB2975" s="21">
        <f t="shared" si="875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77"/>
        <v>46600814.041769907</v>
      </c>
      <c r="AJ2975" s="19">
        <f t="shared" si="878"/>
        <v>5956366.3435927071</v>
      </c>
      <c r="AK2975" s="20">
        <f t="shared" si="884"/>
        <v>0.1278167874546958</v>
      </c>
      <c r="AL2975" s="17"/>
      <c r="AM2975" s="17"/>
      <c r="AN2975" s="17"/>
      <c r="AO2975" s="17"/>
      <c r="AP2975" s="28" t="str">
        <f t="shared" si="885"/>
        <v>20224</v>
      </c>
      <c r="AQ2975" s="28" t="str">
        <f t="shared" si="886"/>
        <v>20224JPY</v>
      </c>
      <c r="AR2975" s="206" t="str">
        <f t="shared" si="887"/>
        <v>SIGMA</v>
      </c>
      <c r="AS2975" s="22">
        <f t="shared" si="888"/>
        <v>3</v>
      </c>
      <c r="AT2975" s="24" t="str">
        <f t="shared" si="889"/>
        <v>0-3 months</v>
      </c>
      <c r="AU2975" s="22" t="s">
        <v>3745</v>
      </c>
    </row>
    <row r="2976" spans="1:47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54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2145</v>
      </c>
      <c r="K2976" s="155" t="s">
        <v>2146</v>
      </c>
      <c r="L2976" s="17" t="s">
        <v>688</v>
      </c>
      <c r="M2976" s="13" t="s">
        <v>689</v>
      </c>
      <c r="N2976" s="13">
        <v>1</v>
      </c>
      <c r="O2976" s="13"/>
      <c r="P2976" s="33" t="str">
        <f t="shared" si="891"/>
        <v>MAIN UNIT</v>
      </c>
      <c r="Q2976" s="13" t="s">
        <v>68</v>
      </c>
      <c r="R2976" s="13" t="s">
        <v>62</v>
      </c>
      <c r="S2976" s="13" t="s">
        <v>49</v>
      </c>
      <c r="T2976" s="13" t="s">
        <v>78</v>
      </c>
      <c r="U2976" s="13" t="s">
        <v>79</v>
      </c>
      <c r="V2976" s="13" t="s">
        <v>112</v>
      </c>
      <c r="W2976" s="13" t="s">
        <v>109</v>
      </c>
      <c r="X2976" s="135">
        <v>16665000</v>
      </c>
      <c r="Y2976" s="157" t="str">
        <f t="shared" si="892"/>
        <v>1</v>
      </c>
      <c r="Z2976" s="18">
        <f t="shared" si="890"/>
        <v>16665000</v>
      </c>
      <c r="AA2976" s="13">
        <v>6.54E-2</v>
      </c>
      <c r="AB2976" s="21">
        <f t="shared" si="875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77"/>
        <v>46600814.041769907</v>
      </c>
      <c r="AJ2976" s="19">
        <f t="shared" si="878"/>
        <v>5956366.3435927071</v>
      </c>
      <c r="AK2976" s="20">
        <f t="shared" si="884"/>
        <v>0.1278167874546958</v>
      </c>
      <c r="AL2976" s="17"/>
      <c r="AM2976" s="17"/>
      <c r="AN2976" s="17"/>
      <c r="AO2976" s="17"/>
      <c r="AP2976" s="28" t="str">
        <f t="shared" si="885"/>
        <v>20224</v>
      </c>
      <c r="AQ2976" s="28" t="str">
        <f t="shared" si="886"/>
        <v>20224JPY</v>
      </c>
      <c r="AR2976" s="206" t="str">
        <f t="shared" si="887"/>
        <v>SIGMA</v>
      </c>
      <c r="AS2976" s="22">
        <f t="shared" si="888"/>
        <v>3</v>
      </c>
      <c r="AT2976" s="24" t="str">
        <f t="shared" si="889"/>
        <v>0-3 months</v>
      </c>
      <c r="AU2976" s="22" t="s">
        <v>3745</v>
      </c>
    </row>
    <row r="2977" spans="1:47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54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2145</v>
      </c>
      <c r="K2977" s="155" t="s">
        <v>2146</v>
      </c>
      <c r="L2977" s="17" t="s">
        <v>688</v>
      </c>
      <c r="M2977" s="13" t="s">
        <v>689</v>
      </c>
      <c r="N2977" s="13">
        <v>1</v>
      </c>
      <c r="O2977" s="13"/>
      <c r="P2977" s="33" t="str">
        <f t="shared" si="891"/>
        <v>MAIN UNIT</v>
      </c>
      <c r="Q2977" s="13" t="s">
        <v>68</v>
      </c>
      <c r="R2977" s="13" t="s">
        <v>62</v>
      </c>
      <c r="S2977" s="13" t="s">
        <v>49</v>
      </c>
      <c r="T2977" s="13" t="s">
        <v>78</v>
      </c>
      <c r="U2977" s="13" t="s">
        <v>79</v>
      </c>
      <c r="V2977" s="13" t="s">
        <v>112</v>
      </c>
      <c r="W2977" s="13" t="s">
        <v>109</v>
      </c>
      <c r="X2977" s="135">
        <v>16665000</v>
      </c>
      <c r="Y2977" s="157" t="str">
        <f t="shared" si="892"/>
        <v>1</v>
      </c>
      <c r="Z2977" s="18">
        <f t="shared" si="890"/>
        <v>16665000</v>
      </c>
      <c r="AA2977" s="13">
        <v>6.54E-2</v>
      </c>
      <c r="AB2977" s="21">
        <f t="shared" si="875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77"/>
        <v>46600814.041769907</v>
      </c>
      <c r="AJ2977" s="19">
        <f t="shared" si="878"/>
        <v>5956366.3435927071</v>
      </c>
      <c r="AK2977" s="20">
        <f t="shared" si="884"/>
        <v>0.1278167874546958</v>
      </c>
      <c r="AL2977" s="17"/>
      <c r="AM2977" s="17"/>
      <c r="AN2977" s="17"/>
      <c r="AO2977" s="17"/>
      <c r="AP2977" s="28" t="str">
        <f t="shared" si="885"/>
        <v>20224</v>
      </c>
      <c r="AQ2977" s="28" t="str">
        <f t="shared" si="886"/>
        <v>20224JPY</v>
      </c>
      <c r="AR2977" s="206" t="str">
        <f t="shared" si="887"/>
        <v>SIGMA</v>
      </c>
      <c r="AS2977" s="22">
        <f t="shared" si="888"/>
        <v>3</v>
      </c>
      <c r="AT2977" s="24" t="str">
        <f t="shared" si="889"/>
        <v>0-3 months</v>
      </c>
      <c r="AU2977" s="22" t="s">
        <v>3745</v>
      </c>
    </row>
    <row r="2978" spans="1:47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54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2145</v>
      </c>
      <c r="K2978" s="155" t="s">
        <v>2146</v>
      </c>
      <c r="L2978" s="17" t="s">
        <v>688</v>
      </c>
      <c r="M2978" s="13" t="s">
        <v>689</v>
      </c>
      <c r="N2978" s="13">
        <v>1</v>
      </c>
      <c r="O2978" s="13"/>
      <c r="P2978" s="33" t="str">
        <f t="shared" si="891"/>
        <v>MAIN UNIT</v>
      </c>
      <c r="Q2978" s="13" t="s">
        <v>68</v>
      </c>
      <c r="R2978" s="13" t="s">
        <v>62</v>
      </c>
      <c r="S2978" s="13" t="s">
        <v>49</v>
      </c>
      <c r="T2978" s="13" t="s">
        <v>78</v>
      </c>
      <c r="U2978" s="13" t="s">
        <v>79</v>
      </c>
      <c r="V2978" s="13" t="s">
        <v>112</v>
      </c>
      <c r="W2978" s="13" t="s">
        <v>109</v>
      </c>
      <c r="X2978" s="135">
        <v>16665000</v>
      </c>
      <c r="Y2978" s="157" t="str">
        <f t="shared" si="892"/>
        <v>1</v>
      </c>
      <c r="Z2978" s="18">
        <f t="shared" si="890"/>
        <v>16665000</v>
      </c>
      <c r="AA2978" s="13">
        <v>6.54E-2</v>
      </c>
      <c r="AB2978" s="21">
        <f t="shared" si="875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77"/>
        <v>46600814.041769907</v>
      </c>
      <c r="AJ2978" s="19">
        <f t="shared" si="878"/>
        <v>5956366.3435927071</v>
      </c>
      <c r="AK2978" s="20">
        <f t="shared" si="884"/>
        <v>0.1278167874546958</v>
      </c>
      <c r="AL2978" s="17"/>
      <c r="AM2978" s="17"/>
      <c r="AN2978" s="17"/>
      <c r="AO2978" s="17"/>
      <c r="AP2978" s="28" t="str">
        <f t="shared" si="885"/>
        <v>20224</v>
      </c>
      <c r="AQ2978" s="28" t="str">
        <f t="shared" si="886"/>
        <v>20224JPY</v>
      </c>
      <c r="AR2978" s="206" t="str">
        <f t="shared" si="887"/>
        <v>SIGMA</v>
      </c>
      <c r="AS2978" s="22">
        <f t="shared" si="888"/>
        <v>3</v>
      </c>
      <c r="AT2978" s="24" t="str">
        <f t="shared" si="889"/>
        <v>0-3 months</v>
      </c>
      <c r="AU2978" s="22" t="s">
        <v>3745</v>
      </c>
    </row>
    <row r="2979" spans="1:47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54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2437</v>
      </c>
      <c r="K2979" s="155" t="s">
        <v>2438</v>
      </c>
      <c r="L2979" s="17" t="s">
        <v>67</v>
      </c>
      <c r="M2979" s="13" t="s">
        <v>60</v>
      </c>
      <c r="N2979" s="13">
        <v>1</v>
      </c>
      <c r="O2979" s="13"/>
      <c r="P2979" s="33" t="str">
        <f t="shared" si="891"/>
        <v>MAIN UNIT</v>
      </c>
      <c r="Q2979" s="13" t="s">
        <v>68</v>
      </c>
      <c r="R2979" s="13" t="s">
        <v>62</v>
      </c>
      <c r="S2979" s="13" t="s">
        <v>50</v>
      </c>
      <c r="T2979" s="13" t="s">
        <v>88</v>
      </c>
      <c r="U2979" s="13" t="s">
        <v>70</v>
      </c>
      <c r="V2979" s="13" t="s">
        <v>1400</v>
      </c>
      <c r="W2979" s="13" t="s">
        <v>64</v>
      </c>
      <c r="X2979" s="135">
        <v>487000</v>
      </c>
      <c r="Y2979" s="157" t="str">
        <f t="shared" si="892"/>
        <v>1.13</v>
      </c>
      <c r="Z2979" s="18">
        <f t="shared" si="890"/>
        <v>487000</v>
      </c>
      <c r="AA2979" s="13">
        <v>1.1299999999999999</v>
      </c>
      <c r="AB2979" s="21">
        <f t="shared" si="875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77"/>
        <v>33543315.897345133</v>
      </c>
      <c r="AJ2979" s="19">
        <f t="shared" si="878"/>
        <v>4706169.3252984071</v>
      </c>
      <c r="AK2979" s="20">
        <f t="shared" si="884"/>
        <v>0.14030125523967318</v>
      </c>
      <c r="AL2979" s="17"/>
      <c r="AM2979" s="17"/>
      <c r="AN2979" s="17"/>
      <c r="AO2979" s="17"/>
      <c r="AP2979" s="28" t="str">
        <f t="shared" si="885"/>
        <v>20233</v>
      </c>
      <c r="AQ2979" s="28" t="str">
        <f t="shared" si="886"/>
        <v>20233RMB</v>
      </c>
      <c r="AR2979" s="206" t="str">
        <f t="shared" si="887"/>
        <v>YAMAHA_Mounter</v>
      </c>
      <c r="AS2979" s="22">
        <f t="shared" si="888"/>
        <v>1</v>
      </c>
      <c r="AT2979" s="24" t="str">
        <f t="shared" si="889"/>
        <v>0-3 months</v>
      </c>
      <c r="AU2979" s="22" t="s">
        <v>3240</v>
      </c>
    </row>
    <row r="2980" spans="1:47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54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2039</v>
      </c>
      <c r="K2980" s="155" t="s">
        <v>2040</v>
      </c>
      <c r="L2980" s="17" t="s">
        <v>67</v>
      </c>
      <c r="M2980" s="13" t="s">
        <v>60</v>
      </c>
      <c r="N2980" s="13">
        <v>1</v>
      </c>
      <c r="O2980" s="13"/>
      <c r="P2980" s="33" t="str">
        <f t="shared" si="891"/>
        <v>MAIN UNIT</v>
      </c>
      <c r="Q2980" s="13" t="s">
        <v>68</v>
      </c>
      <c r="R2980" s="13" t="s">
        <v>62</v>
      </c>
      <c r="S2980" s="13" t="s">
        <v>50</v>
      </c>
      <c r="T2980" s="13" t="s">
        <v>325</v>
      </c>
      <c r="U2980" s="13" t="s">
        <v>70</v>
      </c>
      <c r="V2980" s="13" t="s">
        <v>1010</v>
      </c>
      <c r="W2980" s="13" t="s">
        <v>64</v>
      </c>
      <c r="X2980" s="135">
        <v>575000</v>
      </c>
      <c r="Y2980" s="157" t="str">
        <f t="shared" si="892"/>
        <v>1.13</v>
      </c>
      <c r="Z2980" s="18">
        <f t="shared" si="890"/>
        <v>575000</v>
      </c>
      <c r="AA2980" s="13">
        <v>1.175</v>
      </c>
      <c r="AB2980" s="21">
        <f t="shared" si="875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77"/>
        <v>35682787.057522126</v>
      </c>
      <c r="AJ2980" s="19">
        <f t="shared" si="878"/>
        <v>5833368.3789623892</v>
      </c>
      <c r="AK2980" s="20">
        <f t="shared" si="884"/>
        <v>0.16347849649632912</v>
      </c>
      <c r="AL2980" s="17"/>
      <c r="AM2980" s="17"/>
      <c r="AN2980" s="17"/>
      <c r="AO2980" s="17"/>
      <c r="AP2980" s="28" t="str">
        <f t="shared" si="885"/>
        <v>20226</v>
      </c>
      <c r="AQ2980" s="28" t="str">
        <f t="shared" si="886"/>
        <v>20226RMB</v>
      </c>
      <c r="AR2980" s="206" t="str">
        <f t="shared" si="887"/>
        <v>YAMAHA_Mounter</v>
      </c>
      <c r="AS2980" s="22">
        <f t="shared" si="888"/>
        <v>6</v>
      </c>
      <c r="AT2980" s="24" t="str">
        <f t="shared" si="889"/>
        <v>4-6 months</v>
      </c>
      <c r="AU2980" s="22" t="s">
        <v>3240</v>
      </c>
    </row>
    <row r="2981" spans="1:47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48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1264</v>
      </c>
      <c r="K2981" s="155" t="s">
        <v>1265</v>
      </c>
      <c r="L2981" s="17" t="s">
        <v>67</v>
      </c>
      <c r="M2981" s="13" t="s">
        <v>60</v>
      </c>
      <c r="N2981" s="13">
        <v>1</v>
      </c>
      <c r="O2981" s="13"/>
      <c r="P2981" s="33" t="str">
        <f t="shared" si="891"/>
        <v>MAIN UNIT</v>
      </c>
      <c r="Q2981" s="13" t="s">
        <v>68</v>
      </c>
      <c r="R2981" s="13" t="s">
        <v>62</v>
      </c>
      <c r="S2981" s="13" t="s">
        <v>49</v>
      </c>
      <c r="T2981" s="13" t="s">
        <v>78</v>
      </c>
      <c r="U2981" s="13" t="s">
        <v>79</v>
      </c>
      <c r="V2981" s="13" t="s">
        <v>311</v>
      </c>
      <c r="W2981" s="13" t="s">
        <v>109</v>
      </c>
      <c r="X2981" s="135">
        <v>9163000</v>
      </c>
      <c r="Y2981" s="156">
        <v>1</v>
      </c>
      <c r="Z2981" s="18">
        <f t="shared" si="890"/>
        <v>9163000</v>
      </c>
      <c r="AA2981" s="13">
        <v>7.4300000000000005E-2</v>
      </c>
      <c r="AB2981" s="21">
        <f t="shared" si="875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77"/>
        <v>28065694.408805311</v>
      </c>
      <c r="AJ2981" s="19">
        <f t="shared" si="878"/>
        <v>4157433.2906989697</v>
      </c>
      <c r="AK2981" s="20">
        <f t="shared" si="884"/>
        <v>0.14813220831602228</v>
      </c>
      <c r="AL2981" s="17"/>
      <c r="AM2981" s="17"/>
      <c r="AN2981" s="17"/>
      <c r="AO2981" s="17"/>
      <c r="AP2981" s="28" t="str">
        <f t="shared" si="885"/>
        <v>20205</v>
      </c>
      <c r="AQ2981" s="28" t="str">
        <f t="shared" si="886"/>
        <v>20205JPY</v>
      </c>
      <c r="AR2981" s="206" t="str">
        <f t="shared" si="887"/>
        <v>YAMAHA_Mounter</v>
      </c>
      <c r="AS2981" s="22">
        <f t="shared" si="888"/>
        <v>4</v>
      </c>
      <c r="AT2981" s="24" t="str">
        <f t="shared" si="889"/>
        <v>4-6 months</v>
      </c>
      <c r="AU2981" s="22" t="s">
        <v>3745</v>
      </c>
    </row>
    <row r="2982" spans="1:47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185</v>
      </c>
      <c r="F2982" s="13" t="s">
        <v>185</v>
      </c>
      <c r="G2982" s="152" t="s">
        <v>1616</v>
      </c>
      <c r="H2982" s="155"/>
      <c r="I2982" s="33" t="str">
        <f t="shared" si="881"/>
        <v>Cancel</v>
      </c>
      <c r="J2982" s="186" t="s">
        <v>1264</v>
      </c>
      <c r="K2982" s="155" t="s">
        <v>1265</v>
      </c>
      <c r="L2982" s="17" t="s">
        <v>67</v>
      </c>
      <c r="M2982" s="13" t="s">
        <v>60</v>
      </c>
      <c r="N2982" s="13">
        <v>1</v>
      </c>
      <c r="O2982" s="13"/>
      <c r="P2982" s="33" t="str">
        <f t="shared" si="891"/>
        <v>MAIN UNIT</v>
      </c>
      <c r="Q2982" s="13" t="s">
        <v>68</v>
      </c>
      <c r="R2982" s="13" t="s">
        <v>62</v>
      </c>
      <c r="S2982" s="13" t="s">
        <v>49</v>
      </c>
      <c r="T2982" s="13" t="s">
        <v>78</v>
      </c>
      <c r="U2982" s="13" t="s">
        <v>79</v>
      </c>
      <c r="V2982" s="13" t="s">
        <v>311</v>
      </c>
      <c r="W2982" s="13" t="s">
        <v>109</v>
      </c>
      <c r="X2982" s="135">
        <v>9163000</v>
      </c>
      <c r="Y2982" s="156">
        <v>1</v>
      </c>
      <c r="Z2982" s="18">
        <f t="shared" si="890"/>
        <v>9163000</v>
      </c>
      <c r="AA2982" s="13">
        <v>7.3400000000000007E-2</v>
      </c>
      <c r="AB2982" s="21">
        <f t="shared" si="875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77"/>
        <v>499582152.5142017</v>
      </c>
      <c r="AJ2982" s="19">
        <f t="shared" si="878"/>
        <v>59520528.679470733</v>
      </c>
      <c r="AK2982" s="20">
        <f t="shared" si="884"/>
        <v>0.11914062257814291</v>
      </c>
      <c r="AL2982" s="17"/>
      <c r="AM2982" s="17"/>
      <c r="AN2982" s="17"/>
      <c r="AO2982" s="17"/>
      <c r="AP2982" s="28" t="str">
        <f t="shared" si="885"/>
        <v>CancelCANCEL</v>
      </c>
      <c r="AQ2982" s="28" t="str">
        <f t="shared" si="886"/>
        <v>CancelCANCELJPY</v>
      </c>
      <c r="AR2982" s="206" t="str">
        <f t="shared" si="887"/>
        <v>YAMAHA_Mounter</v>
      </c>
      <c r="AS2982" s="22" t="str">
        <f t="shared" si="888"/>
        <v/>
      </c>
      <c r="AT2982" s="24" t="str">
        <f t="shared" si="889"/>
        <v/>
      </c>
      <c r="AU2982" s="22" t="s">
        <v>3745</v>
      </c>
    </row>
    <row r="2983" spans="1:47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48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1197</v>
      </c>
      <c r="K2983" s="155" t="s">
        <v>1198</v>
      </c>
      <c r="L2983" s="17" t="s">
        <v>92</v>
      </c>
      <c r="M2983" s="13" t="s">
        <v>60</v>
      </c>
      <c r="N2983" s="13">
        <v>1</v>
      </c>
      <c r="O2983" s="13"/>
      <c r="P2983" s="33" t="str">
        <f t="shared" si="891"/>
        <v>MAIN UNIT</v>
      </c>
      <c r="Q2983" s="13" t="s">
        <v>61</v>
      </c>
      <c r="R2983" s="13" t="s">
        <v>62</v>
      </c>
      <c r="S2983" s="13" t="s">
        <v>49</v>
      </c>
      <c r="T2983" s="13" t="s">
        <v>78</v>
      </c>
      <c r="U2983" s="13" t="s">
        <v>79</v>
      </c>
      <c r="V2983" s="13" t="s">
        <v>1125</v>
      </c>
      <c r="W2983" s="13" t="s">
        <v>1105</v>
      </c>
      <c r="X2983" s="135">
        <v>12663000</v>
      </c>
      <c r="Y2983" s="156">
        <v>1</v>
      </c>
      <c r="Z2983" s="18">
        <f t="shared" si="890"/>
        <v>12663000</v>
      </c>
      <c r="AA2983" s="13">
        <v>7.3400000000000007E-2</v>
      </c>
      <c r="AB2983" s="21">
        <f t="shared" si="875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77"/>
        <v>35384300.169380538</v>
      </c>
      <c r="AJ2983" s="19">
        <f t="shared" si="878"/>
        <v>5044538.8896988509</v>
      </c>
      <c r="AK2983" s="20">
        <f t="shared" si="884"/>
        <v>0.14256432557804533</v>
      </c>
      <c r="AL2983" s="17"/>
      <c r="AM2983" s="17"/>
      <c r="AN2983" s="17"/>
      <c r="AO2983" s="17"/>
      <c r="AP2983" s="28" t="str">
        <f t="shared" si="885"/>
        <v>20207</v>
      </c>
      <c r="AQ2983" s="28" t="str">
        <f t="shared" si="886"/>
        <v>20207JPY</v>
      </c>
      <c r="AR2983" s="206" t="str">
        <f t="shared" si="887"/>
        <v>YAMAHA_Mounter</v>
      </c>
      <c r="AS2983" s="22">
        <f t="shared" si="888"/>
        <v>0</v>
      </c>
      <c r="AT2983" s="24" t="str">
        <f t="shared" si="889"/>
        <v>0-3 months</v>
      </c>
      <c r="AU2983" s="22" t="s">
        <v>3745</v>
      </c>
    </row>
    <row r="2984" spans="1:47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41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2859</v>
      </c>
      <c r="K2984" s="155" t="s">
        <v>2860</v>
      </c>
      <c r="L2984" s="17" t="s">
        <v>2831</v>
      </c>
      <c r="M2984" s="13" t="s">
        <v>2832</v>
      </c>
      <c r="N2984" s="13">
        <v>1</v>
      </c>
      <c r="O2984" s="13"/>
      <c r="P2984" s="33" t="str">
        <f t="shared" si="891"/>
        <v>MAIN UNIT</v>
      </c>
      <c r="Q2984" s="13" t="s">
        <v>68</v>
      </c>
      <c r="R2984" s="13" t="s">
        <v>2861</v>
      </c>
      <c r="S2984" s="13" t="s">
        <v>52</v>
      </c>
      <c r="T2984" s="13" t="s">
        <v>444</v>
      </c>
      <c r="U2984" s="13" t="s">
        <v>79</v>
      </c>
      <c r="V2984" s="13" t="s">
        <v>2828</v>
      </c>
      <c r="W2984" s="13" t="s">
        <v>64</v>
      </c>
      <c r="X2984" s="135">
        <v>366000</v>
      </c>
      <c r="Y2984" s="156">
        <v>1.1599999999999999</v>
      </c>
      <c r="Z2984" s="18">
        <f t="shared" si="890"/>
        <v>366000</v>
      </c>
      <c r="AA2984" s="13">
        <v>1.1499999999999999</v>
      </c>
      <c r="AB2984" s="21">
        <f t="shared" si="875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77"/>
        <v>16455710.386637932</v>
      </c>
      <c r="AJ2984" s="19">
        <f t="shared" si="878"/>
        <v>2150644.6466930606</v>
      </c>
      <c r="AK2984" s="20">
        <f t="shared" si="884"/>
        <v>0.13069290818580451</v>
      </c>
      <c r="AL2984" s="17"/>
      <c r="AM2984" s="17"/>
      <c r="AN2984" s="17"/>
      <c r="AO2984" s="17"/>
      <c r="AP2984" s="28" t="str">
        <f t="shared" si="885"/>
        <v>20192</v>
      </c>
      <c r="AQ2984" s="28" t="str">
        <f t="shared" si="886"/>
        <v>20192RMB</v>
      </c>
      <c r="AR2984" s="206" t="str">
        <f t="shared" si="887"/>
        <v>PEMTRON</v>
      </c>
      <c r="AS2984" s="22">
        <f t="shared" si="888"/>
        <v>1</v>
      </c>
      <c r="AT2984" s="24" t="str">
        <f t="shared" si="889"/>
        <v>0-3 months</v>
      </c>
      <c r="AU2984" s="22" t="s">
        <v>3240</v>
      </c>
    </row>
    <row r="2985" spans="1:47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185</v>
      </c>
      <c r="F2985" s="13" t="s">
        <v>185</v>
      </c>
      <c r="G2985" s="152" t="s">
        <v>185</v>
      </c>
      <c r="H2985" s="155"/>
      <c r="I2985" s="33" t="str">
        <f t="shared" si="881"/>
        <v>Cancel</v>
      </c>
      <c r="J2985" s="186" t="s">
        <v>611</v>
      </c>
      <c r="K2985" s="155" t="s">
        <v>612</v>
      </c>
      <c r="L2985" s="17" t="s">
        <v>67</v>
      </c>
      <c r="M2985" s="13" t="s">
        <v>60</v>
      </c>
      <c r="N2985" s="13">
        <v>1</v>
      </c>
      <c r="O2985" s="13"/>
      <c r="P2985" s="33" t="str">
        <f t="shared" si="891"/>
        <v>MAIN UNIT</v>
      </c>
      <c r="Q2985" s="13" t="s">
        <v>68</v>
      </c>
      <c r="R2985" s="13" t="s">
        <v>62</v>
      </c>
      <c r="S2985" s="13" t="s">
        <v>49</v>
      </c>
      <c r="T2985" s="13" t="s">
        <v>78</v>
      </c>
      <c r="U2985" s="13" t="s">
        <v>79</v>
      </c>
      <c r="V2985" s="13" t="s">
        <v>311</v>
      </c>
      <c r="W2985" s="13" t="s">
        <v>109</v>
      </c>
      <c r="X2985" s="135">
        <v>10460000</v>
      </c>
      <c r="Y2985" s="156">
        <v>1</v>
      </c>
      <c r="Z2985" s="18">
        <f t="shared" si="890"/>
        <v>10460000</v>
      </c>
      <c r="AA2985" s="13">
        <v>7.0199999999999999E-2</v>
      </c>
      <c r="AB2985" s="21">
        <f t="shared" si="875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77"/>
        <v>499582152.5142017</v>
      </c>
      <c r="AJ2985" s="19">
        <f t="shared" si="878"/>
        <v>59520528.679470733</v>
      </c>
      <c r="AK2985" s="20">
        <f t="shared" si="884"/>
        <v>0.11914062257814291</v>
      </c>
      <c r="AL2985" s="17"/>
      <c r="AM2985" s="17"/>
      <c r="AN2985" s="17"/>
      <c r="AO2985" s="17"/>
      <c r="AP2985" s="28" t="str">
        <f t="shared" si="885"/>
        <v>CancelCancel</v>
      </c>
      <c r="AQ2985" s="28" t="str">
        <f t="shared" si="886"/>
        <v>CancelCancelJPY</v>
      </c>
      <c r="AR2985" s="206" t="str">
        <f t="shared" si="887"/>
        <v>YAMAHA_Mounter</v>
      </c>
      <c r="AS2985" s="22" t="str">
        <f t="shared" si="888"/>
        <v/>
      </c>
      <c r="AT2985" s="24" t="str">
        <f t="shared" si="889"/>
        <v/>
      </c>
      <c r="AU2985" s="22" t="s">
        <v>3745</v>
      </c>
    </row>
    <row r="2986" spans="1:47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185</v>
      </c>
      <c r="F2986" s="13" t="s">
        <v>185</v>
      </c>
      <c r="G2986" s="152" t="s">
        <v>185</v>
      </c>
      <c r="H2986" s="155"/>
      <c r="I2986" s="33" t="str">
        <f t="shared" si="881"/>
        <v>Cancel</v>
      </c>
      <c r="J2986" s="186" t="s">
        <v>611</v>
      </c>
      <c r="K2986" s="155" t="s">
        <v>612</v>
      </c>
      <c r="L2986" s="17" t="s">
        <v>67</v>
      </c>
      <c r="M2986" s="13" t="s">
        <v>60</v>
      </c>
      <c r="N2986" s="13">
        <v>1</v>
      </c>
      <c r="O2986" s="13"/>
      <c r="P2986" s="33" t="str">
        <f t="shared" si="891"/>
        <v>MAIN UNIT</v>
      </c>
      <c r="Q2986" s="13" t="s">
        <v>68</v>
      </c>
      <c r="R2986" s="13" t="s">
        <v>62</v>
      </c>
      <c r="S2986" s="13" t="s">
        <v>49</v>
      </c>
      <c r="T2986" s="13" t="s">
        <v>78</v>
      </c>
      <c r="U2986" s="13" t="s">
        <v>79</v>
      </c>
      <c r="V2986" s="13" t="s">
        <v>311</v>
      </c>
      <c r="W2986" s="13" t="s">
        <v>109</v>
      </c>
      <c r="X2986" s="135">
        <v>10460000</v>
      </c>
      <c r="Y2986" s="156">
        <v>1</v>
      </c>
      <c r="Z2986" s="18">
        <f t="shared" si="890"/>
        <v>10460000</v>
      </c>
      <c r="AA2986" s="13">
        <v>7.2099999999999997E-2</v>
      </c>
      <c r="AB2986" s="21">
        <f t="shared" si="875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77"/>
        <v>499582152.5142017</v>
      </c>
      <c r="AJ2986" s="19">
        <f t="shared" si="878"/>
        <v>59520528.679470733</v>
      </c>
      <c r="AK2986" s="20">
        <f t="shared" si="884"/>
        <v>0.11914062257814291</v>
      </c>
      <c r="AL2986" s="17"/>
      <c r="AM2986" s="17"/>
      <c r="AN2986" s="17"/>
      <c r="AO2986" s="17"/>
      <c r="AP2986" s="28" t="str">
        <f t="shared" si="885"/>
        <v>CancelCancel</v>
      </c>
      <c r="AQ2986" s="28" t="str">
        <f t="shared" si="886"/>
        <v>CancelCancelJPY</v>
      </c>
      <c r="AR2986" s="206" t="str">
        <f t="shared" si="887"/>
        <v>YAMAHA_Mounter</v>
      </c>
      <c r="AS2986" s="22" t="str">
        <f t="shared" si="888"/>
        <v/>
      </c>
      <c r="AT2986" s="24" t="str">
        <f t="shared" si="889"/>
        <v/>
      </c>
      <c r="AU2986" s="22" t="s">
        <v>3745</v>
      </c>
    </row>
    <row r="2987" spans="1:47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47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1026</v>
      </c>
      <c r="K2987" s="155" t="s">
        <v>1027</v>
      </c>
      <c r="L2987" s="17" t="s">
        <v>92</v>
      </c>
      <c r="M2987" s="13" t="s">
        <v>60</v>
      </c>
      <c r="N2987" s="13">
        <v>1</v>
      </c>
      <c r="O2987" s="13"/>
      <c r="P2987" s="33" t="str">
        <f t="shared" si="891"/>
        <v>MAIN UNIT</v>
      </c>
      <c r="Q2987" s="13" t="s">
        <v>61</v>
      </c>
      <c r="R2987" s="13" t="s">
        <v>62</v>
      </c>
      <c r="S2987" s="13" t="s">
        <v>49</v>
      </c>
      <c r="T2987" s="13" t="s">
        <v>78</v>
      </c>
      <c r="U2987" s="13" t="s">
        <v>79</v>
      </c>
      <c r="V2987" s="13" t="s">
        <v>134</v>
      </c>
      <c r="W2987" s="13" t="s">
        <v>109</v>
      </c>
      <c r="X2987" s="135">
        <v>14700000</v>
      </c>
      <c r="Y2987" s="156">
        <v>1</v>
      </c>
      <c r="Z2987" s="18">
        <f t="shared" si="890"/>
        <v>14700000</v>
      </c>
      <c r="AA2987" s="13">
        <v>7.2999999999999995E-2</v>
      </c>
      <c r="AB2987" s="21">
        <f t="shared" si="875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77"/>
        <v>23168285.927433632</v>
      </c>
      <c r="AJ2987" s="19">
        <f t="shared" si="878"/>
        <v>2764878.916878053</v>
      </c>
      <c r="AK2987" s="20">
        <f t="shared" si="884"/>
        <v>0.11933895004309111</v>
      </c>
      <c r="AL2987" s="17"/>
      <c r="AM2987" s="17"/>
      <c r="AN2987" s="17"/>
      <c r="AO2987" s="17"/>
      <c r="AP2987" s="28" t="str">
        <f t="shared" si="885"/>
        <v>20203</v>
      </c>
      <c r="AQ2987" s="28" t="str">
        <f t="shared" si="886"/>
        <v>20203JPY</v>
      </c>
      <c r="AR2987" s="206" t="str">
        <f t="shared" si="887"/>
        <v>YAMAHA_Mounter</v>
      </c>
      <c r="AS2987" s="22">
        <f t="shared" si="888"/>
        <v>3</v>
      </c>
      <c r="AT2987" s="24" t="str">
        <f t="shared" si="889"/>
        <v>0-3 months</v>
      </c>
      <c r="AU2987" s="22" t="s">
        <v>3745</v>
      </c>
    </row>
    <row r="2988" spans="1:47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48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1518</v>
      </c>
      <c r="K2988" s="155" t="s">
        <v>1027</v>
      </c>
      <c r="L2988" s="17" t="s">
        <v>92</v>
      </c>
      <c r="M2988" s="13" t="s">
        <v>60</v>
      </c>
      <c r="N2988" s="13">
        <v>1</v>
      </c>
      <c r="O2988" s="13"/>
      <c r="P2988" s="33" t="str">
        <f t="shared" si="891"/>
        <v>MAIN UNIT</v>
      </c>
      <c r="Q2988" s="13" t="s">
        <v>61</v>
      </c>
      <c r="R2988" s="13" t="s">
        <v>62</v>
      </c>
      <c r="S2988" s="13" t="s">
        <v>49</v>
      </c>
      <c r="T2988" s="13" t="s">
        <v>78</v>
      </c>
      <c r="U2988" s="13" t="s">
        <v>79</v>
      </c>
      <c r="V2988" s="13" t="s">
        <v>1516</v>
      </c>
      <c r="W2988" s="13" t="s">
        <v>109</v>
      </c>
      <c r="X2988" s="135">
        <v>12600000</v>
      </c>
      <c r="Y2988" s="157" t="str">
        <f t="shared" ref="Y2988:Y2999" si="893">IF(W2988="RMB","1.13", "1")</f>
        <v>1</v>
      </c>
      <c r="Z2988" s="18">
        <f t="shared" si="890"/>
        <v>12600000</v>
      </c>
      <c r="AA2988" s="13">
        <v>7.6799999999999993E-2</v>
      </c>
      <c r="AB2988" s="21">
        <f t="shared" si="875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77"/>
        <v>45803245.025628321</v>
      </c>
      <c r="AJ2988" s="19">
        <f t="shared" si="878"/>
        <v>5664636.2584379362</v>
      </c>
      <c r="AK2988" s="20">
        <f t="shared" si="884"/>
        <v>0.12367325186825515</v>
      </c>
      <c r="AL2988" s="17"/>
      <c r="AM2988" s="17"/>
      <c r="AN2988" s="17"/>
      <c r="AO2988" s="17"/>
      <c r="AP2988" s="28" t="str">
        <f t="shared" si="885"/>
        <v>20211</v>
      </c>
      <c r="AQ2988" s="28" t="str">
        <f t="shared" si="886"/>
        <v>20211JPY</v>
      </c>
      <c r="AR2988" s="206" t="str">
        <f t="shared" si="887"/>
        <v>YAMAHA_Mounter</v>
      </c>
      <c r="AS2988" s="22">
        <f t="shared" si="888"/>
        <v>2</v>
      </c>
      <c r="AT2988" s="24" t="str">
        <f t="shared" si="889"/>
        <v>0-3 months</v>
      </c>
      <c r="AU2988" s="22" t="s">
        <v>3745</v>
      </c>
    </row>
    <row r="2989" spans="1:47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48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1518</v>
      </c>
      <c r="K2989" s="155" t="s">
        <v>1027</v>
      </c>
      <c r="L2989" s="17" t="s">
        <v>67</v>
      </c>
      <c r="M2989" s="13" t="s">
        <v>60</v>
      </c>
      <c r="N2989" s="13">
        <v>1</v>
      </c>
      <c r="O2989" s="13"/>
      <c r="P2989" s="33" t="str">
        <f t="shared" si="891"/>
        <v>MAIN UNIT</v>
      </c>
      <c r="Q2989" s="13" t="s">
        <v>61</v>
      </c>
      <c r="R2989" s="13" t="s">
        <v>62</v>
      </c>
      <c r="S2989" s="13" t="s">
        <v>49</v>
      </c>
      <c r="T2989" s="13" t="s">
        <v>78</v>
      </c>
      <c r="U2989" s="13" t="s">
        <v>79</v>
      </c>
      <c r="V2989" s="13" t="s">
        <v>1516</v>
      </c>
      <c r="W2989" s="13" t="s">
        <v>109</v>
      </c>
      <c r="X2989" s="135">
        <v>9000000</v>
      </c>
      <c r="Y2989" s="157" t="str">
        <f t="shared" si="893"/>
        <v>1</v>
      </c>
      <c r="Z2989" s="18">
        <f t="shared" si="890"/>
        <v>9000000</v>
      </c>
      <c r="AA2989" s="13">
        <v>7.6799999999999993E-2</v>
      </c>
      <c r="AB2989" s="21">
        <f t="shared" si="875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77"/>
        <v>45803245.025628321</v>
      </c>
      <c r="AJ2989" s="19">
        <f t="shared" si="878"/>
        <v>5664636.2584379362</v>
      </c>
      <c r="AK2989" s="20">
        <f t="shared" si="884"/>
        <v>0.12367325186825515</v>
      </c>
      <c r="AL2989" s="17"/>
      <c r="AM2989" s="17"/>
      <c r="AN2989" s="17"/>
      <c r="AO2989" s="17"/>
      <c r="AP2989" s="28" t="str">
        <f t="shared" si="885"/>
        <v>20211</v>
      </c>
      <c r="AQ2989" s="28" t="str">
        <f t="shared" si="886"/>
        <v>20211JPY</v>
      </c>
      <c r="AR2989" s="206" t="str">
        <f t="shared" si="887"/>
        <v>YAMAHA_Mounter</v>
      </c>
      <c r="AS2989" s="22">
        <f t="shared" si="888"/>
        <v>2</v>
      </c>
      <c r="AT2989" s="24" t="str">
        <f t="shared" si="889"/>
        <v>0-3 months</v>
      </c>
      <c r="AU2989" s="22" t="s">
        <v>3745</v>
      </c>
    </row>
    <row r="2990" spans="1:47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48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1548</v>
      </c>
      <c r="K2990" s="155" t="s">
        <v>1027</v>
      </c>
      <c r="L2990" s="17" t="s">
        <v>92</v>
      </c>
      <c r="M2990" s="13" t="s">
        <v>60</v>
      </c>
      <c r="N2990" s="13">
        <v>1</v>
      </c>
      <c r="O2990" s="13"/>
      <c r="P2990" s="33" t="str">
        <f t="shared" si="891"/>
        <v>MAIN UNIT</v>
      </c>
      <c r="Q2990" s="13" t="s">
        <v>61</v>
      </c>
      <c r="R2990" s="13" t="s">
        <v>62</v>
      </c>
      <c r="S2990" s="13" t="s">
        <v>49</v>
      </c>
      <c r="T2990" s="13" t="s">
        <v>78</v>
      </c>
      <c r="U2990" s="13" t="s">
        <v>79</v>
      </c>
      <c r="V2990" s="13" t="s">
        <v>1516</v>
      </c>
      <c r="W2990" s="13" t="s">
        <v>109</v>
      </c>
      <c r="X2990" s="135">
        <v>12800000</v>
      </c>
      <c r="Y2990" s="157" t="str">
        <f t="shared" si="893"/>
        <v>1</v>
      </c>
      <c r="Z2990" s="18">
        <f t="shared" si="890"/>
        <v>12800000</v>
      </c>
      <c r="AA2990" s="13">
        <v>7.4499999999999997E-2</v>
      </c>
      <c r="AB2990" s="21">
        <f t="shared" si="875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77"/>
        <v>57778307.282035396</v>
      </c>
      <c r="AJ2990" s="19">
        <f t="shared" si="878"/>
        <v>7259860.7225420559</v>
      </c>
      <c r="AK2990" s="20">
        <f t="shared" si="884"/>
        <v>0.12565028406083667</v>
      </c>
      <c r="AL2990" s="17"/>
      <c r="AM2990" s="17"/>
      <c r="AN2990" s="17"/>
      <c r="AO2990" s="17"/>
      <c r="AP2990" s="28" t="str">
        <f t="shared" si="885"/>
        <v>20213</v>
      </c>
      <c r="AQ2990" s="28" t="str">
        <f t="shared" si="886"/>
        <v>20213JPY</v>
      </c>
      <c r="AR2990" s="206" t="str">
        <f t="shared" si="887"/>
        <v>YAMAHA_Mounter</v>
      </c>
      <c r="AS2990" s="22">
        <f t="shared" si="888"/>
        <v>4</v>
      </c>
      <c r="AT2990" s="24" t="str">
        <f t="shared" si="889"/>
        <v>4-6 months</v>
      </c>
      <c r="AU2990" s="22" t="s">
        <v>3745</v>
      </c>
    </row>
    <row r="2991" spans="1:47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48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1548</v>
      </c>
      <c r="K2991" s="155" t="s">
        <v>1027</v>
      </c>
      <c r="L2991" s="17" t="s">
        <v>92</v>
      </c>
      <c r="M2991" s="13" t="s">
        <v>60</v>
      </c>
      <c r="N2991" s="13">
        <v>1</v>
      </c>
      <c r="O2991" s="13"/>
      <c r="P2991" s="33" t="str">
        <f t="shared" si="891"/>
        <v>MAIN UNIT</v>
      </c>
      <c r="Q2991" s="13" t="s">
        <v>61</v>
      </c>
      <c r="R2991" s="13" t="s">
        <v>62</v>
      </c>
      <c r="S2991" s="13" t="s">
        <v>49</v>
      </c>
      <c r="T2991" s="13" t="s">
        <v>78</v>
      </c>
      <c r="U2991" s="13" t="s">
        <v>79</v>
      </c>
      <c r="V2991" s="13" t="s">
        <v>1516</v>
      </c>
      <c r="W2991" s="13" t="s">
        <v>109</v>
      </c>
      <c r="X2991" s="135">
        <v>12800000</v>
      </c>
      <c r="Y2991" s="157" t="str">
        <f t="shared" si="893"/>
        <v>1</v>
      </c>
      <c r="Z2991" s="18">
        <f t="shared" si="890"/>
        <v>12800000</v>
      </c>
      <c r="AA2991" s="13">
        <v>7.4499999999999997E-2</v>
      </c>
      <c r="AB2991" s="21">
        <f t="shared" si="875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77"/>
        <v>57778307.282035396</v>
      </c>
      <c r="AJ2991" s="19">
        <f t="shared" si="878"/>
        <v>7259860.7225420559</v>
      </c>
      <c r="AK2991" s="20">
        <f t="shared" si="884"/>
        <v>0.12565028406083667</v>
      </c>
      <c r="AL2991" s="17"/>
      <c r="AM2991" s="17"/>
      <c r="AN2991" s="17"/>
      <c r="AO2991" s="17"/>
      <c r="AP2991" s="28" t="str">
        <f t="shared" si="885"/>
        <v>20213</v>
      </c>
      <c r="AQ2991" s="28" t="str">
        <f t="shared" si="886"/>
        <v>20213JPY</v>
      </c>
      <c r="AR2991" s="206" t="str">
        <f t="shared" si="887"/>
        <v>YAMAHA_Mounter</v>
      </c>
      <c r="AS2991" s="22">
        <f t="shared" si="888"/>
        <v>4</v>
      </c>
      <c r="AT2991" s="24" t="str">
        <f t="shared" si="889"/>
        <v>4-6 months</v>
      </c>
      <c r="AU2991" s="22" t="s">
        <v>3745</v>
      </c>
    </row>
    <row r="2992" spans="1:47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48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1548</v>
      </c>
      <c r="K2992" s="155" t="s">
        <v>1027</v>
      </c>
      <c r="L2992" s="17" t="s">
        <v>67</v>
      </c>
      <c r="M2992" s="13" t="s">
        <v>60</v>
      </c>
      <c r="N2992" s="13">
        <v>1</v>
      </c>
      <c r="O2992" s="13"/>
      <c r="P2992" s="33" t="str">
        <f t="shared" si="891"/>
        <v>MAIN UNIT</v>
      </c>
      <c r="Q2992" s="13" t="s">
        <v>61</v>
      </c>
      <c r="R2992" s="13" t="s">
        <v>62</v>
      </c>
      <c r="S2992" s="13" t="s">
        <v>49</v>
      </c>
      <c r="T2992" s="13" t="s">
        <v>78</v>
      </c>
      <c r="U2992" s="13" t="s">
        <v>79</v>
      </c>
      <c r="V2992" s="13" t="s">
        <v>1516</v>
      </c>
      <c r="W2992" s="13" t="s">
        <v>109</v>
      </c>
      <c r="X2992" s="135">
        <v>9000000</v>
      </c>
      <c r="Y2992" s="157" t="str">
        <f t="shared" si="893"/>
        <v>1</v>
      </c>
      <c r="Z2992" s="18">
        <f t="shared" si="890"/>
        <v>9000000</v>
      </c>
      <c r="AA2992" s="13">
        <v>7.4499999999999997E-2</v>
      </c>
      <c r="AB2992" s="21">
        <f t="shared" si="875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77"/>
        <v>57778307.282035396</v>
      </c>
      <c r="AJ2992" s="19">
        <f t="shared" si="878"/>
        <v>7259860.7225420559</v>
      </c>
      <c r="AK2992" s="20">
        <f t="shared" si="884"/>
        <v>0.12565028406083667</v>
      </c>
      <c r="AL2992" s="17"/>
      <c r="AM2992" s="17"/>
      <c r="AN2992" s="17"/>
      <c r="AO2992" s="17"/>
      <c r="AP2992" s="28" t="str">
        <f t="shared" si="885"/>
        <v>20213</v>
      </c>
      <c r="AQ2992" s="28" t="str">
        <f t="shared" si="886"/>
        <v>20213JPY</v>
      </c>
      <c r="AR2992" s="206" t="str">
        <f t="shared" si="887"/>
        <v>YAMAHA_Mounter</v>
      </c>
      <c r="AS2992" s="22">
        <f t="shared" si="888"/>
        <v>4</v>
      </c>
      <c r="AT2992" s="24" t="str">
        <f t="shared" si="889"/>
        <v>4-6 months</v>
      </c>
      <c r="AU2992" s="22" t="s">
        <v>3745</v>
      </c>
    </row>
    <row r="2993" spans="1:47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53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1876</v>
      </c>
      <c r="K2993" s="155" t="s">
        <v>1027</v>
      </c>
      <c r="L2993" s="17" t="s">
        <v>67</v>
      </c>
      <c r="M2993" s="13" t="s">
        <v>60</v>
      </c>
      <c r="N2993" s="13">
        <v>1</v>
      </c>
      <c r="O2993" s="13"/>
      <c r="P2993" s="33" t="str">
        <f t="shared" si="891"/>
        <v>MAIN UNIT</v>
      </c>
      <c r="Q2993" s="13" t="s">
        <v>61</v>
      </c>
      <c r="R2993" s="13" t="s">
        <v>62</v>
      </c>
      <c r="S2993" s="13" t="s">
        <v>49</v>
      </c>
      <c r="T2993" s="13" t="s">
        <v>78</v>
      </c>
      <c r="U2993" s="13" t="s">
        <v>79</v>
      </c>
      <c r="V2993" s="13" t="s">
        <v>1407</v>
      </c>
      <c r="W2993" s="13" t="s">
        <v>109</v>
      </c>
      <c r="X2993" s="135">
        <v>11560000</v>
      </c>
      <c r="Y2993" s="157" t="str">
        <f t="shared" si="893"/>
        <v>1</v>
      </c>
      <c r="Z2993" s="18">
        <f t="shared" si="890"/>
        <v>11560000</v>
      </c>
      <c r="AA2993" s="13">
        <v>7.0999999999999994E-2</v>
      </c>
      <c r="AB2993" s="21">
        <f t="shared" si="875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77"/>
        <v>15533177.71460177</v>
      </c>
      <c r="AJ2993" s="19">
        <f t="shared" si="878"/>
        <v>1819298.5437526547</v>
      </c>
      <c r="AK2993" s="20">
        <f t="shared" si="884"/>
        <v>0.11712339723265033</v>
      </c>
      <c r="AL2993" s="17"/>
      <c r="AM2993" s="17"/>
      <c r="AN2993" s="17"/>
      <c r="AO2993" s="17"/>
      <c r="AP2993" s="28" t="str">
        <f t="shared" si="885"/>
        <v>202110</v>
      </c>
      <c r="AQ2993" s="28" t="str">
        <f t="shared" si="886"/>
        <v>202110JPY</v>
      </c>
      <c r="AR2993" s="206" t="str">
        <f t="shared" si="887"/>
        <v>YAMAHA_Mounter</v>
      </c>
      <c r="AS2993" s="22">
        <f t="shared" si="888"/>
        <v>3</v>
      </c>
      <c r="AT2993" s="24" t="str">
        <f t="shared" si="889"/>
        <v>0-3 months</v>
      </c>
      <c r="AU2993" s="22" t="s">
        <v>3745</v>
      </c>
    </row>
    <row r="2994" spans="1:47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53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1876</v>
      </c>
      <c r="K2994" s="155" t="s">
        <v>1027</v>
      </c>
      <c r="L2994" s="17" t="s">
        <v>67</v>
      </c>
      <c r="M2994" s="13" t="s">
        <v>60</v>
      </c>
      <c r="N2994" s="13">
        <v>1</v>
      </c>
      <c r="O2994" s="13"/>
      <c r="P2994" s="33" t="str">
        <f t="shared" si="891"/>
        <v>MAIN UNIT</v>
      </c>
      <c r="Q2994" s="13" t="s">
        <v>61</v>
      </c>
      <c r="R2994" s="13" t="s">
        <v>62</v>
      </c>
      <c r="S2994" s="13" t="s">
        <v>49</v>
      </c>
      <c r="T2994" s="13" t="s">
        <v>78</v>
      </c>
      <c r="U2994" s="13" t="s">
        <v>79</v>
      </c>
      <c r="V2994" s="13" t="s">
        <v>1407</v>
      </c>
      <c r="W2994" s="13" t="s">
        <v>109</v>
      </c>
      <c r="X2994" s="135">
        <v>11560000</v>
      </c>
      <c r="Y2994" s="157" t="str">
        <f t="shared" si="893"/>
        <v>1</v>
      </c>
      <c r="Z2994" s="18">
        <f t="shared" si="890"/>
        <v>11560000</v>
      </c>
      <c r="AA2994" s="13">
        <v>7.0000000000000007E-2</v>
      </c>
      <c r="AB2994" s="21">
        <f t="shared" si="875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77"/>
        <v>29500529.005044252</v>
      </c>
      <c r="AJ2994" s="19">
        <f t="shared" si="878"/>
        <v>3253064.846231177</v>
      </c>
      <c r="AK2994" s="20">
        <f t="shared" si="884"/>
        <v>0.11027140718984871</v>
      </c>
      <c r="AL2994" s="17"/>
      <c r="AM2994" s="17"/>
      <c r="AN2994" s="17"/>
      <c r="AO2994" s="17"/>
      <c r="AP2994" s="28" t="str">
        <f t="shared" si="885"/>
        <v>202111</v>
      </c>
      <c r="AQ2994" s="28" t="str">
        <f t="shared" si="886"/>
        <v>202111JPY</v>
      </c>
      <c r="AR2994" s="206" t="str">
        <f t="shared" si="887"/>
        <v>YAMAHA_Mounter</v>
      </c>
      <c r="AS2994" s="22">
        <f t="shared" si="888"/>
        <v>4</v>
      </c>
      <c r="AT2994" s="24" t="str">
        <f t="shared" si="889"/>
        <v>4-6 months</v>
      </c>
      <c r="AU2994" s="22" t="s">
        <v>3745</v>
      </c>
    </row>
    <row r="2995" spans="1:47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53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1876</v>
      </c>
      <c r="K2995" s="155" t="s">
        <v>1027</v>
      </c>
      <c r="L2995" s="17" t="s">
        <v>67</v>
      </c>
      <c r="M2995" s="13" t="s">
        <v>60</v>
      </c>
      <c r="N2995" s="13">
        <v>1</v>
      </c>
      <c r="O2995" s="13"/>
      <c r="P2995" s="33" t="str">
        <f t="shared" si="891"/>
        <v>MAIN UNIT</v>
      </c>
      <c r="Q2995" s="13" t="s">
        <v>61</v>
      </c>
      <c r="R2995" s="13" t="s">
        <v>62</v>
      </c>
      <c r="S2995" s="13" t="s">
        <v>49</v>
      </c>
      <c r="T2995" s="13" t="s">
        <v>78</v>
      </c>
      <c r="U2995" s="13" t="s">
        <v>79</v>
      </c>
      <c r="V2995" s="13" t="s">
        <v>1407</v>
      </c>
      <c r="W2995" s="13" t="s">
        <v>109</v>
      </c>
      <c r="X2995" s="135">
        <v>11560000</v>
      </c>
      <c r="Y2995" s="157" t="str">
        <f t="shared" si="893"/>
        <v>1</v>
      </c>
      <c r="Z2995" s="18">
        <f t="shared" si="890"/>
        <v>11560000</v>
      </c>
      <c r="AA2995" s="13">
        <v>7.0000000000000007E-2</v>
      </c>
      <c r="AB2995" s="21">
        <f t="shared" si="875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77"/>
        <v>29500529.005044252</v>
      </c>
      <c r="AJ2995" s="19">
        <f t="shared" si="878"/>
        <v>3253064.846231177</v>
      </c>
      <c r="AK2995" s="20">
        <f t="shared" si="884"/>
        <v>0.11027140718984871</v>
      </c>
      <c r="AL2995" s="17"/>
      <c r="AM2995" s="17"/>
      <c r="AN2995" s="17"/>
      <c r="AO2995" s="17"/>
      <c r="AP2995" s="28" t="str">
        <f t="shared" si="885"/>
        <v>202111</v>
      </c>
      <c r="AQ2995" s="28" t="str">
        <f t="shared" si="886"/>
        <v>202111JPY</v>
      </c>
      <c r="AR2995" s="206" t="str">
        <f t="shared" si="887"/>
        <v>YAMAHA_Mounter</v>
      </c>
      <c r="AS2995" s="22">
        <f t="shared" si="888"/>
        <v>4</v>
      </c>
      <c r="AT2995" s="24" t="str">
        <f t="shared" si="889"/>
        <v>4-6 months</v>
      </c>
      <c r="AU2995" s="22" t="s">
        <v>3745</v>
      </c>
    </row>
    <row r="2996" spans="1:47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48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1574</v>
      </c>
      <c r="K2996" s="155" t="s">
        <v>1575</v>
      </c>
      <c r="L2996" s="17" t="s">
        <v>92</v>
      </c>
      <c r="M2996" s="13" t="s">
        <v>60</v>
      </c>
      <c r="N2996" s="13">
        <v>1</v>
      </c>
      <c r="O2996" s="13"/>
      <c r="P2996" s="33" t="str">
        <f t="shared" si="891"/>
        <v>MAIN UNIT</v>
      </c>
      <c r="Q2996" s="13" t="s">
        <v>61</v>
      </c>
      <c r="R2996" s="13" t="s">
        <v>62</v>
      </c>
      <c r="S2996" s="13" t="s">
        <v>49</v>
      </c>
      <c r="T2996" s="13" t="s">
        <v>78</v>
      </c>
      <c r="U2996" s="13" t="s">
        <v>79</v>
      </c>
      <c r="V2996" s="13" t="s">
        <v>121</v>
      </c>
      <c r="W2996" s="13" t="s">
        <v>109</v>
      </c>
      <c r="X2996" s="135">
        <v>13300000</v>
      </c>
      <c r="Y2996" s="157" t="str">
        <f t="shared" si="893"/>
        <v>1</v>
      </c>
      <c r="Z2996" s="18">
        <f t="shared" si="890"/>
        <v>13300000</v>
      </c>
      <c r="AA2996" s="13">
        <v>7.4499999999999997E-2</v>
      </c>
      <c r="AB2996" s="21">
        <f t="shared" si="875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77"/>
        <v>57778307.282035396</v>
      </c>
      <c r="AJ2996" s="19">
        <f t="shared" si="878"/>
        <v>7259860.7225420559</v>
      </c>
      <c r="AK2996" s="20">
        <f t="shared" si="884"/>
        <v>0.12565028406083667</v>
      </c>
      <c r="AL2996" s="17"/>
      <c r="AM2996" s="17"/>
      <c r="AN2996" s="17"/>
      <c r="AO2996" s="17" t="s">
        <v>1576</v>
      </c>
      <c r="AP2996" s="28" t="str">
        <f t="shared" si="885"/>
        <v>20213</v>
      </c>
      <c r="AQ2996" s="28" t="str">
        <f t="shared" si="886"/>
        <v>20213JPY</v>
      </c>
      <c r="AR2996" s="206" t="str">
        <f t="shared" si="887"/>
        <v>YAMAHA_Mounter</v>
      </c>
      <c r="AS2996" s="22">
        <f t="shared" si="888"/>
        <v>3</v>
      </c>
      <c r="AT2996" s="24" t="str">
        <f t="shared" si="889"/>
        <v>0-3 months</v>
      </c>
      <c r="AU2996" s="22" t="s">
        <v>3745</v>
      </c>
    </row>
    <row r="2997" spans="1:47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54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2263</v>
      </c>
      <c r="K2997" s="155" t="s">
        <v>2264</v>
      </c>
      <c r="L2997" s="17" t="s">
        <v>67</v>
      </c>
      <c r="M2997" s="13" t="s">
        <v>60</v>
      </c>
      <c r="N2997" s="13">
        <v>1</v>
      </c>
      <c r="O2997" s="13"/>
      <c r="P2997" s="33" t="str">
        <f t="shared" si="891"/>
        <v>MAIN UNIT</v>
      </c>
      <c r="Q2997" s="13" t="s">
        <v>61</v>
      </c>
      <c r="R2997" s="13" t="s">
        <v>62</v>
      </c>
      <c r="S2997" s="13" t="s">
        <v>50</v>
      </c>
      <c r="T2997" s="13" t="s">
        <v>88</v>
      </c>
      <c r="U2997" s="13" t="s">
        <v>70</v>
      </c>
      <c r="V2997" s="13" t="s">
        <v>102</v>
      </c>
      <c r="W2997" s="13" t="s">
        <v>64</v>
      </c>
      <c r="X2997" s="135">
        <v>900000</v>
      </c>
      <c r="Y2997" s="157" t="str">
        <f t="shared" si="893"/>
        <v>1.13</v>
      </c>
      <c r="Z2997" s="18">
        <f t="shared" si="890"/>
        <v>900000</v>
      </c>
      <c r="AA2997" s="13">
        <v>1.163</v>
      </c>
      <c r="AB2997" s="21">
        <f t="shared" si="875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77"/>
        <v>35073581.838938057</v>
      </c>
      <c r="AJ2997" s="19">
        <f t="shared" si="878"/>
        <v>5034113.9728989396</v>
      </c>
      <c r="AK2997" s="20">
        <f t="shared" si="884"/>
        <v>0.14353007902118958</v>
      </c>
      <c r="AL2997" s="17"/>
      <c r="AM2997" s="17"/>
      <c r="AN2997" s="17"/>
      <c r="AO2997" s="17"/>
      <c r="AP2997" s="28" t="str">
        <f t="shared" si="885"/>
        <v>20228</v>
      </c>
      <c r="AQ2997" s="28" t="str">
        <f t="shared" si="886"/>
        <v>20228RMB</v>
      </c>
      <c r="AR2997" s="206" t="str">
        <f t="shared" si="887"/>
        <v>YAMAHA_Mounter</v>
      </c>
      <c r="AS2997" s="22">
        <f t="shared" si="888"/>
        <v>1</v>
      </c>
      <c r="AT2997" s="24" t="str">
        <f t="shared" si="889"/>
        <v>0-3 months</v>
      </c>
      <c r="AU2997" s="22" t="s">
        <v>3240</v>
      </c>
    </row>
    <row r="2998" spans="1:47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54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2263</v>
      </c>
      <c r="K2998" s="155" t="s">
        <v>2264</v>
      </c>
      <c r="L2998" s="17" t="s">
        <v>92</v>
      </c>
      <c r="M2998" s="13" t="s">
        <v>60</v>
      </c>
      <c r="N2998" s="13">
        <v>1</v>
      </c>
      <c r="O2998" s="13"/>
      <c r="P2998" s="33" t="str">
        <f t="shared" si="891"/>
        <v>MAIN UNIT</v>
      </c>
      <c r="Q2998" s="13" t="s">
        <v>61</v>
      </c>
      <c r="R2998" s="13" t="s">
        <v>62</v>
      </c>
      <c r="S2998" s="13" t="s">
        <v>50</v>
      </c>
      <c r="T2998" s="13" t="s">
        <v>88</v>
      </c>
      <c r="U2998" s="13" t="s">
        <v>70</v>
      </c>
      <c r="V2998" s="13" t="s">
        <v>102</v>
      </c>
      <c r="W2998" s="13" t="s">
        <v>64</v>
      </c>
      <c r="X2998" s="135">
        <v>790000</v>
      </c>
      <c r="Y2998" s="157" t="str">
        <f t="shared" si="893"/>
        <v>1.13</v>
      </c>
      <c r="Z2998" s="18">
        <f t="shared" si="890"/>
        <v>790000</v>
      </c>
      <c r="AA2998" s="13">
        <v>1.163</v>
      </c>
      <c r="AB2998" s="21">
        <f t="shared" si="875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77"/>
        <v>35073581.838938057</v>
      </c>
      <c r="AJ2998" s="19">
        <f t="shared" si="878"/>
        <v>5034113.9728989396</v>
      </c>
      <c r="AK2998" s="20">
        <f t="shared" si="884"/>
        <v>0.14353007902118958</v>
      </c>
      <c r="AL2998" s="17"/>
      <c r="AM2998" s="17"/>
      <c r="AN2998" s="17"/>
      <c r="AO2998" s="17"/>
      <c r="AP2998" s="28" t="str">
        <f t="shared" si="885"/>
        <v>20228</v>
      </c>
      <c r="AQ2998" s="28" t="str">
        <f t="shared" si="886"/>
        <v>20228RMB</v>
      </c>
      <c r="AR2998" s="206" t="str">
        <f t="shared" si="887"/>
        <v>YAMAHA_Mounter</v>
      </c>
      <c r="AS2998" s="22">
        <f t="shared" si="888"/>
        <v>1</v>
      </c>
      <c r="AT2998" s="24" t="str">
        <f t="shared" si="889"/>
        <v>0-3 months</v>
      </c>
      <c r="AU2998" s="22" t="s">
        <v>3240</v>
      </c>
    </row>
    <row r="2999" spans="1:47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54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2263</v>
      </c>
      <c r="K2999" s="155" t="s">
        <v>2264</v>
      </c>
      <c r="L2999" s="17" t="s">
        <v>92</v>
      </c>
      <c r="M2999" s="13" t="s">
        <v>60</v>
      </c>
      <c r="N2999" s="13">
        <v>1</v>
      </c>
      <c r="O2999" s="13"/>
      <c r="P2999" s="33" t="str">
        <f t="shared" si="891"/>
        <v>MAIN UNIT</v>
      </c>
      <c r="Q2999" s="13" t="s">
        <v>61</v>
      </c>
      <c r="R2999" s="13" t="s">
        <v>62</v>
      </c>
      <c r="S2999" s="13" t="s">
        <v>50</v>
      </c>
      <c r="T2999" s="13" t="s">
        <v>88</v>
      </c>
      <c r="U2999" s="13" t="s">
        <v>70</v>
      </c>
      <c r="V2999" s="13" t="s">
        <v>102</v>
      </c>
      <c r="W2999" s="13" t="s">
        <v>64</v>
      </c>
      <c r="X2999" s="135">
        <v>790000</v>
      </c>
      <c r="Y2999" s="157" t="str">
        <f t="shared" si="893"/>
        <v>1.13</v>
      </c>
      <c r="Z2999" s="18">
        <f t="shared" si="890"/>
        <v>790000</v>
      </c>
      <c r="AA2999" s="13">
        <v>1.163</v>
      </c>
      <c r="AB2999" s="21">
        <f t="shared" si="875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77"/>
        <v>35073581.838938057</v>
      </c>
      <c r="AJ2999" s="19">
        <f t="shared" si="878"/>
        <v>5034113.9728989396</v>
      </c>
      <c r="AK2999" s="20">
        <f t="shared" si="884"/>
        <v>0.14353007902118958</v>
      </c>
      <c r="AL2999" s="17"/>
      <c r="AM2999" s="17"/>
      <c r="AN2999" s="17"/>
      <c r="AO2999" s="17"/>
      <c r="AP2999" s="28" t="str">
        <f t="shared" si="885"/>
        <v>20228</v>
      </c>
      <c r="AQ2999" s="28" t="str">
        <f t="shared" si="886"/>
        <v>20228RMB</v>
      </c>
      <c r="AR2999" s="206" t="str">
        <f t="shared" si="887"/>
        <v>YAMAHA_Mounter</v>
      </c>
      <c r="AS2999" s="22">
        <f t="shared" si="888"/>
        <v>1</v>
      </c>
      <c r="AT2999" s="24" t="str">
        <f t="shared" si="889"/>
        <v>0-3 months</v>
      </c>
      <c r="AU2999" s="22" t="s">
        <v>3240</v>
      </c>
    </row>
    <row r="3000" spans="1:47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185</v>
      </c>
      <c r="G3000" s="23" t="s">
        <v>185</v>
      </c>
      <c r="H3000" s="29"/>
      <c r="I3000" s="33" t="str">
        <f t="shared" si="881"/>
        <v>Cancel</v>
      </c>
      <c r="J3000" s="188" t="s">
        <v>3414</v>
      </c>
      <c r="K3000" s="29" t="s">
        <v>3309</v>
      </c>
      <c r="L3000" s="17" t="s">
        <v>3429</v>
      </c>
      <c r="M3000" s="13" t="s">
        <v>60</v>
      </c>
      <c r="N3000" s="22">
        <v>1</v>
      </c>
      <c r="O3000" s="22"/>
      <c r="P3000" s="33" t="str">
        <f t="shared" si="891"/>
        <v>MAIN UNIT</v>
      </c>
      <c r="Q3000" s="13" t="s">
        <v>68</v>
      </c>
      <c r="R3000" s="22" t="s">
        <v>62</v>
      </c>
      <c r="S3000" s="22" t="s">
        <v>50</v>
      </c>
      <c r="T3000" s="22" t="s">
        <v>238</v>
      </c>
      <c r="U3000" s="22" t="s">
        <v>3310</v>
      </c>
      <c r="V3000" s="22" t="s">
        <v>121</v>
      </c>
      <c r="W3000" s="22" t="s">
        <v>109</v>
      </c>
      <c r="X3000" s="30">
        <v>12300000</v>
      </c>
      <c r="Y3000" s="31" t="str">
        <f>IF(W3000="","",IF(W3000="RMB","1.13", "1"))</f>
        <v>1</v>
      </c>
      <c r="Z3000" s="18">
        <f t="shared" si="890"/>
        <v>12300000</v>
      </c>
      <c r="AA3000" s="13">
        <v>4.9500000000000002E-2</v>
      </c>
      <c r="AB3000" s="21">
        <f t="shared" si="875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77"/>
        <v>499582152.5142017</v>
      </c>
      <c r="AJ3000" s="27">
        <f t="shared" si="878"/>
        <v>59520528.679470733</v>
      </c>
      <c r="AK3000" s="28">
        <f t="shared" si="884"/>
        <v>0.11914062257814291</v>
      </c>
      <c r="AL3000" s="24"/>
      <c r="AM3000" s="24"/>
      <c r="AN3000" s="24"/>
      <c r="AO3000" s="24"/>
      <c r="AP3000" s="28" t="str">
        <f t="shared" si="885"/>
        <v>CancelCancel</v>
      </c>
      <c r="AQ3000" s="28" t="str">
        <f t="shared" si="886"/>
        <v>CancelCancelJPY</v>
      </c>
      <c r="AR3000" s="206" t="str">
        <f t="shared" si="887"/>
        <v>YAMAHA_Mounter</v>
      </c>
      <c r="AS3000" s="22" t="str">
        <f t="shared" si="888"/>
        <v/>
      </c>
      <c r="AT3000" s="24" t="str">
        <f t="shared" si="889"/>
        <v/>
      </c>
      <c r="AU3000" s="22" t="s">
        <v>3745</v>
      </c>
    </row>
    <row r="3001" spans="1:47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3172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3423</v>
      </c>
      <c r="K3001" s="29" t="s">
        <v>1707</v>
      </c>
      <c r="L3001" s="17" t="s">
        <v>92</v>
      </c>
      <c r="M3001" s="22" t="s">
        <v>60</v>
      </c>
      <c r="N3001" s="22">
        <v>1</v>
      </c>
      <c r="O3001" s="22"/>
      <c r="P3001" s="33" t="str">
        <f t="shared" si="891"/>
        <v>MAIN UNIT</v>
      </c>
      <c r="Q3001" s="13" t="s">
        <v>61</v>
      </c>
      <c r="R3001" s="22" t="s">
        <v>62</v>
      </c>
      <c r="S3001" s="22" t="s">
        <v>49</v>
      </c>
      <c r="T3001" s="22" t="s">
        <v>78</v>
      </c>
      <c r="U3001" s="22" t="s">
        <v>120</v>
      </c>
      <c r="V3001" s="22" t="s">
        <v>121</v>
      </c>
      <c r="W3001" s="22" t="s">
        <v>109</v>
      </c>
      <c r="X3001" s="104">
        <v>12900000</v>
      </c>
      <c r="Y3001" s="195" t="str">
        <f>IF(W3001="","",IF(W3001="RMB","1.13", "1"))</f>
        <v>1</v>
      </c>
      <c r="Z3001" s="196">
        <f t="shared" si="890"/>
        <v>12900000</v>
      </c>
      <c r="AA3001" s="22">
        <v>5.2299999999999999E-2</v>
      </c>
      <c r="AB3001" s="197">
        <f t="shared" si="875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77"/>
        <v>25354039.366920356</v>
      </c>
      <c r="AJ3001" s="200">
        <f t="shared" si="878"/>
        <v>3028631.2816309328</v>
      </c>
      <c r="AK3001" s="201">
        <f t="shared" si="884"/>
        <v>0.11945360018579192</v>
      </c>
      <c r="AL3001" s="24"/>
      <c r="AM3001" s="24"/>
      <c r="AN3001" s="24"/>
      <c r="AO3001" s="24"/>
      <c r="AP3001" s="105" t="str">
        <f t="shared" si="885"/>
        <v>20248</v>
      </c>
      <c r="AQ3001" s="28" t="str">
        <f t="shared" si="886"/>
        <v>20248JPY</v>
      </c>
      <c r="AR3001" s="206" t="str">
        <f t="shared" si="887"/>
        <v>YAMAHA_Mounter</v>
      </c>
      <c r="AS3001" s="22">
        <f t="shared" si="888"/>
        <v>3</v>
      </c>
      <c r="AT3001" s="24" t="str">
        <f t="shared" si="889"/>
        <v>0-3 months</v>
      </c>
      <c r="AU3001" s="22" t="s">
        <v>3745</v>
      </c>
    </row>
    <row r="3002" spans="1:47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3172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3423</v>
      </c>
      <c r="K3002" s="29" t="s">
        <v>1707</v>
      </c>
      <c r="L3002" s="17" t="s">
        <v>67</v>
      </c>
      <c r="M3002" s="22" t="s">
        <v>60</v>
      </c>
      <c r="N3002" s="22">
        <v>1</v>
      </c>
      <c r="O3002" s="22"/>
      <c r="P3002" s="33" t="str">
        <f t="shared" si="891"/>
        <v>MAIN UNIT</v>
      </c>
      <c r="Q3002" s="13" t="s">
        <v>61</v>
      </c>
      <c r="R3002" s="22" t="s">
        <v>62</v>
      </c>
      <c r="S3002" s="22" t="s">
        <v>49</v>
      </c>
      <c r="T3002" s="22" t="s">
        <v>78</v>
      </c>
      <c r="U3002" s="22" t="s">
        <v>120</v>
      </c>
      <c r="V3002" s="22" t="s">
        <v>121</v>
      </c>
      <c r="W3002" s="22" t="s">
        <v>109</v>
      </c>
      <c r="X3002" s="94">
        <v>10000000</v>
      </c>
      <c r="Y3002" s="195" t="str">
        <f>IF(W3002="","",IF(W3002="RMB","1.13", "1"))</f>
        <v>1</v>
      </c>
      <c r="Z3002" s="196">
        <f t="shared" si="890"/>
        <v>10000000</v>
      </c>
      <c r="AA3002" s="22">
        <v>5.2299999999999999E-2</v>
      </c>
      <c r="AB3002" s="197">
        <f t="shared" si="875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77"/>
        <v>25354039.366920356</v>
      </c>
      <c r="AJ3002" s="200">
        <f t="shared" si="878"/>
        <v>3028631.2816309328</v>
      </c>
      <c r="AK3002" s="201">
        <f t="shared" si="884"/>
        <v>0.11945360018579192</v>
      </c>
      <c r="AL3002" s="24"/>
      <c r="AM3002" s="24"/>
      <c r="AN3002" s="24"/>
      <c r="AO3002" s="24"/>
      <c r="AP3002" s="28" t="str">
        <f t="shared" si="885"/>
        <v>20248</v>
      </c>
      <c r="AQ3002" s="28" t="str">
        <f t="shared" si="886"/>
        <v>20248JPY</v>
      </c>
      <c r="AR3002" s="206" t="str">
        <f t="shared" si="887"/>
        <v>YAMAHA_Mounter</v>
      </c>
      <c r="AS3002" s="22">
        <f t="shared" si="888"/>
        <v>3</v>
      </c>
      <c r="AT3002" s="24" t="str">
        <f t="shared" si="889"/>
        <v>0-3 months</v>
      </c>
      <c r="AU3002" s="22" t="s">
        <v>3745</v>
      </c>
    </row>
    <row r="3003" spans="1:47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3172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3454</v>
      </c>
      <c r="K3003" s="29" t="s">
        <v>2112</v>
      </c>
      <c r="L3003" s="17" t="s">
        <v>67</v>
      </c>
      <c r="M3003" s="22" t="s">
        <v>60</v>
      </c>
      <c r="N3003" s="22">
        <v>1</v>
      </c>
      <c r="O3003" s="22"/>
      <c r="P3003" s="33" t="str">
        <f t="shared" si="891"/>
        <v>MAIN UNIT</v>
      </c>
      <c r="Q3003" s="22" t="s">
        <v>61</v>
      </c>
      <c r="R3003" s="22" t="s">
        <v>62</v>
      </c>
      <c r="S3003" s="22" t="s">
        <v>50</v>
      </c>
      <c r="T3003" s="22" t="s">
        <v>88</v>
      </c>
      <c r="U3003" s="22" t="s">
        <v>70</v>
      </c>
      <c r="V3003" s="22" t="s">
        <v>1400</v>
      </c>
      <c r="W3003" s="22" t="s">
        <v>64</v>
      </c>
      <c r="X3003" s="104">
        <v>463000</v>
      </c>
      <c r="Y3003" s="195" t="str">
        <f>IF(W3003="","",IF(W3003="RMB","1.13", "1"))</f>
        <v>1.13</v>
      </c>
      <c r="Z3003" s="196">
        <f t="shared" si="890"/>
        <v>463000</v>
      </c>
      <c r="AA3003" s="22">
        <v>1.08</v>
      </c>
      <c r="AB3003" s="197">
        <f t="shared" si="875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77"/>
        <v>25354039.366920356</v>
      </c>
      <c r="AJ3003" s="200">
        <f t="shared" si="878"/>
        <v>3028631.2816309328</v>
      </c>
      <c r="AK3003" s="201">
        <f t="shared" si="884"/>
        <v>0.11945360018579192</v>
      </c>
      <c r="AL3003" s="24"/>
      <c r="AM3003" s="24"/>
      <c r="AN3003" s="24"/>
      <c r="AO3003" s="24"/>
      <c r="AP3003" s="105" t="str">
        <f t="shared" si="885"/>
        <v>20248</v>
      </c>
      <c r="AQ3003" s="28" t="str">
        <f t="shared" si="886"/>
        <v>20248RMB</v>
      </c>
      <c r="AR3003" s="206" t="str">
        <f t="shared" si="887"/>
        <v>YAMAHA_Mounter</v>
      </c>
      <c r="AS3003" s="22">
        <f t="shared" si="888"/>
        <v>3</v>
      </c>
      <c r="AT3003" s="24" t="str">
        <f t="shared" si="889"/>
        <v>0-3 months</v>
      </c>
      <c r="AU3003" s="22" t="s">
        <v>3240</v>
      </c>
    </row>
    <row r="3004" spans="1:47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48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1358</v>
      </c>
      <c r="K3004" s="155" t="s">
        <v>1359</v>
      </c>
      <c r="L3004" s="17" t="s">
        <v>92</v>
      </c>
      <c r="M3004" s="13" t="s">
        <v>60</v>
      </c>
      <c r="N3004" s="13">
        <v>1</v>
      </c>
      <c r="O3004" s="13"/>
      <c r="P3004" s="33" t="str">
        <f t="shared" si="891"/>
        <v>MAIN UNIT</v>
      </c>
      <c r="Q3004" s="13" t="s">
        <v>68</v>
      </c>
      <c r="R3004" s="13" t="s">
        <v>62</v>
      </c>
      <c r="S3004" s="13" t="s">
        <v>50</v>
      </c>
      <c r="T3004" s="13" t="s">
        <v>88</v>
      </c>
      <c r="U3004" s="13" t="s">
        <v>70</v>
      </c>
      <c r="V3004" s="13" t="s">
        <v>102</v>
      </c>
      <c r="W3004" s="13" t="s">
        <v>703</v>
      </c>
      <c r="X3004" s="135">
        <v>850000</v>
      </c>
      <c r="Y3004" s="156" t="s">
        <v>1110</v>
      </c>
      <c r="Z3004" s="18">
        <f t="shared" si="890"/>
        <v>850000</v>
      </c>
      <c r="AA3004" s="13">
        <v>1.1299999999999999</v>
      </c>
      <c r="AB3004" s="21">
        <f t="shared" ref="AB3004:AB3067" si="894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77"/>
        <v>47907808.356810622</v>
      </c>
      <c r="AJ3004" s="19">
        <f t="shared" si="878"/>
        <v>6027384.8806384448</v>
      </c>
      <c r="AK3004" s="20">
        <f t="shared" si="884"/>
        <v>0.12581216063459488</v>
      </c>
      <c r="AL3004" s="17"/>
      <c r="AM3004" s="17"/>
      <c r="AN3004" s="17"/>
      <c r="AO3004" s="17"/>
      <c r="AP3004" s="28" t="str">
        <f t="shared" si="885"/>
        <v>20209</v>
      </c>
      <c r="AQ3004" s="28" t="str">
        <f t="shared" si="886"/>
        <v>20209RMB</v>
      </c>
      <c r="AR3004" s="206" t="str">
        <f t="shared" si="887"/>
        <v>YAMAHA_Mounter</v>
      </c>
      <c r="AS3004" s="22">
        <f t="shared" si="888"/>
        <v>2</v>
      </c>
      <c r="AT3004" s="24" t="str">
        <f t="shared" si="889"/>
        <v>0-3 months</v>
      </c>
      <c r="AU3004" s="22" t="s">
        <v>3240</v>
      </c>
    </row>
    <row r="3005" spans="1:47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48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1358</v>
      </c>
      <c r="K3005" s="155" t="s">
        <v>1359</v>
      </c>
      <c r="L3005" s="17" t="s">
        <v>92</v>
      </c>
      <c r="M3005" s="13" t="s">
        <v>60</v>
      </c>
      <c r="N3005" s="13">
        <v>1</v>
      </c>
      <c r="O3005" s="13"/>
      <c r="P3005" s="33" t="str">
        <f t="shared" si="891"/>
        <v>MAIN UNIT</v>
      </c>
      <c r="Q3005" s="13" t="s">
        <v>68</v>
      </c>
      <c r="R3005" s="13" t="s">
        <v>62</v>
      </c>
      <c r="S3005" s="13" t="s">
        <v>50</v>
      </c>
      <c r="T3005" s="13" t="s">
        <v>88</v>
      </c>
      <c r="U3005" s="13" t="s">
        <v>70</v>
      </c>
      <c r="V3005" s="13" t="s">
        <v>102</v>
      </c>
      <c r="W3005" s="13" t="s">
        <v>703</v>
      </c>
      <c r="X3005" s="135">
        <v>850000</v>
      </c>
      <c r="Y3005" s="156" t="s">
        <v>1110</v>
      </c>
      <c r="Z3005" s="18">
        <f t="shared" si="890"/>
        <v>850000</v>
      </c>
      <c r="AA3005" s="13">
        <v>1.1299999999999999</v>
      </c>
      <c r="AB3005" s="21">
        <f t="shared" si="894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77"/>
        <v>47907808.356810622</v>
      </c>
      <c r="AJ3005" s="19">
        <f t="shared" si="878"/>
        <v>6027384.8806384448</v>
      </c>
      <c r="AK3005" s="20">
        <f t="shared" si="884"/>
        <v>0.12581216063459488</v>
      </c>
      <c r="AL3005" s="17"/>
      <c r="AM3005" s="17"/>
      <c r="AN3005" s="17"/>
      <c r="AO3005" s="17"/>
      <c r="AP3005" s="28" t="str">
        <f t="shared" si="885"/>
        <v>20209</v>
      </c>
      <c r="AQ3005" s="28" t="str">
        <f t="shared" si="886"/>
        <v>20209RMB</v>
      </c>
      <c r="AR3005" s="206" t="str">
        <f t="shared" si="887"/>
        <v>YAMAHA_Mounter</v>
      </c>
      <c r="AS3005" s="22">
        <f t="shared" si="888"/>
        <v>2</v>
      </c>
      <c r="AT3005" s="24" t="str">
        <f t="shared" si="889"/>
        <v>0-3 months</v>
      </c>
      <c r="AU3005" s="22" t="s">
        <v>3240</v>
      </c>
    </row>
    <row r="3006" spans="1:47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48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1358</v>
      </c>
      <c r="K3006" s="155" t="s">
        <v>1359</v>
      </c>
      <c r="L3006" s="17" t="s">
        <v>67</v>
      </c>
      <c r="M3006" s="13" t="s">
        <v>60</v>
      </c>
      <c r="N3006" s="13">
        <v>1</v>
      </c>
      <c r="O3006" s="13"/>
      <c r="P3006" s="33" t="str">
        <f t="shared" si="891"/>
        <v>MAIN UNIT</v>
      </c>
      <c r="Q3006" s="13" t="s">
        <v>68</v>
      </c>
      <c r="R3006" s="13" t="s">
        <v>62</v>
      </c>
      <c r="S3006" s="13" t="s">
        <v>50</v>
      </c>
      <c r="T3006" s="13" t="s">
        <v>88</v>
      </c>
      <c r="U3006" s="13" t="s">
        <v>70</v>
      </c>
      <c r="V3006" s="13" t="s">
        <v>102</v>
      </c>
      <c r="W3006" s="13" t="s">
        <v>703</v>
      </c>
      <c r="X3006" s="135">
        <v>900000</v>
      </c>
      <c r="Y3006" s="156" t="s">
        <v>1110</v>
      </c>
      <c r="Z3006" s="18">
        <f t="shared" si="890"/>
        <v>900000</v>
      </c>
      <c r="AA3006" s="13">
        <v>1.1299999999999999</v>
      </c>
      <c r="AB3006" s="21">
        <f t="shared" si="894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77"/>
        <v>47907808.356810622</v>
      </c>
      <c r="AJ3006" s="19">
        <f t="shared" si="878"/>
        <v>6027384.8806384448</v>
      </c>
      <c r="AK3006" s="20">
        <f t="shared" si="884"/>
        <v>0.12581216063459488</v>
      </c>
      <c r="AL3006" s="17"/>
      <c r="AM3006" s="17"/>
      <c r="AN3006" s="17"/>
      <c r="AO3006" s="17"/>
      <c r="AP3006" s="28" t="str">
        <f t="shared" si="885"/>
        <v>20209</v>
      </c>
      <c r="AQ3006" s="28" t="str">
        <f t="shared" si="886"/>
        <v>20209RMB</v>
      </c>
      <c r="AR3006" s="206" t="str">
        <f t="shared" si="887"/>
        <v>YAMAHA_Mounter</v>
      </c>
      <c r="AS3006" s="22">
        <f t="shared" si="888"/>
        <v>2</v>
      </c>
      <c r="AT3006" s="24" t="str">
        <f t="shared" si="889"/>
        <v>0-3 months</v>
      </c>
      <c r="AU3006" s="22" t="s">
        <v>3240</v>
      </c>
    </row>
    <row r="3007" spans="1:47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185</v>
      </c>
      <c r="F3007" s="13" t="s">
        <v>185</v>
      </c>
      <c r="G3007" s="152" t="s">
        <v>185</v>
      </c>
      <c r="H3007" s="155"/>
      <c r="I3007" s="33" t="str">
        <f t="shared" si="881"/>
        <v>Cancel</v>
      </c>
      <c r="J3007" s="186" t="s">
        <v>2352</v>
      </c>
      <c r="K3007" s="155" t="s">
        <v>2353</v>
      </c>
      <c r="L3007" s="17" t="s">
        <v>67</v>
      </c>
      <c r="M3007" s="13" t="s">
        <v>60</v>
      </c>
      <c r="N3007" s="13">
        <v>1</v>
      </c>
      <c r="O3007" s="13"/>
      <c r="P3007" s="33" t="str">
        <f t="shared" si="891"/>
        <v>MAIN UNIT</v>
      </c>
      <c r="Q3007" s="13" t="s">
        <v>68</v>
      </c>
      <c r="R3007" s="13" t="s">
        <v>62</v>
      </c>
      <c r="S3007" s="13" t="s">
        <v>49</v>
      </c>
      <c r="T3007" s="13" t="s">
        <v>78</v>
      </c>
      <c r="U3007" s="13" t="s">
        <v>79</v>
      </c>
      <c r="V3007" s="13" t="s">
        <v>1713</v>
      </c>
      <c r="W3007" s="13" t="s">
        <v>64</v>
      </c>
      <c r="X3007" s="135">
        <v>660000</v>
      </c>
      <c r="Y3007" s="157" t="str">
        <f>IF(W3007="RMB","1.13", "1")</f>
        <v>1.13</v>
      </c>
      <c r="Z3007" s="18">
        <f t="shared" si="890"/>
        <v>660000</v>
      </c>
      <c r="AA3007" s="13">
        <v>1.175</v>
      </c>
      <c r="AB3007" s="21">
        <f t="shared" si="894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77"/>
        <v>499582152.5142017</v>
      </c>
      <c r="AJ3007" s="19">
        <f t="shared" si="878"/>
        <v>59520528.679470733</v>
      </c>
      <c r="AK3007" s="20">
        <f t="shared" si="884"/>
        <v>0.11914062257814291</v>
      </c>
      <c r="AL3007" s="17"/>
      <c r="AM3007" s="17"/>
      <c r="AN3007" s="17"/>
      <c r="AO3007" s="17"/>
      <c r="AP3007" s="28" t="str">
        <f t="shared" si="885"/>
        <v>CancelCancel</v>
      </c>
      <c r="AQ3007" s="28" t="str">
        <f t="shared" si="886"/>
        <v>CancelCancelRMB</v>
      </c>
      <c r="AR3007" s="206" t="str">
        <f t="shared" si="887"/>
        <v>YAMAHA_Mounter</v>
      </c>
      <c r="AS3007" s="22" t="str">
        <f t="shared" si="888"/>
        <v/>
      </c>
      <c r="AT3007" s="24" t="str">
        <f t="shared" si="889"/>
        <v/>
      </c>
      <c r="AU3007" s="22" t="s">
        <v>3751</v>
      </c>
    </row>
    <row r="3008" spans="1:47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185</v>
      </c>
      <c r="F3008" s="13" t="s">
        <v>185</v>
      </c>
      <c r="G3008" s="152" t="s">
        <v>185</v>
      </c>
      <c r="H3008" s="155"/>
      <c r="I3008" s="33" t="str">
        <f t="shared" si="881"/>
        <v>Cancel</v>
      </c>
      <c r="J3008" s="186" t="s">
        <v>604</v>
      </c>
      <c r="K3008" s="155" t="s">
        <v>605</v>
      </c>
      <c r="L3008" s="17" t="s">
        <v>67</v>
      </c>
      <c r="M3008" s="13" t="s">
        <v>60</v>
      </c>
      <c r="N3008" s="13">
        <v>2</v>
      </c>
      <c r="O3008" s="13"/>
      <c r="P3008" s="33" t="str">
        <f t="shared" si="891"/>
        <v>MAIN UNIT</v>
      </c>
      <c r="Q3008" s="13" t="s">
        <v>68</v>
      </c>
      <c r="R3008" s="13" t="s">
        <v>62</v>
      </c>
      <c r="S3008" s="13" t="s">
        <v>49</v>
      </c>
      <c r="T3008" s="13" t="s">
        <v>78</v>
      </c>
      <c r="U3008" s="13" t="s">
        <v>79</v>
      </c>
      <c r="V3008" s="13" t="s">
        <v>80</v>
      </c>
      <c r="W3008" s="13" t="s">
        <v>109</v>
      </c>
      <c r="X3008" s="135">
        <v>10886000</v>
      </c>
      <c r="Y3008" s="156">
        <v>1</v>
      </c>
      <c r="Z3008" s="18">
        <f t="shared" si="890"/>
        <v>21772000</v>
      </c>
      <c r="AA3008" s="13">
        <v>7.0199999999999999E-2</v>
      </c>
      <c r="AB3008" s="21">
        <f t="shared" si="894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77"/>
        <v>499582152.5142017</v>
      </c>
      <c r="AJ3008" s="19">
        <f t="shared" si="878"/>
        <v>59520528.679470733</v>
      </c>
      <c r="AK3008" s="20">
        <f t="shared" si="884"/>
        <v>0.11914062257814291</v>
      </c>
      <c r="AL3008" s="17"/>
      <c r="AM3008" s="17"/>
      <c r="AN3008" s="17"/>
      <c r="AO3008" s="17"/>
      <c r="AP3008" s="28" t="str">
        <f t="shared" si="885"/>
        <v>CancelCancel</v>
      </c>
      <c r="AQ3008" s="28" t="str">
        <f t="shared" si="886"/>
        <v>CancelCancelJPY</v>
      </c>
      <c r="AR3008" s="206" t="str">
        <f t="shared" si="887"/>
        <v>YAMAHA_Mounter</v>
      </c>
      <c r="AS3008" s="22" t="str">
        <f t="shared" si="888"/>
        <v/>
      </c>
      <c r="AT3008" s="24" t="str">
        <f t="shared" si="889"/>
        <v/>
      </c>
      <c r="AU3008" s="22" t="s">
        <v>3746</v>
      </c>
    </row>
    <row r="3009" spans="1:47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185</v>
      </c>
      <c r="F3009" s="13" t="s">
        <v>185</v>
      </c>
      <c r="G3009" s="152" t="s">
        <v>185</v>
      </c>
      <c r="H3009" s="155"/>
      <c r="I3009" s="33" t="str">
        <f t="shared" si="881"/>
        <v>Cancel</v>
      </c>
      <c r="J3009" s="186" t="s">
        <v>606</v>
      </c>
      <c r="K3009" s="155" t="s">
        <v>605</v>
      </c>
      <c r="L3009" s="17" t="s">
        <v>77</v>
      </c>
      <c r="M3009" s="13" t="s">
        <v>60</v>
      </c>
      <c r="N3009" s="13">
        <v>3</v>
      </c>
      <c r="O3009" s="13"/>
      <c r="P3009" s="33" t="str">
        <f t="shared" si="891"/>
        <v>MAIN UNIT</v>
      </c>
      <c r="Q3009" s="13"/>
      <c r="R3009" s="13" t="s">
        <v>62</v>
      </c>
      <c r="S3009" s="13" t="s">
        <v>49</v>
      </c>
      <c r="T3009" s="13" t="s">
        <v>78</v>
      </c>
      <c r="U3009" s="13" t="s">
        <v>79</v>
      </c>
      <c r="V3009" s="13" t="s">
        <v>80</v>
      </c>
      <c r="W3009" s="13" t="s">
        <v>109</v>
      </c>
      <c r="X3009" s="135">
        <v>10220000</v>
      </c>
      <c r="Y3009" s="156">
        <v>1</v>
      </c>
      <c r="Z3009" s="18">
        <f t="shared" si="890"/>
        <v>30660000</v>
      </c>
      <c r="AA3009" s="13">
        <v>7.22E-2</v>
      </c>
      <c r="AB3009" s="21">
        <f t="shared" si="894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77"/>
        <v>499582152.5142017</v>
      </c>
      <c r="AJ3009" s="19">
        <f t="shared" si="878"/>
        <v>59520528.679470733</v>
      </c>
      <c r="AK3009" s="20">
        <f t="shared" si="884"/>
        <v>0.11914062257814291</v>
      </c>
      <c r="AL3009" s="17"/>
      <c r="AM3009" s="17"/>
      <c r="AN3009" s="17"/>
      <c r="AO3009" s="17"/>
      <c r="AP3009" s="28" t="str">
        <f t="shared" si="885"/>
        <v>CancelCancel</v>
      </c>
      <c r="AQ3009" s="28" t="str">
        <f t="shared" si="886"/>
        <v>CancelCancelJPY</v>
      </c>
      <c r="AR3009" s="206" t="str">
        <f t="shared" si="887"/>
        <v>YAMAHA_Mounter</v>
      </c>
      <c r="AS3009" s="22" t="str">
        <f t="shared" si="888"/>
        <v/>
      </c>
      <c r="AT3009" s="24" t="str">
        <f t="shared" si="889"/>
        <v/>
      </c>
      <c r="AU3009" s="22" t="s">
        <v>3746</v>
      </c>
    </row>
    <row r="3010" spans="1:47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185</v>
      </c>
      <c r="F3010" s="13" t="s">
        <v>185</v>
      </c>
      <c r="G3010" s="152" t="s">
        <v>185</v>
      </c>
      <c r="H3010" s="155"/>
      <c r="I3010" s="33" t="str">
        <f t="shared" si="881"/>
        <v>Cancel</v>
      </c>
      <c r="J3010" s="186" t="s">
        <v>604</v>
      </c>
      <c r="K3010" s="155" t="s">
        <v>605</v>
      </c>
      <c r="L3010" s="17" t="s">
        <v>59</v>
      </c>
      <c r="M3010" s="13" t="s">
        <v>60</v>
      </c>
      <c r="N3010" s="13">
        <v>1</v>
      </c>
      <c r="O3010" s="13"/>
      <c r="P3010" s="33" t="str">
        <f t="shared" si="891"/>
        <v>MAIN UNIT</v>
      </c>
      <c r="Q3010" s="13" t="s">
        <v>68</v>
      </c>
      <c r="R3010" s="13" t="s">
        <v>62</v>
      </c>
      <c r="S3010" s="13" t="s">
        <v>49</v>
      </c>
      <c r="T3010" s="13" t="s">
        <v>78</v>
      </c>
      <c r="U3010" s="13" t="s">
        <v>79</v>
      </c>
      <c r="V3010" s="13" t="s">
        <v>80</v>
      </c>
      <c r="W3010" s="13" t="s">
        <v>109</v>
      </c>
      <c r="X3010" s="135">
        <v>8656000</v>
      </c>
      <c r="Y3010" s="156">
        <v>1</v>
      </c>
      <c r="Z3010" s="18">
        <f t="shared" si="890"/>
        <v>8656000</v>
      </c>
      <c r="AA3010" s="13">
        <v>7.0199999999999999E-2</v>
      </c>
      <c r="AB3010" s="21">
        <f t="shared" si="894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ref="AI3010:AI3073" si="895">IF(P3010="C66 SERVICE","",SUMIFS(AB:AB,F:F,F3010,G:G,G3010,E:E,E3010))</f>
        <v>499582152.5142017</v>
      </c>
      <c r="AJ3010" s="19">
        <f t="shared" ref="AJ3010:AJ3073" si="896">IF(P3010="C66 SERVICE","",SUMIFS(AC:AC,F:F,F3010,G:G,G3010,E:E,E3010))</f>
        <v>59520528.679470733</v>
      </c>
      <c r="AK3010" s="20">
        <f t="shared" si="884"/>
        <v>0.11914062257814291</v>
      </c>
      <c r="AL3010" s="17"/>
      <c r="AM3010" s="17"/>
      <c r="AN3010" s="17"/>
      <c r="AO3010" s="17"/>
      <c r="AP3010" s="28" t="str">
        <f t="shared" si="885"/>
        <v>CancelCancel</v>
      </c>
      <c r="AQ3010" s="28" t="str">
        <f t="shared" si="886"/>
        <v>CancelCancelJPY</v>
      </c>
      <c r="AR3010" s="206" t="str">
        <f t="shared" si="887"/>
        <v>YAMAHA_Mounter</v>
      </c>
      <c r="AS3010" s="22" t="str">
        <f t="shared" si="888"/>
        <v/>
      </c>
      <c r="AT3010" s="24" t="str">
        <f t="shared" si="889"/>
        <v/>
      </c>
      <c r="AU3010" s="22" t="s">
        <v>3746</v>
      </c>
    </row>
    <row r="3011" spans="1:47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185</v>
      </c>
      <c r="F3011" s="13" t="s">
        <v>185</v>
      </c>
      <c r="G3011" s="152" t="s">
        <v>185</v>
      </c>
      <c r="H3011" s="155"/>
      <c r="I3011" s="33" t="str">
        <f t="shared" si="881"/>
        <v>Cancel</v>
      </c>
      <c r="J3011" s="186" t="s">
        <v>604</v>
      </c>
      <c r="K3011" s="155" t="s">
        <v>605</v>
      </c>
      <c r="L3011" s="17" t="s">
        <v>59</v>
      </c>
      <c r="M3011" s="13" t="s">
        <v>60</v>
      </c>
      <c r="N3011" s="13">
        <v>2</v>
      </c>
      <c r="O3011" s="13"/>
      <c r="P3011" s="33" t="str">
        <f t="shared" si="891"/>
        <v>MAIN UNIT</v>
      </c>
      <c r="Q3011" s="13" t="s">
        <v>68</v>
      </c>
      <c r="R3011" s="13" t="s">
        <v>62</v>
      </c>
      <c r="S3011" s="13" t="s">
        <v>49</v>
      </c>
      <c r="T3011" s="13" t="s">
        <v>78</v>
      </c>
      <c r="U3011" s="13" t="s">
        <v>79</v>
      </c>
      <c r="V3011" s="13" t="s">
        <v>80</v>
      </c>
      <c r="W3011" s="13" t="s">
        <v>109</v>
      </c>
      <c r="X3011" s="135">
        <v>8656000</v>
      </c>
      <c r="Y3011" s="156">
        <v>1</v>
      </c>
      <c r="Z3011" s="18">
        <f t="shared" si="890"/>
        <v>17312000</v>
      </c>
      <c r="AA3011" s="13">
        <v>7.0199999999999999E-2</v>
      </c>
      <c r="AB3011" s="21">
        <f t="shared" si="894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95"/>
        <v>499582152.5142017</v>
      </c>
      <c r="AJ3011" s="19">
        <f t="shared" si="896"/>
        <v>59520528.679470733</v>
      </c>
      <c r="AK3011" s="20">
        <f t="shared" si="884"/>
        <v>0.11914062257814291</v>
      </c>
      <c r="AL3011" s="17"/>
      <c r="AM3011" s="17"/>
      <c r="AN3011" s="17"/>
      <c r="AO3011" s="17"/>
      <c r="AP3011" s="28" t="str">
        <f t="shared" si="885"/>
        <v>CancelCancel</v>
      </c>
      <c r="AQ3011" s="28" t="str">
        <f t="shared" si="886"/>
        <v>CancelCancelJPY</v>
      </c>
      <c r="AR3011" s="206" t="str">
        <f t="shared" si="887"/>
        <v>YAMAHA_Mounter</v>
      </c>
      <c r="AS3011" s="22" t="str">
        <f t="shared" si="888"/>
        <v/>
      </c>
      <c r="AT3011" s="24" t="str">
        <f t="shared" si="889"/>
        <v/>
      </c>
      <c r="AU3011" s="22" t="s">
        <v>3746</v>
      </c>
    </row>
    <row r="3012" spans="1:47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185</v>
      </c>
      <c r="F3012" s="13" t="s">
        <v>185</v>
      </c>
      <c r="G3012" s="152" t="s">
        <v>185</v>
      </c>
      <c r="H3012" s="155"/>
      <c r="I3012" s="33" t="str">
        <f t="shared" si="881"/>
        <v>Cancel</v>
      </c>
      <c r="J3012" s="186" t="s">
        <v>606</v>
      </c>
      <c r="K3012" s="155" t="s">
        <v>610</v>
      </c>
      <c r="L3012" s="17" t="s">
        <v>77</v>
      </c>
      <c r="M3012" s="13" t="s">
        <v>60</v>
      </c>
      <c r="N3012" s="13">
        <v>1</v>
      </c>
      <c r="O3012" s="13"/>
      <c r="P3012" s="33" t="str">
        <f t="shared" si="891"/>
        <v>MAIN UNIT</v>
      </c>
      <c r="Q3012" s="13"/>
      <c r="R3012" s="13" t="s">
        <v>62</v>
      </c>
      <c r="S3012" s="13" t="s">
        <v>49</v>
      </c>
      <c r="T3012" s="13" t="s">
        <v>78</v>
      </c>
      <c r="U3012" s="13" t="s">
        <v>79</v>
      </c>
      <c r="V3012" s="13" t="s">
        <v>80</v>
      </c>
      <c r="W3012" s="13" t="s">
        <v>109</v>
      </c>
      <c r="X3012" s="135">
        <v>10220000</v>
      </c>
      <c r="Y3012" s="156">
        <v>1</v>
      </c>
      <c r="Z3012" s="18">
        <f t="shared" si="890"/>
        <v>10220000</v>
      </c>
      <c r="AA3012" s="13">
        <v>7.0400000000000004E-2</v>
      </c>
      <c r="AB3012" s="21">
        <f t="shared" si="894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95"/>
        <v>499582152.5142017</v>
      </c>
      <c r="AJ3012" s="19">
        <f t="shared" si="896"/>
        <v>59520528.679470733</v>
      </c>
      <c r="AK3012" s="20">
        <f t="shared" si="884"/>
        <v>0.11914062257814291</v>
      </c>
      <c r="AL3012" s="17"/>
      <c r="AM3012" s="17"/>
      <c r="AN3012" s="17"/>
      <c r="AO3012" s="17" t="s">
        <v>185</v>
      </c>
      <c r="AP3012" s="28" t="str">
        <f t="shared" si="885"/>
        <v>CancelCancel</v>
      </c>
      <c r="AQ3012" s="28" t="str">
        <f t="shared" si="886"/>
        <v>CancelCancelJPY</v>
      </c>
      <c r="AR3012" s="206" t="str">
        <f t="shared" si="887"/>
        <v>YAMAHA_Mounter</v>
      </c>
      <c r="AS3012" s="22" t="str">
        <f t="shared" si="888"/>
        <v/>
      </c>
      <c r="AT3012" s="24" t="str">
        <f t="shared" si="889"/>
        <v/>
      </c>
      <c r="AU3012" s="22" t="s">
        <v>3746</v>
      </c>
    </row>
    <row r="3013" spans="1:47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185</v>
      </c>
      <c r="F3013" s="13" t="s">
        <v>185</v>
      </c>
      <c r="G3013" s="152" t="s">
        <v>185</v>
      </c>
      <c r="H3013" s="155"/>
      <c r="I3013" s="33" t="str">
        <f t="shared" si="881"/>
        <v>Cancel</v>
      </c>
      <c r="J3013" s="186" t="s">
        <v>606</v>
      </c>
      <c r="K3013" s="155" t="s">
        <v>605</v>
      </c>
      <c r="L3013" s="17" t="s">
        <v>77</v>
      </c>
      <c r="M3013" s="13" t="s">
        <v>60</v>
      </c>
      <c r="N3013" s="13">
        <v>2</v>
      </c>
      <c r="O3013" s="13"/>
      <c r="P3013" s="33" t="str">
        <f t="shared" si="891"/>
        <v>MAIN UNIT</v>
      </c>
      <c r="Q3013" s="13"/>
      <c r="R3013" s="13" t="s">
        <v>62</v>
      </c>
      <c r="S3013" s="13" t="s">
        <v>49</v>
      </c>
      <c r="T3013" s="13" t="s">
        <v>78</v>
      </c>
      <c r="U3013" s="13" t="s">
        <v>79</v>
      </c>
      <c r="V3013" s="13" t="s">
        <v>80</v>
      </c>
      <c r="W3013" s="13" t="s">
        <v>109</v>
      </c>
      <c r="X3013" s="135">
        <v>10220000</v>
      </c>
      <c r="Y3013" s="156">
        <v>1</v>
      </c>
      <c r="Z3013" s="18">
        <f t="shared" si="890"/>
        <v>20440000</v>
      </c>
      <c r="AA3013" s="13">
        <v>7.0400000000000004E-2</v>
      </c>
      <c r="AB3013" s="21">
        <f t="shared" si="894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95"/>
        <v>499582152.5142017</v>
      </c>
      <c r="AJ3013" s="19">
        <f t="shared" si="896"/>
        <v>59520528.679470733</v>
      </c>
      <c r="AK3013" s="20">
        <f t="shared" si="884"/>
        <v>0.11914062257814291</v>
      </c>
      <c r="AL3013" s="17"/>
      <c r="AM3013" s="17"/>
      <c r="AN3013" s="17"/>
      <c r="AO3013" s="17" t="s">
        <v>185</v>
      </c>
      <c r="AP3013" s="28" t="str">
        <f t="shared" si="885"/>
        <v>CancelCancel</v>
      </c>
      <c r="AQ3013" s="28" t="str">
        <f t="shared" si="886"/>
        <v>CancelCancelJPY</v>
      </c>
      <c r="AR3013" s="206" t="str">
        <f t="shared" si="887"/>
        <v>YAMAHA_Mounter</v>
      </c>
      <c r="AS3013" s="22" t="str">
        <f t="shared" si="888"/>
        <v/>
      </c>
      <c r="AT3013" s="24" t="str">
        <f t="shared" si="889"/>
        <v/>
      </c>
      <c r="AU3013" s="22" t="s">
        <v>3746</v>
      </c>
    </row>
    <row r="3014" spans="1:47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185</v>
      </c>
      <c r="F3014" s="13" t="s">
        <v>185</v>
      </c>
      <c r="G3014" s="152" t="s">
        <v>185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617</v>
      </c>
      <c r="K3014" s="155" t="s">
        <v>610</v>
      </c>
      <c r="L3014" s="17" t="s">
        <v>92</v>
      </c>
      <c r="M3014" s="13" t="s">
        <v>60</v>
      </c>
      <c r="N3014" s="13">
        <v>4</v>
      </c>
      <c r="O3014" s="13"/>
      <c r="P3014" s="33" t="str">
        <f t="shared" si="891"/>
        <v>MAIN UNIT</v>
      </c>
      <c r="Q3014" s="13" t="s">
        <v>61</v>
      </c>
      <c r="R3014" s="13" t="s">
        <v>62</v>
      </c>
      <c r="S3014" s="13" t="s">
        <v>370</v>
      </c>
      <c r="T3014" s="13" t="s">
        <v>78</v>
      </c>
      <c r="U3014" s="13" t="s">
        <v>79</v>
      </c>
      <c r="V3014" s="13" t="s">
        <v>549</v>
      </c>
      <c r="W3014" s="13" t="s">
        <v>372</v>
      </c>
      <c r="X3014" s="135">
        <v>12000000</v>
      </c>
      <c r="Y3014" s="156">
        <v>1</v>
      </c>
      <c r="Z3014" s="18">
        <f t="shared" si="890"/>
        <v>48000000</v>
      </c>
      <c r="AA3014" s="13">
        <v>7.0400000000000004E-2</v>
      </c>
      <c r="AB3014" s="21">
        <f t="shared" si="894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si="895"/>
        <v>499582152.5142017</v>
      </c>
      <c r="AJ3014" s="19">
        <f t="shared" si="896"/>
        <v>59520528.679470733</v>
      </c>
      <c r="AK3014" s="20">
        <f t="shared" ref="AK3014:AK3077" si="902">IF(AJ3014&gt;0,AJ3014/AI3014,"")</f>
        <v>0.11914062257814291</v>
      </c>
      <c r="AL3014" s="17"/>
      <c r="AM3014" s="17"/>
      <c r="AN3014" s="17"/>
      <c r="AO3014" s="17"/>
      <c r="AP3014" s="28" t="str">
        <f t="shared" ref="AP3014:AP3077" si="903">IF(F3014="","",F3014&amp;G3014)</f>
        <v>CancelCancel</v>
      </c>
      <c r="AQ3014" s="28" t="str">
        <f t="shared" ref="AQ3014:AQ3077" si="904">IF(W3014="","",F3014&amp;G3014&amp;W3014)</f>
        <v>CancelCancelJPY</v>
      </c>
      <c r="AR3014" s="206" t="str">
        <f t="shared" ref="AR3014:AR3077" si="905">IFERROR(IF(AND(M3014="YAMAHA", R3014="C28"), "YAMAHA_Non_Mounter", IF(AND(M3014="YAMAHA", R3014="C49"), "YAMAHA_Mounter", M3014)),"")</f>
        <v>YAMAHA_Mounter</v>
      </c>
      <c r="AS3014" s="22" t="str">
        <f t="shared" ref="AS3014:AS3077" si="906">IFERROR(IF(OR(G3014="TBA", G3014=""), "", DATEDIF(DATE(B3014, C3014, 1), DATE(F3014, G3014, 1), "M")),"")</f>
        <v/>
      </c>
      <c r="AT3014" s="24" t="str">
        <f t="shared" ref="AT3014:AT3077" si="907">IF(ISNUMBER(AS3014), IF(AS3014&gt;=0, IF(AS3014&lt;=3, "0-3 months", IF(AS3014&lt;=6, "4-6 months", "&gt; 6 months"))), "")</f>
        <v/>
      </c>
      <c r="AU3014" s="22" t="s">
        <v>3746</v>
      </c>
    </row>
    <row r="3015" spans="1:47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47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665</v>
      </c>
      <c r="K3015" s="155" t="s">
        <v>666</v>
      </c>
      <c r="L3015" s="17" t="s">
        <v>92</v>
      </c>
      <c r="M3015" s="13" t="s">
        <v>60</v>
      </c>
      <c r="N3015" s="13">
        <v>1</v>
      </c>
      <c r="O3015" s="13"/>
      <c r="P3015" s="33" t="str">
        <f t="shared" si="891"/>
        <v>MAIN UNIT</v>
      </c>
      <c r="Q3015" s="13" t="s">
        <v>61</v>
      </c>
      <c r="R3015" s="13" t="s">
        <v>62</v>
      </c>
      <c r="S3015" s="13" t="s">
        <v>49</v>
      </c>
      <c r="T3015" s="13" t="s">
        <v>78</v>
      </c>
      <c r="U3015" s="13" t="s">
        <v>79</v>
      </c>
      <c r="V3015" s="13" t="s">
        <v>80</v>
      </c>
      <c r="W3015" s="13" t="s">
        <v>109</v>
      </c>
      <c r="X3015" s="135">
        <v>10200000</v>
      </c>
      <c r="Y3015" s="156">
        <v>1</v>
      </c>
      <c r="Z3015" s="18">
        <f t="shared" si="890"/>
        <v>10200000</v>
      </c>
      <c r="AA3015" s="13">
        <v>7.2300000000000003E-2</v>
      </c>
      <c r="AB3015" s="21">
        <f t="shared" si="894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895"/>
        <v>32843736.557277881</v>
      </c>
      <c r="AJ3015" s="19">
        <f t="shared" si="896"/>
        <v>3921470.6822663117</v>
      </c>
      <c r="AK3015" s="20">
        <f t="shared" si="902"/>
        <v>0.11939782416131177</v>
      </c>
      <c r="AL3015" s="17"/>
      <c r="AM3015" s="17"/>
      <c r="AN3015" s="17"/>
      <c r="AO3015" s="17"/>
      <c r="AP3015" s="28" t="str">
        <f t="shared" si="903"/>
        <v>20194</v>
      </c>
      <c r="AQ3015" s="28" t="str">
        <f t="shared" si="904"/>
        <v>20194JPY</v>
      </c>
      <c r="AR3015" s="206" t="str">
        <f t="shared" si="905"/>
        <v>YAMAHA_Mounter</v>
      </c>
      <c r="AS3015" s="22">
        <f t="shared" si="906"/>
        <v>1</v>
      </c>
      <c r="AT3015" s="24" t="str">
        <f t="shared" si="907"/>
        <v>0-3 months</v>
      </c>
      <c r="AU3015" s="22" t="s">
        <v>3746</v>
      </c>
    </row>
    <row r="3016" spans="1:47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47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665</v>
      </c>
      <c r="K3016" s="155" t="s">
        <v>666</v>
      </c>
      <c r="L3016" s="17" t="s">
        <v>92</v>
      </c>
      <c r="M3016" s="13" t="s">
        <v>60</v>
      </c>
      <c r="N3016" s="13">
        <v>1</v>
      </c>
      <c r="O3016" s="13"/>
      <c r="P3016" s="33" t="str">
        <f t="shared" si="891"/>
        <v>MAIN UNIT</v>
      </c>
      <c r="Q3016" s="13" t="s">
        <v>61</v>
      </c>
      <c r="R3016" s="13" t="s">
        <v>62</v>
      </c>
      <c r="S3016" s="13" t="s">
        <v>49</v>
      </c>
      <c r="T3016" s="13" t="s">
        <v>78</v>
      </c>
      <c r="U3016" s="13" t="s">
        <v>79</v>
      </c>
      <c r="V3016" s="13" t="s">
        <v>80</v>
      </c>
      <c r="W3016" s="13" t="s">
        <v>109</v>
      </c>
      <c r="X3016" s="135">
        <v>10200000</v>
      </c>
      <c r="Y3016" s="156">
        <v>1</v>
      </c>
      <c r="Z3016" s="18">
        <f t="shared" si="890"/>
        <v>10200000</v>
      </c>
      <c r="AA3016" s="13">
        <v>7.2300000000000003E-2</v>
      </c>
      <c r="AB3016" s="21">
        <f t="shared" si="894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895"/>
        <v>32843736.557277881</v>
      </c>
      <c r="AJ3016" s="19">
        <f t="shared" si="896"/>
        <v>3921470.6822663117</v>
      </c>
      <c r="AK3016" s="20">
        <f t="shared" si="902"/>
        <v>0.11939782416131177</v>
      </c>
      <c r="AL3016" s="17"/>
      <c r="AM3016" s="17"/>
      <c r="AN3016" s="17"/>
      <c r="AO3016" s="17"/>
      <c r="AP3016" s="28" t="str">
        <f t="shared" si="903"/>
        <v>20194</v>
      </c>
      <c r="AQ3016" s="28" t="str">
        <f t="shared" si="904"/>
        <v>20194JPY</v>
      </c>
      <c r="AR3016" s="206" t="str">
        <f t="shared" si="905"/>
        <v>YAMAHA_Mounter</v>
      </c>
      <c r="AS3016" s="22">
        <f t="shared" si="906"/>
        <v>1</v>
      </c>
      <c r="AT3016" s="24" t="str">
        <f t="shared" si="907"/>
        <v>0-3 months</v>
      </c>
      <c r="AU3016" s="22" t="s">
        <v>3746</v>
      </c>
    </row>
    <row r="3017" spans="1:47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48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1328</v>
      </c>
      <c r="K3017" s="155" t="s">
        <v>1329</v>
      </c>
      <c r="L3017" s="17" t="s">
        <v>92</v>
      </c>
      <c r="M3017" s="13" t="s">
        <v>60</v>
      </c>
      <c r="N3017" s="13">
        <v>1</v>
      </c>
      <c r="O3017" s="13"/>
      <c r="P3017" s="33" t="str">
        <f t="shared" si="891"/>
        <v>MAIN UNIT</v>
      </c>
      <c r="Q3017" s="13" t="s">
        <v>61</v>
      </c>
      <c r="R3017" s="13" t="s">
        <v>62</v>
      </c>
      <c r="S3017" s="13" t="s">
        <v>49</v>
      </c>
      <c r="T3017" s="13" t="s">
        <v>78</v>
      </c>
      <c r="U3017" s="13" t="s">
        <v>79</v>
      </c>
      <c r="V3017" s="13" t="s">
        <v>1140</v>
      </c>
      <c r="W3017" s="13" t="s">
        <v>109</v>
      </c>
      <c r="X3017" s="135">
        <v>10800000</v>
      </c>
      <c r="Y3017" s="156">
        <v>1</v>
      </c>
      <c r="Z3017" s="18">
        <f t="shared" si="890"/>
        <v>10800000</v>
      </c>
      <c r="AA3017" s="13">
        <v>7.4899999999999994E-2</v>
      </c>
      <c r="AB3017" s="21">
        <f t="shared" si="894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895"/>
        <v>47907808.356810622</v>
      </c>
      <c r="AJ3017" s="19">
        <f t="shared" si="896"/>
        <v>6027384.8806384448</v>
      </c>
      <c r="AK3017" s="20">
        <f t="shared" si="902"/>
        <v>0.12581216063459488</v>
      </c>
      <c r="AL3017" s="17"/>
      <c r="AM3017" s="17"/>
      <c r="AN3017" s="17"/>
      <c r="AO3017" s="17"/>
      <c r="AP3017" s="28" t="str">
        <f t="shared" si="903"/>
        <v>20209</v>
      </c>
      <c r="AQ3017" s="28" t="str">
        <f t="shared" si="904"/>
        <v>20209JPY</v>
      </c>
      <c r="AR3017" s="206" t="str">
        <f t="shared" si="905"/>
        <v>YAMAHA_Mounter</v>
      </c>
      <c r="AS3017" s="22">
        <f t="shared" si="906"/>
        <v>2</v>
      </c>
      <c r="AT3017" s="24" t="str">
        <f t="shared" si="907"/>
        <v>0-3 months</v>
      </c>
      <c r="AU3017" s="22" t="s">
        <v>3240</v>
      </c>
    </row>
    <row r="3018" spans="1:47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48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1328</v>
      </c>
      <c r="K3018" s="155" t="s">
        <v>1329</v>
      </c>
      <c r="L3018" s="17" t="s">
        <v>92</v>
      </c>
      <c r="M3018" s="13" t="s">
        <v>60</v>
      </c>
      <c r="N3018" s="13">
        <v>1</v>
      </c>
      <c r="O3018" s="13"/>
      <c r="P3018" s="33" t="str">
        <f t="shared" si="891"/>
        <v>MAIN UNIT</v>
      </c>
      <c r="Q3018" s="13" t="s">
        <v>61</v>
      </c>
      <c r="R3018" s="13" t="s">
        <v>62</v>
      </c>
      <c r="S3018" s="13" t="s">
        <v>49</v>
      </c>
      <c r="T3018" s="13" t="s">
        <v>78</v>
      </c>
      <c r="U3018" s="13" t="s">
        <v>79</v>
      </c>
      <c r="V3018" s="13" t="s">
        <v>1140</v>
      </c>
      <c r="W3018" s="13" t="s">
        <v>109</v>
      </c>
      <c r="X3018" s="135">
        <v>10800000</v>
      </c>
      <c r="Y3018" s="156">
        <v>1</v>
      </c>
      <c r="Z3018" s="18">
        <f t="shared" ref="Z3018:Z3081" si="908">IF(X3018="","",X3018*MAX(O3018,N3018))</f>
        <v>10800000</v>
      </c>
      <c r="AA3018" s="13">
        <v>7.4899999999999994E-2</v>
      </c>
      <c r="AB3018" s="21">
        <f t="shared" si="894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895"/>
        <v>47907808.356810622</v>
      </c>
      <c r="AJ3018" s="19">
        <f t="shared" si="896"/>
        <v>6027384.8806384448</v>
      </c>
      <c r="AK3018" s="20">
        <f t="shared" si="902"/>
        <v>0.12581216063459488</v>
      </c>
      <c r="AL3018" s="17"/>
      <c r="AM3018" s="17"/>
      <c r="AN3018" s="17"/>
      <c r="AO3018" s="17"/>
      <c r="AP3018" s="28" t="str">
        <f t="shared" si="903"/>
        <v>20209</v>
      </c>
      <c r="AQ3018" s="28" t="str">
        <f t="shared" si="904"/>
        <v>20209JPY</v>
      </c>
      <c r="AR3018" s="206" t="str">
        <f t="shared" si="905"/>
        <v>YAMAHA_Mounter</v>
      </c>
      <c r="AS3018" s="22">
        <f t="shared" si="906"/>
        <v>2</v>
      </c>
      <c r="AT3018" s="24" t="str">
        <f t="shared" si="907"/>
        <v>0-3 months</v>
      </c>
      <c r="AU3018" s="22" t="s">
        <v>3240</v>
      </c>
    </row>
    <row r="3019" spans="1:47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48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1328</v>
      </c>
      <c r="K3019" s="155" t="s">
        <v>1329</v>
      </c>
      <c r="L3019" s="17" t="s">
        <v>67</v>
      </c>
      <c r="M3019" s="13" t="s">
        <v>60</v>
      </c>
      <c r="N3019" s="13">
        <v>1</v>
      </c>
      <c r="O3019" s="13"/>
      <c r="P3019" s="33" t="str">
        <f t="shared" si="891"/>
        <v>MAIN UNIT</v>
      </c>
      <c r="Q3019" s="13" t="s">
        <v>61</v>
      </c>
      <c r="R3019" s="13" t="s">
        <v>62</v>
      </c>
      <c r="S3019" s="13" t="s">
        <v>49</v>
      </c>
      <c r="T3019" s="13" t="s">
        <v>78</v>
      </c>
      <c r="U3019" s="13" t="s">
        <v>79</v>
      </c>
      <c r="V3019" s="13" t="s">
        <v>1140</v>
      </c>
      <c r="W3019" s="13" t="s">
        <v>109</v>
      </c>
      <c r="X3019" s="135">
        <v>6896000</v>
      </c>
      <c r="Y3019" s="156">
        <v>1</v>
      </c>
      <c r="Z3019" s="18">
        <f t="shared" si="908"/>
        <v>6896000</v>
      </c>
      <c r="AA3019" s="13">
        <v>7.4899999999999994E-2</v>
      </c>
      <c r="AB3019" s="21">
        <f t="shared" si="894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895"/>
        <v>47907808.356810622</v>
      </c>
      <c r="AJ3019" s="19">
        <f t="shared" si="896"/>
        <v>6027384.8806384448</v>
      </c>
      <c r="AK3019" s="20">
        <f t="shared" si="902"/>
        <v>0.12581216063459488</v>
      </c>
      <c r="AL3019" s="17"/>
      <c r="AM3019" s="17"/>
      <c r="AN3019" s="17"/>
      <c r="AO3019" s="17"/>
      <c r="AP3019" s="28" t="str">
        <f t="shared" si="903"/>
        <v>20209</v>
      </c>
      <c r="AQ3019" s="28" t="str">
        <f t="shared" si="904"/>
        <v>20209JPY</v>
      </c>
      <c r="AR3019" s="206" t="str">
        <f t="shared" si="905"/>
        <v>YAMAHA_Mounter</v>
      </c>
      <c r="AS3019" s="22">
        <f t="shared" si="906"/>
        <v>2</v>
      </c>
      <c r="AT3019" s="24" t="str">
        <f t="shared" si="907"/>
        <v>0-3 months</v>
      </c>
      <c r="AU3019" s="22" t="s">
        <v>3240</v>
      </c>
    </row>
    <row r="3020" spans="1:47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48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1328</v>
      </c>
      <c r="K3020" s="155" t="s">
        <v>1329</v>
      </c>
      <c r="L3020" s="17" t="s">
        <v>67</v>
      </c>
      <c r="M3020" s="13" t="s">
        <v>60</v>
      </c>
      <c r="N3020" s="13">
        <v>1</v>
      </c>
      <c r="O3020" s="13"/>
      <c r="P3020" s="33" t="str">
        <f t="shared" si="891"/>
        <v>MAIN UNIT</v>
      </c>
      <c r="Q3020" s="13" t="s">
        <v>61</v>
      </c>
      <c r="R3020" s="13" t="s">
        <v>62</v>
      </c>
      <c r="S3020" s="13" t="s">
        <v>49</v>
      </c>
      <c r="T3020" s="13" t="s">
        <v>78</v>
      </c>
      <c r="U3020" s="13" t="s">
        <v>79</v>
      </c>
      <c r="V3020" s="13" t="s">
        <v>1140</v>
      </c>
      <c r="W3020" s="13" t="s">
        <v>109</v>
      </c>
      <c r="X3020" s="135">
        <v>6896000</v>
      </c>
      <c r="Y3020" s="156">
        <v>1</v>
      </c>
      <c r="Z3020" s="18">
        <f t="shared" si="908"/>
        <v>6896000</v>
      </c>
      <c r="AA3020" s="13">
        <v>7.4899999999999994E-2</v>
      </c>
      <c r="AB3020" s="21">
        <f t="shared" si="894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895"/>
        <v>47907808.356810622</v>
      </c>
      <c r="AJ3020" s="19">
        <f t="shared" si="896"/>
        <v>6027384.8806384448</v>
      </c>
      <c r="AK3020" s="20">
        <f t="shared" si="902"/>
        <v>0.12581216063459488</v>
      </c>
      <c r="AL3020" s="17"/>
      <c r="AM3020" s="17"/>
      <c r="AN3020" s="17"/>
      <c r="AO3020" s="17"/>
      <c r="AP3020" s="28" t="str">
        <f t="shared" si="903"/>
        <v>20209</v>
      </c>
      <c r="AQ3020" s="28" t="str">
        <f t="shared" si="904"/>
        <v>20209JPY</v>
      </c>
      <c r="AR3020" s="206" t="str">
        <f t="shared" si="905"/>
        <v>YAMAHA_Mounter</v>
      </c>
      <c r="AS3020" s="22">
        <f t="shared" si="906"/>
        <v>2</v>
      </c>
      <c r="AT3020" s="24" t="str">
        <f t="shared" si="907"/>
        <v>0-3 months</v>
      </c>
      <c r="AU3020" s="22" t="s">
        <v>3240</v>
      </c>
    </row>
    <row r="3021" spans="1:47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185</v>
      </c>
      <c r="F3021" s="13" t="s">
        <v>185</v>
      </c>
      <c r="G3021" s="152" t="s">
        <v>185</v>
      </c>
      <c r="H3021" s="155"/>
      <c r="I3021" s="33" t="str">
        <f t="shared" si="899"/>
        <v>Cancel</v>
      </c>
      <c r="J3021" s="186" t="s">
        <v>1639</v>
      </c>
      <c r="K3021" s="155" t="s">
        <v>605</v>
      </c>
      <c r="L3021" s="17" t="s">
        <v>92</v>
      </c>
      <c r="M3021" s="13" t="s">
        <v>60</v>
      </c>
      <c r="N3021" s="13">
        <v>1</v>
      </c>
      <c r="O3021" s="13"/>
      <c r="P3021" s="33" t="str">
        <f t="shared" si="891"/>
        <v>MAIN UNIT</v>
      </c>
      <c r="Q3021" s="13" t="s">
        <v>61</v>
      </c>
      <c r="R3021" s="13" t="s">
        <v>62</v>
      </c>
      <c r="S3021" s="13" t="s">
        <v>49</v>
      </c>
      <c r="T3021" s="13" t="s">
        <v>78</v>
      </c>
      <c r="U3021" s="13" t="s">
        <v>79</v>
      </c>
      <c r="V3021" s="13" t="s">
        <v>80</v>
      </c>
      <c r="W3021" s="13" t="s">
        <v>109</v>
      </c>
      <c r="X3021" s="135">
        <v>11530000</v>
      </c>
      <c r="Y3021" s="157" t="str">
        <f t="shared" ref="Y3021:Y3033" si="909">IF(W3021="RMB","1.13", "1")</f>
        <v>1</v>
      </c>
      <c r="Z3021" s="18">
        <f t="shared" si="908"/>
        <v>11530000</v>
      </c>
      <c r="AA3021" s="13">
        <v>5.8700000000000002E-2</v>
      </c>
      <c r="AB3021" s="21">
        <f t="shared" si="894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895"/>
        <v>499582152.5142017</v>
      </c>
      <c r="AJ3021" s="19">
        <f t="shared" si="896"/>
        <v>59520528.679470733</v>
      </c>
      <c r="AK3021" s="20">
        <f t="shared" si="902"/>
        <v>0.11914062257814291</v>
      </c>
      <c r="AL3021" s="17"/>
      <c r="AM3021" s="17"/>
      <c r="AN3021" s="17"/>
      <c r="AO3021" s="17"/>
      <c r="AP3021" s="28" t="str">
        <f t="shared" si="903"/>
        <v>CancelCancel</v>
      </c>
      <c r="AQ3021" s="28" t="str">
        <f t="shared" si="904"/>
        <v>CancelCancelJPY</v>
      </c>
      <c r="AR3021" s="206" t="str">
        <f t="shared" si="905"/>
        <v>YAMAHA_Mounter</v>
      </c>
      <c r="AS3021" s="22" t="str">
        <f t="shared" si="906"/>
        <v/>
      </c>
      <c r="AT3021" s="24" t="str">
        <f t="shared" si="907"/>
        <v/>
      </c>
      <c r="AU3021" s="22" t="s">
        <v>3746</v>
      </c>
    </row>
    <row r="3022" spans="1:47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185</v>
      </c>
      <c r="F3022" s="13" t="s">
        <v>185</v>
      </c>
      <c r="G3022" s="152" t="s">
        <v>185</v>
      </c>
      <c r="H3022" s="155"/>
      <c r="I3022" s="33" t="str">
        <f t="shared" si="899"/>
        <v>Cancel</v>
      </c>
      <c r="J3022" s="186" t="s">
        <v>1639</v>
      </c>
      <c r="K3022" s="155" t="s">
        <v>605</v>
      </c>
      <c r="L3022" s="17" t="s">
        <v>92</v>
      </c>
      <c r="M3022" s="13" t="s">
        <v>60</v>
      </c>
      <c r="N3022" s="13">
        <v>1</v>
      </c>
      <c r="O3022" s="13"/>
      <c r="P3022" s="33" t="str">
        <f t="shared" si="891"/>
        <v>MAIN UNIT</v>
      </c>
      <c r="Q3022" s="13" t="s">
        <v>61</v>
      </c>
      <c r="R3022" s="13" t="s">
        <v>62</v>
      </c>
      <c r="S3022" s="13" t="s">
        <v>49</v>
      </c>
      <c r="T3022" s="13" t="s">
        <v>78</v>
      </c>
      <c r="U3022" s="13" t="s">
        <v>79</v>
      </c>
      <c r="V3022" s="13" t="s">
        <v>80</v>
      </c>
      <c r="W3022" s="13" t="s">
        <v>109</v>
      </c>
      <c r="X3022" s="135">
        <v>11530000</v>
      </c>
      <c r="Y3022" s="157" t="str">
        <f t="shared" si="909"/>
        <v>1</v>
      </c>
      <c r="Z3022" s="18">
        <f t="shared" si="908"/>
        <v>11530000</v>
      </c>
      <c r="AA3022" s="13">
        <v>5.8700000000000002E-2</v>
      </c>
      <c r="AB3022" s="21">
        <f t="shared" si="894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895"/>
        <v>499582152.5142017</v>
      </c>
      <c r="AJ3022" s="19">
        <f t="shared" si="896"/>
        <v>59520528.679470733</v>
      </c>
      <c r="AK3022" s="20">
        <f t="shared" si="902"/>
        <v>0.11914062257814291</v>
      </c>
      <c r="AL3022" s="17"/>
      <c r="AM3022" s="17"/>
      <c r="AN3022" s="17"/>
      <c r="AO3022" s="17"/>
      <c r="AP3022" s="28" t="str">
        <f t="shared" si="903"/>
        <v>CancelCancel</v>
      </c>
      <c r="AQ3022" s="28" t="str">
        <f t="shared" si="904"/>
        <v>CancelCancelJPY</v>
      </c>
      <c r="AR3022" s="206" t="str">
        <f t="shared" si="905"/>
        <v>YAMAHA_Mounter</v>
      </c>
      <c r="AS3022" s="22" t="str">
        <f t="shared" si="906"/>
        <v/>
      </c>
      <c r="AT3022" s="24" t="str">
        <f t="shared" si="907"/>
        <v/>
      </c>
      <c r="AU3022" s="22" t="s">
        <v>3746</v>
      </c>
    </row>
    <row r="3023" spans="1:47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185</v>
      </c>
      <c r="F3023" s="13" t="s">
        <v>185</v>
      </c>
      <c r="G3023" s="152" t="s">
        <v>185</v>
      </c>
      <c r="H3023" s="155"/>
      <c r="I3023" s="33" t="str">
        <f t="shared" si="899"/>
        <v>Cancel</v>
      </c>
      <c r="J3023" s="186" t="s">
        <v>1639</v>
      </c>
      <c r="K3023" s="155" t="s">
        <v>605</v>
      </c>
      <c r="L3023" s="17" t="s">
        <v>92</v>
      </c>
      <c r="M3023" s="13" t="s">
        <v>60</v>
      </c>
      <c r="N3023" s="13">
        <v>1</v>
      </c>
      <c r="O3023" s="13"/>
      <c r="P3023" s="33" t="str">
        <f t="shared" si="891"/>
        <v>MAIN UNIT</v>
      </c>
      <c r="Q3023" s="13" t="s">
        <v>61</v>
      </c>
      <c r="R3023" s="13" t="s">
        <v>62</v>
      </c>
      <c r="S3023" s="13" t="s">
        <v>49</v>
      </c>
      <c r="T3023" s="13" t="s">
        <v>78</v>
      </c>
      <c r="U3023" s="13" t="s">
        <v>79</v>
      </c>
      <c r="V3023" s="13" t="s">
        <v>80</v>
      </c>
      <c r="W3023" s="13" t="s">
        <v>109</v>
      </c>
      <c r="X3023" s="135">
        <v>11530000</v>
      </c>
      <c r="Y3023" s="157" t="str">
        <f t="shared" si="909"/>
        <v>1</v>
      </c>
      <c r="Z3023" s="18">
        <f t="shared" si="908"/>
        <v>11530000</v>
      </c>
      <c r="AA3023" s="13">
        <v>5.8700000000000002E-2</v>
      </c>
      <c r="AB3023" s="21">
        <f t="shared" si="894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895"/>
        <v>499582152.5142017</v>
      </c>
      <c r="AJ3023" s="19">
        <f t="shared" si="896"/>
        <v>59520528.679470733</v>
      </c>
      <c r="AK3023" s="20">
        <f t="shared" si="902"/>
        <v>0.11914062257814291</v>
      </c>
      <c r="AL3023" s="17"/>
      <c r="AM3023" s="17"/>
      <c r="AN3023" s="17"/>
      <c r="AO3023" s="17"/>
      <c r="AP3023" s="28" t="str">
        <f t="shared" si="903"/>
        <v>CancelCancel</v>
      </c>
      <c r="AQ3023" s="28" t="str">
        <f t="shared" si="904"/>
        <v>CancelCancelJPY</v>
      </c>
      <c r="AR3023" s="206" t="str">
        <f t="shared" si="905"/>
        <v>YAMAHA_Mounter</v>
      </c>
      <c r="AS3023" s="22" t="str">
        <f t="shared" si="906"/>
        <v/>
      </c>
      <c r="AT3023" s="24" t="str">
        <f t="shared" si="907"/>
        <v/>
      </c>
      <c r="AU3023" s="22" t="s">
        <v>3746</v>
      </c>
    </row>
    <row r="3024" spans="1:47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185</v>
      </c>
      <c r="F3024" s="13" t="s">
        <v>185</v>
      </c>
      <c r="G3024" s="152" t="s">
        <v>185</v>
      </c>
      <c r="H3024" s="155"/>
      <c r="I3024" s="33" t="str">
        <f t="shared" si="899"/>
        <v>Cancel</v>
      </c>
      <c r="J3024" s="186" t="s">
        <v>1639</v>
      </c>
      <c r="K3024" s="155" t="s">
        <v>605</v>
      </c>
      <c r="L3024" s="17" t="s">
        <v>92</v>
      </c>
      <c r="M3024" s="13" t="s">
        <v>60</v>
      </c>
      <c r="N3024" s="13">
        <v>1</v>
      </c>
      <c r="O3024" s="13"/>
      <c r="P3024" s="33" t="str">
        <f t="shared" si="891"/>
        <v>MAIN UNIT</v>
      </c>
      <c r="Q3024" s="13" t="s">
        <v>61</v>
      </c>
      <c r="R3024" s="13" t="s">
        <v>62</v>
      </c>
      <c r="S3024" s="13" t="s">
        <v>49</v>
      </c>
      <c r="T3024" s="13" t="s">
        <v>78</v>
      </c>
      <c r="U3024" s="13" t="s">
        <v>79</v>
      </c>
      <c r="V3024" s="13" t="s">
        <v>80</v>
      </c>
      <c r="W3024" s="13" t="s">
        <v>109</v>
      </c>
      <c r="X3024" s="135">
        <v>11530000</v>
      </c>
      <c r="Y3024" s="157" t="str">
        <f t="shared" si="909"/>
        <v>1</v>
      </c>
      <c r="Z3024" s="18">
        <f t="shared" si="908"/>
        <v>11530000</v>
      </c>
      <c r="AA3024" s="13">
        <v>5.8700000000000002E-2</v>
      </c>
      <c r="AB3024" s="21">
        <f t="shared" si="894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895"/>
        <v>499582152.5142017</v>
      </c>
      <c r="AJ3024" s="19">
        <f t="shared" si="896"/>
        <v>59520528.679470733</v>
      </c>
      <c r="AK3024" s="20">
        <f t="shared" si="902"/>
        <v>0.11914062257814291</v>
      </c>
      <c r="AL3024" s="17"/>
      <c r="AM3024" s="17"/>
      <c r="AN3024" s="17"/>
      <c r="AO3024" s="17"/>
      <c r="AP3024" s="28" t="str">
        <f t="shared" si="903"/>
        <v>CancelCancel</v>
      </c>
      <c r="AQ3024" s="28" t="str">
        <f t="shared" si="904"/>
        <v>CancelCancelJPY</v>
      </c>
      <c r="AR3024" s="206" t="str">
        <f t="shared" si="905"/>
        <v>YAMAHA_Mounter</v>
      </c>
      <c r="AS3024" s="22" t="str">
        <f t="shared" si="906"/>
        <v/>
      </c>
      <c r="AT3024" s="24" t="str">
        <f t="shared" si="907"/>
        <v/>
      </c>
      <c r="AU3024" s="22" t="s">
        <v>3746</v>
      </c>
    </row>
    <row r="3025" spans="1:47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185</v>
      </c>
      <c r="F3025" s="13" t="s">
        <v>185</v>
      </c>
      <c r="G3025" s="152" t="s">
        <v>185</v>
      </c>
      <c r="H3025" s="155"/>
      <c r="I3025" s="33" t="str">
        <f t="shared" si="899"/>
        <v>Cancel</v>
      </c>
      <c r="J3025" s="186" t="s">
        <v>1639</v>
      </c>
      <c r="K3025" s="155" t="s">
        <v>605</v>
      </c>
      <c r="L3025" s="17" t="s">
        <v>67</v>
      </c>
      <c r="M3025" s="13" t="s">
        <v>60</v>
      </c>
      <c r="N3025" s="13">
        <v>1</v>
      </c>
      <c r="O3025" s="13"/>
      <c r="P3025" s="33" t="str">
        <f t="shared" si="891"/>
        <v>MAIN UNIT</v>
      </c>
      <c r="Q3025" s="13" t="s">
        <v>61</v>
      </c>
      <c r="R3025" s="13" t="s">
        <v>62</v>
      </c>
      <c r="S3025" s="13" t="s">
        <v>49</v>
      </c>
      <c r="T3025" s="13" t="s">
        <v>78</v>
      </c>
      <c r="U3025" s="13" t="s">
        <v>79</v>
      </c>
      <c r="V3025" s="13" t="s">
        <v>80</v>
      </c>
      <c r="W3025" s="13" t="s">
        <v>109</v>
      </c>
      <c r="X3025" s="135">
        <v>7500000</v>
      </c>
      <c r="Y3025" s="157" t="str">
        <f t="shared" si="909"/>
        <v>1</v>
      </c>
      <c r="Z3025" s="18">
        <f t="shared" si="908"/>
        <v>7500000</v>
      </c>
      <c r="AA3025" s="13">
        <v>5.8700000000000002E-2</v>
      </c>
      <c r="AB3025" s="21">
        <f t="shared" si="894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895"/>
        <v>499582152.5142017</v>
      </c>
      <c r="AJ3025" s="19">
        <f t="shared" si="896"/>
        <v>59520528.679470733</v>
      </c>
      <c r="AK3025" s="20">
        <f t="shared" si="902"/>
        <v>0.11914062257814291</v>
      </c>
      <c r="AL3025" s="17"/>
      <c r="AM3025" s="17"/>
      <c r="AN3025" s="17"/>
      <c r="AO3025" s="17"/>
      <c r="AP3025" s="28" t="str">
        <f t="shared" si="903"/>
        <v>CancelCancel</v>
      </c>
      <c r="AQ3025" s="28" t="str">
        <f t="shared" si="904"/>
        <v>CancelCancelJPY</v>
      </c>
      <c r="AR3025" s="206" t="str">
        <f t="shared" si="905"/>
        <v>YAMAHA_Mounter</v>
      </c>
      <c r="AS3025" s="22" t="str">
        <f t="shared" si="906"/>
        <v/>
      </c>
      <c r="AT3025" s="24" t="str">
        <f t="shared" si="907"/>
        <v/>
      </c>
      <c r="AU3025" s="22" t="s">
        <v>3746</v>
      </c>
    </row>
    <row r="3026" spans="1:47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185</v>
      </c>
      <c r="F3026" s="13" t="s">
        <v>185</v>
      </c>
      <c r="G3026" s="152" t="s">
        <v>185</v>
      </c>
      <c r="H3026" s="155"/>
      <c r="I3026" s="33" t="str">
        <f t="shared" si="899"/>
        <v>Cancel</v>
      </c>
      <c r="J3026" s="186" t="s">
        <v>1639</v>
      </c>
      <c r="K3026" s="155" t="s">
        <v>605</v>
      </c>
      <c r="L3026" s="17" t="s">
        <v>67</v>
      </c>
      <c r="M3026" s="13" t="s">
        <v>60</v>
      </c>
      <c r="N3026" s="13">
        <v>1</v>
      </c>
      <c r="O3026" s="13"/>
      <c r="P3026" s="33" t="str">
        <f t="shared" si="891"/>
        <v>MAIN UNIT</v>
      </c>
      <c r="Q3026" s="13" t="s">
        <v>61</v>
      </c>
      <c r="R3026" s="13" t="s">
        <v>62</v>
      </c>
      <c r="S3026" s="13" t="s">
        <v>49</v>
      </c>
      <c r="T3026" s="13" t="s">
        <v>78</v>
      </c>
      <c r="U3026" s="13" t="s">
        <v>79</v>
      </c>
      <c r="V3026" s="13" t="s">
        <v>80</v>
      </c>
      <c r="W3026" s="13" t="s">
        <v>109</v>
      </c>
      <c r="X3026" s="135">
        <v>7500000</v>
      </c>
      <c r="Y3026" s="157" t="str">
        <f t="shared" si="909"/>
        <v>1</v>
      </c>
      <c r="Z3026" s="18">
        <f t="shared" si="908"/>
        <v>7500000</v>
      </c>
      <c r="AA3026" s="13">
        <v>5.8700000000000002E-2</v>
      </c>
      <c r="AB3026" s="21">
        <f t="shared" si="894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895"/>
        <v>499582152.5142017</v>
      </c>
      <c r="AJ3026" s="19">
        <f t="shared" si="896"/>
        <v>59520528.679470733</v>
      </c>
      <c r="AK3026" s="20">
        <f t="shared" si="902"/>
        <v>0.11914062257814291</v>
      </c>
      <c r="AL3026" s="17"/>
      <c r="AM3026" s="17"/>
      <c r="AN3026" s="17"/>
      <c r="AO3026" s="17"/>
      <c r="AP3026" s="28" t="str">
        <f t="shared" si="903"/>
        <v>CancelCancel</v>
      </c>
      <c r="AQ3026" s="28" t="str">
        <f t="shared" si="904"/>
        <v>CancelCancelJPY</v>
      </c>
      <c r="AR3026" s="206" t="str">
        <f t="shared" si="905"/>
        <v>YAMAHA_Mounter</v>
      </c>
      <c r="AS3026" s="22" t="str">
        <f t="shared" si="906"/>
        <v/>
      </c>
      <c r="AT3026" s="24" t="str">
        <f t="shared" si="907"/>
        <v/>
      </c>
      <c r="AU3026" s="22" t="s">
        <v>3746</v>
      </c>
    </row>
    <row r="3027" spans="1:47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185</v>
      </c>
      <c r="F3027" s="13" t="s">
        <v>185</v>
      </c>
      <c r="G3027" s="152" t="s">
        <v>185</v>
      </c>
      <c r="H3027" s="155"/>
      <c r="I3027" s="33" t="str">
        <f t="shared" si="899"/>
        <v>Cancel</v>
      </c>
      <c r="J3027" s="186" t="s">
        <v>1639</v>
      </c>
      <c r="K3027" s="155" t="s">
        <v>605</v>
      </c>
      <c r="L3027" s="17" t="s">
        <v>67</v>
      </c>
      <c r="M3027" s="13" t="s">
        <v>60</v>
      </c>
      <c r="N3027" s="13">
        <v>1</v>
      </c>
      <c r="O3027" s="13"/>
      <c r="P3027" s="33" t="str">
        <f t="shared" si="891"/>
        <v>MAIN UNIT</v>
      </c>
      <c r="Q3027" s="13" t="s">
        <v>61</v>
      </c>
      <c r="R3027" s="13" t="s">
        <v>62</v>
      </c>
      <c r="S3027" s="13" t="s">
        <v>49</v>
      </c>
      <c r="T3027" s="13" t="s">
        <v>78</v>
      </c>
      <c r="U3027" s="13" t="s">
        <v>79</v>
      </c>
      <c r="V3027" s="13" t="s">
        <v>80</v>
      </c>
      <c r="W3027" s="13" t="s">
        <v>109</v>
      </c>
      <c r="X3027" s="135">
        <v>7500000</v>
      </c>
      <c r="Y3027" s="157" t="str">
        <f t="shared" si="909"/>
        <v>1</v>
      </c>
      <c r="Z3027" s="18">
        <f t="shared" si="908"/>
        <v>7500000</v>
      </c>
      <c r="AA3027" s="13">
        <v>5.8700000000000002E-2</v>
      </c>
      <c r="AB3027" s="21">
        <f t="shared" si="894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895"/>
        <v>499582152.5142017</v>
      </c>
      <c r="AJ3027" s="19">
        <f t="shared" si="896"/>
        <v>59520528.679470733</v>
      </c>
      <c r="AK3027" s="20">
        <f t="shared" si="902"/>
        <v>0.11914062257814291</v>
      </c>
      <c r="AL3027" s="17"/>
      <c r="AM3027" s="17"/>
      <c r="AN3027" s="17"/>
      <c r="AO3027" s="17"/>
      <c r="AP3027" s="28" t="str">
        <f t="shared" si="903"/>
        <v>CancelCancel</v>
      </c>
      <c r="AQ3027" s="28" t="str">
        <f t="shared" si="904"/>
        <v>CancelCancelJPY</v>
      </c>
      <c r="AR3027" s="206" t="str">
        <f t="shared" si="905"/>
        <v>YAMAHA_Mounter</v>
      </c>
      <c r="AS3027" s="22" t="str">
        <f t="shared" si="906"/>
        <v/>
      </c>
      <c r="AT3027" s="24" t="str">
        <f t="shared" si="907"/>
        <v/>
      </c>
      <c r="AU3027" s="22" t="s">
        <v>3746</v>
      </c>
    </row>
    <row r="3028" spans="1:47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185</v>
      </c>
      <c r="F3028" s="13" t="s">
        <v>185</v>
      </c>
      <c r="G3028" s="152" t="s">
        <v>185</v>
      </c>
      <c r="H3028" s="155"/>
      <c r="I3028" s="33" t="str">
        <f t="shared" si="899"/>
        <v>Cancel</v>
      </c>
      <c r="J3028" s="186" t="s">
        <v>1639</v>
      </c>
      <c r="K3028" s="155" t="s">
        <v>605</v>
      </c>
      <c r="L3028" s="17" t="s">
        <v>67</v>
      </c>
      <c r="M3028" s="13" t="s">
        <v>60</v>
      </c>
      <c r="N3028" s="13">
        <v>1</v>
      </c>
      <c r="O3028" s="13"/>
      <c r="P3028" s="33" t="str">
        <f t="shared" si="891"/>
        <v>MAIN UNIT</v>
      </c>
      <c r="Q3028" s="13" t="s">
        <v>61</v>
      </c>
      <c r="R3028" s="13" t="s">
        <v>62</v>
      </c>
      <c r="S3028" s="13" t="s">
        <v>49</v>
      </c>
      <c r="T3028" s="13" t="s">
        <v>78</v>
      </c>
      <c r="U3028" s="13" t="s">
        <v>79</v>
      </c>
      <c r="V3028" s="13" t="s">
        <v>80</v>
      </c>
      <c r="W3028" s="13" t="s">
        <v>109</v>
      </c>
      <c r="X3028" s="135">
        <v>7500000</v>
      </c>
      <c r="Y3028" s="157" t="str">
        <f t="shared" si="909"/>
        <v>1</v>
      </c>
      <c r="Z3028" s="18">
        <f t="shared" si="908"/>
        <v>7500000</v>
      </c>
      <c r="AA3028" s="13">
        <v>5.8700000000000002E-2</v>
      </c>
      <c r="AB3028" s="21">
        <f t="shared" si="894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895"/>
        <v>499582152.5142017</v>
      </c>
      <c r="AJ3028" s="19">
        <f t="shared" si="896"/>
        <v>59520528.679470733</v>
      </c>
      <c r="AK3028" s="20">
        <f t="shared" si="902"/>
        <v>0.11914062257814291</v>
      </c>
      <c r="AL3028" s="17"/>
      <c r="AM3028" s="17"/>
      <c r="AN3028" s="17"/>
      <c r="AO3028" s="17"/>
      <c r="AP3028" s="28" t="str">
        <f t="shared" si="903"/>
        <v>CancelCancel</v>
      </c>
      <c r="AQ3028" s="28" t="str">
        <f t="shared" si="904"/>
        <v>CancelCancelJPY</v>
      </c>
      <c r="AR3028" s="206" t="str">
        <f t="shared" si="905"/>
        <v>YAMAHA_Mounter</v>
      </c>
      <c r="AS3028" s="22" t="str">
        <f t="shared" si="906"/>
        <v/>
      </c>
      <c r="AT3028" s="24" t="str">
        <f t="shared" si="907"/>
        <v/>
      </c>
      <c r="AU3028" s="22" t="s">
        <v>3746</v>
      </c>
    </row>
    <row r="3029" spans="1:47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53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1727</v>
      </c>
      <c r="K3029" s="155" t="s">
        <v>605</v>
      </c>
      <c r="L3029" s="17" t="s">
        <v>67</v>
      </c>
      <c r="M3029" s="13" t="s">
        <v>60</v>
      </c>
      <c r="N3029" s="13">
        <v>1</v>
      </c>
      <c r="O3029" s="13"/>
      <c r="P3029" s="33" t="str">
        <f t="shared" si="891"/>
        <v>MAIN UNIT</v>
      </c>
      <c r="Q3029" s="13" t="s">
        <v>61</v>
      </c>
      <c r="R3029" s="13" t="s">
        <v>62</v>
      </c>
      <c r="S3029" s="13" t="s">
        <v>49</v>
      </c>
      <c r="T3029" s="13" t="s">
        <v>78</v>
      </c>
      <c r="U3029" s="13" t="s">
        <v>79</v>
      </c>
      <c r="V3029" s="13" t="s">
        <v>80</v>
      </c>
      <c r="W3029" s="13" t="s">
        <v>109</v>
      </c>
      <c r="X3029" s="135">
        <v>10500000</v>
      </c>
      <c r="Y3029" s="157" t="str">
        <f t="shared" si="909"/>
        <v>1</v>
      </c>
      <c r="Z3029" s="18">
        <f t="shared" si="908"/>
        <v>10500000</v>
      </c>
      <c r="AA3029" s="13">
        <v>7.2800000000000004E-2</v>
      </c>
      <c r="AB3029" s="21">
        <f t="shared" si="894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895"/>
        <v>63006605.696460173</v>
      </c>
      <c r="AJ3029" s="19">
        <f t="shared" si="896"/>
        <v>8897485.660753984</v>
      </c>
      <c r="AK3029" s="20">
        <f t="shared" si="902"/>
        <v>0.141215124388995</v>
      </c>
      <c r="AL3029" s="17"/>
      <c r="AM3029" s="17"/>
      <c r="AN3029" s="17"/>
      <c r="AO3029" s="17"/>
      <c r="AP3029" s="28" t="str">
        <f t="shared" si="903"/>
        <v>20215</v>
      </c>
      <c r="AQ3029" s="28" t="str">
        <f t="shared" si="904"/>
        <v>20215JPY</v>
      </c>
      <c r="AR3029" s="206" t="str">
        <f t="shared" si="905"/>
        <v>YAMAHA_Mounter</v>
      </c>
      <c r="AS3029" s="22">
        <f t="shared" si="906"/>
        <v>3</v>
      </c>
      <c r="AT3029" s="24" t="str">
        <f t="shared" si="907"/>
        <v>0-3 months</v>
      </c>
      <c r="AU3029" s="22" t="s">
        <v>3746</v>
      </c>
    </row>
    <row r="3030" spans="1:47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54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1993</v>
      </c>
      <c r="K3030" s="155" t="s">
        <v>605</v>
      </c>
      <c r="L3030" s="17" t="s">
        <v>92</v>
      </c>
      <c r="M3030" s="13" t="s">
        <v>60</v>
      </c>
      <c r="N3030" s="13">
        <v>1</v>
      </c>
      <c r="O3030" s="13"/>
      <c r="P3030" s="33" t="str">
        <f t="shared" ref="P3030:P3093" si="910">IF(M3030="","",IF(AND(N3030&gt;0,L3030&lt;&gt;""),"MAIN UNIT",IF(AND(O3030&gt;0,L3030&lt;&gt;""),"SERVICE/ PARTS","C66 SERVICE/OTHERS")))</f>
        <v>MAIN UNIT</v>
      </c>
      <c r="Q3030" s="13" t="s">
        <v>61</v>
      </c>
      <c r="R3030" s="13" t="s">
        <v>62</v>
      </c>
      <c r="S3030" s="13" t="s">
        <v>49</v>
      </c>
      <c r="T3030" s="13" t="s">
        <v>78</v>
      </c>
      <c r="U3030" s="13" t="s">
        <v>79</v>
      </c>
      <c r="V3030" s="13" t="s">
        <v>80</v>
      </c>
      <c r="W3030" s="13" t="s">
        <v>109</v>
      </c>
      <c r="X3030" s="135">
        <v>11530000</v>
      </c>
      <c r="Y3030" s="157" t="str">
        <f t="shared" si="909"/>
        <v>1</v>
      </c>
      <c r="Z3030" s="18">
        <f t="shared" si="908"/>
        <v>11530000</v>
      </c>
      <c r="AA3030" s="13">
        <v>6.54E-2</v>
      </c>
      <c r="AB3030" s="21">
        <f t="shared" si="894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895"/>
        <v>46600814.041769907</v>
      </c>
      <c r="AJ3030" s="19">
        <f t="shared" si="896"/>
        <v>5956366.3435927071</v>
      </c>
      <c r="AK3030" s="20">
        <f t="shared" si="902"/>
        <v>0.1278167874546958</v>
      </c>
      <c r="AL3030" s="17"/>
      <c r="AM3030" s="17"/>
      <c r="AN3030" s="17"/>
      <c r="AO3030" s="17"/>
      <c r="AP3030" s="28" t="str">
        <f t="shared" si="903"/>
        <v>20224</v>
      </c>
      <c r="AQ3030" s="28" t="str">
        <f t="shared" si="904"/>
        <v>20224JPY</v>
      </c>
      <c r="AR3030" s="206" t="str">
        <f t="shared" si="905"/>
        <v>YAMAHA_Mounter</v>
      </c>
      <c r="AS3030" s="22">
        <f t="shared" si="906"/>
        <v>12</v>
      </c>
      <c r="AT3030" s="24" t="str">
        <f t="shared" si="907"/>
        <v>&gt; 6 months</v>
      </c>
      <c r="AU3030" s="22" t="s">
        <v>3746</v>
      </c>
    </row>
    <row r="3031" spans="1:47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54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1993</v>
      </c>
      <c r="K3031" s="155" t="s">
        <v>605</v>
      </c>
      <c r="L3031" s="17" t="s">
        <v>67</v>
      </c>
      <c r="M3031" s="13" t="s">
        <v>60</v>
      </c>
      <c r="N3031" s="13">
        <v>1</v>
      </c>
      <c r="O3031" s="13"/>
      <c r="P3031" s="33" t="str">
        <f t="shared" si="910"/>
        <v>MAIN UNIT</v>
      </c>
      <c r="Q3031" s="13" t="s">
        <v>61</v>
      </c>
      <c r="R3031" s="13" t="s">
        <v>62</v>
      </c>
      <c r="S3031" s="13" t="s">
        <v>49</v>
      </c>
      <c r="T3031" s="13" t="s">
        <v>78</v>
      </c>
      <c r="U3031" s="13" t="s">
        <v>79</v>
      </c>
      <c r="V3031" s="13" t="s">
        <v>80</v>
      </c>
      <c r="W3031" s="13" t="s">
        <v>109</v>
      </c>
      <c r="X3031" s="135">
        <v>7500000</v>
      </c>
      <c r="Y3031" s="157" t="str">
        <f t="shared" si="909"/>
        <v>1</v>
      </c>
      <c r="Z3031" s="18">
        <f t="shared" si="908"/>
        <v>7500000</v>
      </c>
      <c r="AA3031" s="13">
        <v>6.54E-2</v>
      </c>
      <c r="AB3031" s="21">
        <f t="shared" si="894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895"/>
        <v>46600814.041769907</v>
      </c>
      <c r="AJ3031" s="19">
        <f t="shared" si="896"/>
        <v>5956366.3435927071</v>
      </c>
      <c r="AK3031" s="20">
        <f t="shared" si="902"/>
        <v>0.1278167874546958</v>
      </c>
      <c r="AL3031" s="17"/>
      <c r="AM3031" s="17"/>
      <c r="AN3031" s="17"/>
      <c r="AO3031" s="17"/>
      <c r="AP3031" s="28" t="str">
        <f t="shared" si="903"/>
        <v>20224</v>
      </c>
      <c r="AQ3031" s="28" t="str">
        <f t="shared" si="904"/>
        <v>20224JPY</v>
      </c>
      <c r="AR3031" s="206" t="str">
        <f t="shared" si="905"/>
        <v>YAMAHA_Mounter</v>
      </c>
      <c r="AS3031" s="22">
        <f t="shared" si="906"/>
        <v>12</v>
      </c>
      <c r="AT3031" s="24" t="str">
        <f t="shared" si="907"/>
        <v>&gt; 6 months</v>
      </c>
      <c r="AU3031" s="22" t="s">
        <v>3746</v>
      </c>
    </row>
    <row r="3032" spans="1:47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54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1993</v>
      </c>
      <c r="K3032" s="155" t="s">
        <v>605</v>
      </c>
      <c r="L3032" s="17" t="s">
        <v>92</v>
      </c>
      <c r="M3032" s="13" t="s">
        <v>60</v>
      </c>
      <c r="N3032" s="13">
        <v>1</v>
      </c>
      <c r="O3032" s="13"/>
      <c r="P3032" s="33" t="str">
        <f t="shared" si="910"/>
        <v>MAIN UNIT</v>
      </c>
      <c r="Q3032" s="13" t="s">
        <v>61</v>
      </c>
      <c r="R3032" s="13" t="s">
        <v>62</v>
      </c>
      <c r="S3032" s="13" t="s">
        <v>49</v>
      </c>
      <c r="T3032" s="13" t="s">
        <v>78</v>
      </c>
      <c r="U3032" s="13" t="s">
        <v>79</v>
      </c>
      <c r="V3032" s="13" t="s">
        <v>80</v>
      </c>
      <c r="W3032" s="13" t="s">
        <v>109</v>
      </c>
      <c r="X3032" s="135">
        <v>11530000</v>
      </c>
      <c r="Y3032" s="157" t="str">
        <f t="shared" si="909"/>
        <v>1</v>
      </c>
      <c r="Z3032" s="18">
        <f t="shared" si="908"/>
        <v>11530000</v>
      </c>
      <c r="AA3032" s="13">
        <v>5.8700000000000002E-2</v>
      </c>
      <c r="AB3032" s="21">
        <f t="shared" si="894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895"/>
        <v>36480247.665929198</v>
      </c>
      <c r="AJ3032" s="19">
        <f t="shared" si="896"/>
        <v>5330996.6372757526</v>
      </c>
      <c r="AK3032" s="20">
        <f t="shared" si="902"/>
        <v>0.14613378412599562</v>
      </c>
      <c r="AL3032" s="17"/>
      <c r="AM3032" s="17"/>
      <c r="AN3032" s="17"/>
      <c r="AO3032" s="17"/>
      <c r="AP3032" s="28" t="str">
        <f t="shared" si="903"/>
        <v>20227</v>
      </c>
      <c r="AQ3032" s="28" t="str">
        <f t="shared" si="904"/>
        <v>20227JPY</v>
      </c>
      <c r="AR3032" s="206" t="str">
        <f t="shared" si="905"/>
        <v>YAMAHA_Mounter</v>
      </c>
      <c r="AS3032" s="22">
        <f t="shared" si="906"/>
        <v>15</v>
      </c>
      <c r="AT3032" s="24" t="str">
        <f t="shared" si="907"/>
        <v>&gt; 6 months</v>
      </c>
      <c r="AU3032" s="22" t="s">
        <v>3746</v>
      </c>
    </row>
    <row r="3033" spans="1:47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54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1993</v>
      </c>
      <c r="K3033" s="155" t="s">
        <v>605</v>
      </c>
      <c r="L3033" s="17" t="s">
        <v>67</v>
      </c>
      <c r="M3033" s="13" t="s">
        <v>60</v>
      </c>
      <c r="N3033" s="13">
        <v>1</v>
      </c>
      <c r="O3033" s="13"/>
      <c r="P3033" s="33" t="str">
        <f t="shared" si="910"/>
        <v>MAIN UNIT</v>
      </c>
      <c r="Q3033" s="13" t="s">
        <v>61</v>
      </c>
      <c r="R3033" s="13" t="s">
        <v>62</v>
      </c>
      <c r="S3033" s="13" t="s">
        <v>49</v>
      </c>
      <c r="T3033" s="13" t="s">
        <v>78</v>
      </c>
      <c r="U3033" s="13" t="s">
        <v>79</v>
      </c>
      <c r="V3033" s="13" t="s">
        <v>80</v>
      </c>
      <c r="W3033" s="13" t="s">
        <v>109</v>
      </c>
      <c r="X3033" s="135">
        <v>7500000</v>
      </c>
      <c r="Y3033" s="157" t="str">
        <f t="shared" si="909"/>
        <v>1</v>
      </c>
      <c r="Z3033" s="18">
        <f t="shared" si="908"/>
        <v>7500000</v>
      </c>
      <c r="AA3033" s="13">
        <v>5.8700000000000002E-2</v>
      </c>
      <c r="AB3033" s="21">
        <f t="shared" si="894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895"/>
        <v>36480247.665929198</v>
      </c>
      <c r="AJ3033" s="19">
        <f t="shared" si="896"/>
        <v>5330996.6372757526</v>
      </c>
      <c r="AK3033" s="20">
        <f t="shared" si="902"/>
        <v>0.14613378412599562</v>
      </c>
      <c r="AL3033" s="17"/>
      <c r="AM3033" s="17"/>
      <c r="AN3033" s="17"/>
      <c r="AO3033" s="17"/>
      <c r="AP3033" s="28" t="str">
        <f t="shared" si="903"/>
        <v>20227</v>
      </c>
      <c r="AQ3033" s="28" t="str">
        <f t="shared" si="904"/>
        <v>20227JPY</v>
      </c>
      <c r="AR3033" s="206" t="str">
        <f t="shared" si="905"/>
        <v>YAMAHA_Mounter</v>
      </c>
      <c r="AS3033" s="22">
        <f t="shared" si="906"/>
        <v>15</v>
      </c>
      <c r="AT3033" s="24" t="str">
        <f t="shared" si="907"/>
        <v>&gt; 6 months</v>
      </c>
      <c r="AU3033" s="22" t="s">
        <v>3746</v>
      </c>
    </row>
    <row r="3034" spans="1:47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185</v>
      </c>
      <c r="F3034" s="13" t="s">
        <v>185</v>
      </c>
      <c r="G3034" s="152" t="s">
        <v>185</v>
      </c>
      <c r="H3034" s="155"/>
      <c r="I3034" s="33" t="str">
        <f t="shared" si="899"/>
        <v>Cancel</v>
      </c>
      <c r="J3034" s="186" t="s">
        <v>2623</v>
      </c>
      <c r="K3034" s="155" t="s">
        <v>605</v>
      </c>
      <c r="L3034" s="17" t="s">
        <v>92</v>
      </c>
      <c r="M3034" s="13" t="s">
        <v>60</v>
      </c>
      <c r="N3034" s="13">
        <v>1</v>
      </c>
      <c r="O3034" s="13"/>
      <c r="P3034" s="33" t="str">
        <f t="shared" si="910"/>
        <v>MAIN UNIT</v>
      </c>
      <c r="Q3034" s="13" t="s">
        <v>61</v>
      </c>
      <c r="R3034" s="13" t="s">
        <v>62</v>
      </c>
      <c r="S3034" s="13" t="s">
        <v>49</v>
      </c>
      <c r="T3034" s="13" t="s">
        <v>78</v>
      </c>
      <c r="U3034" s="13" t="s">
        <v>79</v>
      </c>
      <c r="V3034" s="13" t="s">
        <v>80</v>
      </c>
      <c r="W3034" s="13" t="s">
        <v>109</v>
      </c>
      <c r="X3034" s="135">
        <v>11800000</v>
      </c>
      <c r="Y3034" s="157" t="str">
        <f>IF(W3034="","",IF(W3034="RMB","1.13", "1"))</f>
        <v>1</v>
      </c>
      <c r="Z3034" s="18">
        <f t="shared" si="908"/>
        <v>11800000</v>
      </c>
      <c r="AA3034" s="13">
        <v>5.6300000000000003E-2</v>
      </c>
      <c r="AB3034" s="21">
        <f t="shared" si="894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895"/>
        <v>499582152.5142017</v>
      </c>
      <c r="AJ3034" s="19">
        <f t="shared" si="896"/>
        <v>59520528.679470733</v>
      </c>
      <c r="AK3034" s="20">
        <f t="shared" si="902"/>
        <v>0.11914062257814291</v>
      </c>
      <c r="AL3034" s="17"/>
      <c r="AM3034" s="17"/>
      <c r="AN3034" s="17"/>
      <c r="AO3034" s="17"/>
      <c r="AP3034" s="28" t="str">
        <f t="shared" si="903"/>
        <v>CancelCancel</v>
      </c>
      <c r="AQ3034" s="28" t="str">
        <f t="shared" si="904"/>
        <v>CancelCancelJPY</v>
      </c>
      <c r="AR3034" s="206" t="str">
        <f t="shared" si="905"/>
        <v>YAMAHA_Mounter</v>
      </c>
      <c r="AS3034" s="22" t="str">
        <f t="shared" si="906"/>
        <v/>
      </c>
      <c r="AT3034" s="24" t="str">
        <f t="shared" si="907"/>
        <v/>
      </c>
      <c r="AU3034" s="22" t="s">
        <v>3745</v>
      </c>
    </row>
    <row r="3035" spans="1:47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185</v>
      </c>
      <c r="F3035" s="13" t="s">
        <v>185</v>
      </c>
      <c r="G3035" s="152" t="s">
        <v>185</v>
      </c>
      <c r="H3035" s="155"/>
      <c r="I3035" s="33" t="str">
        <f t="shared" si="899"/>
        <v>Cancel</v>
      </c>
      <c r="J3035" s="186" t="s">
        <v>2623</v>
      </c>
      <c r="K3035" s="155" t="s">
        <v>605</v>
      </c>
      <c r="L3035" s="17" t="s">
        <v>92</v>
      </c>
      <c r="M3035" s="13" t="s">
        <v>60</v>
      </c>
      <c r="N3035" s="13">
        <v>1</v>
      </c>
      <c r="O3035" s="13"/>
      <c r="P3035" s="33" t="str">
        <f t="shared" si="910"/>
        <v>MAIN UNIT</v>
      </c>
      <c r="Q3035" s="13" t="s">
        <v>61</v>
      </c>
      <c r="R3035" s="13" t="s">
        <v>62</v>
      </c>
      <c r="S3035" s="13" t="s">
        <v>49</v>
      </c>
      <c r="T3035" s="13" t="s">
        <v>78</v>
      </c>
      <c r="U3035" s="13" t="s">
        <v>79</v>
      </c>
      <c r="V3035" s="13" t="s">
        <v>80</v>
      </c>
      <c r="W3035" s="13" t="s">
        <v>109</v>
      </c>
      <c r="X3035" s="135">
        <v>11800000</v>
      </c>
      <c r="Y3035" s="157" t="str">
        <f>IF(W3035="","",IF(W3035="RMB","1.13", "1"))</f>
        <v>1</v>
      </c>
      <c r="Z3035" s="18">
        <f t="shared" si="908"/>
        <v>11800000</v>
      </c>
      <c r="AA3035" s="13">
        <v>5.6300000000000003E-2</v>
      </c>
      <c r="AB3035" s="21">
        <f t="shared" si="894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895"/>
        <v>499582152.5142017</v>
      </c>
      <c r="AJ3035" s="19">
        <f t="shared" si="896"/>
        <v>59520528.679470733</v>
      </c>
      <c r="AK3035" s="20">
        <f t="shared" si="902"/>
        <v>0.11914062257814291</v>
      </c>
      <c r="AL3035" s="17"/>
      <c r="AM3035" s="17"/>
      <c r="AN3035" s="17"/>
      <c r="AO3035" s="17"/>
      <c r="AP3035" s="28" t="str">
        <f t="shared" si="903"/>
        <v>CancelCancel</v>
      </c>
      <c r="AQ3035" s="28" t="str">
        <f t="shared" si="904"/>
        <v>CancelCancelJPY</v>
      </c>
      <c r="AR3035" s="206" t="str">
        <f t="shared" si="905"/>
        <v>YAMAHA_Mounter</v>
      </c>
      <c r="AS3035" s="22" t="str">
        <f t="shared" si="906"/>
        <v/>
      </c>
      <c r="AT3035" s="24" t="str">
        <f t="shared" si="907"/>
        <v/>
      </c>
      <c r="AU3035" s="22" t="s">
        <v>3745</v>
      </c>
    </row>
    <row r="3036" spans="1:47" s="12" customFormat="1">
      <c r="A3036" s="33" t="str">
        <f t="shared" si="897"/>
        <v>cancel</v>
      </c>
      <c r="B3036" s="152"/>
      <c r="C3036" s="152" t="s">
        <v>185</v>
      </c>
      <c r="D3036" s="33" t="str">
        <f t="shared" si="898"/>
        <v/>
      </c>
      <c r="E3036" s="33" t="s">
        <v>185</v>
      </c>
      <c r="F3036" s="13" t="s">
        <v>185</v>
      </c>
      <c r="G3036" s="152" t="s">
        <v>185</v>
      </c>
      <c r="H3036" s="155"/>
      <c r="I3036" s="33" t="str">
        <f t="shared" si="899"/>
        <v>Cancel</v>
      </c>
      <c r="J3036" s="186" t="s">
        <v>2745</v>
      </c>
      <c r="K3036" s="155" t="s">
        <v>605</v>
      </c>
      <c r="L3036" s="17" t="s">
        <v>92</v>
      </c>
      <c r="M3036" s="13" t="s">
        <v>60</v>
      </c>
      <c r="N3036" s="13">
        <v>1</v>
      </c>
      <c r="O3036" s="13"/>
      <c r="P3036" s="33" t="str">
        <f t="shared" si="910"/>
        <v>MAIN UNIT</v>
      </c>
      <c r="Q3036" s="13" t="s">
        <v>61</v>
      </c>
      <c r="R3036" s="13" t="s">
        <v>62</v>
      </c>
      <c r="S3036" s="13" t="s">
        <v>49</v>
      </c>
      <c r="T3036" s="13" t="s">
        <v>78</v>
      </c>
      <c r="U3036" s="13" t="s">
        <v>79</v>
      </c>
      <c r="V3036" s="13" t="s">
        <v>80</v>
      </c>
      <c r="W3036" s="13" t="s">
        <v>109</v>
      </c>
      <c r="X3036" s="135">
        <v>12800000</v>
      </c>
      <c r="Y3036" s="157" t="str">
        <f t="shared" ref="Y3036:Y3044" si="911">IF(W3036="RMB","1.13", "1")</f>
        <v>1</v>
      </c>
      <c r="Z3036" s="18">
        <f t="shared" si="908"/>
        <v>12800000</v>
      </c>
      <c r="AA3036" s="13">
        <v>7.6100000000000001E-2</v>
      </c>
      <c r="AB3036" s="21">
        <f t="shared" si="894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895"/>
        <v>499582152.5142017</v>
      </c>
      <c r="AJ3036" s="19">
        <f t="shared" si="896"/>
        <v>59520528.679470733</v>
      </c>
      <c r="AK3036" s="20">
        <f t="shared" si="902"/>
        <v>0.11914062257814291</v>
      </c>
      <c r="AL3036" s="17" t="s">
        <v>185</v>
      </c>
      <c r="AM3036" s="17"/>
      <c r="AN3036" s="17"/>
      <c r="AO3036" s="17"/>
      <c r="AP3036" s="28" t="str">
        <f t="shared" si="903"/>
        <v>CancelCancel</v>
      </c>
      <c r="AQ3036" s="28" t="str">
        <f t="shared" si="904"/>
        <v>CancelCancelJPY</v>
      </c>
      <c r="AR3036" s="206" t="str">
        <f t="shared" si="905"/>
        <v>YAMAHA_Mounter</v>
      </c>
      <c r="AS3036" s="22" t="str">
        <f t="shared" si="906"/>
        <v/>
      </c>
      <c r="AT3036" s="24" t="str">
        <f t="shared" si="907"/>
        <v/>
      </c>
      <c r="AU3036" s="22" t="s">
        <v>3746</v>
      </c>
    </row>
    <row r="3037" spans="1:47" s="12" customFormat="1">
      <c r="A3037" s="33" t="str">
        <f t="shared" si="897"/>
        <v>cancel</v>
      </c>
      <c r="B3037" s="152"/>
      <c r="C3037" s="152" t="s">
        <v>185</v>
      </c>
      <c r="D3037" s="33" t="str">
        <f t="shared" si="898"/>
        <v/>
      </c>
      <c r="E3037" s="33" t="s">
        <v>185</v>
      </c>
      <c r="F3037" s="13" t="s">
        <v>185</v>
      </c>
      <c r="G3037" s="152" t="s">
        <v>185</v>
      </c>
      <c r="H3037" s="155"/>
      <c r="I3037" s="33" t="str">
        <f t="shared" si="899"/>
        <v>Cancel</v>
      </c>
      <c r="J3037" s="186" t="s">
        <v>2745</v>
      </c>
      <c r="K3037" s="155" t="s">
        <v>605</v>
      </c>
      <c r="L3037" s="17" t="s">
        <v>92</v>
      </c>
      <c r="M3037" s="13" t="s">
        <v>60</v>
      </c>
      <c r="N3037" s="13">
        <v>1</v>
      </c>
      <c r="O3037" s="13"/>
      <c r="P3037" s="33" t="str">
        <f t="shared" si="910"/>
        <v>MAIN UNIT</v>
      </c>
      <c r="Q3037" s="13" t="s">
        <v>61</v>
      </c>
      <c r="R3037" s="13" t="s">
        <v>62</v>
      </c>
      <c r="S3037" s="13" t="s">
        <v>49</v>
      </c>
      <c r="T3037" s="13" t="s">
        <v>78</v>
      </c>
      <c r="U3037" s="13" t="s">
        <v>79</v>
      </c>
      <c r="V3037" s="13" t="s">
        <v>80</v>
      </c>
      <c r="W3037" s="13" t="s">
        <v>109</v>
      </c>
      <c r="X3037" s="135">
        <v>12800000</v>
      </c>
      <c r="Y3037" s="157" t="str">
        <f t="shared" si="911"/>
        <v>1</v>
      </c>
      <c r="Z3037" s="18">
        <f t="shared" si="908"/>
        <v>12800000</v>
      </c>
      <c r="AA3037" s="13">
        <v>7.6100000000000001E-2</v>
      </c>
      <c r="AB3037" s="21">
        <f t="shared" si="894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895"/>
        <v>499582152.5142017</v>
      </c>
      <c r="AJ3037" s="19">
        <f t="shared" si="896"/>
        <v>59520528.679470733</v>
      </c>
      <c r="AK3037" s="20">
        <f t="shared" si="902"/>
        <v>0.11914062257814291</v>
      </c>
      <c r="AL3037" s="17"/>
      <c r="AM3037" s="17"/>
      <c r="AN3037" s="17"/>
      <c r="AO3037" s="17"/>
      <c r="AP3037" s="28" t="str">
        <f t="shared" si="903"/>
        <v>CancelCancel</v>
      </c>
      <c r="AQ3037" s="28" t="str">
        <f t="shared" si="904"/>
        <v>CancelCancelJPY</v>
      </c>
      <c r="AR3037" s="206" t="str">
        <f t="shared" si="905"/>
        <v>YAMAHA_Mounter</v>
      </c>
      <c r="AS3037" s="22" t="str">
        <f t="shared" si="906"/>
        <v/>
      </c>
      <c r="AT3037" s="24" t="str">
        <f t="shared" si="907"/>
        <v/>
      </c>
      <c r="AU3037" s="22" t="s">
        <v>3746</v>
      </c>
    </row>
    <row r="3038" spans="1:47" s="12" customFormat="1">
      <c r="A3038" s="33" t="str">
        <f t="shared" si="897"/>
        <v>cancel</v>
      </c>
      <c r="B3038" s="152"/>
      <c r="C3038" s="152" t="s">
        <v>185</v>
      </c>
      <c r="D3038" s="33" t="str">
        <f t="shared" si="898"/>
        <v/>
      </c>
      <c r="E3038" s="33" t="s">
        <v>185</v>
      </c>
      <c r="F3038" s="13" t="s">
        <v>185</v>
      </c>
      <c r="G3038" s="152" t="s">
        <v>185</v>
      </c>
      <c r="H3038" s="155"/>
      <c r="I3038" s="33" t="str">
        <f t="shared" si="899"/>
        <v>Cancel</v>
      </c>
      <c r="J3038" s="186" t="s">
        <v>2745</v>
      </c>
      <c r="K3038" s="155" t="s">
        <v>605</v>
      </c>
      <c r="L3038" s="17" t="s">
        <v>67</v>
      </c>
      <c r="M3038" s="13" t="s">
        <v>60</v>
      </c>
      <c r="N3038" s="13">
        <v>1</v>
      </c>
      <c r="O3038" s="13"/>
      <c r="P3038" s="33" t="str">
        <f t="shared" si="910"/>
        <v>MAIN UNIT</v>
      </c>
      <c r="Q3038" s="13" t="s">
        <v>61</v>
      </c>
      <c r="R3038" s="13" t="s">
        <v>62</v>
      </c>
      <c r="S3038" s="13" t="s">
        <v>49</v>
      </c>
      <c r="T3038" s="13" t="s">
        <v>78</v>
      </c>
      <c r="U3038" s="13" t="s">
        <v>79</v>
      </c>
      <c r="V3038" s="13" t="s">
        <v>80</v>
      </c>
      <c r="W3038" s="13" t="s">
        <v>109</v>
      </c>
      <c r="X3038" s="135">
        <v>7348000</v>
      </c>
      <c r="Y3038" s="157" t="str">
        <f t="shared" si="911"/>
        <v>1</v>
      </c>
      <c r="Z3038" s="18">
        <f t="shared" si="908"/>
        <v>7348000</v>
      </c>
      <c r="AA3038" s="13">
        <v>7.6100000000000001E-2</v>
      </c>
      <c r="AB3038" s="21">
        <f t="shared" si="894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895"/>
        <v>499582152.5142017</v>
      </c>
      <c r="AJ3038" s="19">
        <f t="shared" si="896"/>
        <v>59520528.679470733</v>
      </c>
      <c r="AK3038" s="20">
        <f t="shared" si="902"/>
        <v>0.11914062257814291</v>
      </c>
      <c r="AL3038" s="17"/>
      <c r="AM3038" s="17"/>
      <c r="AN3038" s="17"/>
      <c r="AO3038" s="17"/>
      <c r="AP3038" s="28" t="str">
        <f t="shared" si="903"/>
        <v>CancelCancel</v>
      </c>
      <c r="AQ3038" s="28" t="str">
        <f t="shared" si="904"/>
        <v>CancelCancelJPY</v>
      </c>
      <c r="AR3038" s="206" t="str">
        <f t="shared" si="905"/>
        <v>YAMAHA_Mounter</v>
      </c>
      <c r="AS3038" s="22" t="str">
        <f t="shared" si="906"/>
        <v/>
      </c>
      <c r="AT3038" s="24" t="str">
        <f t="shared" si="907"/>
        <v/>
      </c>
      <c r="AU3038" s="22" t="s">
        <v>3746</v>
      </c>
    </row>
    <row r="3039" spans="1:47" s="12" customFormat="1">
      <c r="A3039" s="33" t="str">
        <f t="shared" si="897"/>
        <v>cancel</v>
      </c>
      <c r="B3039" s="152"/>
      <c r="C3039" s="152" t="s">
        <v>185</v>
      </c>
      <c r="D3039" s="33" t="str">
        <f t="shared" si="898"/>
        <v/>
      </c>
      <c r="E3039" s="33" t="s">
        <v>185</v>
      </c>
      <c r="F3039" s="13" t="s">
        <v>185</v>
      </c>
      <c r="G3039" s="152" t="s">
        <v>185</v>
      </c>
      <c r="H3039" s="155"/>
      <c r="I3039" s="33" t="str">
        <f t="shared" si="899"/>
        <v>Cancel</v>
      </c>
      <c r="J3039" s="186" t="s">
        <v>2745</v>
      </c>
      <c r="K3039" s="155" t="s">
        <v>605</v>
      </c>
      <c r="L3039" s="17" t="s">
        <v>67</v>
      </c>
      <c r="M3039" s="13" t="s">
        <v>60</v>
      </c>
      <c r="N3039" s="13">
        <v>1</v>
      </c>
      <c r="O3039" s="13"/>
      <c r="P3039" s="33" t="str">
        <f t="shared" si="910"/>
        <v>MAIN UNIT</v>
      </c>
      <c r="Q3039" s="13" t="s">
        <v>61</v>
      </c>
      <c r="R3039" s="13" t="s">
        <v>62</v>
      </c>
      <c r="S3039" s="13" t="s">
        <v>49</v>
      </c>
      <c r="T3039" s="13" t="s">
        <v>78</v>
      </c>
      <c r="U3039" s="13" t="s">
        <v>79</v>
      </c>
      <c r="V3039" s="13" t="s">
        <v>80</v>
      </c>
      <c r="W3039" s="13" t="s">
        <v>109</v>
      </c>
      <c r="X3039" s="135">
        <v>7348000</v>
      </c>
      <c r="Y3039" s="157" t="str">
        <f t="shared" si="911"/>
        <v>1</v>
      </c>
      <c r="Z3039" s="18">
        <f t="shared" si="908"/>
        <v>7348000</v>
      </c>
      <c r="AA3039" s="13">
        <v>7.6100000000000001E-2</v>
      </c>
      <c r="AB3039" s="21">
        <f t="shared" si="894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895"/>
        <v>499582152.5142017</v>
      </c>
      <c r="AJ3039" s="19">
        <f t="shared" si="896"/>
        <v>59520528.679470733</v>
      </c>
      <c r="AK3039" s="20">
        <f t="shared" si="902"/>
        <v>0.11914062257814291</v>
      </c>
      <c r="AL3039" s="17"/>
      <c r="AM3039" s="17"/>
      <c r="AN3039" s="17"/>
      <c r="AO3039" s="17"/>
      <c r="AP3039" s="28" t="str">
        <f t="shared" si="903"/>
        <v>CancelCancel</v>
      </c>
      <c r="AQ3039" s="28" t="str">
        <f t="shared" si="904"/>
        <v>CancelCancelJPY</v>
      </c>
      <c r="AR3039" s="206" t="str">
        <f t="shared" si="905"/>
        <v>YAMAHA_Mounter</v>
      </c>
      <c r="AS3039" s="22" t="str">
        <f t="shared" si="906"/>
        <v/>
      </c>
      <c r="AT3039" s="24" t="str">
        <f t="shared" si="907"/>
        <v/>
      </c>
      <c r="AU3039" s="22" t="s">
        <v>3746</v>
      </c>
    </row>
    <row r="3040" spans="1:47" s="12" customFormat="1">
      <c r="A3040" s="33" t="str">
        <f t="shared" si="897"/>
        <v>cancel</v>
      </c>
      <c r="B3040" s="152"/>
      <c r="C3040" s="152" t="s">
        <v>185</v>
      </c>
      <c r="D3040" s="33" t="str">
        <f t="shared" si="898"/>
        <v/>
      </c>
      <c r="E3040" s="33" t="s">
        <v>185</v>
      </c>
      <c r="F3040" s="13" t="s">
        <v>185</v>
      </c>
      <c r="G3040" s="152" t="s">
        <v>185</v>
      </c>
      <c r="H3040" s="155"/>
      <c r="I3040" s="33" t="str">
        <f t="shared" si="899"/>
        <v>Cancel</v>
      </c>
      <c r="J3040" s="186" t="s">
        <v>2751</v>
      </c>
      <c r="K3040" s="155" t="s">
        <v>605</v>
      </c>
      <c r="L3040" s="17" t="s">
        <v>92</v>
      </c>
      <c r="M3040" s="13" t="s">
        <v>60</v>
      </c>
      <c r="N3040" s="13">
        <v>1</v>
      </c>
      <c r="O3040" s="13"/>
      <c r="P3040" s="33" t="str">
        <f t="shared" si="910"/>
        <v>MAIN UNIT</v>
      </c>
      <c r="Q3040" s="13" t="s">
        <v>61</v>
      </c>
      <c r="R3040" s="13" t="s">
        <v>62</v>
      </c>
      <c r="S3040" s="13" t="s">
        <v>49</v>
      </c>
      <c r="T3040" s="13" t="s">
        <v>78</v>
      </c>
      <c r="U3040" s="13" t="s">
        <v>79</v>
      </c>
      <c r="V3040" s="13" t="s">
        <v>80</v>
      </c>
      <c r="W3040" s="13" t="s">
        <v>109</v>
      </c>
      <c r="X3040" s="135">
        <v>15000000</v>
      </c>
      <c r="Y3040" s="157" t="str">
        <f t="shared" si="911"/>
        <v>1</v>
      </c>
      <c r="Z3040" s="18">
        <f t="shared" si="908"/>
        <v>15000000</v>
      </c>
      <c r="AA3040" s="13">
        <v>7.4499999999999997E-2</v>
      </c>
      <c r="AB3040" s="21">
        <f t="shared" si="894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895"/>
        <v>499582152.5142017</v>
      </c>
      <c r="AJ3040" s="19">
        <f t="shared" si="896"/>
        <v>59520528.679470733</v>
      </c>
      <c r="AK3040" s="20">
        <f t="shared" si="902"/>
        <v>0.11914062257814291</v>
      </c>
      <c r="AL3040" s="17"/>
      <c r="AM3040" s="17"/>
      <c r="AN3040" s="17"/>
      <c r="AO3040" s="17"/>
      <c r="AP3040" s="28" t="str">
        <f t="shared" si="903"/>
        <v>CancelCancel</v>
      </c>
      <c r="AQ3040" s="28" t="str">
        <f t="shared" si="904"/>
        <v>CancelCancelJPY</v>
      </c>
      <c r="AR3040" s="206" t="str">
        <f t="shared" si="905"/>
        <v>YAMAHA_Mounter</v>
      </c>
      <c r="AS3040" s="22" t="str">
        <f t="shared" si="906"/>
        <v/>
      </c>
      <c r="AT3040" s="24" t="str">
        <f t="shared" si="907"/>
        <v/>
      </c>
      <c r="AU3040" s="22" t="s">
        <v>3746</v>
      </c>
    </row>
    <row r="3041" spans="1:47" s="12" customFormat="1">
      <c r="A3041" s="33" t="str">
        <f t="shared" si="897"/>
        <v>cancel</v>
      </c>
      <c r="B3041" s="152"/>
      <c r="C3041" s="152" t="s">
        <v>185</v>
      </c>
      <c r="D3041" s="33" t="str">
        <f t="shared" si="898"/>
        <v/>
      </c>
      <c r="E3041" s="33" t="s">
        <v>185</v>
      </c>
      <c r="F3041" s="13" t="s">
        <v>185</v>
      </c>
      <c r="G3041" s="152" t="s">
        <v>185</v>
      </c>
      <c r="H3041" s="155"/>
      <c r="I3041" s="33" t="str">
        <f t="shared" si="899"/>
        <v>Cancel</v>
      </c>
      <c r="J3041" s="186" t="s">
        <v>1993</v>
      </c>
      <c r="K3041" s="155" t="s">
        <v>605</v>
      </c>
      <c r="L3041" s="17" t="s">
        <v>92</v>
      </c>
      <c r="M3041" s="13" t="s">
        <v>60</v>
      </c>
      <c r="N3041" s="13">
        <v>1</v>
      </c>
      <c r="O3041" s="13"/>
      <c r="P3041" s="33" t="str">
        <f t="shared" si="910"/>
        <v>MAIN UNIT</v>
      </c>
      <c r="Q3041" s="13" t="s">
        <v>61</v>
      </c>
      <c r="R3041" s="13" t="s">
        <v>62</v>
      </c>
      <c r="S3041" s="13" t="s">
        <v>49</v>
      </c>
      <c r="T3041" s="13" t="s">
        <v>78</v>
      </c>
      <c r="U3041" s="13" t="s">
        <v>79</v>
      </c>
      <c r="V3041" s="13" t="s">
        <v>80</v>
      </c>
      <c r="W3041" s="13" t="s">
        <v>109</v>
      </c>
      <c r="X3041" s="135">
        <v>11530000</v>
      </c>
      <c r="Y3041" s="157" t="str">
        <f t="shared" si="911"/>
        <v>1</v>
      </c>
      <c r="Z3041" s="18">
        <f t="shared" si="908"/>
        <v>11530000</v>
      </c>
      <c r="AA3041" s="13">
        <v>7.4499999999999997E-2</v>
      </c>
      <c r="AB3041" s="21">
        <f t="shared" si="894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895"/>
        <v>499582152.5142017</v>
      </c>
      <c r="AJ3041" s="19">
        <f t="shared" si="896"/>
        <v>59520528.679470733</v>
      </c>
      <c r="AK3041" s="20">
        <f t="shared" si="902"/>
        <v>0.11914062257814291</v>
      </c>
      <c r="AL3041" s="17"/>
      <c r="AM3041" s="17"/>
      <c r="AN3041" s="17"/>
      <c r="AO3041" s="17"/>
      <c r="AP3041" s="28" t="str">
        <f t="shared" si="903"/>
        <v>CancelCancel</v>
      </c>
      <c r="AQ3041" s="28" t="str">
        <f t="shared" si="904"/>
        <v>CancelCancelJPY</v>
      </c>
      <c r="AR3041" s="206" t="str">
        <f t="shared" si="905"/>
        <v>YAMAHA_Mounter</v>
      </c>
      <c r="AS3041" s="22" t="str">
        <f t="shared" si="906"/>
        <v/>
      </c>
      <c r="AT3041" s="24" t="str">
        <f t="shared" si="907"/>
        <v/>
      </c>
      <c r="AU3041" s="22" t="s">
        <v>3746</v>
      </c>
    </row>
    <row r="3042" spans="1:47" s="12" customFormat="1">
      <c r="A3042" s="33" t="str">
        <f t="shared" si="897"/>
        <v>cancel</v>
      </c>
      <c r="B3042" s="152"/>
      <c r="C3042" s="152" t="s">
        <v>185</v>
      </c>
      <c r="D3042" s="33" t="str">
        <f t="shared" si="898"/>
        <v/>
      </c>
      <c r="E3042" s="33" t="s">
        <v>185</v>
      </c>
      <c r="F3042" s="13" t="s">
        <v>185</v>
      </c>
      <c r="G3042" s="152" t="s">
        <v>185</v>
      </c>
      <c r="H3042" s="155"/>
      <c r="I3042" s="33" t="str">
        <f t="shared" si="899"/>
        <v>Cancel</v>
      </c>
      <c r="J3042" s="186" t="s">
        <v>1993</v>
      </c>
      <c r="K3042" s="155" t="s">
        <v>605</v>
      </c>
      <c r="L3042" s="17" t="s">
        <v>92</v>
      </c>
      <c r="M3042" s="13" t="s">
        <v>60</v>
      </c>
      <c r="N3042" s="13">
        <v>1</v>
      </c>
      <c r="O3042" s="13"/>
      <c r="P3042" s="33" t="str">
        <f t="shared" si="910"/>
        <v>MAIN UNIT</v>
      </c>
      <c r="Q3042" s="13" t="s">
        <v>61</v>
      </c>
      <c r="R3042" s="13" t="s">
        <v>62</v>
      </c>
      <c r="S3042" s="13" t="s">
        <v>49</v>
      </c>
      <c r="T3042" s="13" t="s">
        <v>78</v>
      </c>
      <c r="U3042" s="13" t="s">
        <v>79</v>
      </c>
      <c r="V3042" s="13" t="s">
        <v>80</v>
      </c>
      <c r="W3042" s="13" t="s">
        <v>109</v>
      </c>
      <c r="X3042" s="135">
        <v>11530000</v>
      </c>
      <c r="Y3042" s="157" t="str">
        <f t="shared" si="911"/>
        <v>1</v>
      </c>
      <c r="Z3042" s="18">
        <f t="shared" si="908"/>
        <v>11530000</v>
      </c>
      <c r="AA3042" s="13">
        <v>7.4499999999999997E-2</v>
      </c>
      <c r="AB3042" s="21">
        <f t="shared" si="894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895"/>
        <v>499582152.5142017</v>
      </c>
      <c r="AJ3042" s="19">
        <f t="shared" si="896"/>
        <v>59520528.679470733</v>
      </c>
      <c r="AK3042" s="20">
        <f t="shared" si="902"/>
        <v>0.11914062257814291</v>
      </c>
      <c r="AL3042" s="17"/>
      <c r="AM3042" s="17"/>
      <c r="AN3042" s="17"/>
      <c r="AO3042" s="17"/>
      <c r="AP3042" s="28" t="str">
        <f t="shared" si="903"/>
        <v>CancelCancel</v>
      </c>
      <c r="AQ3042" s="28" t="str">
        <f t="shared" si="904"/>
        <v>CancelCancelJPY</v>
      </c>
      <c r="AR3042" s="206" t="str">
        <f t="shared" si="905"/>
        <v>YAMAHA_Mounter</v>
      </c>
      <c r="AS3042" s="22" t="str">
        <f t="shared" si="906"/>
        <v/>
      </c>
      <c r="AT3042" s="24" t="str">
        <f t="shared" si="907"/>
        <v/>
      </c>
      <c r="AU3042" s="22" t="s">
        <v>3746</v>
      </c>
    </row>
    <row r="3043" spans="1:47" s="12" customFormat="1">
      <c r="A3043" s="33" t="str">
        <f t="shared" si="897"/>
        <v>cancel</v>
      </c>
      <c r="B3043" s="152"/>
      <c r="C3043" s="152" t="s">
        <v>185</v>
      </c>
      <c r="D3043" s="33" t="str">
        <f t="shared" si="898"/>
        <v/>
      </c>
      <c r="E3043" s="33" t="s">
        <v>185</v>
      </c>
      <c r="F3043" s="13" t="s">
        <v>185</v>
      </c>
      <c r="G3043" s="152" t="s">
        <v>185</v>
      </c>
      <c r="H3043" s="155"/>
      <c r="I3043" s="33" t="str">
        <f t="shared" si="899"/>
        <v>Cancel</v>
      </c>
      <c r="J3043" s="186" t="s">
        <v>1993</v>
      </c>
      <c r="K3043" s="155" t="s">
        <v>605</v>
      </c>
      <c r="L3043" s="17" t="s">
        <v>67</v>
      </c>
      <c r="M3043" s="13" t="s">
        <v>60</v>
      </c>
      <c r="N3043" s="13">
        <v>1</v>
      </c>
      <c r="O3043" s="13"/>
      <c r="P3043" s="33" t="str">
        <f t="shared" si="910"/>
        <v>MAIN UNIT</v>
      </c>
      <c r="Q3043" s="13" t="s">
        <v>61</v>
      </c>
      <c r="R3043" s="13" t="s">
        <v>62</v>
      </c>
      <c r="S3043" s="13" t="s">
        <v>49</v>
      </c>
      <c r="T3043" s="13" t="s">
        <v>78</v>
      </c>
      <c r="U3043" s="13" t="s">
        <v>79</v>
      </c>
      <c r="V3043" s="13" t="s">
        <v>80</v>
      </c>
      <c r="W3043" s="13" t="s">
        <v>109</v>
      </c>
      <c r="X3043" s="135">
        <v>7500000</v>
      </c>
      <c r="Y3043" s="157" t="str">
        <f t="shared" si="911"/>
        <v>1</v>
      </c>
      <c r="Z3043" s="18">
        <f t="shared" si="908"/>
        <v>7500000</v>
      </c>
      <c r="AA3043" s="13">
        <v>7.4499999999999997E-2</v>
      </c>
      <c r="AB3043" s="21">
        <f t="shared" si="894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895"/>
        <v>499582152.5142017</v>
      </c>
      <c r="AJ3043" s="19">
        <f t="shared" si="896"/>
        <v>59520528.679470733</v>
      </c>
      <c r="AK3043" s="20">
        <f t="shared" si="902"/>
        <v>0.11914062257814291</v>
      </c>
      <c r="AL3043" s="17"/>
      <c r="AM3043" s="17"/>
      <c r="AN3043" s="17"/>
      <c r="AO3043" s="17"/>
      <c r="AP3043" s="28" t="str">
        <f t="shared" si="903"/>
        <v>CancelCancel</v>
      </c>
      <c r="AQ3043" s="28" t="str">
        <f t="shared" si="904"/>
        <v>CancelCancelJPY</v>
      </c>
      <c r="AR3043" s="206" t="str">
        <f t="shared" si="905"/>
        <v>YAMAHA_Mounter</v>
      </c>
      <c r="AS3043" s="22" t="str">
        <f t="shared" si="906"/>
        <v/>
      </c>
      <c r="AT3043" s="24" t="str">
        <f t="shared" si="907"/>
        <v/>
      </c>
      <c r="AU3043" s="22" t="s">
        <v>3746</v>
      </c>
    </row>
    <row r="3044" spans="1:47" s="12" customFormat="1">
      <c r="A3044" s="33" t="str">
        <f t="shared" si="897"/>
        <v>cancel</v>
      </c>
      <c r="B3044" s="152"/>
      <c r="C3044" s="152" t="s">
        <v>185</v>
      </c>
      <c r="D3044" s="33" t="str">
        <f t="shared" si="898"/>
        <v/>
      </c>
      <c r="E3044" s="33" t="s">
        <v>185</v>
      </c>
      <c r="F3044" s="13" t="s">
        <v>185</v>
      </c>
      <c r="G3044" s="152" t="s">
        <v>185</v>
      </c>
      <c r="H3044" s="155"/>
      <c r="I3044" s="33" t="str">
        <f t="shared" si="899"/>
        <v>Cancel</v>
      </c>
      <c r="J3044" s="186" t="s">
        <v>1993</v>
      </c>
      <c r="K3044" s="155" t="s">
        <v>605</v>
      </c>
      <c r="L3044" s="17" t="s">
        <v>67</v>
      </c>
      <c r="M3044" s="13" t="s">
        <v>60</v>
      </c>
      <c r="N3044" s="13">
        <v>1</v>
      </c>
      <c r="O3044" s="13"/>
      <c r="P3044" s="33" t="str">
        <f t="shared" si="910"/>
        <v>MAIN UNIT</v>
      </c>
      <c r="Q3044" s="13" t="s">
        <v>61</v>
      </c>
      <c r="R3044" s="13" t="s">
        <v>62</v>
      </c>
      <c r="S3044" s="13" t="s">
        <v>49</v>
      </c>
      <c r="T3044" s="13" t="s">
        <v>78</v>
      </c>
      <c r="U3044" s="13" t="s">
        <v>79</v>
      </c>
      <c r="V3044" s="13" t="s">
        <v>80</v>
      </c>
      <c r="W3044" s="13" t="s">
        <v>109</v>
      </c>
      <c r="X3044" s="135">
        <v>7500000</v>
      </c>
      <c r="Y3044" s="157" t="str">
        <f t="shared" si="911"/>
        <v>1</v>
      </c>
      <c r="Z3044" s="18">
        <f t="shared" si="908"/>
        <v>7500000</v>
      </c>
      <c r="AA3044" s="13">
        <v>7.4499999999999997E-2</v>
      </c>
      <c r="AB3044" s="21">
        <f t="shared" si="894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895"/>
        <v>499582152.5142017</v>
      </c>
      <c r="AJ3044" s="19">
        <f t="shared" si="896"/>
        <v>59520528.679470733</v>
      </c>
      <c r="AK3044" s="20">
        <f t="shared" si="902"/>
        <v>0.11914062257814291</v>
      </c>
      <c r="AL3044" s="17"/>
      <c r="AM3044" s="17"/>
      <c r="AN3044" s="17"/>
      <c r="AO3044" s="17"/>
      <c r="AP3044" s="28" t="str">
        <f t="shared" si="903"/>
        <v>CancelCancel</v>
      </c>
      <c r="AQ3044" s="28" t="str">
        <f t="shared" si="904"/>
        <v>CancelCancelJPY</v>
      </c>
      <c r="AR3044" s="206" t="str">
        <f t="shared" si="905"/>
        <v>YAMAHA_Mounter</v>
      </c>
      <c r="AS3044" s="22" t="str">
        <f t="shared" si="906"/>
        <v/>
      </c>
      <c r="AT3044" s="24" t="str">
        <f t="shared" si="907"/>
        <v/>
      </c>
      <c r="AU3044" s="22" t="s">
        <v>3746</v>
      </c>
    </row>
    <row r="3045" spans="1:47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3141</v>
      </c>
      <c r="K3045" s="29" t="s">
        <v>3142</v>
      </c>
      <c r="L3045" s="17" t="s">
        <v>293</v>
      </c>
      <c r="M3045" s="22" t="s">
        <v>60</v>
      </c>
      <c r="N3045" s="22">
        <v>1</v>
      </c>
      <c r="O3045" s="22"/>
      <c r="P3045" s="33" t="str">
        <f t="shared" si="910"/>
        <v>MAIN UNIT</v>
      </c>
      <c r="Q3045" s="13" t="s">
        <v>68</v>
      </c>
      <c r="R3045" s="22" t="s">
        <v>62</v>
      </c>
      <c r="S3045" s="22" t="s">
        <v>49</v>
      </c>
      <c r="T3045" s="22" t="s">
        <v>78</v>
      </c>
      <c r="U3045" s="22" t="s">
        <v>79</v>
      </c>
      <c r="V3045" s="22" t="s">
        <v>3134</v>
      </c>
      <c r="W3045" s="22" t="s">
        <v>64</v>
      </c>
      <c r="X3045" s="30">
        <v>970000</v>
      </c>
      <c r="Y3045" s="31" t="str">
        <f>IF(W3045="","",IF(W3045="RMB","1.13", "1"))</f>
        <v>1.13</v>
      </c>
      <c r="Z3045" s="18">
        <f t="shared" si="908"/>
        <v>970000</v>
      </c>
      <c r="AA3045" s="22">
        <v>1.0900000000000001</v>
      </c>
      <c r="AB3045" s="21">
        <f t="shared" si="894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895"/>
        <v>10524262.405309737</v>
      </c>
      <c r="AJ3045" s="27">
        <f t="shared" si="896"/>
        <v>1479050.9527127435</v>
      </c>
      <c r="AK3045" s="28">
        <f t="shared" si="902"/>
        <v>0.14053725532028996</v>
      </c>
      <c r="AL3045" s="24"/>
      <c r="AM3045" s="24"/>
      <c r="AN3045" s="24"/>
      <c r="AO3045" s="24"/>
      <c r="AP3045" s="28" t="str">
        <f t="shared" si="903"/>
        <v>20242</v>
      </c>
      <c r="AQ3045" s="28" t="str">
        <f t="shared" si="904"/>
        <v>20242RMB</v>
      </c>
      <c r="AR3045" s="206" t="str">
        <f t="shared" si="905"/>
        <v>YAMAHA_Mounter</v>
      </c>
      <c r="AS3045" s="22">
        <f t="shared" si="906"/>
        <v>1</v>
      </c>
      <c r="AT3045" s="24" t="str">
        <f t="shared" si="907"/>
        <v>0-3 months</v>
      </c>
      <c r="AU3045" s="22" t="s">
        <v>3751</v>
      </c>
    </row>
    <row r="3046" spans="1:47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3141</v>
      </c>
      <c r="K3046" s="29" t="s">
        <v>3142</v>
      </c>
      <c r="L3046" s="17" t="s">
        <v>293</v>
      </c>
      <c r="M3046" s="22" t="s">
        <v>60</v>
      </c>
      <c r="N3046" s="22">
        <v>1</v>
      </c>
      <c r="O3046" s="22"/>
      <c r="P3046" s="33" t="str">
        <f t="shared" si="910"/>
        <v>MAIN UNIT</v>
      </c>
      <c r="Q3046" s="13" t="s">
        <v>68</v>
      </c>
      <c r="R3046" s="22" t="s">
        <v>62</v>
      </c>
      <c r="S3046" s="22" t="s">
        <v>49</v>
      </c>
      <c r="T3046" s="22" t="s">
        <v>78</v>
      </c>
      <c r="U3046" s="22" t="s">
        <v>79</v>
      </c>
      <c r="V3046" s="22" t="s">
        <v>3134</v>
      </c>
      <c r="W3046" s="22" t="s">
        <v>64</v>
      </c>
      <c r="X3046" s="30">
        <v>970000</v>
      </c>
      <c r="Y3046" s="31" t="str">
        <f>IF(W3046="","",IF(W3046="RMB","1.13", "1"))</f>
        <v>1.13</v>
      </c>
      <c r="Z3046" s="18">
        <f t="shared" si="908"/>
        <v>970000</v>
      </c>
      <c r="AA3046" s="22">
        <v>1.0900000000000001</v>
      </c>
      <c r="AB3046" s="21">
        <f t="shared" si="894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895"/>
        <v>10524262.405309737</v>
      </c>
      <c r="AJ3046" s="27">
        <f t="shared" si="896"/>
        <v>1479050.9527127435</v>
      </c>
      <c r="AK3046" s="28">
        <f t="shared" si="902"/>
        <v>0.14053725532028996</v>
      </c>
      <c r="AL3046" s="24"/>
      <c r="AM3046" s="24"/>
      <c r="AN3046" s="24"/>
      <c r="AO3046" s="24"/>
      <c r="AP3046" s="28" t="str">
        <f t="shared" si="903"/>
        <v>20242</v>
      </c>
      <c r="AQ3046" s="28" t="str">
        <f t="shared" si="904"/>
        <v>20242RMB</v>
      </c>
      <c r="AR3046" s="206" t="str">
        <f t="shared" si="905"/>
        <v>YAMAHA_Mounter</v>
      </c>
      <c r="AS3046" s="22">
        <f t="shared" si="906"/>
        <v>1</v>
      </c>
      <c r="AT3046" s="24" t="str">
        <f t="shared" si="907"/>
        <v>0-3 months</v>
      </c>
      <c r="AU3046" s="22" t="s">
        <v>3751</v>
      </c>
    </row>
    <row r="3047" spans="1:47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41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368</v>
      </c>
      <c r="K3047" s="155" t="s">
        <v>369</v>
      </c>
      <c r="L3047" s="17" t="s">
        <v>67</v>
      </c>
      <c r="M3047" s="13" t="s">
        <v>60</v>
      </c>
      <c r="N3047" s="13">
        <v>2</v>
      </c>
      <c r="O3047" s="13"/>
      <c r="P3047" s="33" t="str">
        <f t="shared" si="910"/>
        <v>MAIN UNIT</v>
      </c>
      <c r="Q3047" s="13" t="s">
        <v>61</v>
      </c>
      <c r="R3047" s="13" t="s">
        <v>62</v>
      </c>
      <c r="S3047" s="13" t="s">
        <v>370</v>
      </c>
      <c r="T3047" s="13" t="s">
        <v>249</v>
      </c>
      <c r="U3047" s="13" t="s">
        <v>79</v>
      </c>
      <c r="V3047" s="13" t="s">
        <v>371</v>
      </c>
      <c r="W3047" s="13" t="s">
        <v>372</v>
      </c>
      <c r="X3047" s="135">
        <v>10750000</v>
      </c>
      <c r="Y3047" s="156">
        <v>1</v>
      </c>
      <c r="Z3047" s="18">
        <f t="shared" si="908"/>
        <v>21500000</v>
      </c>
      <c r="AA3047" s="13">
        <v>7.2099999999999997E-2</v>
      </c>
      <c r="AB3047" s="21">
        <f t="shared" si="894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895"/>
        <v>26754147.763010349</v>
      </c>
      <c r="AJ3047" s="19">
        <f t="shared" si="896"/>
        <v>3429137.9965357962</v>
      </c>
      <c r="AK3047" s="20">
        <f t="shared" si="902"/>
        <v>0.12817220069617921</v>
      </c>
      <c r="AL3047" s="17"/>
      <c r="AM3047" s="17"/>
      <c r="AN3047" s="17"/>
      <c r="AO3047" s="17"/>
      <c r="AP3047" s="28" t="str">
        <f t="shared" si="903"/>
        <v>20188</v>
      </c>
      <c r="AQ3047" s="28" t="str">
        <f t="shared" si="904"/>
        <v>20188JPY</v>
      </c>
      <c r="AR3047" s="206" t="str">
        <f t="shared" si="905"/>
        <v>YAMAHA_Mounter</v>
      </c>
      <c r="AS3047" s="22">
        <f t="shared" si="906"/>
        <v>1</v>
      </c>
      <c r="AT3047" s="24" t="str">
        <f t="shared" si="907"/>
        <v>0-3 months</v>
      </c>
      <c r="AU3047" s="22" t="s">
        <v>3745</v>
      </c>
    </row>
    <row r="3048" spans="1:47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41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454</v>
      </c>
      <c r="K3048" s="155" t="s">
        <v>455</v>
      </c>
      <c r="L3048" s="17" t="s">
        <v>67</v>
      </c>
      <c r="M3048" s="13" t="s">
        <v>60</v>
      </c>
      <c r="N3048" s="13">
        <v>4</v>
      </c>
      <c r="O3048" s="13"/>
      <c r="P3048" s="33" t="str">
        <f t="shared" si="910"/>
        <v>MAIN UNIT</v>
      </c>
      <c r="Q3048" s="13" t="s">
        <v>68</v>
      </c>
      <c r="R3048" s="13" t="s">
        <v>62</v>
      </c>
      <c r="S3048" s="13" t="s">
        <v>49</v>
      </c>
      <c r="T3048" s="13" t="s">
        <v>249</v>
      </c>
      <c r="U3048" s="13" t="s">
        <v>79</v>
      </c>
      <c r="V3048" s="13" t="s">
        <v>121</v>
      </c>
      <c r="W3048" s="13" t="s">
        <v>109</v>
      </c>
      <c r="X3048" s="135">
        <v>9625000</v>
      </c>
      <c r="Y3048" s="156">
        <v>1</v>
      </c>
      <c r="Z3048" s="18">
        <f t="shared" si="908"/>
        <v>38500000</v>
      </c>
      <c r="AA3048" s="13">
        <v>7.3400000000000007E-2</v>
      </c>
      <c r="AB3048" s="21">
        <f t="shared" si="894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895"/>
        <v>34109166.105589926</v>
      </c>
      <c r="AJ3048" s="19">
        <f t="shared" si="896"/>
        <v>4642032.7199573703</v>
      </c>
      <c r="AK3048" s="20">
        <f t="shared" si="902"/>
        <v>0.13609340977692849</v>
      </c>
      <c r="AL3048" s="17"/>
      <c r="AM3048" s="17"/>
      <c r="AN3048" s="17"/>
      <c r="AO3048" s="17"/>
      <c r="AP3048" s="28" t="str">
        <f t="shared" si="903"/>
        <v>20185</v>
      </c>
      <c r="AQ3048" s="28" t="str">
        <f t="shared" si="904"/>
        <v>20185JPY</v>
      </c>
      <c r="AR3048" s="206" t="str">
        <f t="shared" si="905"/>
        <v>YAMAHA_Mounter</v>
      </c>
      <c r="AS3048" s="22">
        <f t="shared" si="906"/>
        <v>2</v>
      </c>
      <c r="AT3048" s="24" t="str">
        <f t="shared" si="907"/>
        <v>0-3 months</v>
      </c>
      <c r="AU3048" s="22" t="s">
        <v>3746</v>
      </c>
    </row>
    <row r="3049" spans="1:47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185</v>
      </c>
      <c r="F3049" s="13" t="s">
        <v>185</v>
      </c>
      <c r="G3049" s="152" t="s">
        <v>185</v>
      </c>
      <c r="H3049" s="155"/>
      <c r="I3049" s="33" t="str">
        <f t="shared" si="899"/>
        <v>Cancel</v>
      </c>
      <c r="J3049" s="186" t="s">
        <v>621</v>
      </c>
      <c r="K3049" s="155" t="s">
        <v>455</v>
      </c>
      <c r="L3049" s="17" t="s">
        <v>67</v>
      </c>
      <c r="M3049" s="13" t="s">
        <v>60</v>
      </c>
      <c r="N3049" s="13">
        <v>3</v>
      </c>
      <c r="O3049" s="13"/>
      <c r="P3049" s="33" t="str">
        <f t="shared" si="910"/>
        <v>MAIN UNIT</v>
      </c>
      <c r="Q3049" s="13"/>
      <c r="R3049" s="13" t="s">
        <v>62</v>
      </c>
      <c r="S3049" s="13" t="s">
        <v>49</v>
      </c>
      <c r="T3049" s="13" t="s">
        <v>249</v>
      </c>
      <c r="U3049" s="13" t="s">
        <v>79</v>
      </c>
      <c r="V3049" s="13"/>
      <c r="W3049" s="13" t="s">
        <v>109</v>
      </c>
      <c r="X3049" s="135">
        <v>9625000</v>
      </c>
      <c r="Y3049" s="156">
        <v>1</v>
      </c>
      <c r="Z3049" s="18">
        <f t="shared" si="908"/>
        <v>28875000</v>
      </c>
      <c r="AA3049" s="13">
        <v>7.2099999999999997E-2</v>
      </c>
      <c r="AB3049" s="21">
        <f t="shared" si="894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895"/>
        <v>499582152.5142017</v>
      </c>
      <c r="AJ3049" s="19">
        <f t="shared" si="896"/>
        <v>59520528.679470733</v>
      </c>
      <c r="AK3049" s="20">
        <f t="shared" si="902"/>
        <v>0.11914062257814291</v>
      </c>
      <c r="AL3049" s="17"/>
      <c r="AM3049" s="17"/>
      <c r="AN3049" s="17"/>
      <c r="AO3049" s="17"/>
      <c r="AP3049" s="28" t="str">
        <f t="shared" si="903"/>
        <v>CancelCancel</v>
      </c>
      <c r="AQ3049" s="28" t="str">
        <f t="shared" si="904"/>
        <v>CancelCancelJPY</v>
      </c>
      <c r="AR3049" s="206" t="str">
        <f t="shared" si="905"/>
        <v>YAMAHA_Mounter</v>
      </c>
      <c r="AS3049" s="22" t="str">
        <f t="shared" si="906"/>
        <v/>
      </c>
      <c r="AT3049" s="24" t="str">
        <f t="shared" si="907"/>
        <v/>
      </c>
      <c r="AU3049" s="22" t="s">
        <v>3746</v>
      </c>
    </row>
    <row r="3050" spans="1:47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185</v>
      </c>
      <c r="F3050" s="13" t="s">
        <v>185</v>
      </c>
      <c r="G3050" s="152" t="s">
        <v>185</v>
      </c>
      <c r="H3050" s="155"/>
      <c r="I3050" s="33" t="str">
        <f t="shared" si="899"/>
        <v>Cancel</v>
      </c>
      <c r="J3050" s="186" t="s">
        <v>621</v>
      </c>
      <c r="K3050" s="155" t="s">
        <v>455</v>
      </c>
      <c r="L3050" s="17" t="s">
        <v>67</v>
      </c>
      <c r="M3050" s="13" t="s">
        <v>60</v>
      </c>
      <c r="N3050" s="13">
        <v>1</v>
      </c>
      <c r="O3050" s="13"/>
      <c r="P3050" s="33" t="str">
        <f t="shared" si="910"/>
        <v>MAIN UNIT</v>
      </c>
      <c r="Q3050" s="13"/>
      <c r="R3050" s="13" t="s">
        <v>62</v>
      </c>
      <c r="S3050" s="13" t="s">
        <v>49</v>
      </c>
      <c r="T3050" s="13" t="s">
        <v>249</v>
      </c>
      <c r="U3050" s="13" t="s">
        <v>79</v>
      </c>
      <c r="V3050" s="13"/>
      <c r="W3050" s="13" t="s">
        <v>109</v>
      </c>
      <c r="X3050" s="135">
        <v>9625000</v>
      </c>
      <c r="Y3050" s="156">
        <v>1</v>
      </c>
      <c r="Z3050" s="18">
        <f t="shared" si="908"/>
        <v>9625000</v>
      </c>
      <c r="AA3050" s="13">
        <v>7.22E-2</v>
      </c>
      <c r="AB3050" s="21">
        <f t="shared" si="894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895"/>
        <v>499582152.5142017</v>
      </c>
      <c r="AJ3050" s="19">
        <f t="shared" si="896"/>
        <v>59520528.679470733</v>
      </c>
      <c r="AK3050" s="20">
        <f t="shared" si="902"/>
        <v>0.11914062257814291</v>
      </c>
      <c r="AL3050" s="17"/>
      <c r="AM3050" s="17"/>
      <c r="AN3050" s="17"/>
      <c r="AO3050" s="17"/>
      <c r="AP3050" s="28" t="str">
        <f t="shared" si="903"/>
        <v>CancelCancel</v>
      </c>
      <c r="AQ3050" s="28" t="str">
        <f t="shared" si="904"/>
        <v>CancelCancelJPY</v>
      </c>
      <c r="AR3050" s="206" t="str">
        <f t="shared" si="905"/>
        <v>YAMAHA_Mounter</v>
      </c>
      <c r="AS3050" s="22" t="str">
        <f t="shared" si="906"/>
        <v/>
      </c>
      <c r="AT3050" s="24" t="str">
        <f t="shared" si="907"/>
        <v/>
      </c>
      <c r="AU3050" s="22" t="s">
        <v>3746</v>
      </c>
    </row>
    <row r="3051" spans="1:47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48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1537</v>
      </c>
      <c r="K3051" s="155" t="s">
        <v>455</v>
      </c>
      <c r="L3051" s="17" t="s">
        <v>92</v>
      </c>
      <c r="M3051" s="13" t="s">
        <v>60</v>
      </c>
      <c r="N3051" s="13">
        <v>1</v>
      </c>
      <c r="O3051" s="13"/>
      <c r="P3051" s="33" t="str">
        <f t="shared" si="910"/>
        <v>MAIN UNIT</v>
      </c>
      <c r="Q3051" s="13" t="s">
        <v>61</v>
      </c>
      <c r="R3051" s="13" t="s">
        <v>62</v>
      </c>
      <c r="S3051" s="13" t="s">
        <v>49</v>
      </c>
      <c r="T3051" s="13" t="s">
        <v>78</v>
      </c>
      <c r="U3051" s="13" t="s">
        <v>79</v>
      </c>
      <c r="V3051" s="13" t="s">
        <v>121</v>
      </c>
      <c r="W3051" s="13" t="s">
        <v>64</v>
      </c>
      <c r="X3051" s="135">
        <v>945000</v>
      </c>
      <c r="Y3051" s="157" t="str">
        <f>IF(W3051="RMB","1.13", "1")</f>
        <v>1.13</v>
      </c>
      <c r="Z3051" s="18">
        <f t="shared" si="908"/>
        <v>945000</v>
      </c>
      <c r="AA3051" s="13">
        <v>1.2</v>
      </c>
      <c r="AB3051" s="21">
        <f t="shared" si="894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895"/>
        <v>57778307.282035396</v>
      </c>
      <c r="AJ3051" s="19">
        <f t="shared" si="896"/>
        <v>7259860.7225420559</v>
      </c>
      <c r="AK3051" s="20">
        <f t="shared" si="902"/>
        <v>0.12565028406083667</v>
      </c>
      <c r="AL3051" s="17"/>
      <c r="AM3051" s="17"/>
      <c r="AN3051" s="17"/>
      <c r="AO3051" s="17"/>
      <c r="AP3051" s="28" t="str">
        <f t="shared" si="903"/>
        <v>20213</v>
      </c>
      <c r="AQ3051" s="28" t="str">
        <f t="shared" si="904"/>
        <v>20213RMB</v>
      </c>
      <c r="AR3051" s="206" t="str">
        <f t="shared" si="905"/>
        <v>YAMAHA_Mounter</v>
      </c>
      <c r="AS3051" s="22">
        <f t="shared" si="906"/>
        <v>4</v>
      </c>
      <c r="AT3051" s="24" t="str">
        <f t="shared" si="907"/>
        <v>4-6 months</v>
      </c>
      <c r="AU3051" s="22" t="s">
        <v>3744</v>
      </c>
    </row>
    <row r="3052" spans="1:47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48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1537</v>
      </c>
      <c r="K3052" s="155" t="s">
        <v>455</v>
      </c>
      <c r="L3052" s="17" t="s">
        <v>92</v>
      </c>
      <c r="M3052" s="13" t="s">
        <v>60</v>
      </c>
      <c r="N3052" s="13">
        <v>1</v>
      </c>
      <c r="O3052" s="13"/>
      <c r="P3052" s="33" t="str">
        <f t="shared" si="910"/>
        <v>MAIN UNIT</v>
      </c>
      <c r="Q3052" s="13" t="s">
        <v>61</v>
      </c>
      <c r="R3052" s="13" t="s">
        <v>62</v>
      </c>
      <c r="S3052" s="13" t="s">
        <v>49</v>
      </c>
      <c r="T3052" s="13" t="s">
        <v>78</v>
      </c>
      <c r="U3052" s="13" t="s">
        <v>79</v>
      </c>
      <c r="V3052" s="13" t="s">
        <v>121</v>
      </c>
      <c r="W3052" s="13" t="s">
        <v>64</v>
      </c>
      <c r="X3052" s="135">
        <v>945000</v>
      </c>
      <c r="Y3052" s="157" t="str">
        <f>IF(W3052="RMB","1.13", "1")</f>
        <v>1.13</v>
      </c>
      <c r="Z3052" s="18">
        <f t="shared" si="908"/>
        <v>945000</v>
      </c>
      <c r="AA3052" s="13">
        <v>1.2</v>
      </c>
      <c r="AB3052" s="21">
        <f t="shared" si="894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895"/>
        <v>57778307.282035396</v>
      </c>
      <c r="AJ3052" s="19">
        <f t="shared" si="896"/>
        <v>7259860.7225420559</v>
      </c>
      <c r="AK3052" s="20">
        <f t="shared" si="902"/>
        <v>0.12565028406083667</v>
      </c>
      <c r="AL3052" s="17"/>
      <c r="AM3052" s="17"/>
      <c r="AN3052" s="17"/>
      <c r="AO3052" s="17"/>
      <c r="AP3052" s="28" t="str">
        <f t="shared" si="903"/>
        <v>20213</v>
      </c>
      <c r="AQ3052" s="28" t="str">
        <f t="shared" si="904"/>
        <v>20213RMB</v>
      </c>
      <c r="AR3052" s="206" t="str">
        <f t="shared" si="905"/>
        <v>YAMAHA_Mounter</v>
      </c>
      <c r="AS3052" s="22">
        <f t="shared" si="906"/>
        <v>4</v>
      </c>
      <c r="AT3052" s="24" t="str">
        <f t="shared" si="907"/>
        <v>4-6 months</v>
      </c>
      <c r="AU3052" s="22" t="s">
        <v>3744</v>
      </c>
    </row>
    <row r="3053" spans="1:47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55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2555</v>
      </c>
      <c r="K3053" s="155" t="s">
        <v>2556</v>
      </c>
      <c r="L3053" s="17" t="s">
        <v>92</v>
      </c>
      <c r="M3053" s="13" t="s">
        <v>60</v>
      </c>
      <c r="N3053" s="13">
        <v>1</v>
      </c>
      <c r="O3053" s="13"/>
      <c r="P3053" s="33" t="str">
        <f t="shared" si="910"/>
        <v>MAIN UNIT</v>
      </c>
      <c r="Q3053" s="13" t="s">
        <v>68</v>
      </c>
      <c r="R3053" s="13" t="s">
        <v>62</v>
      </c>
      <c r="S3053" s="13" t="s">
        <v>49</v>
      </c>
      <c r="T3053" s="13" t="s">
        <v>78</v>
      </c>
      <c r="U3053" s="13" t="s">
        <v>79</v>
      </c>
      <c r="V3053" s="13" t="s">
        <v>2011</v>
      </c>
      <c r="W3053" s="13" t="s">
        <v>64</v>
      </c>
      <c r="X3053" s="135">
        <v>860000</v>
      </c>
      <c r="Y3053" s="157" t="str">
        <f>IF(W3053="RMB","1.13", "1")</f>
        <v>1.13</v>
      </c>
      <c r="Z3053" s="18">
        <f t="shared" si="908"/>
        <v>860000</v>
      </c>
      <c r="AA3053" s="13">
        <v>1.0920000000000001</v>
      </c>
      <c r="AB3053" s="21">
        <f t="shared" si="894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895"/>
        <v>22953677.784070797</v>
      </c>
      <c r="AJ3053" s="19">
        <f t="shared" si="896"/>
        <v>4168706.6744155753</v>
      </c>
      <c r="AK3053" s="20">
        <f t="shared" si="902"/>
        <v>0.18161388835511752</v>
      </c>
      <c r="AL3053" s="17"/>
      <c r="AM3053" s="17"/>
      <c r="AN3053" s="17"/>
      <c r="AO3053" s="17"/>
      <c r="AP3053" s="28" t="str">
        <f t="shared" si="903"/>
        <v>20238</v>
      </c>
      <c r="AQ3053" s="28" t="str">
        <f t="shared" si="904"/>
        <v>20238RMB</v>
      </c>
      <c r="AR3053" s="206" t="str">
        <f t="shared" si="905"/>
        <v>YAMAHA_Mounter</v>
      </c>
      <c r="AS3053" s="22">
        <f t="shared" si="906"/>
        <v>1</v>
      </c>
      <c r="AT3053" s="24" t="str">
        <f t="shared" si="907"/>
        <v>0-3 months</v>
      </c>
      <c r="AU3053" s="22" t="s">
        <v>3751</v>
      </c>
    </row>
    <row r="3054" spans="1:47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47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1004</v>
      </c>
      <c r="K3054" s="155" t="s">
        <v>1005</v>
      </c>
      <c r="L3054" s="17" t="s">
        <v>67</v>
      </c>
      <c r="M3054" s="13" t="s">
        <v>60</v>
      </c>
      <c r="N3054" s="13">
        <v>1</v>
      </c>
      <c r="O3054" s="13"/>
      <c r="P3054" s="33" t="str">
        <f t="shared" si="910"/>
        <v>MAIN UNIT</v>
      </c>
      <c r="Q3054" s="13" t="s">
        <v>68</v>
      </c>
      <c r="R3054" s="13" t="s">
        <v>62</v>
      </c>
      <c r="S3054" s="13" t="s">
        <v>49</v>
      </c>
      <c r="T3054" s="13" t="s">
        <v>78</v>
      </c>
      <c r="U3054" s="13" t="s">
        <v>79</v>
      </c>
      <c r="V3054" s="13" t="s">
        <v>112</v>
      </c>
      <c r="W3054" s="13" t="s">
        <v>64</v>
      </c>
      <c r="X3054" s="135">
        <v>602800</v>
      </c>
      <c r="Y3054" s="156">
        <v>1.1299999999999999</v>
      </c>
      <c r="Z3054" s="18">
        <f t="shared" si="908"/>
        <v>602800</v>
      </c>
      <c r="AA3054" s="13">
        <v>1.1100000000000001</v>
      </c>
      <c r="AB3054" s="21">
        <f t="shared" si="894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895"/>
        <v>11620538.477876106</v>
      </c>
      <c r="AJ3054" s="19">
        <f t="shared" si="896"/>
        <v>1598596.3145221241</v>
      </c>
      <c r="AK3054" s="20">
        <f t="shared" si="902"/>
        <v>0.13756645766163331</v>
      </c>
      <c r="AL3054" s="17"/>
      <c r="AM3054" s="17"/>
      <c r="AN3054" s="17"/>
      <c r="AO3054" s="17"/>
      <c r="AP3054" s="28" t="str">
        <f t="shared" si="903"/>
        <v>20201</v>
      </c>
      <c r="AQ3054" s="28" t="str">
        <f t="shared" si="904"/>
        <v>20201RMB</v>
      </c>
      <c r="AR3054" s="206" t="str">
        <f t="shared" si="905"/>
        <v>YAMAHA_Mounter</v>
      </c>
      <c r="AS3054" s="22">
        <f t="shared" si="906"/>
        <v>1</v>
      </c>
      <c r="AT3054" s="24" t="str">
        <f t="shared" si="907"/>
        <v>0-3 months</v>
      </c>
      <c r="AU3054" s="22" t="s">
        <v>3744</v>
      </c>
    </row>
    <row r="3055" spans="1:47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54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2424</v>
      </c>
      <c r="K3055" s="155" t="s">
        <v>1005</v>
      </c>
      <c r="L3055" s="17" t="s">
        <v>67</v>
      </c>
      <c r="M3055" s="13" t="s">
        <v>60</v>
      </c>
      <c r="N3055" s="13">
        <v>1</v>
      </c>
      <c r="O3055" s="13"/>
      <c r="P3055" s="33" t="str">
        <f t="shared" si="910"/>
        <v>MAIN UNIT</v>
      </c>
      <c r="Q3055" s="13" t="s">
        <v>61</v>
      </c>
      <c r="R3055" s="13" t="s">
        <v>62</v>
      </c>
      <c r="S3055" s="13" t="s">
        <v>49</v>
      </c>
      <c r="T3055" s="13" t="s">
        <v>78</v>
      </c>
      <c r="U3055" s="13" t="s">
        <v>79</v>
      </c>
      <c r="V3055" s="13" t="s">
        <v>112</v>
      </c>
      <c r="W3055" s="13" t="s">
        <v>64</v>
      </c>
      <c r="X3055" s="135">
        <v>415000</v>
      </c>
      <c r="Y3055" s="157" t="str">
        <f>IF(W3055="RMB","1.13", "1")</f>
        <v>1.13</v>
      </c>
      <c r="Z3055" s="18">
        <f t="shared" si="908"/>
        <v>415000</v>
      </c>
      <c r="AA3055" s="13">
        <v>1.1299999999999999</v>
      </c>
      <c r="AB3055" s="21">
        <f t="shared" si="894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895"/>
        <v>33543315.897345133</v>
      </c>
      <c r="AJ3055" s="19">
        <f t="shared" si="896"/>
        <v>4706169.3252984071</v>
      </c>
      <c r="AK3055" s="20">
        <f t="shared" si="902"/>
        <v>0.14030125523967318</v>
      </c>
      <c r="AL3055" s="17"/>
      <c r="AM3055" s="17"/>
      <c r="AN3055" s="17"/>
      <c r="AO3055" s="17"/>
      <c r="AP3055" s="28" t="str">
        <f t="shared" si="903"/>
        <v>20233</v>
      </c>
      <c r="AQ3055" s="28" t="str">
        <f t="shared" si="904"/>
        <v>20233RMB</v>
      </c>
      <c r="AR3055" s="206" t="str">
        <f t="shared" si="905"/>
        <v>YAMAHA_Mounter</v>
      </c>
      <c r="AS3055" s="22">
        <f t="shared" si="906"/>
        <v>1</v>
      </c>
      <c r="AT3055" s="24" t="str">
        <f t="shared" si="907"/>
        <v>0-3 months</v>
      </c>
      <c r="AU3055" s="22" t="s">
        <v>3751</v>
      </c>
    </row>
    <row r="3056" spans="1:47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47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675</v>
      </c>
      <c r="K3056" s="155" t="s">
        <v>676</v>
      </c>
      <c r="L3056" s="17" t="s">
        <v>67</v>
      </c>
      <c r="M3056" s="13" t="s">
        <v>60</v>
      </c>
      <c r="N3056" s="13">
        <v>1</v>
      </c>
      <c r="O3056" s="13"/>
      <c r="P3056" s="33" t="str">
        <f t="shared" si="910"/>
        <v>MAIN UNIT</v>
      </c>
      <c r="Q3056" s="13" t="s">
        <v>68</v>
      </c>
      <c r="R3056" s="13" t="s">
        <v>62</v>
      </c>
      <c r="S3056" s="13" t="s">
        <v>49</v>
      </c>
      <c r="T3056" s="13" t="s">
        <v>396</v>
      </c>
      <c r="U3056" s="13" t="s">
        <v>79</v>
      </c>
      <c r="V3056" s="13" t="s">
        <v>134</v>
      </c>
      <c r="W3056" s="13" t="s">
        <v>64</v>
      </c>
      <c r="X3056" s="135">
        <v>720000</v>
      </c>
      <c r="Y3056" s="156">
        <v>1.1299999999999999</v>
      </c>
      <c r="Z3056" s="18">
        <f t="shared" si="908"/>
        <v>720000</v>
      </c>
      <c r="AA3056" s="13">
        <v>1.135</v>
      </c>
      <c r="AB3056" s="21">
        <f t="shared" si="894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895"/>
        <v>21386017.707964607</v>
      </c>
      <c r="AJ3056" s="19">
        <f t="shared" si="896"/>
        <v>2238764.3265707968</v>
      </c>
      <c r="AK3056" s="20">
        <f t="shared" si="902"/>
        <v>0.10468355339185161</v>
      </c>
      <c r="AL3056" s="17"/>
      <c r="AM3056" s="17"/>
      <c r="AN3056" s="17"/>
      <c r="AO3056" s="17"/>
      <c r="AP3056" s="28" t="str">
        <f t="shared" si="903"/>
        <v>20198</v>
      </c>
      <c r="AQ3056" s="28" t="str">
        <f t="shared" si="904"/>
        <v>20198RMB</v>
      </c>
      <c r="AR3056" s="206" t="str">
        <f t="shared" si="905"/>
        <v>YAMAHA_Mounter</v>
      </c>
      <c r="AS3056" s="22">
        <f t="shared" si="906"/>
        <v>0</v>
      </c>
      <c r="AT3056" s="24" t="str">
        <f t="shared" si="907"/>
        <v>0-3 months</v>
      </c>
      <c r="AU3056" s="22" t="s">
        <v>3744</v>
      </c>
    </row>
    <row r="3057" spans="1:47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47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675</v>
      </c>
      <c r="K3057" s="155" t="s">
        <v>676</v>
      </c>
      <c r="L3057" s="17" t="s">
        <v>67</v>
      </c>
      <c r="M3057" s="13" t="s">
        <v>60</v>
      </c>
      <c r="N3057" s="13">
        <v>1</v>
      </c>
      <c r="O3057" s="13"/>
      <c r="P3057" s="33" t="str">
        <f t="shared" si="910"/>
        <v>MAIN UNIT</v>
      </c>
      <c r="Q3057" s="13" t="s">
        <v>68</v>
      </c>
      <c r="R3057" s="13" t="s">
        <v>62</v>
      </c>
      <c r="S3057" s="13" t="s">
        <v>49</v>
      </c>
      <c r="T3057" s="13" t="s">
        <v>396</v>
      </c>
      <c r="U3057" s="13" t="s">
        <v>79</v>
      </c>
      <c r="V3057" s="13" t="s">
        <v>134</v>
      </c>
      <c r="W3057" s="13" t="s">
        <v>64</v>
      </c>
      <c r="X3057" s="135">
        <v>720000</v>
      </c>
      <c r="Y3057" s="156">
        <v>1.1299999999999999</v>
      </c>
      <c r="Z3057" s="18">
        <f t="shared" si="908"/>
        <v>720000</v>
      </c>
      <c r="AA3057" s="13">
        <v>1.135</v>
      </c>
      <c r="AB3057" s="21">
        <f t="shared" si="894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895"/>
        <v>21386017.707964607</v>
      </c>
      <c r="AJ3057" s="19">
        <f t="shared" si="896"/>
        <v>2238764.3265707968</v>
      </c>
      <c r="AK3057" s="20">
        <f t="shared" si="902"/>
        <v>0.10468355339185161</v>
      </c>
      <c r="AL3057" s="17"/>
      <c r="AM3057" s="17"/>
      <c r="AN3057" s="17"/>
      <c r="AO3057" s="17"/>
      <c r="AP3057" s="28" t="str">
        <f t="shared" si="903"/>
        <v>20198</v>
      </c>
      <c r="AQ3057" s="28" t="str">
        <f t="shared" si="904"/>
        <v>20198RMB</v>
      </c>
      <c r="AR3057" s="206" t="str">
        <f t="shared" si="905"/>
        <v>YAMAHA_Mounter</v>
      </c>
      <c r="AS3057" s="22">
        <f t="shared" si="906"/>
        <v>0</v>
      </c>
      <c r="AT3057" s="24" t="str">
        <f t="shared" si="907"/>
        <v>0-3 months</v>
      </c>
      <c r="AU3057" s="22" t="s">
        <v>3744</v>
      </c>
    </row>
    <row r="3058" spans="1:47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47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675</v>
      </c>
      <c r="K3058" s="155" t="s">
        <v>676</v>
      </c>
      <c r="L3058" s="17" t="s">
        <v>67</v>
      </c>
      <c r="M3058" s="13" t="s">
        <v>60</v>
      </c>
      <c r="N3058" s="13">
        <v>1</v>
      </c>
      <c r="O3058" s="13"/>
      <c r="P3058" s="33" t="str">
        <f t="shared" si="910"/>
        <v>MAIN UNIT</v>
      </c>
      <c r="Q3058" s="13" t="s">
        <v>68</v>
      </c>
      <c r="R3058" s="13" t="s">
        <v>62</v>
      </c>
      <c r="S3058" s="13" t="s">
        <v>49</v>
      </c>
      <c r="T3058" s="13" t="s">
        <v>396</v>
      </c>
      <c r="U3058" s="13" t="s">
        <v>79</v>
      </c>
      <c r="V3058" s="13" t="s">
        <v>134</v>
      </c>
      <c r="W3058" s="13" t="s">
        <v>64</v>
      </c>
      <c r="X3058" s="135">
        <v>720000</v>
      </c>
      <c r="Y3058" s="156">
        <v>1.1299999999999999</v>
      </c>
      <c r="Z3058" s="18">
        <f t="shared" si="908"/>
        <v>720000</v>
      </c>
      <c r="AA3058" s="13">
        <v>1.135</v>
      </c>
      <c r="AB3058" s="21">
        <f t="shared" si="894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895"/>
        <v>21386017.707964607</v>
      </c>
      <c r="AJ3058" s="19">
        <f t="shared" si="896"/>
        <v>2238764.3265707968</v>
      </c>
      <c r="AK3058" s="20">
        <f t="shared" si="902"/>
        <v>0.10468355339185161</v>
      </c>
      <c r="AL3058" s="17"/>
      <c r="AM3058" s="17"/>
      <c r="AN3058" s="17"/>
      <c r="AO3058" s="17"/>
      <c r="AP3058" s="28" t="str">
        <f t="shared" si="903"/>
        <v>20198</v>
      </c>
      <c r="AQ3058" s="28" t="str">
        <f t="shared" si="904"/>
        <v>20198RMB</v>
      </c>
      <c r="AR3058" s="206" t="str">
        <f t="shared" si="905"/>
        <v>YAMAHA_Mounter</v>
      </c>
      <c r="AS3058" s="22">
        <f t="shared" si="906"/>
        <v>0</v>
      </c>
      <c r="AT3058" s="24" t="str">
        <f t="shared" si="907"/>
        <v>0-3 months</v>
      </c>
      <c r="AU3058" s="22" t="s">
        <v>3744</v>
      </c>
    </row>
    <row r="3059" spans="1:47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47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717</v>
      </c>
      <c r="K3059" s="155" t="s">
        <v>676</v>
      </c>
      <c r="L3059" s="17" t="s">
        <v>67</v>
      </c>
      <c r="M3059" s="13" t="s">
        <v>60</v>
      </c>
      <c r="N3059" s="13">
        <v>1</v>
      </c>
      <c r="O3059" s="13"/>
      <c r="P3059" s="33" t="str">
        <f t="shared" si="910"/>
        <v>MAIN UNIT</v>
      </c>
      <c r="Q3059" s="13" t="s">
        <v>61</v>
      </c>
      <c r="R3059" s="13" t="s">
        <v>62</v>
      </c>
      <c r="S3059" s="13" t="s">
        <v>49</v>
      </c>
      <c r="T3059" s="13" t="s">
        <v>396</v>
      </c>
      <c r="U3059" s="13" t="s">
        <v>79</v>
      </c>
      <c r="V3059" s="13" t="s">
        <v>134</v>
      </c>
      <c r="W3059" s="13" t="s">
        <v>109</v>
      </c>
      <c r="X3059" s="135">
        <v>10220000</v>
      </c>
      <c r="Y3059" s="156">
        <v>1</v>
      </c>
      <c r="Z3059" s="18">
        <f t="shared" si="908"/>
        <v>10220000</v>
      </c>
      <c r="AA3059" s="13">
        <v>7.2900000000000006E-2</v>
      </c>
      <c r="AB3059" s="21">
        <f t="shared" si="894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895"/>
        <v>27318180.088495575</v>
      </c>
      <c r="AJ3059" s="19">
        <f t="shared" si="896"/>
        <v>3014099.212353982</v>
      </c>
      <c r="AK3059" s="20">
        <f t="shared" si="902"/>
        <v>0.11033308963444827</v>
      </c>
      <c r="AL3059" s="17"/>
      <c r="AM3059" s="17"/>
      <c r="AN3059" s="17"/>
      <c r="AO3059" s="17"/>
      <c r="AP3059" s="28" t="str">
        <f t="shared" si="903"/>
        <v>201912</v>
      </c>
      <c r="AQ3059" s="28" t="str">
        <f t="shared" si="904"/>
        <v>201912JPY</v>
      </c>
      <c r="AR3059" s="206" t="str">
        <f t="shared" si="905"/>
        <v>YAMAHA_Mounter</v>
      </c>
      <c r="AS3059" s="22">
        <f t="shared" si="906"/>
        <v>1</v>
      </c>
      <c r="AT3059" s="24" t="str">
        <f t="shared" si="907"/>
        <v>0-3 months</v>
      </c>
      <c r="AU3059" s="22" t="s">
        <v>3240</v>
      </c>
    </row>
    <row r="3060" spans="1:47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47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717</v>
      </c>
      <c r="K3060" s="155" t="s">
        <v>676</v>
      </c>
      <c r="L3060" s="17" t="s">
        <v>92</v>
      </c>
      <c r="M3060" s="13" t="s">
        <v>60</v>
      </c>
      <c r="N3060" s="13">
        <v>1</v>
      </c>
      <c r="O3060" s="13"/>
      <c r="P3060" s="33" t="str">
        <f t="shared" si="910"/>
        <v>MAIN UNIT</v>
      </c>
      <c r="Q3060" s="13" t="s">
        <v>61</v>
      </c>
      <c r="R3060" s="13" t="s">
        <v>62</v>
      </c>
      <c r="S3060" s="13" t="s">
        <v>49</v>
      </c>
      <c r="T3060" s="13" t="s">
        <v>396</v>
      </c>
      <c r="U3060" s="13" t="s">
        <v>79</v>
      </c>
      <c r="V3060" s="13" t="s">
        <v>134</v>
      </c>
      <c r="W3060" s="13" t="s">
        <v>109</v>
      </c>
      <c r="X3060" s="135">
        <v>12640000</v>
      </c>
      <c r="Y3060" s="156">
        <v>1</v>
      </c>
      <c r="Z3060" s="18">
        <f t="shared" si="908"/>
        <v>12640000</v>
      </c>
      <c r="AA3060" s="13">
        <v>7.2900000000000006E-2</v>
      </c>
      <c r="AB3060" s="21">
        <f t="shared" si="894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895"/>
        <v>27318180.088495575</v>
      </c>
      <c r="AJ3060" s="19">
        <f t="shared" si="896"/>
        <v>3014099.212353982</v>
      </c>
      <c r="AK3060" s="20">
        <f t="shared" si="902"/>
        <v>0.11033308963444827</v>
      </c>
      <c r="AL3060" s="17"/>
      <c r="AM3060" s="17"/>
      <c r="AN3060" s="17"/>
      <c r="AO3060" s="17"/>
      <c r="AP3060" s="28" t="str">
        <f t="shared" si="903"/>
        <v>201912</v>
      </c>
      <c r="AQ3060" s="28" t="str">
        <f t="shared" si="904"/>
        <v>201912JPY</v>
      </c>
      <c r="AR3060" s="206" t="str">
        <f t="shared" si="905"/>
        <v>YAMAHA_Mounter</v>
      </c>
      <c r="AS3060" s="22">
        <f t="shared" si="906"/>
        <v>1</v>
      </c>
      <c r="AT3060" s="24" t="str">
        <f t="shared" si="907"/>
        <v>0-3 months</v>
      </c>
      <c r="AU3060" s="22" t="s">
        <v>3240</v>
      </c>
    </row>
    <row r="3061" spans="1:47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47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717</v>
      </c>
      <c r="K3061" s="155" t="s">
        <v>676</v>
      </c>
      <c r="L3061" s="17" t="s">
        <v>92</v>
      </c>
      <c r="M3061" s="13" t="s">
        <v>60</v>
      </c>
      <c r="N3061" s="13">
        <v>1</v>
      </c>
      <c r="O3061" s="13"/>
      <c r="P3061" s="33" t="str">
        <f t="shared" si="910"/>
        <v>MAIN UNIT</v>
      </c>
      <c r="Q3061" s="13" t="s">
        <v>61</v>
      </c>
      <c r="R3061" s="13" t="s">
        <v>62</v>
      </c>
      <c r="S3061" s="13" t="s">
        <v>49</v>
      </c>
      <c r="T3061" s="13" t="s">
        <v>396</v>
      </c>
      <c r="U3061" s="13" t="s">
        <v>79</v>
      </c>
      <c r="V3061" s="13" t="s">
        <v>134</v>
      </c>
      <c r="W3061" s="13" t="s">
        <v>109</v>
      </c>
      <c r="X3061" s="135">
        <v>12640000</v>
      </c>
      <c r="Y3061" s="156">
        <v>1</v>
      </c>
      <c r="Z3061" s="18">
        <f t="shared" si="908"/>
        <v>12640000</v>
      </c>
      <c r="AA3061" s="13">
        <v>7.2900000000000006E-2</v>
      </c>
      <c r="AB3061" s="21">
        <f t="shared" si="894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895"/>
        <v>27318180.088495575</v>
      </c>
      <c r="AJ3061" s="19">
        <f t="shared" si="896"/>
        <v>3014099.212353982</v>
      </c>
      <c r="AK3061" s="20">
        <f t="shared" si="902"/>
        <v>0.11033308963444827</v>
      </c>
      <c r="AL3061" s="17"/>
      <c r="AM3061" s="17"/>
      <c r="AN3061" s="17"/>
      <c r="AO3061" s="17"/>
      <c r="AP3061" s="28" t="str">
        <f t="shared" si="903"/>
        <v>201912</v>
      </c>
      <c r="AQ3061" s="28" t="str">
        <f t="shared" si="904"/>
        <v>201912JPY</v>
      </c>
      <c r="AR3061" s="206" t="str">
        <f t="shared" si="905"/>
        <v>YAMAHA_Mounter</v>
      </c>
      <c r="AS3061" s="22">
        <f t="shared" si="906"/>
        <v>1</v>
      </c>
      <c r="AT3061" s="24" t="str">
        <f t="shared" si="907"/>
        <v>0-3 months</v>
      </c>
      <c r="AU3061" s="22" t="s">
        <v>3240</v>
      </c>
    </row>
    <row r="3062" spans="1:47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47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1003</v>
      </c>
      <c r="K3062" s="155" t="s">
        <v>676</v>
      </c>
      <c r="L3062" s="17" t="s">
        <v>67</v>
      </c>
      <c r="M3062" s="13" t="s">
        <v>60</v>
      </c>
      <c r="N3062" s="13">
        <v>1</v>
      </c>
      <c r="O3062" s="13"/>
      <c r="P3062" s="33" t="str">
        <f t="shared" si="910"/>
        <v>MAIN UNIT</v>
      </c>
      <c r="Q3062" s="13" t="s">
        <v>61</v>
      </c>
      <c r="R3062" s="13" t="s">
        <v>62</v>
      </c>
      <c r="S3062" s="13" t="s">
        <v>49</v>
      </c>
      <c r="T3062" s="13" t="s">
        <v>396</v>
      </c>
      <c r="U3062" s="13" t="s">
        <v>79</v>
      </c>
      <c r="V3062" s="13" t="s">
        <v>134</v>
      </c>
      <c r="W3062" s="13" t="s">
        <v>109</v>
      </c>
      <c r="X3062" s="135">
        <v>9900000</v>
      </c>
      <c r="Y3062" s="156">
        <v>1</v>
      </c>
      <c r="Z3062" s="18">
        <f t="shared" si="908"/>
        <v>9900000</v>
      </c>
      <c r="AA3062" s="13">
        <v>7.2700000000000001E-2</v>
      </c>
      <c r="AB3062" s="21">
        <f t="shared" si="894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895"/>
        <v>14005204.685000001</v>
      </c>
      <c r="AJ3062" s="19">
        <f t="shared" si="896"/>
        <v>1436995.246084</v>
      </c>
      <c r="AK3062" s="20">
        <f t="shared" si="902"/>
        <v>0.10260437304590525</v>
      </c>
      <c r="AL3062" s="17"/>
      <c r="AM3062" s="17"/>
      <c r="AN3062" s="17"/>
      <c r="AO3062" s="17"/>
      <c r="AP3062" s="28" t="str">
        <f t="shared" si="903"/>
        <v>20202</v>
      </c>
      <c r="AQ3062" s="28" t="str">
        <f t="shared" si="904"/>
        <v>20202JPY</v>
      </c>
      <c r="AR3062" s="206" t="str">
        <f t="shared" si="905"/>
        <v>YAMAHA_Mounter</v>
      </c>
      <c r="AS3062" s="22">
        <f t="shared" si="906"/>
        <v>3</v>
      </c>
      <c r="AT3062" s="24" t="str">
        <f t="shared" si="907"/>
        <v>0-3 months</v>
      </c>
      <c r="AU3062" s="22" t="s">
        <v>3745</v>
      </c>
    </row>
    <row r="3063" spans="1:47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47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1003</v>
      </c>
      <c r="K3063" s="155" t="s">
        <v>676</v>
      </c>
      <c r="L3063" s="17" t="s">
        <v>92</v>
      </c>
      <c r="M3063" s="13" t="s">
        <v>60</v>
      </c>
      <c r="N3063" s="13">
        <v>1</v>
      </c>
      <c r="O3063" s="13"/>
      <c r="P3063" s="33" t="str">
        <f t="shared" si="910"/>
        <v>MAIN UNIT</v>
      </c>
      <c r="Q3063" s="13" t="s">
        <v>61</v>
      </c>
      <c r="R3063" s="13" t="s">
        <v>62</v>
      </c>
      <c r="S3063" s="13" t="s">
        <v>49</v>
      </c>
      <c r="T3063" s="13" t="s">
        <v>396</v>
      </c>
      <c r="U3063" s="13" t="s">
        <v>79</v>
      </c>
      <c r="V3063" s="13" t="s">
        <v>134</v>
      </c>
      <c r="W3063" s="13" t="s">
        <v>109</v>
      </c>
      <c r="X3063" s="135">
        <v>12600000</v>
      </c>
      <c r="Y3063" s="156">
        <v>1</v>
      </c>
      <c r="Z3063" s="18">
        <f t="shared" si="908"/>
        <v>12600000</v>
      </c>
      <c r="AA3063" s="13">
        <v>7.2700000000000001E-2</v>
      </c>
      <c r="AB3063" s="21">
        <f t="shared" si="894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895"/>
        <v>14005204.685000001</v>
      </c>
      <c r="AJ3063" s="19">
        <f t="shared" si="896"/>
        <v>1436995.246084</v>
      </c>
      <c r="AK3063" s="20">
        <f t="shared" si="902"/>
        <v>0.10260437304590525</v>
      </c>
      <c r="AL3063" s="17"/>
      <c r="AM3063" s="17"/>
      <c r="AN3063" s="17"/>
      <c r="AO3063" s="17"/>
      <c r="AP3063" s="28" t="str">
        <f t="shared" si="903"/>
        <v>20202</v>
      </c>
      <c r="AQ3063" s="28" t="str">
        <f t="shared" si="904"/>
        <v>20202JPY</v>
      </c>
      <c r="AR3063" s="206" t="str">
        <f t="shared" si="905"/>
        <v>YAMAHA_Mounter</v>
      </c>
      <c r="AS3063" s="22">
        <f t="shared" si="906"/>
        <v>3</v>
      </c>
      <c r="AT3063" s="24" t="str">
        <f t="shared" si="907"/>
        <v>0-3 months</v>
      </c>
      <c r="AU3063" s="22" t="s">
        <v>3745</v>
      </c>
    </row>
    <row r="3064" spans="1:47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47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1003</v>
      </c>
      <c r="K3064" s="155" t="s">
        <v>676</v>
      </c>
      <c r="L3064" s="17" t="s">
        <v>92</v>
      </c>
      <c r="M3064" s="13" t="s">
        <v>60</v>
      </c>
      <c r="N3064" s="13">
        <v>1</v>
      </c>
      <c r="O3064" s="13"/>
      <c r="P3064" s="33" t="str">
        <f t="shared" si="910"/>
        <v>MAIN UNIT</v>
      </c>
      <c r="Q3064" s="13" t="s">
        <v>61</v>
      </c>
      <c r="R3064" s="13" t="s">
        <v>62</v>
      </c>
      <c r="S3064" s="13" t="s">
        <v>49</v>
      </c>
      <c r="T3064" s="13" t="s">
        <v>396</v>
      </c>
      <c r="U3064" s="13" t="s">
        <v>79</v>
      </c>
      <c r="V3064" s="13" t="s">
        <v>134</v>
      </c>
      <c r="W3064" s="13" t="s">
        <v>109</v>
      </c>
      <c r="X3064" s="135">
        <v>12600000</v>
      </c>
      <c r="Y3064" s="156">
        <v>1</v>
      </c>
      <c r="Z3064" s="18">
        <f t="shared" si="908"/>
        <v>12600000</v>
      </c>
      <c r="AA3064" s="13">
        <v>7.2700000000000001E-2</v>
      </c>
      <c r="AB3064" s="21">
        <f t="shared" si="894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895"/>
        <v>14005204.685000001</v>
      </c>
      <c r="AJ3064" s="19">
        <f t="shared" si="896"/>
        <v>1436995.246084</v>
      </c>
      <c r="AK3064" s="20">
        <f t="shared" si="902"/>
        <v>0.10260437304590525</v>
      </c>
      <c r="AL3064" s="17"/>
      <c r="AM3064" s="17"/>
      <c r="AN3064" s="17"/>
      <c r="AO3064" s="17"/>
      <c r="AP3064" s="28" t="str">
        <f t="shared" si="903"/>
        <v>20202</v>
      </c>
      <c r="AQ3064" s="28" t="str">
        <f t="shared" si="904"/>
        <v>20202JPY</v>
      </c>
      <c r="AR3064" s="206" t="str">
        <f t="shared" si="905"/>
        <v>YAMAHA_Mounter</v>
      </c>
      <c r="AS3064" s="22">
        <f t="shared" si="906"/>
        <v>3</v>
      </c>
      <c r="AT3064" s="24" t="str">
        <f t="shared" si="907"/>
        <v>0-3 months</v>
      </c>
      <c r="AU3064" s="22" t="s">
        <v>3745</v>
      </c>
    </row>
    <row r="3065" spans="1:47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47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1003</v>
      </c>
      <c r="K3065" s="155" t="s">
        <v>676</v>
      </c>
      <c r="L3065" s="17" t="s">
        <v>92</v>
      </c>
      <c r="M3065" s="13" t="s">
        <v>60</v>
      </c>
      <c r="N3065" s="13">
        <v>1</v>
      </c>
      <c r="O3065" s="13"/>
      <c r="P3065" s="33" t="str">
        <f t="shared" si="910"/>
        <v>MAIN UNIT</v>
      </c>
      <c r="Q3065" s="13" t="s">
        <v>61</v>
      </c>
      <c r="R3065" s="13" t="s">
        <v>62</v>
      </c>
      <c r="S3065" s="13" t="s">
        <v>49</v>
      </c>
      <c r="T3065" s="13" t="s">
        <v>396</v>
      </c>
      <c r="U3065" s="13" t="s">
        <v>79</v>
      </c>
      <c r="V3065" s="13" t="s">
        <v>134</v>
      </c>
      <c r="W3065" s="13" t="s">
        <v>109</v>
      </c>
      <c r="X3065" s="135">
        <v>12600000</v>
      </c>
      <c r="Y3065" s="156">
        <v>1</v>
      </c>
      <c r="Z3065" s="18">
        <f t="shared" si="908"/>
        <v>12600000</v>
      </c>
      <c r="AA3065" s="13">
        <v>7.2700000000000001E-2</v>
      </c>
      <c r="AB3065" s="21">
        <f t="shared" si="894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895"/>
        <v>14005204.685000001</v>
      </c>
      <c r="AJ3065" s="19">
        <f t="shared" si="896"/>
        <v>1436995.246084</v>
      </c>
      <c r="AK3065" s="20">
        <f t="shared" si="902"/>
        <v>0.10260437304590525</v>
      </c>
      <c r="AL3065" s="17"/>
      <c r="AM3065" s="17"/>
      <c r="AN3065" s="17"/>
      <c r="AO3065" s="17"/>
      <c r="AP3065" s="28" t="str">
        <f t="shared" si="903"/>
        <v>20202</v>
      </c>
      <c r="AQ3065" s="28" t="str">
        <f t="shared" si="904"/>
        <v>20202JPY</v>
      </c>
      <c r="AR3065" s="206" t="str">
        <f t="shared" si="905"/>
        <v>YAMAHA_Mounter</v>
      </c>
      <c r="AS3065" s="22">
        <f t="shared" si="906"/>
        <v>3</v>
      </c>
      <c r="AT3065" s="24" t="str">
        <f t="shared" si="907"/>
        <v>0-3 months</v>
      </c>
      <c r="AU3065" s="22" t="s">
        <v>3745</v>
      </c>
    </row>
    <row r="3066" spans="1:47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53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1767</v>
      </c>
      <c r="K3066" s="155" t="s">
        <v>676</v>
      </c>
      <c r="L3066" s="17" t="s">
        <v>67</v>
      </c>
      <c r="M3066" s="13" t="s">
        <v>60</v>
      </c>
      <c r="N3066" s="13">
        <v>1</v>
      </c>
      <c r="O3066" s="13"/>
      <c r="P3066" s="33" t="str">
        <f t="shared" si="910"/>
        <v>MAIN UNIT</v>
      </c>
      <c r="Q3066" s="13" t="s">
        <v>61</v>
      </c>
      <c r="R3066" s="13" t="s">
        <v>62</v>
      </c>
      <c r="S3066" s="13" t="s">
        <v>49</v>
      </c>
      <c r="T3066" s="13" t="s">
        <v>78</v>
      </c>
      <c r="U3066" s="13" t="s">
        <v>1768</v>
      </c>
      <c r="V3066" s="13" t="s">
        <v>131</v>
      </c>
      <c r="W3066" s="13" t="s">
        <v>109</v>
      </c>
      <c r="X3066" s="135">
        <v>8000000</v>
      </c>
      <c r="Y3066" s="157" t="str">
        <f>IF(W3066="RMB","1.13", "1")</f>
        <v>1</v>
      </c>
      <c r="Z3066" s="18">
        <f t="shared" si="908"/>
        <v>8000000</v>
      </c>
      <c r="AA3066" s="13">
        <v>7.2800000000000004E-2</v>
      </c>
      <c r="AB3066" s="21">
        <f t="shared" si="894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895"/>
        <v>63006605.696460173</v>
      </c>
      <c r="AJ3066" s="19">
        <f t="shared" si="896"/>
        <v>8897485.660753984</v>
      </c>
      <c r="AK3066" s="20">
        <f t="shared" si="902"/>
        <v>0.141215124388995</v>
      </c>
      <c r="AL3066" s="17"/>
      <c r="AM3066" s="17"/>
      <c r="AN3066" s="17"/>
      <c r="AO3066" s="17"/>
      <c r="AP3066" s="28" t="str">
        <f t="shared" si="903"/>
        <v>20215</v>
      </c>
      <c r="AQ3066" s="28" t="str">
        <f t="shared" si="904"/>
        <v>20215JPY</v>
      </c>
      <c r="AR3066" s="206" t="str">
        <f t="shared" si="905"/>
        <v>YAMAHA_Mounter</v>
      </c>
      <c r="AS3066" s="22">
        <f t="shared" si="906"/>
        <v>0</v>
      </c>
      <c r="AT3066" s="24" t="str">
        <f t="shared" si="907"/>
        <v>0-3 months</v>
      </c>
      <c r="AU3066" s="22" t="s">
        <v>3745</v>
      </c>
    </row>
    <row r="3067" spans="1:47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53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1767</v>
      </c>
      <c r="K3067" s="155" t="s">
        <v>676</v>
      </c>
      <c r="L3067" s="17" t="s">
        <v>67</v>
      </c>
      <c r="M3067" s="13" t="s">
        <v>60</v>
      </c>
      <c r="N3067" s="13">
        <v>1</v>
      </c>
      <c r="O3067" s="13"/>
      <c r="P3067" s="33" t="str">
        <f t="shared" si="910"/>
        <v>MAIN UNIT</v>
      </c>
      <c r="Q3067" s="13" t="s">
        <v>61</v>
      </c>
      <c r="R3067" s="13" t="s">
        <v>62</v>
      </c>
      <c r="S3067" s="13" t="s">
        <v>49</v>
      </c>
      <c r="T3067" s="13" t="s">
        <v>78</v>
      </c>
      <c r="U3067" s="13" t="s">
        <v>1768</v>
      </c>
      <c r="V3067" s="13" t="s">
        <v>131</v>
      </c>
      <c r="W3067" s="13" t="s">
        <v>109</v>
      </c>
      <c r="X3067" s="135">
        <v>8000000</v>
      </c>
      <c r="Y3067" s="157" t="str">
        <f>IF(W3067="RMB","1.13", "1")</f>
        <v>1</v>
      </c>
      <c r="Z3067" s="18">
        <f t="shared" si="908"/>
        <v>8000000</v>
      </c>
      <c r="AA3067" s="13">
        <v>7.2800000000000004E-2</v>
      </c>
      <c r="AB3067" s="21">
        <f t="shared" si="894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895"/>
        <v>63006605.696460173</v>
      </c>
      <c r="AJ3067" s="19">
        <f t="shared" si="896"/>
        <v>8897485.660753984</v>
      </c>
      <c r="AK3067" s="20">
        <f t="shared" si="902"/>
        <v>0.141215124388995</v>
      </c>
      <c r="AL3067" s="17"/>
      <c r="AM3067" s="17"/>
      <c r="AN3067" s="17"/>
      <c r="AO3067" s="17"/>
      <c r="AP3067" s="28" t="str">
        <f t="shared" si="903"/>
        <v>20215</v>
      </c>
      <c r="AQ3067" s="28" t="str">
        <f t="shared" si="904"/>
        <v>20215JPY</v>
      </c>
      <c r="AR3067" s="206" t="str">
        <f t="shared" si="905"/>
        <v>YAMAHA_Mounter</v>
      </c>
      <c r="AS3067" s="22">
        <f t="shared" si="906"/>
        <v>0</v>
      </c>
      <c r="AT3067" s="24" t="str">
        <f t="shared" si="907"/>
        <v>0-3 months</v>
      </c>
      <c r="AU3067" s="22" t="s">
        <v>3745</v>
      </c>
    </row>
    <row r="3068" spans="1:47" s="12" customFormat="1">
      <c r="A3068" s="33" t="str">
        <f t="shared" si="897"/>
        <v>cancel</v>
      </c>
      <c r="B3068" s="152"/>
      <c r="C3068" s="152" t="s">
        <v>185</v>
      </c>
      <c r="D3068" s="33" t="str">
        <f t="shared" si="898"/>
        <v/>
      </c>
      <c r="E3068" s="33" t="s">
        <v>185</v>
      </c>
      <c r="F3068" s="13" t="s">
        <v>185</v>
      </c>
      <c r="G3068" s="152" t="s">
        <v>185</v>
      </c>
      <c r="H3068" s="155"/>
      <c r="I3068" s="33" t="str">
        <f t="shared" si="899"/>
        <v>Cancel</v>
      </c>
      <c r="J3068" s="186" t="s">
        <v>2646</v>
      </c>
      <c r="K3068" s="155" t="s">
        <v>676</v>
      </c>
      <c r="L3068" s="17" t="s">
        <v>67</v>
      </c>
      <c r="M3068" s="13" t="s">
        <v>60</v>
      </c>
      <c r="N3068" s="13">
        <v>1</v>
      </c>
      <c r="O3068" s="13"/>
      <c r="P3068" s="33" t="str">
        <f t="shared" si="910"/>
        <v>MAIN UNIT</v>
      </c>
      <c r="Q3068" s="13" t="s">
        <v>61</v>
      </c>
      <c r="R3068" s="13" t="s">
        <v>62</v>
      </c>
      <c r="S3068" s="13" t="s">
        <v>49</v>
      </c>
      <c r="T3068" s="13" t="s">
        <v>396</v>
      </c>
      <c r="U3068" s="13" t="s">
        <v>79</v>
      </c>
      <c r="V3068" s="13" t="s">
        <v>134</v>
      </c>
      <c r="W3068" s="13" t="s">
        <v>109</v>
      </c>
      <c r="X3068" s="135">
        <v>10000000</v>
      </c>
      <c r="Y3068" s="156">
        <v>1</v>
      </c>
      <c r="Z3068" s="18">
        <f t="shared" si="908"/>
        <v>10000000</v>
      </c>
      <c r="AA3068" s="13">
        <v>7.2999999999999995E-2</v>
      </c>
      <c r="AB3068" s="21">
        <f t="shared" ref="AB3068:AB3131" si="912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895"/>
        <v>499582152.5142017</v>
      </c>
      <c r="AJ3068" s="19">
        <f t="shared" si="896"/>
        <v>59520528.679470733</v>
      </c>
      <c r="AK3068" s="20">
        <f t="shared" si="902"/>
        <v>0.11914062257814291</v>
      </c>
      <c r="AL3068" s="17"/>
      <c r="AM3068" s="17"/>
      <c r="AN3068" s="17"/>
      <c r="AO3068" s="17"/>
      <c r="AP3068" s="28" t="str">
        <f t="shared" si="903"/>
        <v>CancelCancel</v>
      </c>
      <c r="AQ3068" s="28" t="str">
        <f t="shared" si="904"/>
        <v>CancelCancelJPY</v>
      </c>
      <c r="AR3068" s="206" t="str">
        <f t="shared" si="905"/>
        <v>YAMAHA_Mounter</v>
      </c>
      <c r="AS3068" s="22" t="str">
        <f t="shared" si="906"/>
        <v/>
      </c>
      <c r="AT3068" s="24" t="str">
        <f t="shared" si="907"/>
        <v/>
      </c>
      <c r="AU3068" s="22" t="s">
        <v>3745</v>
      </c>
    </row>
    <row r="3069" spans="1:47" s="12" customFormat="1">
      <c r="A3069" s="33" t="str">
        <f t="shared" si="897"/>
        <v>cancel</v>
      </c>
      <c r="B3069" s="152"/>
      <c r="C3069" s="152" t="s">
        <v>185</v>
      </c>
      <c r="D3069" s="33" t="str">
        <f t="shared" si="898"/>
        <v/>
      </c>
      <c r="E3069" s="33" t="s">
        <v>185</v>
      </c>
      <c r="F3069" s="13" t="s">
        <v>185</v>
      </c>
      <c r="G3069" s="152" t="s">
        <v>185</v>
      </c>
      <c r="H3069" s="155"/>
      <c r="I3069" s="33" t="str">
        <f t="shared" si="899"/>
        <v>Cancel</v>
      </c>
      <c r="J3069" s="186" t="s">
        <v>2646</v>
      </c>
      <c r="K3069" s="155" t="s">
        <v>676</v>
      </c>
      <c r="L3069" s="17" t="s">
        <v>67</v>
      </c>
      <c r="M3069" s="13" t="s">
        <v>60</v>
      </c>
      <c r="N3069" s="13">
        <v>1</v>
      </c>
      <c r="O3069" s="13"/>
      <c r="P3069" s="33" t="str">
        <f t="shared" si="910"/>
        <v>MAIN UNIT</v>
      </c>
      <c r="Q3069" s="13" t="s">
        <v>61</v>
      </c>
      <c r="R3069" s="13" t="s">
        <v>62</v>
      </c>
      <c r="S3069" s="13" t="s">
        <v>49</v>
      </c>
      <c r="T3069" s="13" t="s">
        <v>396</v>
      </c>
      <c r="U3069" s="13" t="s">
        <v>79</v>
      </c>
      <c r="V3069" s="13" t="s">
        <v>134</v>
      </c>
      <c r="W3069" s="13" t="s">
        <v>109</v>
      </c>
      <c r="X3069" s="135">
        <v>10000000</v>
      </c>
      <c r="Y3069" s="156">
        <v>1</v>
      </c>
      <c r="Z3069" s="18">
        <f t="shared" si="908"/>
        <v>10000000</v>
      </c>
      <c r="AA3069" s="13">
        <v>7.2999999999999995E-2</v>
      </c>
      <c r="AB3069" s="21">
        <f t="shared" si="912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895"/>
        <v>499582152.5142017</v>
      </c>
      <c r="AJ3069" s="19">
        <f t="shared" si="896"/>
        <v>59520528.679470733</v>
      </c>
      <c r="AK3069" s="20">
        <f t="shared" si="902"/>
        <v>0.11914062257814291</v>
      </c>
      <c r="AL3069" s="17"/>
      <c r="AM3069" s="17"/>
      <c r="AN3069" s="17"/>
      <c r="AO3069" s="17"/>
      <c r="AP3069" s="28" t="str">
        <f t="shared" si="903"/>
        <v>CancelCancel</v>
      </c>
      <c r="AQ3069" s="28" t="str">
        <f t="shared" si="904"/>
        <v>CancelCancelJPY</v>
      </c>
      <c r="AR3069" s="206" t="str">
        <f t="shared" si="905"/>
        <v>YAMAHA_Mounter</v>
      </c>
      <c r="AS3069" s="22" t="str">
        <f t="shared" si="906"/>
        <v/>
      </c>
      <c r="AT3069" s="24" t="str">
        <f t="shared" si="907"/>
        <v/>
      </c>
      <c r="AU3069" s="22" t="s">
        <v>3745</v>
      </c>
    </row>
    <row r="3070" spans="1:47" s="12" customFormat="1">
      <c r="A3070" s="33" t="str">
        <f t="shared" si="897"/>
        <v>cancel</v>
      </c>
      <c r="B3070" s="152"/>
      <c r="C3070" s="152" t="s">
        <v>185</v>
      </c>
      <c r="D3070" s="33" t="str">
        <f t="shared" si="898"/>
        <v/>
      </c>
      <c r="E3070" s="33" t="s">
        <v>185</v>
      </c>
      <c r="F3070" s="13" t="s">
        <v>185</v>
      </c>
      <c r="G3070" s="152" t="s">
        <v>185</v>
      </c>
      <c r="H3070" s="155"/>
      <c r="I3070" s="33" t="str">
        <f t="shared" si="899"/>
        <v>Cancel</v>
      </c>
      <c r="J3070" s="186" t="s">
        <v>2646</v>
      </c>
      <c r="K3070" s="155" t="s">
        <v>676</v>
      </c>
      <c r="L3070" s="17" t="s">
        <v>67</v>
      </c>
      <c r="M3070" s="13" t="s">
        <v>60</v>
      </c>
      <c r="N3070" s="13">
        <v>1</v>
      </c>
      <c r="O3070" s="13"/>
      <c r="P3070" s="33" t="str">
        <f t="shared" si="910"/>
        <v>MAIN UNIT</v>
      </c>
      <c r="Q3070" s="13" t="s">
        <v>61</v>
      </c>
      <c r="R3070" s="13" t="s">
        <v>62</v>
      </c>
      <c r="S3070" s="13" t="s">
        <v>49</v>
      </c>
      <c r="T3070" s="13" t="s">
        <v>396</v>
      </c>
      <c r="U3070" s="13" t="s">
        <v>79</v>
      </c>
      <c r="V3070" s="13" t="s">
        <v>134</v>
      </c>
      <c r="W3070" s="13" t="s">
        <v>109</v>
      </c>
      <c r="X3070" s="135">
        <v>10000000</v>
      </c>
      <c r="Y3070" s="156">
        <v>1</v>
      </c>
      <c r="Z3070" s="18">
        <f t="shared" si="908"/>
        <v>10000000</v>
      </c>
      <c r="AA3070" s="13">
        <v>7.2999999999999995E-2</v>
      </c>
      <c r="AB3070" s="21">
        <f t="shared" si="912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895"/>
        <v>499582152.5142017</v>
      </c>
      <c r="AJ3070" s="19">
        <f t="shared" si="896"/>
        <v>59520528.679470733</v>
      </c>
      <c r="AK3070" s="20">
        <f t="shared" si="902"/>
        <v>0.11914062257814291</v>
      </c>
      <c r="AL3070" s="17"/>
      <c r="AM3070" s="17"/>
      <c r="AN3070" s="17"/>
      <c r="AO3070" s="17"/>
      <c r="AP3070" s="28" t="str">
        <f t="shared" si="903"/>
        <v>CancelCancel</v>
      </c>
      <c r="AQ3070" s="28" t="str">
        <f t="shared" si="904"/>
        <v>CancelCancelJPY</v>
      </c>
      <c r="AR3070" s="206" t="str">
        <f t="shared" si="905"/>
        <v>YAMAHA_Mounter</v>
      </c>
      <c r="AS3070" s="22" t="str">
        <f t="shared" si="906"/>
        <v/>
      </c>
      <c r="AT3070" s="24" t="str">
        <f t="shared" si="907"/>
        <v/>
      </c>
      <c r="AU3070" s="22" t="s">
        <v>3745</v>
      </c>
    </row>
    <row r="3071" spans="1:47" s="12" customFormat="1">
      <c r="A3071" s="33" t="str">
        <f t="shared" si="897"/>
        <v>cancel</v>
      </c>
      <c r="B3071" s="152"/>
      <c r="C3071" s="152" t="s">
        <v>185</v>
      </c>
      <c r="D3071" s="33" t="str">
        <f t="shared" si="898"/>
        <v/>
      </c>
      <c r="E3071" s="33" t="s">
        <v>185</v>
      </c>
      <c r="F3071" s="13" t="s">
        <v>185</v>
      </c>
      <c r="G3071" s="152" t="s">
        <v>185</v>
      </c>
      <c r="H3071" s="155"/>
      <c r="I3071" s="33" t="str">
        <f t="shared" si="899"/>
        <v>Cancel</v>
      </c>
      <c r="J3071" s="186" t="s">
        <v>2646</v>
      </c>
      <c r="K3071" s="155" t="s">
        <v>676</v>
      </c>
      <c r="L3071" s="17" t="s">
        <v>92</v>
      </c>
      <c r="M3071" s="13" t="s">
        <v>60</v>
      </c>
      <c r="N3071" s="13">
        <v>1</v>
      </c>
      <c r="O3071" s="13"/>
      <c r="P3071" s="33" t="str">
        <f t="shared" si="910"/>
        <v>MAIN UNIT</v>
      </c>
      <c r="Q3071" s="13" t="s">
        <v>61</v>
      </c>
      <c r="R3071" s="13" t="s">
        <v>62</v>
      </c>
      <c r="S3071" s="13" t="s">
        <v>49</v>
      </c>
      <c r="T3071" s="13" t="s">
        <v>396</v>
      </c>
      <c r="U3071" s="13" t="s">
        <v>79</v>
      </c>
      <c r="V3071" s="13" t="s">
        <v>134</v>
      </c>
      <c r="W3071" s="13" t="s">
        <v>109</v>
      </c>
      <c r="X3071" s="135">
        <v>12650000</v>
      </c>
      <c r="Y3071" s="156">
        <v>1</v>
      </c>
      <c r="Z3071" s="18">
        <f t="shared" si="908"/>
        <v>12650000</v>
      </c>
      <c r="AA3071" s="13">
        <v>7.3499999999999996E-2</v>
      </c>
      <c r="AB3071" s="21">
        <f t="shared" si="912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895"/>
        <v>499582152.5142017</v>
      </c>
      <c r="AJ3071" s="19">
        <f t="shared" si="896"/>
        <v>59520528.679470733</v>
      </c>
      <c r="AK3071" s="20">
        <f t="shared" si="902"/>
        <v>0.11914062257814291</v>
      </c>
      <c r="AL3071" s="17"/>
      <c r="AM3071" s="17"/>
      <c r="AN3071" s="17"/>
      <c r="AO3071" s="17"/>
      <c r="AP3071" s="28" t="str">
        <f t="shared" si="903"/>
        <v>CancelCancel</v>
      </c>
      <c r="AQ3071" s="28" t="str">
        <f t="shared" si="904"/>
        <v>CancelCancelJPY</v>
      </c>
      <c r="AR3071" s="206" t="str">
        <f t="shared" si="905"/>
        <v>YAMAHA_Mounter</v>
      </c>
      <c r="AS3071" s="22" t="str">
        <f t="shared" si="906"/>
        <v/>
      </c>
      <c r="AT3071" s="24" t="str">
        <f t="shared" si="907"/>
        <v/>
      </c>
      <c r="AU3071" s="22" t="s">
        <v>3745</v>
      </c>
    </row>
    <row r="3072" spans="1:47" s="12" customFormat="1">
      <c r="A3072" s="33" t="str">
        <f t="shared" si="897"/>
        <v>cancel</v>
      </c>
      <c r="B3072" s="152"/>
      <c r="C3072" s="152" t="s">
        <v>185</v>
      </c>
      <c r="D3072" s="33" t="str">
        <f t="shared" si="898"/>
        <v/>
      </c>
      <c r="E3072" s="33" t="s">
        <v>185</v>
      </c>
      <c r="F3072" s="13" t="s">
        <v>185</v>
      </c>
      <c r="G3072" s="152" t="s">
        <v>185</v>
      </c>
      <c r="H3072" s="155"/>
      <c r="I3072" s="33" t="str">
        <f t="shared" si="899"/>
        <v>Cancel</v>
      </c>
      <c r="J3072" s="186" t="s">
        <v>2646</v>
      </c>
      <c r="K3072" s="155" t="s">
        <v>676</v>
      </c>
      <c r="L3072" s="17" t="s">
        <v>92</v>
      </c>
      <c r="M3072" s="13" t="s">
        <v>60</v>
      </c>
      <c r="N3072" s="13">
        <v>1</v>
      </c>
      <c r="O3072" s="13"/>
      <c r="P3072" s="33" t="str">
        <f t="shared" si="910"/>
        <v>MAIN UNIT</v>
      </c>
      <c r="Q3072" s="13" t="s">
        <v>61</v>
      </c>
      <c r="R3072" s="13" t="s">
        <v>62</v>
      </c>
      <c r="S3072" s="13" t="s">
        <v>49</v>
      </c>
      <c r="T3072" s="13" t="s">
        <v>396</v>
      </c>
      <c r="U3072" s="13" t="s">
        <v>79</v>
      </c>
      <c r="V3072" s="13" t="s">
        <v>134</v>
      </c>
      <c r="W3072" s="13" t="s">
        <v>109</v>
      </c>
      <c r="X3072" s="135">
        <v>12650000</v>
      </c>
      <c r="Y3072" s="156">
        <v>1</v>
      </c>
      <c r="Z3072" s="18">
        <f t="shared" si="908"/>
        <v>12650000</v>
      </c>
      <c r="AA3072" s="13">
        <v>7.3499999999999996E-2</v>
      </c>
      <c r="AB3072" s="21">
        <f t="shared" si="912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895"/>
        <v>499582152.5142017</v>
      </c>
      <c r="AJ3072" s="19">
        <f t="shared" si="896"/>
        <v>59520528.679470733</v>
      </c>
      <c r="AK3072" s="20">
        <f t="shared" si="902"/>
        <v>0.11914062257814291</v>
      </c>
      <c r="AL3072" s="17"/>
      <c r="AM3072" s="17"/>
      <c r="AN3072" s="17"/>
      <c r="AO3072" s="17"/>
      <c r="AP3072" s="28" t="str">
        <f t="shared" si="903"/>
        <v>CancelCancel</v>
      </c>
      <c r="AQ3072" s="28" t="str">
        <f t="shared" si="904"/>
        <v>CancelCancelJPY</v>
      </c>
      <c r="AR3072" s="206" t="str">
        <f t="shared" si="905"/>
        <v>YAMAHA_Mounter</v>
      </c>
      <c r="AS3072" s="22" t="str">
        <f t="shared" si="906"/>
        <v/>
      </c>
      <c r="AT3072" s="24" t="str">
        <f t="shared" si="907"/>
        <v/>
      </c>
      <c r="AU3072" s="22" t="s">
        <v>3745</v>
      </c>
    </row>
    <row r="3073" spans="1:47" s="12" customFormat="1">
      <c r="A3073" s="33" t="str">
        <f t="shared" si="897"/>
        <v>cancel</v>
      </c>
      <c r="B3073" s="152"/>
      <c r="C3073" s="152" t="s">
        <v>185</v>
      </c>
      <c r="D3073" s="33" t="str">
        <f t="shared" si="898"/>
        <v/>
      </c>
      <c r="E3073" s="33" t="s">
        <v>185</v>
      </c>
      <c r="F3073" s="13" t="s">
        <v>185</v>
      </c>
      <c r="G3073" s="152" t="s">
        <v>185</v>
      </c>
      <c r="H3073" s="155"/>
      <c r="I3073" s="33" t="str">
        <f t="shared" si="899"/>
        <v>Cancel</v>
      </c>
      <c r="J3073" s="186" t="s">
        <v>2646</v>
      </c>
      <c r="K3073" s="155" t="s">
        <v>676</v>
      </c>
      <c r="L3073" s="17" t="s">
        <v>92</v>
      </c>
      <c r="M3073" s="13" t="s">
        <v>60</v>
      </c>
      <c r="N3073" s="13">
        <v>1</v>
      </c>
      <c r="O3073" s="13"/>
      <c r="P3073" s="33" t="str">
        <f t="shared" si="910"/>
        <v>MAIN UNIT</v>
      </c>
      <c r="Q3073" s="13" t="s">
        <v>61</v>
      </c>
      <c r="R3073" s="13" t="s">
        <v>62</v>
      </c>
      <c r="S3073" s="13" t="s">
        <v>49</v>
      </c>
      <c r="T3073" s="13" t="s">
        <v>396</v>
      </c>
      <c r="U3073" s="13" t="s">
        <v>79</v>
      </c>
      <c r="V3073" s="13" t="s">
        <v>134</v>
      </c>
      <c r="W3073" s="13" t="s">
        <v>109</v>
      </c>
      <c r="X3073" s="135">
        <v>12650000</v>
      </c>
      <c r="Y3073" s="156">
        <v>1</v>
      </c>
      <c r="Z3073" s="18">
        <f t="shared" si="908"/>
        <v>12650000</v>
      </c>
      <c r="AA3073" s="13">
        <v>7.3499999999999996E-2</v>
      </c>
      <c r="AB3073" s="21">
        <f t="shared" si="912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895"/>
        <v>499582152.5142017</v>
      </c>
      <c r="AJ3073" s="19">
        <f t="shared" si="896"/>
        <v>59520528.679470733</v>
      </c>
      <c r="AK3073" s="20">
        <f t="shared" si="902"/>
        <v>0.11914062257814291</v>
      </c>
      <c r="AL3073" s="17"/>
      <c r="AM3073" s="17"/>
      <c r="AN3073" s="17"/>
      <c r="AO3073" s="17"/>
      <c r="AP3073" s="28" t="str">
        <f t="shared" si="903"/>
        <v>CancelCancel</v>
      </c>
      <c r="AQ3073" s="28" t="str">
        <f t="shared" si="904"/>
        <v>CancelCancelJPY</v>
      </c>
      <c r="AR3073" s="206" t="str">
        <f t="shared" si="905"/>
        <v>YAMAHA_Mounter</v>
      </c>
      <c r="AS3073" s="22" t="str">
        <f t="shared" si="906"/>
        <v/>
      </c>
      <c r="AT3073" s="24" t="str">
        <f t="shared" si="907"/>
        <v/>
      </c>
      <c r="AU3073" s="22" t="s">
        <v>3745</v>
      </c>
    </row>
    <row r="3074" spans="1:47" s="12" customFormat="1">
      <c r="A3074" s="33" t="str">
        <f t="shared" si="897"/>
        <v>cancel</v>
      </c>
      <c r="B3074" s="152"/>
      <c r="C3074" s="152" t="s">
        <v>185</v>
      </c>
      <c r="D3074" s="33" t="str">
        <f t="shared" si="898"/>
        <v/>
      </c>
      <c r="E3074" s="33" t="s">
        <v>185</v>
      </c>
      <c r="F3074" s="13" t="s">
        <v>185</v>
      </c>
      <c r="G3074" s="152" t="s">
        <v>185</v>
      </c>
      <c r="H3074" s="155"/>
      <c r="I3074" s="33" t="str">
        <f t="shared" si="899"/>
        <v>Cancel</v>
      </c>
      <c r="J3074" s="186" t="s">
        <v>2646</v>
      </c>
      <c r="K3074" s="155" t="s">
        <v>676</v>
      </c>
      <c r="L3074" s="17" t="s">
        <v>92</v>
      </c>
      <c r="M3074" s="13" t="s">
        <v>60</v>
      </c>
      <c r="N3074" s="13">
        <v>1</v>
      </c>
      <c r="O3074" s="13"/>
      <c r="P3074" s="33" t="str">
        <f t="shared" si="910"/>
        <v>MAIN UNIT</v>
      </c>
      <c r="Q3074" s="13" t="s">
        <v>61</v>
      </c>
      <c r="R3074" s="13" t="s">
        <v>62</v>
      </c>
      <c r="S3074" s="13" t="s">
        <v>49</v>
      </c>
      <c r="T3074" s="13" t="s">
        <v>396</v>
      </c>
      <c r="U3074" s="13" t="s">
        <v>79</v>
      </c>
      <c r="V3074" s="13" t="s">
        <v>134</v>
      </c>
      <c r="W3074" s="13" t="s">
        <v>109</v>
      </c>
      <c r="X3074" s="135">
        <v>12650000</v>
      </c>
      <c r="Y3074" s="156">
        <v>1</v>
      </c>
      <c r="Z3074" s="18">
        <f t="shared" si="908"/>
        <v>12650000</v>
      </c>
      <c r="AA3074" s="13">
        <v>7.3499999999999996E-2</v>
      </c>
      <c r="AB3074" s="21">
        <f t="shared" si="912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ref="AI3074:AI3137" si="913">IF(P3074="C66 SERVICE","",SUMIFS(AB:AB,F:F,F3074,G:G,G3074,E:E,E3074))</f>
        <v>499582152.5142017</v>
      </c>
      <c r="AJ3074" s="19">
        <f t="shared" ref="AJ3074:AJ3137" si="914">IF(P3074="C66 SERVICE","",SUMIFS(AC:AC,F:F,F3074,G:G,G3074,E:E,E3074))</f>
        <v>59520528.679470733</v>
      </c>
      <c r="AK3074" s="20">
        <f t="shared" si="902"/>
        <v>0.11914062257814291</v>
      </c>
      <c r="AL3074" s="17"/>
      <c r="AM3074" s="17"/>
      <c r="AN3074" s="17"/>
      <c r="AO3074" s="17"/>
      <c r="AP3074" s="28" t="str">
        <f t="shared" si="903"/>
        <v>CancelCancel</v>
      </c>
      <c r="AQ3074" s="28" t="str">
        <f t="shared" si="904"/>
        <v>CancelCancelJPY</v>
      </c>
      <c r="AR3074" s="206" t="str">
        <f t="shared" si="905"/>
        <v>YAMAHA_Mounter</v>
      </c>
      <c r="AS3074" s="22" t="str">
        <f t="shared" si="906"/>
        <v/>
      </c>
      <c r="AT3074" s="24" t="str">
        <f t="shared" si="907"/>
        <v/>
      </c>
      <c r="AU3074" s="22" t="s">
        <v>3745</v>
      </c>
    </row>
    <row r="3075" spans="1:47" s="12" customFormat="1">
      <c r="A3075" s="33" t="str">
        <f t="shared" si="897"/>
        <v>cancel</v>
      </c>
      <c r="B3075" s="152"/>
      <c r="C3075" s="152" t="s">
        <v>185</v>
      </c>
      <c r="D3075" s="33" t="str">
        <f t="shared" si="898"/>
        <v/>
      </c>
      <c r="E3075" s="33" t="s">
        <v>185</v>
      </c>
      <c r="F3075" s="13" t="s">
        <v>185</v>
      </c>
      <c r="G3075" s="152" t="s">
        <v>185</v>
      </c>
      <c r="H3075" s="155"/>
      <c r="I3075" s="33" t="str">
        <f t="shared" si="899"/>
        <v>Cancel</v>
      </c>
      <c r="J3075" s="186" t="s">
        <v>2646</v>
      </c>
      <c r="K3075" s="155" t="s">
        <v>676</v>
      </c>
      <c r="L3075" s="17" t="s">
        <v>92</v>
      </c>
      <c r="M3075" s="13" t="s">
        <v>60</v>
      </c>
      <c r="N3075" s="13">
        <v>1</v>
      </c>
      <c r="O3075" s="13"/>
      <c r="P3075" s="33" t="str">
        <f t="shared" si="910"/>
        <v>MAIN UNIT</v>
      </c>
      <c r="Q3075" s="13" t="s">
        <v>61</v>
      </c>
      <c r="R3075" s="13" t="s">
        <v>62</v>
      </c>
      <c r="S3075" s="13" t="s">
        <v>49</v>
      </c>
      <c r="T3075" s="13" t="s">
        <v>396</v>
      </c>
      <c r="U3075" s="13" t="s">
        <v>79</v>
      </c>
      <c r="V3075" s="13" t="s">
        <v>134</v>
      </c>
      <c r="W3075" s="13" t="s">
        <v>109</v>
      </c>
      <c r="X3075" s="135">
        <v>12650000</v>
      </c>
      <c r="Y3075" s="156">
        <v>1</v>
      </c>
      <c r="Z3075" s="18">
        <f t="shared" si="908"/>
        <v>12650000</v>
      </c>
      <c r="AA3075" s="13">
        <v>7.3499999999999996E-2</v>
      </c>
      <c r="AB3075" s="21">
        <f t="shared" si="912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13"/>
        <v>499582152.5142017</v>
      </c>
      <c r="AJ3075" s="19">
        <f t="shared" si="914"/>
        <v>59520528.679470733</v>
      </c>
      <c r="AK3075" s="20">
        <f t="shared" si="902"/>
        <v>0.11914062257814291</v>
      </c>
      <c r="AL3075" s="17"/>
      <c r="AM3075" s="17"/>
      <c r="AN3075" s="17"/>
      <c r="AO3075" s="17"/>
      <c r="AP3075" s="28" t="str">
        <f t="shared" si="903"/>
        <v>CancelCancel</v>
      </c>
      <c r="AQ3075" s="28" t="str">
        <f t="shared" si="904"/>
        <v>CancelCancelJPY</v>
      </c>
      <c r="AR3075" s="206" t="str">
        <f t="shared" si="905"/>
        <v>YAMAHA_Mounter</v>
      </c>
      <c r="AS3075" s="22" t="str">
        <f t="shared" si="906"/>
        <v/>
      </c>
      <c r="AT3075" s="24" t="str">
        <f t="shared" si="907"/>
        <v/>
      </c>
      <c r="AU3075" s="22" t="s">
        <v>3745</v>
      </c>
    </row>
    <row r="3076" spans="1:47" s="12" customFormat="1">
      <c r="A3076" s="33" t="str">
        <f t="shared" si="897"/>
        <v>cancel</v>
      </c>
      <c r="B3076" s="152"/>
      <c r="C3076" s="152" t="s">
        <v>185</v>
      </c>
      <c r="D3076" s="33" t="str">
        <f t="shared" si="898"/>
        <v/>
      </c>
      <c r="E3076" s="33" t="s">
        <v>185</v>
      </c>
      <c r="F3076" s="13" t="s">
        <v>185</v>
      </c>
      <c r="G3076" s="152" t="s">
        <v>185</v>
      </c>
      <c r="H3076" s="155"/>
      <c r="I3076" s="33" t="str">
        <f t="shared" si="899"/>
        <v>Cancel</v>
      </c>
      <c r="J3076" s="186" t="s">
        <v>2646</v>
      </c>
      <c r="K3076" s="155" t="s">
        <v>676</v>
      </c>
      <c r="L3076" s="17" t="s">
        <v>92</v>
      </c>
      <c r="M3076" s="13" t="s">
        <v>60</v>
      </c>
      <c r="N3076" s="13">
        <v>1</v>
      </c>
      <c r="O3076" s="13"/>
      <c r="P3076" s="33" t="str">
        <f t="shared" si="910"/>
        <v>MAIN UNIT</v>
      </c>
      <c r="Q3076" s="13" t="s">
        <v>61</v>
      </c>
      <c r="R3076" s="13" t="s">
        <v>62</v>
      </c>
      <c r="S3076" s="13" t="s">
        <v>49</v>
      </c>
      <c r="T3076" s="13" t="s">
        <v>396</v>
      </c>
      <c r="U3076" s="13" t="s">
        <v>79</v>
      </c>
      <c r="V3076" s="13" t="s">
        <v>134</v>
      </c>
      <c r="W3076" s="13" t="s">
        <v>109</v>
      </c>
      <c r="X3076" s="135">
        <v>12650000</v>
      </c>
      <c r="Y3076" s="156">
        <v>1</v>
      </c>
      <c r="Z3076" s="18">
        <f t="shared" si="908"/>
        <v>12650000</v>
      </c>
      <c r="AA3076" s="13">
        <v>7.3499999999999996E-2</v>
      </c>
      <c r="AB3076" s="21">
        <f t="shared" si="912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13"/>
        <v>499582152.5142017</v>
      </c>
      <c r="AJ3076" s="19">
        <f t="shared" si="914"/>
        <v>59520528.679470733</v>
      </c>
      <c r="AK3076" s="20">
        <f t="shared" si="902"/>
        <v>0.11914062257814291</v>
      </c>
      <c r="AL3076" s="17"/>
      <c r="AM3076" s="17"/>
      <c r="AN3076" s="17"/>
      <c r="AO3076" s="17"/>
      <c r="AP3076" s="28" t="str">
        <f t="shared" si="903"/>
        <v>CancelCancel</v>
      </c>
      <c r="AQ3076" s="28" t="str">
        <f t="shared" si="904"/>
        <v>CancelCancelJPY</v>
      </c>
      <c r="AR3076" s="206" t="str">
        <f t="shared" si="905"/>
        <v>YAMAHA_Mounter</v>
      </c>
      <c r="AS3076" s="22" t="str">
        <f t="shared" si="906"/>
        <v/>
      </c>
      <c r="AT3076" s="24" t="str">
        <f t="shared" si="907"/>
        <v/>
      </c>
      <c r="AU3076" s="22" t="s">
        <v>3745</v>
      </c>
    </row>
    <row r="3077" spans="1:47" s="12" customFormat="1">
      <c r="A3077" s="33" t="str">
        <f t="shared" si="897"/>
        <v>cancel</v>
      </c>
      <c r="B3077" s="152"/>
      <c r="C3077" s="152" t="s">
        <v>185</v>
      </c>
      <c r="D3077" s="33" t="str">
        <f t="shared" si="898"/>
        <v/>
      </c>
      <c r="E3077" s="33" t="s">
        <v>185</v>
      </c>
      <c r="F3077" s="13" t="s">
        <v>185</v>
      </c>
      <c r="G3077" s="152" t="s">
        <v>185</v>
      </c>
      <c r="H3077" s="155"/>
      <c r="I3077" s="33" t="str">
        <f t="shared" si="899"/>
        <v>Cancel</v>
      </c>
      <c r="J3077" s="186" t="s">
        <v>2646</v>
      </c>
      <c r="K3077" s="155" t="s">
        <v>676</v>
      </c>
      <c r="L3077" s="17" t="s">
        <v>92</v>
      </c>
      <c r="M3077" s="13" t="s">
        <v>60</v>
      </c>
      <c r="N3077" s="13">
        <v>1</v>
      </c>
      <c r="O3077" s="13"/>
      <c r="P3077" s="33" t="str">
        <f t="shared" si="910"/>
        <v>MAIN UNIT</v>
      </c>
      <c r="Q3077" s="13" t="s">
        <v>61</v>
      </c>
      <c r="R3077" s="13" t="s">
        <v>62</v>
      </c>
      <c r="S3077" s="13" t="s">
        <v>49</v>
      </c>
      <c r="T3077" s="13" t="s">
        <v>396</v>
      </c>
      <c r="U3077" s="13" t="s">
        <v>79</v>
      </c>
      <c r="V3077" s="13" t="s">
        <v>134</v>
      </c>
      <c r="W3077" s="13" t="s">
        <v>109</v>
      </c>
      <c r="X3077" s="135">
        <v>12650000</v>
      </c>
      <c r="Y3077" s="156">
        <v>1</v>
      </c>
      <c r="Z3077" s="18">
        <f t="shared" si="908"/>
        <v>12650000</v>
      </c>
      <c r="AA3077" s="13">
        <v>7.3499999999999996E-2</v>
      </c>
      <c r="AB3077" s="21">
        <f t="shared" si="912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13"/>
        <v>499582152.5142017</v>
      </c>
      <c r="AJ3077" s="19">
        <f t="shared" si="914"/>
        <v>59520528.679470733</v>
      </c>
      <c r="AK3077" s="20">
        <f t="shared" si="902"/>
        <v>0.11914062257814291</v>
      </c>
      <c r="AL3077" s="17"/>
      <c r="AM3077" s="17"/>
      <c r="AN3077" s="17"/>
      <c r="AO3077" s="17"/>
      <c r="AP3077" s="28" t="str">
        <f t="shared" si="903"/>
        <v>CancelCancel</v>
      </c>
      <c r="AQ3077" s="28" t="str">
        <f t="shared" si="904"/>
        <v>CancelCancelJPY</v>
      </c>
      <c r="AR3077" s="206" t="str">
        <f t="shared" si="905"/>
        <v>YAMAHA_Mounter</v>
      </c>
      <c r="AS3077" s="22" t="str">
        <f t="shared" si="906"/>
        <v/>
      </c>
      <c r="AT3077" s="24" t="str">
        <f t="shared" si="907"/>
        <v/>
      </c>
      <c r="AU3077" s="22" t="s">
        <v>3745</v>
      </c>
    </row>
    <row r="3078" spans="1:47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185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185</v>
      </c>
      <c r="F3078" s="13" t="s">
        <v>185</v>
      </c>
      <c r="G3078" s="152" t="s">
        <v>185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2646</v>
      </c>
      <c r="K3078" s="155" t="s">
        <v>676</v>
      </c>
      <c r="L3078" s="17" t="s">
        <v>92</v>
      </c>
      <c r="M3078" s="13" t="s">
        <v>60</v>
      </c>
      <c r="N3078" s="13">
        <v>1</v>
      </c>
      <c r="O3078" s="13"/>
      <c r="P3078" s="33" t="str">
        <f t="shared" si="910"/>
        <v>MAIN UNIT</v>
      </c>
      <c r="Q3078" s="13" t="s">
        <v>61</v>
      </c>
      <c r="R3078" s="13" t="s">
        <v>62</v>
      </c>
      <c r="S3078" s="13" t="s">
        <v>49</v>
      </c>
      <c r="T3078" s="13" t="s">
        <v>396</v>
      </c>
      <c r="U3078" s="13" t="s">
        <v>79</v>
      </c>
      <c r="V3078" s="13" t="s">
        <v>134</v>
      </c>
      <c r="W3078" s="13" t="s">
        <v>109</v>
      </c>
      <c r="X3078" s="135">
        <v>12650000</v>
      </c>
      <c r="Y3078" s="156">
        <v>1</v>
      </c>
      <c r="Z3078" s="18">
        <f t="shared" si="908"/>
        <v>12650000</v>
      </c>
      <c r="AA3078" s="13">
        <v>7.3499999999999996E-2</v>
      </c>
      <c r="AB3078" s="21">
        <f t="shared" si="912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si="913"/>
        <v>499582152.5142017</v>
      </c>
      <c r="AJ3078" s="19">
        <f t="shared" si="914"/>
        <v>59520528.679470733</v>
      </c>
      <c r="AK3078" s="20">
        <f t="shared" ref="AK3078:AK3141" si="920">IF(AJ3078&gt;0,AJ3078/AI3078,"")</f>
        <v>0.11914062257814291</v>
      </c>
      <c r="AL3078" s="17"/>
      <c r="AM3078" s="17"/>
      <c r="AN3078" s="17"/>
      <c r="AO3078" s="17"/>
      <c r="AP3078" s="28" t="str">
        <f t="shared" ref="AP3078:AP3141" si="921">IF(F3078="","",F3078&amp;G3078)</f>
        <v>CancelCancel</v>
      </c>
      <c r="AQ3078" s="28" t="str">
        <f t="shared" ref="AQ3078:AQ3141" si="922">IF(W3078="","",F3078&amp;G3078&amp;W3078)</f>
        <v>CancelCancelJPY</v>
      </c>
      <c r="AR3078" s="206" t="str">
        <f t="shared" ref="AR3078:AR3141" si="923">IFERROR(IF(AND(M3078="YAMAHA", R3078="C28"), "YAMAHA_Non_Mounter", IF(AND(M3078="YAMAHA", R3078="C49"), "YAMAHA_Mounter", M3078)),"")</f>
        <v>YAMAHA_Mounter</v>
      </c>
      <c r="AS3078" s="22" t="str">
        <f t="shared" ref="AS3078:AS3141" si="924">IFERROR(IF(OR(G3078="TBA", G3078=""), "", DATEDIF(DATE(B3078, C3078, 1), DATE(F3078, G3078, 1), "M")),"")</f>
        <v/>
      </c>
      <c r="AT3078" s="24" t="str">
        <f t="shared" ref="AT3078:AT3141" si="925">IF(ISNUMBER(AS3078), IF(AS3078&gt;=0, IF(AS3078&lt;=3, "0-3 months", IF(AS3078&lt;=6, "4-6 months", "&gt; 6 months"))), "")</f>
        <v/>
      </c>
      <c r="AU3078" s="22" t="s">
        <v>3745</v>
      </c>
    </row>
    <row r="3079" spans="1:47" s="12" customFormat="1">
      <c r="A3079" s="33" t="str">
        <f t="shared" si="915"/>
        <v>cancel</v>
      </c>
      <c r="B3079" s="152"/>
      <c r="C3079" s="152" t="s">
        <v>185</v>
      </c>
      <c r="D3079" s="33" t="str">
        <f t="shared" si="916"/>
        <v/>
      </c>
      <c r="E3079" s="33" t="s">
        <v>185</v>
      </c>
      <c r="F3079" s="13" t="s">
        <v>185</v>
      </c>
      <c r="G3079" s="152" t="s">
        <v>185</v>
      </c>
      <c r="H3079" s="155"/>
      <c r="I3079" s="33" t="str">
        <f t="shared" si="917"/>
        <v>Cancel</v>
      </c>
      <c r="J3079" s="186" t="s">
        <v>2646</v>
      </c>
      <c r="K3079" s="155" t="s">
        <v>676</v>
      </c>
      <c r="L3079" s="17" t="s">
        <v>92</v>
      </c>
      <c r="M3079" s="13" t="s">
        <v>60</v>
      </c>
      <c r="N3079" s="13">
        <v>1</v>
      </c>
      <c r="O3079" s="13"/>
      <c r="P3079" s="33" t="str">
        <f t="shared" si="910"/>
        <v>MAIN UNIT</v>
      </c>
      <c r="Q3079" s="13" t="s">
        <v>61</v>
      </c>
      <c r="R3079" s="13" t="s">
        <v>62</v>
      </c>
      <c r="S3079" s="13" t="s">
        <v>49</v>
      </c>
      <c r="T3079" s="13" t="s">
        <v>396</v>
      </c>
      <c r="U3079" s="13" t="s">
        <v>79</v>
      </c>
      <c r="V3079" s="13" t="s">
        <v>134</v>
      </c>
      <c r="W3079" s="13" t="s">
        <v>109</v>
      </c>
      <c r="X3079" s="135">
        <v>12650000</v>
      </c>
      <c r="Y3079" s="156">
        <v>1</v>
      </c>
      <c r="Z3079" s="18">
        <f t="shared" si="908"/>
        <v>12650000</v>
      </c>
      <c r="AA3079" s="13">
        <v>7.3499999999999996E-2</v>
      </c>
      <c r="AB3079" s="21">
        <f t="shared" si="912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13"/>
        <v>499582152.5142017</v>
      </c>
      <c r="AJ3079" s="19">
        <f t="shared" si="914"/>
        <v>59520528.679470733</v>
      </c>
      <c r="AK3079" s="20">
        <f t="shared" si="920"/>
        <v>0.11914062257814291</v>
      </c>
      <c r="AL3079" s="17"/>
      <c r="AM3079" s="17"/>
      <c r="AN3079" s="17"/>
      <c r="AO3079" s="17"/>
      <c r="AP3079" s="28" t="str">
        <f t="shared" si="921"/>
        <v>CancelCancel</v>
      </c>
      <c r="AQ3079" s="28" t="str">
        <f t="shared" si="922"/>
        <v>CancelCancelJPY</v>
      </c>
      <c r="AR3079" s="206" t="str">
        <f t="shared" si="923"/>
        <v>YAMAHA_Mounter</v>
      </c>
      <c r="AS3079" s="22" t="str">
        <f t="shared" si="924"/>
        <v/>
      </c>
      <c r="AT3079" s="24" t="str">
        <f t="shared" si="925"/>
        <v/>
      </c>
      <c r="AU3079" s="22" t="s">
        <v>3745</v>
      </c>
    </row>
    <row r="3080" spans="1:47" s="12" customFormat="1">
      <c r="A3080" s="33" t="str">
        <f t="shared" si="915"/>
        <v>cancel</v>
      </c>
      <c r="B3080" s="152"/>
      <c r="C3080" s="152" t="s">
        <v>185</v>
      </c>
      <c r="D3080" s="33" t="str">
        <f t="shared" si="916"/>
        <v/>
      </c>
      <c r="E3080" s="33" t="s">
        <v>185</v>
      </c>
      <c r="F3080" s="13" t="s">
        <v>185</v>
      </c>
      <c r="G3080" s="152" t="s">
        <v>185</v>
      </c>
      <c r="H3080" s="155"/>
      <c r="I3080" s="33" t="str">
        <f t="shared" si="917"/>
        <v>Cancel</v>
      </c>
      <c r="J3080" s="186" t="s">
        <v>2646</v>
      </c>
      <c r="K3080" s="155" t="s">
        <v>676</v>
      </c>
      <c r="L3080" s="17" t="s">
        <v>92</v>
      </c>
      <c r="M3080" s="13" t="s">
        <v>60</v>
      </c>
      <c r="N3080" s="13">
        <v>1</v>
      </c>
      <c r="O3080" s="13"/>
      <c r="P3080" s="33" t="str">
        <f t="shared" si="910"/>
        <v>MAIN UNIT</v>
      </c>
      <c r="Q3080" s="13" t="s">
        <v>61</v>
      </c>
      <c r="R3080" s="13" t="s">
        <v>62</v>
      </c>
      <c r="S3080" s="13" t="s">
        <v>49</v>
      </c>
      <c r="T3080" s="13" t="s">
        <v>396</v>
      </c>
      <c r="U3080" s="13" t="s">
        <v>79</v>
      </c>
      <c r="V3080" s="13" t="s">
        <v>134</v>
      </c>
      <c r="W3080" s="13" t="s">
        <v>109</v>
      </c>
      <c r="X3080" s="135">
        <v>12650000</v>
      </c>
      <c r="Y3080" s="156">
        <v>1</v>
      </c>
      <c r="Z3080" s="18">
        <f t="shared" si="908"/>
        <v>12650000</v>
      </c>
      <c r="AA3080" s="13">
        <v>7.3499999999999996E-2</v>
      </c>
      <c r="AB3080" s="21">
        <f t="shared" si="912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13"/>
        <v>499582152.5142017</v>
      </c>
      <c r="AJ3080" s="19">
        <f t="shared" si="914"/>
        <v>59520528.679470733</v>
      </c>
      <c r="AK3080" s="20">
        <f t="shared" si="920"/>
        <v>0.11914062257814291</v>
      </c>
      <c r="AL3080" s="17"/>
      <c r="AM3080" s="17"/>
      <c r="AN3080" s="17"/>
      <c r="AO3080" s="17"/>
      <c r="AP3080" s="28" t="str">
        <f t="shared" si="921"/>
        <v>CancelCancel</v>
      </c>
      <c r="AQ3080" s="28" t="str">
        <f t="shared" si="922"/>
        <v>CancelCancelJPY</v>
      </c>
      <c r="AR3080" s="206" t="str">
        <f t="shared" si="923"/>
        <v>YAMAHA_Mounter</v>
      </c>
      <c r="AS3080" s="22" t="str">
        <f t="shared" si="924"/>
        <v/>
      </c>
      <c r="AT3080" s="24" t="str">
        <f t="shared" si="925"/>
        <v/>
      </c>
      <c r="AU3080" s="22" t="s">
        <v>3745</v>
      </c>
    </row>
    <row r="3081" spans="1:47" s="12" customFormat="1">
      <c r="A3081" s="33" t="str">
        <f t="shared" si="915"/>
        <v>cancel</v>
      </c>
      <c r="B3081" s="152"/>
      <c r="C3081" s="152" t="s">
        <v>185</v>
      </c>
      <c r="D3081" s="33" t="str">
        <f t="shared" si="916"/>
        <v/>
      </c>
      <c r="E3081" s="33" t="s">
        <v>185</v>
      </c>
      <c r="F3081" s="13" t="s">
        <v>185</v>
      </c>
      <c r="G3081" s="152" t="s">
        <v>185</v>
      </c>
      <c r="H3081" s="155"/>
      <c r="I3081" s="33" t="str">
        <f t="shared" si="917"/>
        <v>Cancel</v>
      </c>
      <c r="J3081" s="186" t="s">
        <v>2646</v>
      </c>
      <c r="K3081" s="155" t="s">
        <v>676</v>
      </c>
      <c r="L3081" s="17" t="s">
        <v>92</v>
      </c>
      <c r="M3081" s="13" t="s">
        <v>60</v>
      </c>
      <c r="N3081" s="13">
        <v>1</v>
      </c>
      <c r="O3081" s="13"/>
      <c r="P3081" s="33" t="str">
        <f t="shared" si="910"/>
        <v>MAIN UNIT</v>
      </c>
      <c r="Q3081" s="13" t="s">
        <v>61</v>
      </c>
      <c r="R3081" s="13" t="s">
        <v>62</v>
      </c>
      <c r="S3081" s="13" t="s">
        <v>49</v>
      </c>
      <c r="T3081" s="13" t="s">
        <v>396</v>
      </c>
      <c r="U3081" s="13" t="s">
        <v>79</v>
      </c>
      <c r="V3081" s="13" t="s">
        <v>134</v>
      </c>
      <c r="W3081" s="13" t="s">
        <v>109</v>
      </c>
      <c r="X3081" s="135">
        <v>12650000</v>
      </c>
      <c r="Y3081" s="156">
        <v>1</v>
      </c>
      <c r="Z3081" s="18">
        <f t="shared" si="908"/>
        <v>12650000</v>
      </c>
      <c r="AA3081" s="13">
        <v>7.3499999999999996E-2</v>
      </c>
      <c r="AB3081" s="21">
        <f t="shared" si="912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13"/>
        <v>499582152.5142017</v>
      </c>
      <c r="AJ3081" s="19">
        <f t="shared" si="914"/>
        <v>59520528.679470733</v>
      </c>
      <c r="AK3081" s="20">
        <f t="shared" si="920"/>
        <v>0.11914062257814291</v>
      </c>
      <c r="AL3081" s="17"/>
      <c r="AM3081" s="17"/>
      <c r="AN3081" s="17"/>
      <c r="AO3081" s="17"/>
      <c r="AP3081" s="28" t="str">
        <f t="shared" si="921"/>
        <v>CancelCancel</v>
      </c>
      <c r="AQ3081" s="28" t="str">
        <f t="shared" si="922"/>
        <v>CancelCancelJPY</v>
      </c>
      <c r="AR3081" s="206" t="str">
        <f t="shared" si="923"/>
        <v>YAMAHA_Mounter</v>
      </c>
      <c r="AS3081" s="22" t="str">
        <f t="shared" si="924"/>
        <v/>
      </c>
      <c r="AT3081" s="24" t="str">
        <f t="shared" si="925"/>
        <v/>
      </c>
      <c r="AU3081" s="22" t="s">
        <v>3745</v>
      </c>
    </row>
    <row r="3082" spans="1:47" s="12" customFormat="1">
      <c r="A3082" s="33" t="str">
        <f t="shared" si="915"/>
        <v>cancel</v>
      </c>
      <c r="B3082" s="152"/>
      <c r="C3082" s="152" t="s">
        <v>185</v>
      </c>
      <c r="D3082" s="33" t="str">
        <f t="shared" si="916"/>
        <v/>
      </c>
      <c r="E3082" s="33" t="s">
        <v>185</v>
      </c>
      <c r="F3082" s="13" t="s">
        <v>185</v>
      </c>
      <c r="G3082" s="152" t="s">
        <v>185</v>
      </c>
      <c r="H3082" s="155"/>
      <c r="I3082" s="33" t="str">
        <f t="shared" si="917"/>
        <v>Cancel</v>
      </c>
      <c r="J3082" s="186" t="s">
        <v>2646</v>
      </c>
      <c r="K3082" s="155" t="s">
        <v>676</v>
      </c>
      <c r="L3082" s="17" t="s">
        <v>92</v>
      </c>
      <c r="M3082" s="13" t="s">
        <v>60</v>
      </c>
      <c r="N3082" s="13">
        <v>1</v>
      </c>
      <c r="O3082" s="13"/>
      <c r="P3082" s="33" t="str">
        <f t="shared" si="910"/>
        <v>MAIN UNIT</v>
      </c>
      <c r="Q3082" s="13" t="s">
        <v>61</v>
      </c>
      <c r="R3082" s="13" t="s">
        <v>62</v>
      </c>
      <c r="S3082" s="13" t="s">
        <v>49</v>
      </c>
      <c r="T3082" s="13" t="s">
        <v>396</v>
      </c>
      <c r="U3082" s="13" t="s">
        <v>79</v>
      </c>
      <c r="V3082" s="13" t="s">
        <v>134</v>
      </c>
      <c r="W3082" s="13" t="s">
        <v>109</v>
      </c>
      <c r="X3082" s="135">
        <v>12650000</v>
      </c>
      <c r="Y3082" s="156">
        <v>1</v>
      </c>
      <c r="Z3082" s="18">
        <f t="shared" ref="Z3082:Z3145" si="926">IF(X3082="","",X3082*MAX(O3082,N3082))</f>
        <v>12650000</v>
      </c>
      <c r="AA3082" s="13">
        <v>7.3499999999999996E-2</v>
      </c>
      <c r="AB3082" s="21">
        <f t="shared" si="912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13"/>
        <v>499582152.5142017</v>
      </c>
      <c r="AJ3082" s="19">
        <f t="shared" si="914"/>
        <v>59520528.679470733</v>
      </c>
      <c r="AK3082" s="20">
        <f t="shared" si="920"/>
        <v>0.11914062257814291</v>
      </c>
      <c r="AL3082" s="17"/>
      <c r="AM3082" s="17"/>
      <c r="AN3082" s="17"/>
      <c r="AO3082" s="17"/>
      <c r="AP3082" s="28" t="str">
        <f t="shared" si="921"/>
        <v>CancelCancel</v>
      </c>
      <c r="AQ3082" s="28" t="str">
        <f t="shared" si="922"/>
        <v>CancelCancelJPY</v>
      </c>
      <c r="AR3082" s="206" t="str">
        <f t="shared" si="923"/>
        <v>YAMAHA_Mounter</v>
      </c>
      <c r="AS3082" s="22" t="str">
        <f t="shared" si="924"/>
        <v/>
      </c>
      <c r="AT3082" s="24" t="str">
        <f t="shared" si="925"/>
        <v/>
      </c>
      <c r="AU3082" s="22" t="s">
        <v>3745</v>
      </c>
    </row>
    <row r="3083" spans="1:47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54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2419</v>
      </c>
      <c r="K3083" s="155" t="s">
        <v>2420</v>
      </c>
      <c r="L3083" s="17" t="s">
        <v>92</v>
      </c>
      <c r="M3083" s="13" t="s">
        <v>60</v>
      </c>
      <c r="N3083" s="13">
        <v>1</v>
      </c>
      <c r="O3083" s="13"/>
      <c r="P3083" s="33" t="str">
        <f t="shared" si="910"/>
        <v>MAIN UNIT</v>
      </c>
      <c r="Q3083" s="13" t="s">
        <v>68</v>
      </c>
      <c r="R3083" s="13" t="s">
        <v>62</v>
      </c>
      <c r="S3083" s="13" t="s">
        <v>49</v>
      </c>
      <c r="T3083" s="13" t="s">
        <v>78</v>
      </c>
      <c r="U3083" s="13" t="s">
        <v>79</v>
      </c>
      <c r="V3083" s="13" t="s">
        <v>112</v>
      </c>
      <c r="W3083" s="13" t="s">
        <v>64</v>
      </c>
      <c r="X3083" s="135">
        <v>1225000</v>
      </c>
      <c r="Y3083" s="157" t="str">
        <f>IF(W3083="RMB","1.13", "1")</f>
        <v>1.13</v>
      </c>
      <c r="Z3083" s="18">
        <f t="shared" si="926"/>
        <v>1225000</v>
      </c>
      <c r="AA3083" s="13">
        <v>1.1299999999999999</v>
      </c>
      <c r="AB3083" s="21">
        <f t="shared" si="912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13"/>
        <v>33543315.897345133</v>
      </c>
      <c r="AJ3083" s="19">
        <f t="shared" si="914"/>
        <v>4706169.3252984071</v>
      </c>
      <c r="AK3083" s="20">
        <f t="shared" si="920"/>
        <v>0.14030125523967318</v>
      </c>
      <c r="AL3083" s="17"/>
      <c r="AM3083" s="17"/>
      <c r="AN3083" s="17"/>
      <c r="AO3083" s="17"/>
      <c r="AP3083" s="28" t="str">
        <f t="shared" si="921"/>
        <v>20233</v>
      </c>
      <c r="AQ3083" s="28" t="str">
        <f t="shared" si="922"/>
        <v>20233RMB</v>
      </c>
      <c r="AR3083" s="206" t="str">
        <f t="shared" si="923"/>
        <v>YAMAHA_Mounter</v>
      </c>
      <c r="AS3083" s="22">
        <f t="shared" si="924"/>
        <v>2</v>
      </c>
      <c r="AT3083" s="24" t="str">
        <f t="shared" si="925"/>
        <v>0-3 months</v>
      </c>
      <c r="AU3083" s="22" t="s">
        <v>3751</v>
      </c>
    </row>
    <row r="3084" spans="1:47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54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2419</v>
      </c>
      <c r="K3084" s="155" t="s">
        <v>2420</v>
      </c>
      <c r="L3084" s="17" t="s">
        <v>92</v>
      </c>
      <c r="M3084" s="13" t="s">
        <v>60</v>
      </c>
      <c r="N3084" s="13">
        <v>1</v>
      </c>
      <c r="O3084" s="13"/>
      <c r="P3084" s="33" t="str">
        <f t="shared" si="910"/>
        <v>MAIN UNIT</v>
      </c>
      <c r="Q3084" s="13" t="s">
        <v>68</v>
      </c>
      <c r="R3084" s="13" t="s">
        <v>62</v>
      </c>
      <c r="S3084" s="13" t="s">
        <v>49</v>
      </c>
      <c r="T3084" s="13" t="s">
        <v>78</v>
      </c>
      <c r="U3084" s="13" t="s">
        <v>79</v>
      </c>
      <c r="V3084" s="13" t="s">
        <v>112</v>
      </c>
      <c r="W3084" s="13" t="s">
        <v>64</v>
      </c>
      <c r="X3084" s="135">
        <v>1225000</v>
      </c>
      <c r="Y3084" s="157" t="str">
        <f>IF(W3084="RMB","1.13", "1")</f>
        <v>1.13</v>
      </c>
      <c r="Z3084" s="18">
        <f t="shared" si="926"/>
        <v>1225000</v>
      </c>
      <c r="AA3084" s="13">
        <v>1.1299999999999999</v>
      </c>
      <c r="AB3084" s="21">
        <f t="shared" si="912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13"/>
        <v>33543315.897345133</v>
      </c>
      <c r="AJ3084" s="19">
        <f t="shared" si="914"/>
        <v>4706169.3252984071</v>
      </c>
      <c r="AK3084" s="20">
        <f t="shared" si="920"/>
        <v>0.14030125523967318</v>
      </c>
      <c r="AL3084" s="17"/>
      <c r="AM3084" s="17"/>
      <c r="AN3084" s="17"/>
      <c r="AO3084" s="17"/>
      <c r="AP3084" s="28" t="str">
        <f t="shared" si="921"/>
        <v>20233</v>
      </c>
      <c r="AQ3084" s="28" t="str">
        <f t="shared" si="922"/>
        <v>20233RMB</v>
      </c>
      <c r="AR3084" s="206" t="str">
        <f t="shared" si="923"/>
        <v>YAMAHA_Mounter</v>
      </c>
      <c r="AS3084" s="22">
        <f t="shared" si="924"/>
        <v>2</v>
      </c>
      <c r="AT3084" s="24" t="str">
        <f t="shared" si="925"/>
        <v>0-3 months</v>
      </c>
      <c r="AU3084" s="22" t="s">
        <v>3751</v>
      </c>
    </row>
    <row r="3085" spans="1:47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54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2419</v>
      </c>
      <c r="K3085" s="155" t="s">
        <v>2420</v>
      </c>
      <c r="L3085" s="17" t="s">
        <v>92</v>
      </c>
      <c r="M3085" s="13" t="s">
        <v>60</v>
      </c>
      <c r="N3085" s="13">
        <v>1</v>
      </c>
      <c r="O3085" s="13"/>
      <c r="P3085" s="33" t="str">
        <f t="shared" si="910"/>
        <v>MAIN UNIT</v>
      </c>
      <c r="Q3085" s="13" t="s">
        <v>68</v>
      </c>
      <c r="R3085" s="13" t="s">
        <v>62</v>
      </c>
      <c r="S3085" s="13" t="s">
        <v>49</v>
      </c>
      <c r="T3085" s="13" t="s">
        <v>78</v>
      </c>
      <c r="U3085" s="13" t="s">
        <v>79</v>
      </c>
      <c r="V3085" s="13" t="s">
        <v>112</v>
      </c>
      <c r="W3085" s="13" t="s">
        <v>64</v>
      </c>
      <c r="X3085" s="135">
        <v>1225000</v>
      </c>
      <c r="Y3085" s="157" t="str">
        <f>IF(W3085="RMB","1.13", "1")</f>
        <v>1.13</v>
      </c>
      <c r="Z3085" s="18">
        <f t="shared" si="926"/>
        <v>1225000</v>
      </c>
      <c r="AA3085" s="13">
        <v>1.1299999999999999</v>
      </c>
      <c r="AB3085" s="21">
        <f t="shared" si="912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13"/>
        <v>33543315.897345133</v>
      </c>
      <c r="AJ3085" s="19">
        <f t="shared" si="914"/>
        <v>4706169.3252984071</v>
      </c>
      <c r="AK3085" s="20">
        <f t="shared" si="920"/>
        <v>0.14030125523967318</v>
      </c>
      <c r="AL3085" s="17"/>
      <c r="AM3085" s="17"/>
      <c r="AN3085" s="17"/>
      <c r="AO3085" s="17"/>
      <c r="AP3085" s="28" t="str">
        <f t="shared" si="921"/>
        <v>20233</v>
      </c>
      <c r="AQ3085" s="28" t="str">
        <f t="shared" si="922"/>
        <v>20233RMB</v>
      </c>
      <c r="AR3085" s="206" t="str">
        <f t="shared" si="923"/>
        <v>YAMAHA_Mounter</v>
      </c>
      <c r="AS3085" s="22">
        <f t="shared" si="924"/>
        <v>2</v>
      </c>
      <c r="AT3085" s="24" t="str">
        <f t="shared" si="925"/>
        <v>0-3 months</v>
      </c>
      <c r="AU3085" s="22" t="s">
        <v>3751</v>
      </c>
    </row>
    <row r="3086" spans="1:47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55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2419</v>
      </c>
      <c r="K3086" s="155" t="s">
        <v>2420</v>
      </c>
      <c r="L3086" s="17" t="s">
        <v>92</v>
      </c>
      <c r="M3086" s="13" t="s">
        <v>60</v>
      </c>
      <c r="N3086" s="13">
        <v>1</v>
      </c>
      <c r="O3086" s="13"/>
      <c r="P3086" s="33" t="str">
        <f t="shared" si="910"/>
        <v>MAIN UNIT</v>
      </c>
      <c r="Q3086" s="13" t="s">
        <v>68</v>
      </c>
      <c r="R3086" s="13" t="s">
        <v>62</v>
      </c>
      <c r="S3086" s="13" t="s">
        <v>49</v>
      </c>
      <c r="T3086" s="13" t="s">
        <v>78</v>
      </c>
      <c r="U3086" s="13" t="s">
        <v>79</v>
      </c>
      <c r="V3086" s="13" t="s">
        <v>112</v>
      </c>
      <c r="W3086" s="13" t="s">
        <v>64</v>
      </c>
      <c r="X3086" s="135">
        <v>1225000</v>
      </c>
      <c r="Y3086" s="157" t="str">
        <f>IF(W3086="RMB","1.13", "1")</f>
        <v>1.13</v>
      </c>
      <c r="Z3086" s="18">
        <f t="shared" si="926"/>
        <v>1225000</v>
      </c>
      <c r="AA3086" s="13">
        <v>1.1399999999999999</v>
      </c>
      <c r="AB3086" s="21">
        <f t="shared" si="912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13"/>
        <v>30573205.452778768</v>
      </c>
      <c r="AJ3086" s="19">
        <f t="shared" si="914"/>
        <v>3790930.1683151261</v>
      </c>
      <c r="AK3086" s="20">
        <f t="shared" si="920"/>
        <v>0.12399518179964254</v>
      </c>
      <c r="AL3086" s="17"/>
      <c r="AM3086" s="17"/>
      <c r="AN3086" s="17"/>
      <c r="AO3086" s="17"/>
      <c r="AP3086" s="28" t="str">
        <f t="shared" si="921"/>
        <v>20234</v>
      </c>
      <c r="AQ3086" s="28" t="str">
        <f t="shared" si="922"/>
        <v>20234RMB</v>
      </c>
      <c r="AR3086" s="206" t="str">
        <f t="shared" si="923"/>
        <v>YAMAHA_Mounter</v>
      </c>
      <c r="AS3086" s="22">
        <f t="shared" si="924"/>
        <v>3</v>
      </c>
      <c r="AT3086" s="24" t="str">
        <f t="shared" si="925"/>
        <v>0-3 months</v>
      </c>
      <c r="AU3086" s="22" t="s">
        <v>3751</v>
      </c>
    </row>
    <row r="3087" spans="1:47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3172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3461</v>
      </c>
      <c r="K3087" s="29" t="s">
        <v>3462</v>
      </c>
      <c r="L3087" s="17" t="s">
        <v>67</v>
      </c>
      <c r="M3087" s="22" t="s">
        <v>60</v>
      </c>
      <c r="N3087" s="22">
        <v>1</v>
      </c>
      <c r="O3087" s="22"/>
      <c r="P3087" s="33" t="str">
        <f t="shared" si="910"/>
        <v>MAIN UNIT</v>
      </c>
      <c r="Q3087" s="22" t="s">
        <v>68</v>
      </c>
      <c r="R3087" s="22" t="s">
        <v>62</v>
      </c>
      <c r="S3087" s="22" t="s">
        <v>49</v>
      </c>
      <c r="T3087" s="22" t="s">
        <v>78</v>
      </c>
      <c r="U3087" s="22" t="s">
        <v>78</v>
      </c>
      <c r="V3087" s="22" t="s">
        <v>2534</v>
      </c>
      <c r="W3087" s="22" t="s">
        <v>64</v>
      </c>
      <c r="X3087" s="104">
        <v>390000</v>
      </c>
      <c r="Y3087" s="195" t="str">
        <f t="shared" ref="Y3087:Y3092" si="927">IF(W3087="","",IF(W3087="RMB","1.13", "1"))</f>
        <v>1.13</v>
      </c>
      <c r="Z3087" s="196">
        <f t="shared" si="926"/>
        <v>390000</v>
      </c>
      <c r="AA3087" s="22">
        <v>1.08</v>
      </c>
      <c r="AB3087" s="197">
        <f t="shared" si="912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13"/>
        <v>25354039.366920356</v>
      </c>
      <c r="AJ3087" s="200">
        <f t="shared" si="914"/>
        <v>3028631.2816309328</v>
      </c>
      <c r="AK3087" s="201">
        <f t="shared" si="920"/>
        <v>0.11945360018579192</v>
      </c>
      <c r="AL3087" s="24"/>
      <c r="AM3087" s="24"/>
      <c r="AN3087" s="24"/>
      <c r="AO3087" s="24"/>
      <c r="AP3087" s="105" t="str">
        <f t="shared" si="921"/>
        <v>20248</v>
      </c>
      <c r="AQ3087" s="28" t="str">
        <f t="shared" si="922"/>
        <v>20248RMB</v>
      </c>
      <c r="AR3087" s="206" t="str">
        <f t="shared" si="923"/>
        <v>YAMAHA_Mounter</v>
      </c>
      <c r="AS3087" s="22">
        <f t="shared" si="924"/>
        <v>3</v>
      </c>
      <c r="AT3087" s="24" t="str">
        <f t="shared" si="925"/>
        <v>0-3 months</v>
      </c>
      <c r="AU3087" s="22" t="s">
        <v>3751</v>
      </c>
    </row>
    <row r="3088" spans="1:47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3172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3465</v>
      </c>
      <c r="K3088" s="29" t="s">
        <v>1730</v>
      </c>
      <c r="L3088" s="17" t="s">
        <v>92</v>
      </c>
      <c r="M3088" s="22" t="s">
        <v>60</v>
      </c>
      <c r="N3088" s="22">
        <v>1</v>
      </c>
      <c r="O3088" s="22"/>
      <c r="P3088" s="33" t="str">
        <f t="shared" si="910"/>
        <v>MAIN UNIT</v>
      </c>
      <c r="Q3088" s="22" t="s">
        <v>61</v>
      </c>
      <c r="R3088" s="22" t="s">
        <v>62</v>
      </c>
      <c r="S3088" s="22" t="s">
        <v>49</v>
      </c>
      <c r="T3088" s="22" t="s">
        <v>78</v>
      </c>
      <c r="U3088" s="22" t="s">
        <v>396</v>
      </c>
      <c r="V3088" s="22" t="s">
        <v>1407</v>
      </c>
      <c r="W3088" s="22" t="s">
        <v>109</v>
      </c>
      <c r="X3088" s="104">
        <v>11500000</v>
      </c>
      <c r="Y3088" s="195" t="str">
        <f t="shared" si="927"/>
        <v>1</v>
      </c>
      <c r="Z3088" s="196">
        <f t="shared" si="926"/>
        <v>11500000</v>
      </c>
      <c r="AA3088" s="22">
        <v>5.2299999999999999E-2</v>
      </c>
      <c r="AB3088" s="197">
        <f t="shared" si="912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13"/>
        <v>25354039.366920356</v>
      </c>
      <c r="AJ3088" s="200">
        <f t="shared" si="914"/>
        <v>3028631.2816309328</v>
      </c>
      <c r="AK3088" s="201">
        <f t="shared" si="920"/>
        <v>0.11945360018579192</v>
      </c>
      <c r="AL3088" s="24"/>
      <c r="AM3088" s="24"/>
      <c r="AN3088" s="24"/>
      <c r="AO3088" s="24"/>
      <c r="AP3088" s="105" t="str">
        <f t="shared" si="921"/>
        <v>20248</v>
      </c>
      <c r="AQ3088" s="28" t="str">
        <f t="shared" si="922"/>
        <v>20248JPY</v>
      </c>
      <c r="AR3088" s="206" t="str">
        <f t="shared" si="923"/>
        <v>YAMAHA_Mounter</v>
      </c>
      <c r="AS3088" s="22">
        <f t="shared" si="924"/>
        <v>3</v>
      </c>
      <c r="AT3088" s="24" t="str">
        <f t="shared" si="925"/>
        <v>0-3 months</v>
      </c>
      <c r="AU3088" s="22" t="s">
        <v>3745</v>
      </c>
    </row>
    <row r="3089" spans="1:47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3172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3489</v>
      </c>
      <c r="K3089" s="29" t="s">
        <v>3448</v>
      </c>
      <c r="L3089" s="17" t="s">
        <v>92</v>
      </c>
      <c r="M3089" s="22" t="s">
        <v>60</v>
      </c>
      <c r="N3089" s="22">
        <v>1</v>
      </c>
      <c r="O3089" s="22"/>
      <c r="P3089" s="33" t="str">
        <f t="shared" si="910"/>
        <v>MAIN UNIT</v>
      </c>
      <c r="Q3089" s="22" t="s">
        <v>61</v>
      </c>
      <c r="R3089" s="22" t="s">
        <v>62</v>
      </c>
      <c r="S3089" s="22" t="s">
        <v>49</v>
      </c>
      <c r="T3089" s="22" t="s">
        <v>78</v>
      </c>
      <c r="U3089" s="22" t="s">
        <v>78</v>
      </c>
      <c r="V3089" s="22" t="s">
        <v>80</v>
      </c>
      <c r="W3089" s="22" t="s">
        <v>109</v>
      </c>
      <c r="X3089" s="104">
        <v>11800000</v>
      </c>
      <c r="Y3089" s="195" t="str">
        <f t="shared" si="927"/>
        <v>1</v>
      </c>
      <c r="Z3089" s="196">
        <f t="shared" si="926"/>
        <v>11800000</v>
      </c>
      <c r="AA3089" s="22">
        <v>5.2299999999999999E-2</v>
      </c>
      <c r="AB3089" s="197">
        <f t="shared" si="912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13"/>
        <v>25354039.366920356</v>
      </c>
      <c r="AJ3089" s="200">
        <f t="shared" si="914"/>
        <v>3028631.2816309328</v>
      </c>
      <c r="AK3089" s="201">
        <f t="shared" si="920"/>
        <v>0.11945360018579192</v>
      </c>
      <c r="AL3089" s="24"/>
      <c r="AM3089" s="24"/>
      <c r="AN3089" s="24"/>
      <c r="AO3089" s="24"/>
      <c r="AP3089" s="105" t="str">
        <f t="shared" si="921"/>
        <v>20248</v>
      </c>
      <c r="AQ3089" s="28" t="str">
        <f t="shared" si="922"/>
        <v>20248JPY</v>
      </c>
      <c r="AR3089" s="206" t="str">
        <f t="shared" si="923"/>
        <v>YAMAHA_Mounter</v>
      </c>
      <c r="AS3089" s="22">
        <f t="shared" si="924"/>
        <v>3</v>
      </c>
      <c r="AT3089" s="24" t="str">
        <f t="shared" si="925"/>
        <v>0-3 months</v>
      </c>
      <c r="AU3089" s="22" t="s">
        <v>3745</v>
      </c>
    </row>
    <row r="3090" spans="1:47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3475</v>
      </c>
      <c r="K3090" s="29" t="s">
        <v>1605</v>
      </c>
      <c r="L3090" s="17" t="s">
        <v>92</v>
      </c>
      <c r="M3090" s="13" t="s">
        <v>60</v>
      </c>
      <c r="N3090" s="13">
        <v>1</v>
      </c>
      <c r="O3090" s="22"/>
      <c r="P3090" s="33" t="str">
        <f t="shared" si="910"/>
        <v>MAIN UNIT</v>
      </c>
      <c r="Q3090" s="22" t="s">
        <v>61</v>
      </c>
      <c r="R3090" s="22" t="s">
        <v>62</v>
      </c>
      <c r="S3090" s="22" t="s">
        <v>49</v>
      </c>
      <c r="T3090" s="22" t="s">
        <v>78</v>
      </c>
      <c r="U3090" s="22" t="s">
        <v>78</v>
      </c>
      <c r="V3090" s="22" t="s">
        <v>126</v>
      </c>
      <c r="W3090" s="22" t="s">
        <v>109</v>
      </c>
      <c r="X3090" s="104">
        <v>12100000</v>
      </c>
      <c r="Y3090" s="195" t="str">
        <f t="shared" si="927"/>
        <v>1</v>
      </c>
      <c r="Z3090" s="196">
        <f t="shared" si="926"/>
        <v>12100000</v>
      </c>
      <c r="AA3090" s="22">
        <v>5.2299999999999999E-2</v>
      </c>
      <c r="AB3090" s="197">
        <f t="shared" si="912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13"/>
        <v>25354039.366920356</v>
      </c>
      <c r="AJ3090" s="200">
        <f t="shared" si="914"/>
        <v>3028631.2816309328</v>
      </c>
      <c r="AK3090" s="201">
        <f t="shared" si="920"/>
        <v>0.11945360018579192</v>
      </c>
      <c r="AL3090" s="24"/>
      <c r="AM3090" s="24"/>
      <c r="AN3090" s="24"/>
      <c r="AO3090" s="24"/>
      <c r="AP3090" s="105" t="str">
        <f t="shared" si="921"/>
        <v>20248</v>
      </c>
      <c r="AQ3090" s="28" t="str">
        <f t="shared" si="922"/>
        <v>20248JPY</v>
      </c>
      <c r="AR3090" s="206" t="str">
        <f t="shared" si="923"/>
        <v>YAMAHA_Mounter</v>
      </c>
      <c r="AS3090" s="22">
        <f t="shared" si="924"/>
        <v>2</v>
      </c>
      <c r="AT3090" s="24" t="str">
        <f t="shared" si="925"/>
        <v>0-3 months</v>
      </c>
      <c r="AU3090" s="22" t="s">
        <v>3746</v>
      </c>
    </row>
    <row r="3091" spans="1:47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3475</v>
      </c>
      <c r="K3091" s="29" t="s">
        <v>1605</v>
      </c>
      <c r="L3091" s="17" t="s">
        <v>92</v>
      </c>
      <c r="M3091" s="13" t="s">
        <v>60</v>
      </c>
      <c r="N3091" s="13">
        <v>1</v>
      </c>
      <c r="O3091" s="22"/>
      <c r="P3091" s="33" t="str">
        <f t="shared" si="910"/>
        <v>MAIN UNIT</v>
      </c>
      <c r="Q3091" s="22" t="s">
        <v>61</v>
      </c>
      <c r="R3091" s="22" t="s">
        <v>62</v>
      </c>
      <c r="S3091" s="22" t="s">
        <v>49</v>
      </c>
      <c r="T3091" s="22" t="s">
        <v>78</v>
      </c>
      <c r="U3091" s="22" t="s">
        <v>78</v>
      </c>
      <c r="V3091" s="22" t="s">
        <v>126</v>
      </c>
      <c r="W3091" s="22" t="s">
        <v>109</v>
      </c>
      <c r="X3091" s="104">
        <v>12100000</v>
      </c>
      <c r="Y3091" s="195" t="str">
        <f t="shared" si="927"/>
        <v>1</v>
      </c>
      <c r="Z3091" s="196">
        <f t="shared" si="926"/>
        <v>12100000</v>
      </c>
      <c r="AA3091" s="22">
        <v>5.2299999999999999E-2</v>
      </c>
      <c r="AB3091" s="197">
        <f t="shared" si="912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13"/>
        <v>25354039.366920356</v>
      </c>
      <c r="AJ3091" s="200">
        <f t="shared" si="914"/>
        <v>3028631.2816309328</v>
      </c>
      <c r="AK3091" s="201">
        <f t="shared" si="920"/>
        <v>0.11945360018579192</v>
      </c>
      <c r="AL3091" s="24"/>
      <c r="AM3091" s="24"/>
      <c r="AN3091" s="24"/>
      <c r="AO3091" s="24"/>
      <c r="AP3091" s="105" t="str">
        <f t="shared" si="921"/>
        <v>20248</v>
      </c>
      <c r="AQ3091" s="28" t="str">
        <f t="shared" si="922"/>
        <v>20248JPY</v>
      </c>
      <c r="AR3091" s="206" t="str">
        <f t="shared" si="923"/>
        <v>YAMAHA_Mounter</v>
      </c>
      <c r="AS3091" s="22">
        <f t="shared" si="924"/>
        <v>2</v>
      </c>
      <c r="AT3091" s="24" t="str">
        <f t="shared" si="925"/>
        <v>0-3 months</v>
      </c>
      <c r="AU3091" s="22" t="s">
        <v>3746</v>
      </c>
    </row>
    <row r="3092" spans="1:47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3475</v>
      </c>
      <c r="K3092" s="29" t="s">
        <v>1605</v>
      </c>
      <c r="L3092" s="17" t="s">
        <v>92</v>
      </c>
      <c r="M3092" s="13" t="s">
        <v>60</v>
      </c>
      <c r="N3092" s="13">
        <v>1</v>
      </c>
      <c r="O3092" s="22"/>
      <c r="P3092" s="33" t="str">
        <f t="shared" si="910"/>
        <v>MAIN UNIT</v>
      </c>
      <c r="Q3092" s="22" t="s">
        <v>61</v>
      </c>
      <c r="R3092" s="22" t="s">
        <v>62</v>
      </c>
      <c r="S3092" s="22" t="s">
        <v>49</v>
      </c>
      <c r="T3092" s="22" t="s">
        <v>78</v>
      </c>
      <c r="U3092" s="22" t="s">
        <v>78</v>
      </c>
      <c r="V3092" s="22" t="s">
        <v>126</v>
      </c>
      <c r="W3092" s="22" t="s">
        <v>109</v>
      </c>
      <c r="X3092" s="104">
        <v>12100000</v>
      </c>
      <c r="Y3092" s="195" t="str">
        <f t="shared" si="927"/>
        <v>1</v>
      </c>
      <c r="Z3092" s="196">
        <f t="shared" si="926"/>
        <v>12100000</v>
      </c>
      <c r="AA3092" s="22">
        <v>5.2299999999999999E-2</v>
      </c>
      <c r="AB3092" s="197">
        <f t="shared" si="912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13"/>
        <v>25354039.366920356</v>
      </c>
      <c r="AJ3092" s="200">
        <f t="shared" si="914"/>
        <v>3028631.2816309328</v>
      </c>
      <c r="AK3092" s="201">
        <f t="shared" si="920"/>
        <v>0.11945360018579192</v>
      </c>
      <c r="AL3092" s="24"/>
      <c r="AM3092" s="24"/>
      <c r="AN3092" s="24"/>
      <c r="AO3092" s="24"/>
      <c r="AP3092" s="105" t="str">
        <f t="shared" si="921"/>
        <v>20248</v>
      </c>
      <c r="AQ3092" s="28" t="str">
        <f t="shared" si="922"/>
        <v>20248JPY</v>
      </c>
      <c r="AR3092" s="206" t="str">
        <f t="shared" si="923"/>
        <v>YAMAHA_Mounter</v>
      </c>
      <c r="AS3092" s="22">
        <f t="shared" si="924"/>
        <v>2</v>
      </c>
      <c r="AT3092" s="24" t="str">
        <f t="shared" si="925"/>
        <v>0-3 months</v>
      </c>
      <c r="AU3092" s="22" t="s">
        <v>3746</v>
      </c>
    </row>
    <row r="3093" spans="1:47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48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1471</v>
      </c>
      <c r="K3093" s="155" t="s">
        <v>1472</v>
      </c>
      <c r="L3093" s="17" t="s">
        <v>67</v>
      </c>
      <c r="M3093" s="13" t="s">
        <v>60</v>
      </c>
      <c r="N3093" s="13">
        <v>1</v>
      </c>
      <c r="O3093" s="13"/>
      <c r="P3093" s="33" t="str">
        <f t="shared" si="910"/>
        <v>MAIN UNIT</v>
      </c>
      <c r="Q3093" s="13" t="s">
        <v>61</v>
      </c>
      <c r="R3093" s="13" t="s">
        <v>62</v>
      </c>
      <c r="S3093" s="13" t="s">
        <v>49</v>
      </c>
      <c r="T3093" s="13" t="s">
        <v>78</v>
      </c>
      <c r="U3093" s="13" t="s">
        <v>79</v>
      </c>
      <c r="V3093" s="13" t="s">
        <v>112</v>
      </c>
      <c r="W3093" s="13" t="s">
        <v>64</v>
      </c>
      <c r="X3093" s="135">
        <v>553500</v>
      </c>
      <c r="Y3093" s="157" t="str">
        <f>IF(W3093="RMB","1.13", "1")</f>
        <v>1.13</v>
      </c>
      <c r="Z3093" s="18">
        <f t="shared" si="926"/>
        <v>553500</v>
      </c>
      <c r="AA3093" s="13">
        <v>1.175</v>
      </c>
      <c r="AB3093" s="21">
        <f t="shared" si="912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13"/>
        <v>48763143.537654862</v>
      </c>
      <c r="AJ3093" s="19">
        <f t="shared" si="914"/>
        <v>5924029.9702154724</v>
      </c>
      <c r="AK3093" s="20">
        <f t="shared" si="920"/>
        <v>0.1214858095774925</v>
      </c>
      <c r="AL3093" s="17"/>
      <c r="AM3093" s="17"/>
      <c r="AN3093" s="17"/>
      <c r="AO3093" s="17"/>
      <c r="AP3093" s="28" t="str">
        <f t="shared" si="921"/>
        <v>202012</v>
      </c>
      <c r="AQ3093" s="28" t="str">
        <f t="shared" si="922"/>
        <v>202012RMB</v>
      </c>
      <c r="AR3093" s="206" t="str">
        <f t="shared" si="923"/>
        <v>YAMAHA_Mounter</v>
      </c>
      <c r="AS3093" s="22">
        <f t="shared" si="924"/>
        <v>1</v>
      </c>
      <c r="AT3093" s="24" t="str">
        <f t="shared" si="925"/>
        <v>0-3 months</v>
      </c>
      <c r="AU3093" s="22" t="s">
        <v>3744</v>
      </c>
    </row>
    <row r="3094" spans="1:47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41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127</v>
      </c>
      <c r="K3094" s="155" t="s">
        <v>128</v>
      </c>
      <c r="L3094" s="17" t="s">
        <v>77</v>
      </c>
      <c r="M3094" s="13" t="s">
        <v>60</v>
      </c>
      <c r="N3094" s="13">
        <v>1</v>
      </c>
      <c r="O3094" s="13"/>
      <c r="P3094" s="33" t="str">
        <f t="shared" ref="P3094:P3157" si="928">IF(M3094="","",IF(AND(N3094&gt;0,L3094&lt;&gt;""),"MAIN UNIT",IF(AND(O3094&gt;0,L3094&lt;&gt;""),"SERVICE/ PARTS","C66 SERVICE/OTHERS")))</f>
        <v>MAIN UNIT</v>
      </c>
      <c r="Q3094" s="13" t="s">
        <v>61</v>
      </c>
      <c r="R3094" s="13" t="s">
        <v>62</v>
      </c>
      <c r="S3094" s="13" t="s">
        <v>49</v>
      </c>
      <c r="T3094" s="13" t="s">
        <v>78</v>
      </c>
      <c r="U3094" s="13" t="s">
        <v>79</v>
      </c>
      <c r="V3094" s="13" t="s">
        <v>126</v>
      </c>
      <c r="W3094" s="13" t="s">
        <v>109</v>
      </c>
      <c r="X3094" s="135">
        <v>10337775</v>
      </c>
      <c r="Y3094" s="156">
        <v>1</v>
      </c>
      <c r="Z3094" s="18">
        <f t="shared" si="926"/>
        <v>10337775</v>
      </c>
      <c r="AA3094" s="13">
        <v>7.22E-2</v>
      </c>
      <c r="AB3094" s="21">
        <f t="shared" si="912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13"/>
        <v>29946107.503386207</v>
      </c>
      <c r="AJ3094" s="19">
        <f t="shared" si="914"/>
        <v>3987206.4954923098</v>
      </c>
      <c r="AK3094" s="20">
        <f t="shared" si="920"/>
        <v>0.13314606898547499</v>
      </c>
      <c r="AL3094" s="17"/>
      <c r="AM3094" s="17"/>
      <c r="AN3094" s="17"/>
      <c r="AO3094" s="17"/>
      <c r="AP3094" s="28" t="str">
        <f t="shared" si="921"/>
        <v>20187</v>
      </c>
      <c r="AQ3094" s="28" t="str">
        <f t="shared" si="922"/>
        <v>20187JPY</v>
      </c>
      <c r="AR3094" s="206" t="str">
        <f t="shared" si="923"/>
        <v>YAMAHA_Mounter</v>
      </c>
      <c r="AS3094" s="22">
        <f t="shared" si="924"/>
        <v>12</v>
      </c>
      <c r="AT3094" s="24" t="str">
        <f t="shared" si="925"/>
        <v>&gt; 6 months</v>
      </c>
      <c r="AU3094" s="22" t="s">
        <v>3745</v>
      </c>
    </row>
    <row r="3095" spans="1:47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47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884</v>
      </c>
      <c r="K3095" s="155" t="s">
        <v>885</v>
      </c>
      <c r="L3095" s="17" t="s">
        <v>67</v>
      </c>
      <c r="M3095" s="13" t="s">
        <v>60</v>
      </c>
      <c r="N3095" s="13">
        <v>1</v>
      </c>
      <c r="O3095" s="13"/>
      <c r="P3095" s="33" t="str">
        <f t="shared" si="928"/>
        <v>MAIN UNIT</v>
      </c>
      <c r="Q3095" s="13" t="s">
        <v>68</v>
      </c>
      <c r="R3095" s="13" t="s">
        <v>62</v>
      </c>
      <c r="S3095" s="13" t="s">
        <v>49</v>
      </c>
      <c r="T3095" s="13" t="s">
        <v>78</v>
      </c>
      <c r="U3095" s="13" t="s">
        <v>79</v>
      </c>
      <c r="V3095" s="13" t="s">
        <v>80</v>
      </c>
      <c r="W3095" s="13" t="s">
        <v>64</v>
      </c>
      <c r="X3095" s="135">
        <v>570000</v>
      </c>
      <c r="Y3095" s="156">
        <v>1.1299999999999999</v>
      </c>
      <c r="Z3095" s="18">
        <f t="shared" si="926"/>
        <v>570000</v>
      </c>
      <c r="AA3095" s="13">
        <v>1.1599999999999999</v>
      </c>
      <c r="AB3095" s="21">
        <f t="shared" si="912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13"/>
        <v>14593788.187146019</v>
      </c>
      <c r="AJ3095" s="19">
        <f t="shared" si="914"/>
        <v>1868647.7321969916</v>
      </c>
      <c r="AK3095" s="20">
        <f t="shared" si="920"/>
        <v>0.12804404916900652</v>
      </c>
      <c r="AL3095" s="17"/>
      <c r="AM3095" s="17"/>
      <c r="AN3095" s="17"/>
      <c r="AO3095" s="17"/>
      <c r="AP3095" s="28" t="str">
        <f t="shared" si="921"/>
        <v>20195</v>
      </c>
      <c r="AQ3095" s="28" t="str">
        <f t="shared" si="922"/>
        <v>20195RMB</v>
      </c>
      <c r="AR3095" s="206" t="str">
        <f t="shared" si="923"/>
        <v>YAMAHA_Mounter</v>
      </c>
      <c r="AS3095" s="22">
        <f t="shared" si="924"/>
        <v>0</v>
      </c>
      <c r="AT3095" s="24" t="str">
        <f t="shared" si="925"/>
        <v>0-3 months</v>
      </c>
      <c r="AU3095" s="22" t="s">
        <v>3745</v>
      </c>
    </row>
    <row r="3096" spans="1:47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47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1254</v>
      </c>
      <c r="K3096" s="155" t="s">
        <v>885</v>
      </c>
      <c r="L3096" s="17" t="s">
        <v>92</v>
      </c>
      <c r="M3096" s="13" t="s">
        <v>60</v>
      </c>
      <c r="N3096" s="13">
        <v>1</v>
      </c>
      <c r="O3096" s="13"/>
      <c r="P3096" s="33" t="str">
        <f t="shared" si="928"/>
        <v>MAIN UNIT</v>
      </c>
      <c r="Q3096" s="13" t="s">
        <v>68</v>
      </c>
      <c r="R3096" s="13" t="s">
        <v>62</v>
      </c>
      <c r="S3096" s="13" t="s">
        <v>49</v>
      </c>
      <c r="T3096" s="13" t="s">
        <v>78</v>
      </c>
      <c r="U3096" s="13" t="s">
        <v>79</v>
      </c>
      <c r="V3096" s="13" t="s">
        <v>80</v>
      </c>
      <c r="W3096" s="13" t="s">
        <v>109</v>
      </c>
      <c r="X3096" s="135">
        <v>10400000</v>
      </c>
      <c r="Y3096" s="156">
        <v>1</v>
      </c>
      <c r="Z3096" s="18">
        <f t="shared" si="926"/>
        <v>10400000</v>
      </c>
      <c r="AA3096" s="13">
        <v>7.2999999999999995E-2</v>
      </c>
      <c r="AB3096" s="21">
        <f t="shared" si="912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13"/>
        <v>23168285.927433632</v>
      </c>
      <c r="AJ3096" s="19">
        <f t="shared" si="914"/>
        <v>2764878.916878053</v>
      </c>
      <c r="AK3096" s="20">
        <f t="shared" si="920"/>
        <v>0.11933895004309111</v>
      </c>
      <c r="AL3096" s="17"/>
      <c r="AM3096" s="17"/>
      <c r="AN3096" s="17"/>
      <c r="AO3096" s="17"/>
      <c r="AP3096" s="28" t="str">
        <f t="shared" si="921"/>
        <v>20203</v>
      </c>
      <c r="AQ3096" s="28" t="str">
        <f t="shared" si="922"/>
        <v>20203JPY</v>
      </c>
      <c r="AR3096" s="206" t="str">
        <f t="shared" si="923"/>
        <v>YAMAHA_Mounter</v>
      </c>
      <c r="AS3096" s="22">
        <f t="shared" si="924"/>
        <v>2</v>
      </c>
      <c r="AT3096" s="24" t="str">
        <f t="shared" si="925"/>
        <v>0-3 months</v>
      </c>
      <c r="AU3096" s="22" t="s">
        <v>3746</v>
      </c>
    </row>
    <row r="3097" spans="1:47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47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1254</v>
      </c>
      <c r="K3097" s="155" t="s">
        <v>885</v>
      </c>
      <c r="L3097" s="17" t="s">
        <v>67</v>
      </c>
      <c r="M3097" s="13" t="s">
        <v>60</v>
      </c>
      <c r="N3097" s="13">
        <v>1</v>
      </c>
      <c r="O3097" s="13"/>
      <c r="P3097" s="33" t="str">
        <f t="shared" si="928"/>
        <v>MAIN UNIT</v>
      </c>
      <c r="Q3097" s="13" t="s">
        <v>68</v>
      </c>
      <c r="R3097" s="13" t="s">
        <v>62</v>
      </c>
      <c r="S3097" s="13" t="s">
        <v>49</v>
      </c>
      <c r="T3097" s="13" t="s">
        <v>78</v>
      </c>
      <c r="U3097" s="13" t="s">
        <v>79</v>
      </c>
      <c r="V3097" s="13" t="s">
        <v>80</v>
      </c>
      <c r="W3097" s="13" t="s">
        <v>109</v>
      </c>
      <c r="X3097" s="135">
        <v>7200000</v>
      </c>
      <c r="Y3097" s="156">
        <v>1</v>
      </c>
      <c r="Z3097" s="18">
        <f t="shared" si="926"/>
        <v>7200000</v>
      </c>
      <c r="AA3097" s="13">
        <v>7.2999999999999995E-2</v>
      </c>
      <c r="AB3097" s="21">
        <f t="shared" si="912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13"/>
        <v>23168285.927433632</v>
      </c>
      <c r="AJ3097" s="19">
        <f t="shared" si="914"/>
        <v>2764878.916878053</v>
      </c>
      <c r="AK3097" s="20">
        <f t="shared" si="920"/>
        <v>0.11933895004309111</v>
      </c>
      <c r="AL3097" s="17"/>
      <c r="AM3097" s="17"/>
      <c r="AN3097" s="17"/>
      <c r="AO3097" s="17"/>
      <c r="AP3097" s="28" t="str">
        <f t="shared" si="921"/>
        <v>20203</v>
      </c>
      <c r="AQ3097" s="28" t="str">
        <f t="shared" si="922"/>
        <v>20203JPY</v>
      </c>
      <c r="AR3097" s="206" t="str">
        <f t="shared" si="923"/>
        <v>YAMAHA_Mounter</v>
      </c>
      <c r="AS3097" s="22">
        <f t="shared" si="924"/>
        <v>2</v>
      </c>
      <c r="AT3097" s="24" t="str">
        <f t="shared" si="925"/>
        <v>0-3 months</v>
      </c>
      <c r="AU3097" s="22" t="s">
        <v>3746</v>
      </c>
    </row>
    <row r="3098" spans="1:47" s="12" customFormat="1">
      <c r="A3098" s="33" t="str">
        <f t="shared" si="915"/>
        <v>cancel</v>
      </c>
      <c r="B3098" s="152"/>
      <c r="C3098" s="152" t="s">
        <v>185</v>
      </c>
      <c r="D3098" s="33" t="str">
        <f t="shared" si="916"/>
        <v/>
      </c>
      <c r="E3098" s="33" t="s">
        <v>185</v>
      </c>
      <c r="F3098" s="13" t="s">
        <v>185</v>
      </c>
      <c r="G3098" s="152" t="s">
        <v>185</v>
      </c>
      <c r="H3098" s="155"/>
      <c r="I3098" s="33" t="str">
        <f t="shared" si="917"/>
        <v>Cancel</v>
      </c>
      <c r="J3098" s="186" t="s">
        <v>2665</v>
      </c>
      <c r="K3098" s="155" t="s">
        <v>2666</v>
      </c>
      <c r="L3098" s="17" t="s">
        <v>67</v>
      </c>
      <c r="M3098" s="13" t="s">
        <v>60</v>
      </c>
      <c r="N3098" s="13">
        <v>1</v>
      </c>
      <c r="O3098" s="13"/>
      <c r="P3098" s="33" t="str">
        <f t="shared" si="928"/>
        <v>MAIN UNIT</v>
      </c>
      <c r="Q3098" s="13" t="s">
        <v>68</v>
      </c>
      <c r="R3098" s="13" t="s">
        <v>701</v>
      </c>
      <c r="S3098" s="13" t="s">
        <v>750</v>
      </c>
      <c r="T3098" s="13" t="s">
        <v>78</v>
      </c>
      <c r="U3098" s="13" t="s">
        <v>79</v>
      </c>
      <c r="V3098" s="13" t="s">
        <v>80</v>
      </c>
      <c r="W3098" s="13" t="s">
        <v>109</v>
      </c>
      <c r="X3098" s="135">
        <v>8150000</v>
      </c>
      <c r="Y3098" s="156">
        <v>1</v>
      </c>
      <c r="Z3098" s="18">
        <f t="shared" si="926"/>
        <v>8150000</v>
      </c>
      <c r="AA3098" s="13">
        <v>7.17E-2</v>
      </c>
      <c r="AB3098" s="21">
        <f t="shared" si="912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13"/>
        <v>499582152.5142017</v>
      </c>
      <c r="AJ3098" s="19">
        <f t="shared" si="914"/>
        <v>59520528.679470733</v>
      </c>
      <c r="AK3098" s="20">
        <f t="shared" si="920"/>
        <v>0.11914062257814291</v>
      </c>
      <c r="AL3098" s="17"/>
      <c r="AM3098" s="17"/>
      <c r="AN3098" s="17"/>
      <c r="AO3098" s="17"/>
      <c r="AP3098" s="28" t="str">
        <f t="shared" si="921"/>
        <v>CancelCancel</v>
      </c>
      <c r="AQ3098" s="28" t="str">
        <f t="shared" si="922"/>
        <v>CancelCancelJPY</v>
      </c>
      <c r="AR3098" s="206" t="str">
        <f t="shared" si="923"/>
        <v>YAMAHA_Mounter</v>
      </c>
      <c r="AS3098" s="22" t="str">
        <f t="shared" si="924"/>
        <v/>
      </c>
      <c r="AT3098" s="24" t="str">
        <f t="shared" si="925"/>
        <v/>
      </c>
      <c r="AU3098" s="22" t="s">
        <v>3745</v>
      </c>
    </row>
    <row r="3099" spans="1:47" s="12" customFormat="1">
      <c r="A3099" s="33" t="str">
        <f t="shared" si="915"/>
        <v>cancel</v>
      </c>
      <c r="B3099" s="152"/>
      <c r="C3099" s="152" t="s">
        <v>185</v>
      </c>
      <c r="D3099" s="33" t="str">
        <f t="shared" si="916"/>
        <v/>
      </c>
      <c r="E3099" s="33" t="s">
        <v>185</v>
      </c>
      <c r="F3099" s="13" t="s">
        <v>185</v>
      </c>
      <c r="G3099" s="152" t="s">
        <v>185</v>
      </c>
      <c r="H3099" s="155"/>
      <c r="I3099" s="33" t="str">
        <f t="shared" si="917"/>
        <v>Cancel</v>
      </c>
      <c r="J3099" s="186" t="s">
        <v>2665</v>
      </c>
      <c r="K3099" s="155" t="s">
        <v>2666</v>
      </c>
      <c r="L3099" s="17" t="s">
        <v>67</v>
      </c>
      <c r="M3099" s="13" t="s">
        <v>60</v>
      </c>
      <c r="N3099" s="13">
        <v>1</v>
      </c>
      <c r="O3099" s="13"/>
      <c r="P3099" s="33" t="str">
        <f t="shared" si="928"/>
        <v>MAIN UNIT</v>
      </c>
      <c r="Q3099" s="13" t="s">
        <v>68</v>
      </c>
      <c r="R3099" s="13" t="s">
        <v>701</v>
      </c>
      <c r="S3099" s="13" t="s">
        <v>750</v>
      </c>
      <c r="T3099" s="13" t="s">
        <v>78</v>
      </c>
      <c r="U3099" s="13" t="s">
        <v>79</v>
      </c>
      <c r="V3099" s="13" t="s">
        <v>80</v>
      </c>
      <c r="W3099" s="13" t="s">
        <v>109</v>
      </c>
      <c r="X3099" s="135">
        <v>8150000</v>
      </c>
      <c r="Y3099" s="156">
        <v>1</v>
      </c>
      <c r="Z3099" s="18">
        <f t="shared" si="926"/>
        <v>8150000</v>
      </c>
      <c r="AA3099" s="13">
        <v>7.17E-2</v>
      </c>
      <c r="AB3099" s="21">
        <f t="shared" si="912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13"/>
        <v>499582152.5142017</v>
      </c>
      <c r="AJ3099" s="19">
        <f t="shared" si="914"/>
        <v>59520528.679470733</v>
      </c>
      <c r="AK3099" s="20">
        <f t="shared" si="920"/>
        <v>0.11914062257814291</v>
      </c>
      <c r="AL3099" s="17"/>
      <c r="AM3099" s="17"/>
      <c r="AN3099" s="17"/>
      <c r="AO3099" s="17"/>
      <c r="AP3099" s="28" t="str">
        <f t="shared" si="921"/>
        <v>CancelCancel</v>
      </c>
      <c r="AQ3099" s="28" t="str">
        <f t="shared" si="922"/>
        <v>CancelCancelJPY</v>
      </c>
      <c r="AR3099" s="206" t="str">
        <f t="shared" si="923"/>
        <v>YAMAHA_Mounter</v>
      </c>
      <c r="AS3099" s="22" t="str">
        <f t="shared" si="924"/>
        <v/>
      </c>
      <c r="AT3099" s="24" t="str">
        <f t="shared" si="925"/>
        <v/>
      </c>
      <c r="AU3099" s="22" t="s">
        <v>3745</v>
      </c>
    </row>
    <row r="3100" spans="1:47" s="12" customFormat="1">
      <c r="A3100" s="33" t="str">
        <f t="shared" si="915"/>
        <v>cancel</v>
      </c>
      <c r="B3100" s="152"/>
      <c r="C3100" s="152" t="s">
        <v>185</v>
      </c>
      <c r="D3100" s="33" t="str">
        <f t="shared" si="916"/>
        <v/>
      </c>
      <c r="E3100" s="33" t="s">
        <v>185</v>
      </c>
      <c r="F3100" s="13" t="s">
        <v>185</v>
      </c>
      <c r="G3100" s="152" t="s">
        <v>185</v>
      </c>
      <c r="H3100" s="155"/>
      <c r="I3100" s="33" t="str">
        <f t="shared" si="917"/>
        <v>Cancel</v>
      </c>
      <c r="J3100" s="186" t="s">
        <v>2696</v>
      </c>
      <c r="K3100" s="155" t="s">
        <v>885</v>
      </c>
      <c r="L3100" s="17" t="s">
        <v>67</v>
      </c>
      <c r="M3100" s="13" t="s">
        <v>60</v>
      </c>
      <c r="N3100" s="13">
        <v>1</v>
      </c>
      <c r="O3100" s="13"/>
      <c r="P3100" s="33" t="str">
        <f t="shared" si="928"/>
        <v>MAIN UNIT</v>
      </c>
      <c r="Q3100" s="13" t="s">
        <v>68</v>
      </c>
      <c r="R3100" s="13" t="s">
        <v>62</v>
      </c>
      <c r="S3100" s="13" t="s">
        <v>49</v>
      </c>
      <c r="T3100" s="13" t="s">
        <v>78</v>
      </c>
      <c r="U3100" s="13" t="s">
        <v>79</v>
      </c>
      <c r="V3100" s="13" t="s">
        <v>80</v>
      </c>
      <c r="W3100" s="13" t="s">
        <v>109</v>
      </c>
      <c r="X3100" s="135">
        <v>8150000</v>
      </c>
      <c r="Y3100" s="156">
        <v>1</v>
      </c>
      <c r="Z3100" s="18">
        <f t="shared" si="926"/>
        <v>8150000</v>
      </c>
      <c r="AA3100" s="13">
        <v>7.3999999999999996E-2</v>
      </c>
      <c r="AB3100" s="21">
        <f t="shared" si="912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13"/>
        <v>499582152.5142017</v>
      </c>
      <c r="AJ3100" s="19">
        <f t="shared" si="914"/>
        <v>59520528.679470733</v>
      </c>
      <c r="AK3100" s="20">
        <f t="shared" si="920"/>
        <v>0.11914062257814291</v>
      </c>
      <c r="AL3100" s="17"/>
      <c r="AM3100" s="17"/>
      <c r="AN3100" s="17"/>
      <c r="AO3100" s="17"/>
      <c r="AP3100" s="28" t="str">
        <f t="shared" si="921"/>
        <v>CancelCancel</v>
      </c>
      <c r="AQ3100" s="28" t="str">
        <f t="shared" si="922"/>
        <v>CancelCancelJPY</v>
      </c>
      <c r="AR3100" s="206" t="str">
        <f t="shared" si="923"/>
        <v>YAMAHA_Mounter</v>
      </c>
      <c r="AS3100" s="22" t="str">
        <f t="shared" si="924"/>
        <v/>
      </c>
      <c r="AT3100" s="24" t="str">
        <f t="shared" si="925"/>
        <v/>
      </c>
      <c r="AU3100" s="22" t="s">
        <v>3745</v>
      </c>
    </row>
    <row r="3101" spans="1:47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48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1305</v>
      </c>
      <c r="K3101" s="155" t="s">
        <v>1306</v>
      </c>
      <c r="L3101" s="17" t="s">
        <v>92</v>
      </c>
      <c r="M3101" s="13" t="s">
        <v>60</v>
      </c>
      <c r="N3101" s="13">
        <v>1</v>
      </c>
      <c r="O3101" s="13"/>
      <c r="P3101" s="33" t="str">
        <f t="shared" si="928"/>
        <v>MAIN UNIT</v>
      </c>
      <c r="Q3101" s="13" t="s">
        <v>61</v>
      </c>
      <c r="R3101" s="13" t="s">
        <v>62</v>
      </c>
      <c r="S3101" s="13" t="s">
        <v>49</v>
      </c>
      <c r="T3101" s="13" t="s">
        <v>78</v>
      </c>
      <c r="U3101" s="13" t="s">
        <v>79</v>
      </c>
      <c r="V3101" s="13" t="s">
        <v>1307</v>
      </c>
      <c r="W3101" s="13" t="s">
        <v>1308</v>
      </c>
      <c r="X3101" s="135">
        <v>1010000</v>
      </c>
      <c r="Y3101" s="156">
        <v>1.1299999999999999</v>
      </c>
      <c r="Z3101" s="18">
        <f t="shared" si="926"/>
        <v>1010000</v>
      </c>
      <c r="AA3101" s="13">
        <v>1.135</v>
      </c>
      <c r="AB3101" s="21">
        <f t="shared" si="912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13"/>
        <v>28011162.254106201</v>
      </c>
      <c r="AJ3101" s="19">
        <f t="shared" si="914"/>
        <v>3401347.1124888416</v>
      </c>
      <c r="AK3101" s="20">
        <f t="shared" si="920"/>
        <v>0.12142827497242578</v>
      </c>
      <c r="AL3101" s="17"/>
      <c r="AM3101" s="17"/>
      <c r="AN3101" s="17"/>
      <c r="AO3101" s="17"/>
      <c r="AP3101" s="28" t="str">
        <f t="shared" si="921"/>
        <v>202010</v>
      </c>
      <c r="AQ3101" s="28" t="str">
        <f t="shared" si="922"/>
        <v>202010RMB</v>
      </c>
      <c r="AR3101" s="206" t="str">
        <f t="shared" si="923"/>
        <v>YAMAHA_Mounter</v>
      </c>
      <c r="AS3101" s="22">
        <f t="shared" si="924"/>
        <v>2</v>
      </c>
      <c r="AT3101" s="24" t="str">
        <f t="shared" si="925"/>
        <v>0-3 months</v>
      </c>
      <c r="AU3101" s="22" t="s">
        <v>3744</v>
      </c>
    </row>
    <row r="3102" spans="1:47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53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1785</v>
      </c>
      <c r="K3102" s="155" t="s">
        <v>1786</v>
      </c>
      <c r="L3102" s="17" t="s">
        <v>67</v>
      </c>
      <c r="M3102" s="13" t="s">
        <v>60</v>
      </c>
      <c r="N3102" s="13">
        <v>1</v>
      </c>
      <c r="O3102" s="13"/>
      <c r="P3102" s="33" t="str">
        <f t="shared" si="928"/>
        <v>MAIN UNIT</v>
      </c>
      <c r="Q3102" s="13" t="s">
        <v>61</v>
      </c>
      <c r="R3102" s="13" t="s">
        <v>62</v>
      </c>
      <c r="S3102" s="13" t="s">
        <v>49</v>
      </c>
      <c r="T3102" s="13" t="s">
        <v>78</v>
      </c>
      <c r="U3102" s="13" t="s">
        <v>79</v>
      </c>
      <c r="V3102" s="13" t="s">
        <v>80</v>
      </c>
      <c r="W3102" s="13" t="s">
        <v>109</v>
      </c>
      <c r="X3102" s="135">
        <v>7100000</v>
      </c>
      <c r="Y3102" s="157" t="str">
        <f t="shared" ref="Y3102:Y3107" si="929">IF(W3102="RMB","1.13", "1")</f>
        <v>1</v>
      </c>
      <c r="Z3102" s="18">
        <f t="shared" si="926"/>
        <v>7100000</v>
      </c>
      <c r="AA3102" s="13">
        <v>7.2099999999999997E-2</v>
      </c>
      <c r="AB3102" s="21">
        <f t="shared" si="912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13"/>
        <v>54700260.692079648</v>
      </c>
      <c r="AJ3102" s="19">
        <f t="shared" si="914"/>
        <v>7482899.5749188727</v>
      </c>
      <c r="AK3102" s="20">
        <f t="shared" si="920"/>
        <v>0.13679824337660537</v>
      </c>
      <c r="AL3102" s="17"/>
      <c r="AM3102" s="17"/>
      <c r="AN3102" s="17"/>
      <c r="AO3102" s="17"/>
      <c r="AP3102" s="28" t="str">
        <f t="shared" si="921"/>
        <v>20216</v>
      </c>
      <c r="AQ3102" s="28" t="str">
        <f t="shared" si="922"/>
        <v>20216JPY</v>
      </c>
      <c r="AR3102" s="206" t="str">
        <f t="shared" si="923"/>
        <v>YAMAHA_Mounter</v>
      </c>
      <c r="AS3102" s="22">
        <f t="shared" si="924"/>
        <v>3</v>
      </c>
      <c r="AT3102" s="24" t="str">
        <f t="shared" si="925"/>
        <v>0-3 months</v>
      </c>
      <c r="AU3102" s="22" t="s">
        <v>3745</v>
      </c>
    </row>
    <row r="3103" spans="1:47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53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1785</v>
      </c>
      <c r="K3103" s="155" t="s">
        <v>1786</v>
      </c>
      <c r="L3103" s="17" t="s">
        <v>67</v>
      </c>
      <c r="M3103" s="13" t="s">
        <v>60</v>
      </c>
      <c r="N3103" s="13">
        <v>1</v>
      </c>
      <c r="O3103" s="13"/>
      <c r="P3103" s="33" t="str">
        <f t="shared" si="928"/>
        <v>MAIN UNIT</v>
      </c>
      <c r="Q3103" s="13" t="s">
        <v>61</v>
      </c>
      <c r="R3103" s="13" t="s">
        <v>62</v>
      </c>
      <c r="S3103" s="13" t="s">
        <v>49</v>
      </c>
      <c r="T3103" s="13" t="s">
        <v>78</v>
      </c>
      <c r="U3103" s="13" t="s">
        <v>79</v>
      </c>
      <c r="V3103" s="13" t="s">
        <v>80</v>
      </c>
      <c r="W3103" s="13" t="s">
        <v>109</v>
      </c>
      <c r="X3103" s="135">
        <v>7100000</v>
      </c>
      <c r="Y3103" s="157" t="str">
        <f t="shared" si="929"/>
        <v>1</v>
      </c>
      <c r="Z3103" s="18">
        <f t="shared" si="926"/>
        <v>7100000</v>
      </c>
      <c r="AA3103" s="13">
        <v>7.2099999999999997E-2</v>
      </c>
      <c r="AB3103" s="21">
        <f t="shared" si="912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13"/>
        <v>54700260.692079648</v>
      </c>
      <c r="AJ3103" s="19">
        <f t="shared" si="914"/>
        <v>7482899.5749188727</v>
      </c>
      <c r="AK3103" s="20">
        <f t="shared" si="920"/>
        <v>0.13679824337660537</v>
      </c>
      <c r="AL3103" s="17"/>
      <c r="AM3103" s="17"/>
      <c r="AN3103" s="17"/>
      <c r="AO3103" s="17"/>
      <c r="AP3103" s="28" t="str">
        <f t="shared" si="921"/>
        <v>20216</v>
      </c>
      <c r="AQ3103" s="28" t="str">
        <f t="shared" si="922"/>
        <v>20216JPY</v>
      </c>
      <c r="AR3103" s="206" t="str">
        <f t="shared" si="923"/>
        <v>YAMAHA_Mounter</v>
      </c>
      <c r="AS3103" s="22">
        <f t="shared" si="924"/>
        <v>3</v>
      </c>
      <c r="AT3103" s="24" t="str">
        <f t="shared" si="925"/>
        <v>0-3 months</v>
      </c>
      <c r="AU3103" s="22" t="s">
        <v>3745</v>
      </c>
    </row>
    <row r="3104" spans="1:47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53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1785</v>
      </c>
      <c r="K3104" s="155" t="s">
        <v>1786</v>
      </c>
      <c r="L3104" s="17" t="s">
        <v>67</v>
      </c>
      <c r="M3104" s="13" t="s">
        <v>60</v>
      </c>
      <c r="N3104" s="13">
        <v>1</v>
      </c>
      <c r="O3104" s="13"/>
      <c r="P3104" s="33" t="str">
        <f t="shared" si="928"/>
        <v>MAIN UNIT</v>
      </c>
      <c r="Q3104" s="13" t="s">
        <v>61</v>
      </c>
      <c r="R3104" s="13" t="s">
        <v>62</v>
      </c>
      <c r="S3104" s="13" t="s">
        <v>49</v>
      </c>
      <c r="T3104" s="13" t="s">
        <v>78</v>
      </c>
      <c r="U3104" s="13" t="s">
        <v>79</v>
      </c>
      <c r="V3104" s="13" t="s">
        <v>80</v>
      </c>
      <c r="W3104" s="13" t="s">
        <v>109</v>
      </c>
      <c r="X3104" s="135">
        <v>7100000</v>
      </c>
      <c r="Y3104" s="157" t="str">
        <f t="shared" si="929"/>
        <v>1</v>
      </c>
      <c r="Z3104" s="18">
        <f t="shared" si="926"/>
        <v>7100000</v>
      </c>
      <c r="AA3104" s="13">
        <v>6.9199999999999998E-2</v>
      </c>
      <c r="AB3104" s="21">
        <f t="shared" si="912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13"/>
        <v>31750699.113741599</v>
      </c>
      <c r="AJ3104" s="19">
        <f t="shared" si="914"/>
        <v>4396077.3195289988</v>
      </c>
      <c r="AK3104" s="20">
        <f t="shared" si="920"/>
        <v>0.13845607946397598</v>
      </c>
      <c r="AL3104" s="17"/>
      <c r="AM3104" s="17"/>
      <c r="AN3104" s="17"/>
      <c r="AO3104" s="17"/>
      <c r="AP3104" s="28" t="str">
        <f t="shared" si="921"/>
        <v>20222</v>
      </c>
      <c r="AQ3104" s="28" t="str">
        <f t="shared" si="922"/>
        <v>20222JPY</v>
      </c>
      <c r="AR3104" s="206" t="str">
        <f t="shared" si="923"/>
        <v>YAMAHA_Mounter</v>
      </c>
      <c r="AS3104" s="22">
        <f t="shared" si="924"/>
        <v>11</v>
      </c>
      <c r="AT3104" s="24" t="str">
        <f t="shared" si="925"/>
        <v>&gt; 6 months</v>
      </c>
      <c r="AU3104" s="22" t="s">
        <v>3745</v>
      </c>
    </row>
    <row r="3105" spans="1:47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53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1785</v>
      </c>
      <c r="K3105" s="155" t="s">
        <v>1786</v>
      </c>
      <c r="L3105" s="17" t="s">
        <v>67</v>
      </c>
      <c r="M3105" s="13" t="s">
        <v>60</v>
      </c>
      <c r="N3105" s="13">
        <v>1</v>
      </c>
      <c r="O3105" s="13"/>
      <c r="P3105" s="33" t="str">
        <f t="shared" si="928"/>
        <v>MAIN UNIT</v>
      </c>
      <c r="Q3105" s="13" t="s">
        <v>61</v>
      </c>
      <c r="R3105" s="13" t="s">
        <v>62</v>
      </c>
      <c r="S3105" s="13" t="s">
        <v>49</v>
      </c>
      <c r="T3105" s="13" t="s">
        <v>78</v>
      </c>
      <c r="U3105" s="13" t="s">
        <v>79</v>
      </c>
      <c r="V3105" s="13" t="s">
        <v>80</v>
      </c>
      <c r="W3105" s="13" t="s">
        <v>109</v>
      </c>
      <c r="X3105" s="135">
        <v>7100000</v>
      </c>
      <c r="Y3105" s="157" t="str">
        <f t="shared" si="929"/>
        <v>1</v>
      </c>
      <c r="Z3105" s="18">
        <f t="shared" si="926"/>
        <v>7100000</v>
      </c>
      <c r="AA3105" s="13">
        <v>6.9199999999999998E-2</v>
      </c>
      <c r="AB3105" s="21">
        <f t="shared" si="912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13"/>
        <v>31750699.113741599</v>
      </c>
      <c r="AJ3105" s="19">
        <f t="shared" si="914"/>
        <v>4396077.3195289988</v>
      </c>
      <c r="AK3105" s="20">
        <f t="shared" si="920"/>
        <v>0.13845607946397598</v>
      </c>
      <c r="AL3105" s="17"/>
      <c r="AM3105" s="17"/>
      <c r="AN3105" s="17"/>
      <c r="AO3105" s="17"/>
      <c r="AP3105" s="28" t="str">
        <f t="shared" si="921"/>
        <v>20222</v>
      </c>
      <c r="AQ3105" s="28" t="str">
        <f t="shared" si="922"/>
        <v>20222JPY</v>
      </c>
      <c r="AR3105" s="206" t="str">
        <f t="shared" si="923"/>
        <v>YAMAHA_Mounter</v>
      </c>
      <c r="AS3105" s="22">
        <f t="shared" si="924"/>
        <v>11</v>
      </c>
      <c r="AT3105" s="24" t="str">
        <f t="shared" si="925"/>
        <v>&gt; 6 months</v>
      </c>
      <c r="AU3105" s="22" t="s">
        <v>3745</v>
      </c>
    </row>
    <row r="3106" spans="1:47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54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1785</v>
      </c>
      <c r="K3106" s="155" t="s">
        <v>1786</v>
      </c>
      <c r="L3106" s="17" t="s">
        <v>67</v>
      </c>
      <c r="M3106" s="13" t="s">
        <v>60</v>
      </c>
      <c r="N3106" s="13">
        <v>1</v>
      </c>
      <c r="O3106" s="13"/>
      <c r="P3106" s="33" t="str">
        <f t="shared" si="928"/>
        <v>MAIN UNIT</v>
      </c>
      <c r="Q3106" s="13" t="s">
        <v>61</v>
      </c>
      <c r="R3106" s="13" t="s">
        <v>62</v>
      </c>
      <c r="S3106" s="13" t="s">
        <v>49</v>
      </c>
      <c r="T3106" s="13" t="s">
        <v>78</v>
      </c>
      <c r="U3106" s="13" t="s">
        <v>79</v>
      </c>
      <c r="V3106" s="13" t="s">
        <v>80</v>
      </c>
      <c r="W3106" s="13" t="s">
        <v>109</v>
      </c>
      <c r="X3106" s="135">
        <v>7100000</v>
      </c>
      <c r="Y3106" s="157" t="str">
        <f t="shared" si="929"/>
        <v>1</v>
      </c>
      <c r="Z3106" s="18">
        <f t="shared" si="926"/>
        <v>7100000</v>
      </c>
      <c r="AA3106" s="13">
        <v>6.54E-2</v>
      </c>
      <c r="AB3106" s="21">
        <f t="shared" si="912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13"/>
        <v>46600814.041769907</v>
      </c>
      <c r="AJ3106" s="19">
        <f t="shared" si="914"/>
        <v>5956366.3435927071</v>
      </c>
      <c r="AK3106" s="20">
        <f t="shared" si="920"/>
        <v>0.1278167874546958</v>
      </c>
      <c r="AL3106" s="17"/>
      <c r="AM3106" s="17"/>
      <c r="AN3106" s="17"/>
      <c r="AO3106" s="17"/>
      <c r="AP3106" s="28" t="str">
        <f t="shared" si="921"/>
        <v>20224</v>
      </c>
      <c r="AQ3106" s="28" t="str">
        <f t="shared" si="922"/>
        <v>20224JPY</v>
      </c>
      <c r="AR3106" s="206" t="str">
        <f t="shared" si="923"/>
        <v>YAMAHA_Mounter</v>
      </c>
      <c r="AS3106" s="22">
        <f t="shared" si="924"/>
        <v>13</v>
      </c>
      <c r="AT3106" s="24" t="str">
        <f t="shared" si="925"/>
        <v>&gt; 6 months</v>
      </c>
      <c r="AU3106" s="22" t="s">
        <v>3745</v>
      </c>
    </row>
    <row r="3107" spans="1:47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54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1785</v>
      </c>
      <c r="K3107" s="155" t="s">
        <v>1786</v>
      </c>
      <c r="L3107" s="17" t="s">
        <v>67</v>
      </c>
      <c r="M3107" s="13" t="s">
        <v>60</v>
      </c>
      <c r="N3107" s="13">
        <v>1</v>
      </c>
      <c r="O3107" s="13"/>
      <c r="P3107" s="33" t="str">
        <f t="shared" si="928"/>
        <v>MAIN UNIT</v>
      </c>
      <c r="Q3107" s="13" t="s">
        <v>61</v>
      </c>
      <c r="R3107" s="13" t="s">
        <v>62</v>
      </c>
      <c r="S3107" s="13" t="s">
        <v>49</v>
      </c>
      <c r="T3107" s="13" t="s">
        <v>78</v>
      </c>
      <c r="U3107" s="13" t="s">
        <v>79</v>
      </c>
      <c r="V3107" s="13" t="s">
        <v>80</v>
      </c>
      <c r="W3107" s="13" t="s">
        <v>109</v>
      </c>
      <c r="X3107" s="135">
        <v>7100000</v>
      </c>
      <c r="Y3107" s="157" t="str">
        <f t="shared" si="929"/>
        <v>1</v>
      </c>
      <c r="Z3107" s="18">
        <f t="shared" si="926"/>
        <v>7100000</v>
      </c>
      <c r="AA3107" s="13">
        <v>6.54E-2</v>
      </c>
      <c r="AB3107" s="21">
        <f t="shared" si="912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13"/>
        <v>46600814.041769907</v>
      </c>
      <c r="AJ3107" s="19">
        <f t="shared" si="914"/>
        <v>5956366.3435927071</v>
      </c>
      <c r="AK3107" s="20">
        <f t="shared" si="920"/>
        <v>0.1278167874546958</v>
      </c>
      <c r="AL3107" s="17"/>
      <c r="AM3107" s="17"/>
      <c r="AN3107" s="17"/>
      <c r="AO3107" s="17"/>
      <c r="AP3107" s="28" t="str">
        <f t="shared" si="921"/>
        <v>20224</v>
      </c>
      <c r="AQ3107" s="28" t="str">
        <f t="shared" si="922"/>
        <v>20224JPY</v>
      </c>
      <c r="AR3107" s="206" t="str">
        <f t="shared" si="923"/>
        <v>YAMAHA_Mounter</v>
      </c>
      <c r="AS3107" s="22">
        <f t="shared" si="924"/>
        <v>13</v>
      </c>
      <c r="AT3107" s="24" t="str">
        <f t="shared" si="925"/>
        <v>&gt; 6 months</v>
      </c>
      <c r="AU3107" s="22" t="s">
        <v>3745</v>
      </c>
    </row>
    <row r="3108" spans="1:47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41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306</v>
      </c>
      <c r="K3108" s="155" t="s">
        <v>307</v>
      </c>
      <c r="L3108" s="17" t="s">
        <v>77</v>
      </c>
      <c r="M3108" s="13" t="s">
        <v>60</v>
      </c>
      <c r="N3108" s="13">
        <v>1</v>
      </c>
      <c r="O3108" s="13"/>
      <c r="P3108" s="33" t="str">
        <f t="shared" si="928"/>
        <v>MAIN UNIT</v>
      </c>
      <c r="Q3108" s="13" t="s">
        <v>61</v>
      </c>
      <c r="R3108" s="13" t="s">
        <v>62</v>
      </c>
      <c r="S3108" s="13" t="s">
        <v>49</v>
      </c>
      <c r="T3108" s="13" t="s">
        <v>78</v>
      </c>
      <c r="U3108" s="13" t="s">
        <v>79</v>
      </c>
      <c r="V3108" s="13" t="s">
        <v>308</v>
      </c>
      <c r="W3108" s="13" t="s">
        <v>109</v>
      </c>
      <c r="X3108" s="135">
        <v>10000000</v>
      </c>
      <c r="Y3108" s="156">
        <v>1</v>
      </c>
      <c r="Z3108" s="18">
        <f t="shared" si="926"/>
        <v>10000000</v>
      </c>
      <c r="AA3108" s="13">
        <v>7.2099999999999997E-2</v>
      </c>
      <c r="AB3108" s="21">
        <f t="shared" si="912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13"/>
        <v>26754147.763010349</v>
      </c>
      <c r="AJ3108" s="19">
        <f t="shared" si="914"/>
        <v>3429137.9965357962</v>
      </c>
      <c r="AK3108" s="20">
        <f t="shared" si="920"/>
        <v>0.12817220069617921</v>
      </c>
      <c r="AL3108" s="17"/>
      <c r="AM3108" s="17"/>
      <c r="AN3108" s="17"/>
      <c r="AO3108" s="17"/>
      <c r="AP3108" s="28" t="str">
        <f t="shared" si="921"/>
        <v>20188</v>
      </c>
      <c r="AQ3108" s="28" t="str">
        <f t="shared" si="922"/>
        <v>20188JPY</v>
      </c>
      <c r="AR3108" s="206" t="str">
        <f t="shared" si="923"/>
        <v>YAMAHA_Mounter</v>
      </c>
      <c r="AS3108" s="22" t="str">
        <f t="shared" si="924"/>
        <v/>
      </c>
      <c r="AT3108" s="24" t="str">
        <f t="shared" si="925"/>
        <v/>
      </c>
      <c r="AU3108" s="22" t="s">
        <v>3746</v>
      </c>
    </row>
    <row r="3109" spans="1:47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41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306</v>
      </c>
      <c r="K3109" s="155" t="s">
        <v>307</v>
      </c>
      <c r="L3109" s="17" t="s">
        <v>77</v>
      </c>
      <c r="M3109" s="13" t="s">
        <v>60</v>
      </c>
      <c r="N3109" s="13">
        <v>2</v>
      </c>
      <c r="O3109" s="13"/>
      <c r="P3109" s="33" t="str">
        <f t="shared" si="928"/>
        <v>MAIN UNIT</v>
      </c>
      <c r="Q3109" s="13" t="s">
        <v>61</v>
      </c>
      <c r="R3109" s="13" t="s">
        <v>62</v>
      </c>
      <c r="S3109" s="13" t="s">
        <v>49</v>
      </c>
      <c r="T3109" s="13" t="s">
        <v>78</v>
      </c>
      <c r="U3109" s="13" t="s">
        <v>79</v>
      </c>
      <c r="V3109" s="13" t="s">
        <v>308</v>
      </c>
      <c r="W3109" s="13" t="s">
        <v>109</v>
      </c>
      <c r="X3109" s="135">
        <v>10000000</v>
      </c>
      <c r="Y3109" s="156">
        <v>1</v>
      </c>
      <c r="Z3109" s="18">
        <f t="shared" si="926"/>
        <v>20000000</v>
      </c>
      <c r="AA3109" s="13">
        <v>7.2099999999999997E-2</v>
      </c>
      <c r="AB3109" s="21">
        <f t="shared" si="912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13"/>
        <v>26492741.106427077</v>
      </c>
      <c r="AJ3109" s="19">
        <f t="shared" si="914"/>
        <v>3348032.1325698122</v>
      </c>
      <c r="AK3109" s="20">
        <f t="shared" si="920"/>
        <v>0.12637545201985867</v>
      </c>
      <c r="AL3109" s="17"/>
      <c r="AM3109" s="17"/>
      <c r="AN3109" s="17"/>
      <c r="AO3109" s="17"/>
      <c r="AP3109" s="28" t="str">
        <f t="shared" si="921"/>
        <v>20189</v>
      </c>
      <c r="AQ3109" s="28" t="str">
        <f t="shared" si="922"/>
        <v>20189JPY</v>
      </c>
      <c r="AR3109" s="206" t="str">
        <f t="shared" si="923"/>
        <v>YAMAHA_Mounter</v>
      </c>
      <c r="AS3109" s="22">
        <f t="shared" si="924"/>
        <v>7</v>
      </c>
      <c r="AT3109" s="24" t="str">
        <f t="shared" si="925"/>
        <v>&gt; 6 months</v>
      </c>
      <c r="AU3109" s="22" t="s">
        <v>3746</v>
      </c>
    </row>
    <row r="3110" spans="1:47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41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306</v>
      </c>
      <c r="K3110" s="155" t="s">
        <v>307</v>
      </c>
      <c r="L3110" s="17" t="s">
        <v>77</v>
      </c>
      <c r="M3110" s="13" t="s">
        <v>60</v>
      </c>
      <c r="N3110" s="13">
        <v>1</v>
      </c>
      <c r="O3110" s="13"/>
      <c r="P3110" s="33" t="str">
        <f t="shared" si="928"/>
        <v>MAIN UNIT</v>
      </c>
      <c r="Q3110" s="13" t="s">
        <v>61</v>
      </c>
      <c r="R3110" s="13" t="s">
        <v>62</v>
      </c>
      <c r="S3110" s="13" t="s">
        <v>49</v>
      </c>
      <c r="T3110" s="13" t="s">
        <v>78</v>
      </c>
      <c r="U3110" s="13" t="s">
        <v>79</v>
      </c>
      <c r="V3110" s="13" t="s">
        <v>308</v>
      </c>
      <c r="W3110" s="13" t="s">
        <v>109</v>
      </c>
      <c r="X3110" s="135">
        <v>10000000</v>
      </c>
      <c r="Y3110" s="156">
        <v>1</v>
      </c>
      <c r="Z3110" s="18">
        <f t="shared" si="926"/>
        <v>10000000</v>
      </c>
      <c r="AA3110" s="13">
        <v>7.22E-2</v>
      </c>
      <c r="AB3110" s="21">
        <f t="shared" si="912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13"/>
        <v>47416008.333399981</v>
      </c>
      <c r="AJ3110" s="19">
        <f t="shared" si="914"/>
        <v>6981738.4465290187</v>
      </c>
      <c r="AK3110" s="20">
        <f t="shared" si="920"/>
        <v>0.14724433143839863</v>
      </c>
      <c r="AL3110" s="17"/>
      <c r="AM3110" s="17"/>
      <c r="AN3110" s="17"/>
      <c r="AO3110" s="17"/>
      <c r="AP3110" s="28" t="str">
        <f t="shared" si="921"/>
        <v>20193</v>
      </c>
      <c r="AQ3110" s="28" t="str">
        <f t="shared" si="922"/>
        <v>20193JPY</v>
      </c>
      <c r="AR3110" s="206" t="str">
        <f t="shared" si="923"/>
        <v>YAMAHA_Mounter</v>
      </c>
      <c r="AS3110" s="22">
        <f t="shared" si="924"/>
        <v>13</v>
      </c>
      <c r="AT3110" s="24" t="str">
        <f t="shared" si="925"/>
        <v>&gt; 6 months</v>
      </c>
      <c r="AU3110" s="22" t="s">
        <v>3746</v>
      </c>
    </row>
    <row r="3111" spans="1:47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47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669</v>
      </c>
      <c r="K3111" s="155" t="s">
        <v>307</v>
      </c>
      <c r="L3111" s="17" t="s">
        <v>92</v>
      </c>
      <c r="M3111" s="13" t="s">
        <v>60</v>
      </c>
      <c r="N3111" s="13">
        <v>1</v>
      </c>
      <c r="O3111" s="13"/>
      <c r="P3111" s="33" t="str">
        <f t="shared" si="928"/>
        <v>MAIN UNIT</v>
      </c>
      <c r="Q3111" s="13" t="s">
        <v>61</v>
      </c>
      <c r="R3111" s="13" t="s">
        <v>62</v>
      </c>
      <c r="S3111" s="13" t="s">
        <v>49</v>
      </c>
      <c r="T3111" s="13" t="s">
        <v>78</v>
      </c>
      <c r="U3111" s="13" t="s">
        <v>79</v>
      </c>
      <c r="V3111" s="13" t="s">
        <v>311</v>
      </c>
      <c r="W3111" s="13" t="s">
        <v>64</v>
      </c>
      <c r="X3111" s="135">
        <v>760000</v>
      </c>
      <c r="Y3111" s="156">
        <v>1.1299999999999999</v>
      </c>
      <c r="Z3111" s="18">
        <f t="shared" si="926"/>
        <v>760000</v>
      </c>
      <c r="AA3111" s="13">
        <v>1.135</v>
      </c>
      <c r="AB3111" s="21">
        <f t="shared" si="912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13"/>
        <v>21386017.707964607</v>
      </c>
      <c r="AJ3111" s="19">
        <f t="shared" si="914"/>
        <v>2238764.3265707968</v>
      </c>
      <c r="AK3111" s="20">
        <f t="shared" si="920"/>
        <v>0.10468355339185161</v>
      </c>
      <c r="AL3111" s="17"/>
      <c r="AM3111" s="17"/>
      <c r="AN3111" s="17"/>
      <c r="AO3111" s="17"/>
      <c r="AP3111" s="28" t="str">
        <f t="shared" si="921"/>
        <v>20198</v>
      </c>
      <c r="AQ3111" s="28" t="str">
        <f t="shared" si="922"/>
        <v>20198RMB</v>
      </c>
      <c r="AR3111" s="206" t="str">
        <f t="shared" si="923"/>
        <v>YAMAHA_Mounter</v>
      </c>
      <c r="AS3111" s="22">
        <f t="shared" si="924"/>
        <v>0</v>
      </c>
      <c r="AT3111" s="24" t="str">
        <f t="shared" si="925"/>
        <v>0-3 months</v>
      </c>
      <c r="AU3111" s="22" t="s">
        <v>3240</v>
      </c>
    </row>
    <row r="3112" spans="1:47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47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886</v>
      </c>
      <c r="K3112" s="155" t="s">
        <v>307</v>
      </c>
      <c r="L3112" s="17" t="s">
        <v>92</v>
      </c>
      <c r="M3112" s="13" t="s">
        <v>60</v>
      </c>
      <c r="N3112" s="13">
        <v>1</v>
      </c>
      <c r="O3112" s="13"/>
      <c r="P3112" s="33" t="str">
        <f t="shared" si="928"/>
        <v>MAIN UNIT</v>
      </c>
      <c r="Q3112" s="13" t="s">
        <v>61</v>
      </c>
      <c r="R3112" s="13" t="s">
        <v>62</v>
      </c>
      <c r="S3112" s="13" t="s">
        <v>49</v>
      </c>
      <c r="T3112" s="13" t="s">
        <v>78</v>
      </c>
      <c r="U3112" s="13" t="s">
        <v>79</v>
      </c>
      <c r="V3112" s="13" t="s">
        <v>311</v>
      </c>
      <c r="W3112" s="13" t="s">
        <v>64</v>
      </c>
      <c r="X3112" s="135">
        <v>760000</v>
      </c>
      <c r="Y3112" s="156">
        <v>1.1299999999999999</v>
      </c>
      <c r="Z3112" s="18">
        <f t="shared" si="926"/>
        <v>760000</v>
      </c>
      <c r="AA3112" s="13">
        <v>1.1100000000000001</v>
      </c>
      <c r="AB3112" s="21">
        <f t="shared" si="912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13"/>
        <v>26147030.909862842</v>
      </c>
      <c r="AJ3112" s="19">
        <f t="shared" si="914"/>
        <v>2743862.8630715334</v>
      </c>
      <c r="AK3112" s="20">
        <f t="shared" si="920"/>
        <v>0.10493974908778378</v>
      </c>
      <c r="AL3112" s="17"/>
      <c r="AM3112" s="17"/>
      <c r="AN3112" s="17"/>
      <c r="AO3112" s="17"/>
      <c r="AP3112" s="28" t="str">
        <f t="shared" si="921"/>
        <v>201911</v>
      </c>
      <c r="AQ3112" s="28" t="str">
        <f t="shared" si="922"/>
        <v>201911RMB</v>
      </c>
      <c r="AR3112" s="206" t="str">
        <f t="shared" si="923"/>
        <v>YAMAHA_Mounter</v>
      </c>
      <c r="AS3112" s="22">
        <f t="shared" si="924"/>
        <v>3</v>
      </c>
      <c r="AT3112" s="24" t="str">
        <f t="shared" si="925"/>
        <v>0-3 months</v>
      </c>
      <c r="AU3112" s="22" t="s">
        <v>3744</v>
      </c>
    </row>
    <row r="3113" spans="1:47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47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669</v>
      </c>
      <c r="K3113" s="155" t="s">
        <v>307</v>
      </c>
      <c r="L3113" s="17" t="s">
        <v>67</v>
      </c>
      <c r="M3113" s="13" t="s">
        <v>60</v>
      </c>
      <c r="N3113" s="13">
        <v>1</v>
      </c>
      <c r="O3113" s="13"/>
      <c r="P3113" s="33" t="str">
        <f t="shared" si="928"/>
        <v>MAIN UNIT</v>
      </c>
      <c r="Q3113" s="13" t="s">
        <v>61</v>
      </c>
      <c r="R3113" s="13" t="s">
        <v>62</v>
      </c>
      <c r="S3113" s="13" t="s">
        <v>49</v>
      </c>
      <c r="T3113" s="13" t="s">
        <v>78</v>
      </c>
      <c r="U3113" s="13" t="s">
        <v>79</v>
      </c>
      <c r="V3113" s="13" t="s">
        <v>311</v>
      </c>
      <c r="W3113" s="13" t="s">
        <v>64</v>
      </c>
      <c r="X3113" s="135">
        <v>550000</v>
      </c>
      <c r="Y3113" s="156">
        <v>1.1299999999999999</v>
      </c>
      <c r="Z3113" s="18">
        <f t="shared" si="926"/>
        <v>550000</v>
      </c>
      <c r="AA3113" s="13">
        <v>1.095</v>
      </c>
      <c r="AB3113" s="21">
        <f t="shared" si="912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13"/>
        <v>37599388.802345134</v>
      </c>
      <c r="AJ3113" s="19">
        <f t="shared" si="914"/>
        <v>4866784.3630338367</v>
      </c>
      <c r="AK3113" s="20">
        <f t="shared" si="920"/>
        <v>0.12943785838163113</v>
      </c>
      <c r="AL3113" s="17"/>
      <c r="AM3113" s="17"/>
      <c r="AN3113" s="17"/>
      <c r="AO3113" s="17"/>
      <c r="AP3113" s="28" t="str">
        <f t="shared" si="921"/>
        <v>20199</v>
      </c>
      <c r="AQ3113" s="28" t="str">
        <f t="shared" si="922"/>
        <v>20199RMB</v>
      </c>
      <c r="AR3113" s="206" t="str">
        <f t="shared" si="923"/>
        <v>YAMAHA_Mounter</v>
      </c>
      <c r="AS3113" s="22">
        <f t="shared" si="924"/>
        <v>1</v>
      </c>
      <c r="AT3113" s="24" t="str">
        <f t="shared" si="925"/>
        <v>0-3 months</v>
      </c>
      <c r="AU3113" s="22" t="s">
        <v>3744</v>
      </c>
    </row>
    <row r="3114" spans="1:47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185</v>
      </c>
      <c r="F3114" s="13" t="s">
        <v>185</v>
      </c>
      <c r="G3114" s="152" t="s">
        <v>185</v>
      </c>
      <c r="H3114" s="155"/>
      <c r="I3114" s="33" t="str">
        <f t="shared" si="917"/>
        <v>Cancel</v>
      </c>
      <c r="J3114" s="186" t="s">
        <v>669</v>
      </c>
      <c r="K3114" s="155" t="s">
        <v>307</v>
      </c>
      <c r="L3114" s="17" t="s">
        <v>92</v>
      </c>
      <c r="M3114" s="13" t="s">
        <v>60</v>
      </c>
      <c r="N3114" s="13">
        <v>1</v>
      </c>
      <c r="O3114" s="13"/>
      <c r="P3114" s="33" t="str">
        <f t="shared" si="928"/>
        <v>MAIN UNIT</v>
      </c>
      <c r="Q3114" s="13" t="s">
        <v>61</v>
      </c>
      <c r="R3114" s="13" t="s">
        <v>62</v>
      </c>
      <c r="S3114" s="13" t="s">
        <v>49</v>
      </c>
      <c r="T3114" s="13" t="s">
        <v>78</v>
      </c>
      <c r="U3114" s="13" t="s">
        <v>79</v>
      </c>
      <c r="V3114" s="13" t="s">
        <v>311</v>
      </c>
      <c r="W3114" s="13" t="s">
        <v>64</v>
      </c>
      <c r="X3114" s="135">
        <v>760000</v>
      </c>
      <c r="Y3114" s="156">
        <v>1.1299999999999999</v>
      </c>
      <c r="Z3114" s="18">
        <f t="shared" si="926"/>
        <v>760000</v>
      </c>
      <c r="AA3114" s="13">
        <v>1.095</v>
      </c>
      <c r="AB3114" s="21">
        <f t="shared" si="912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13"/>
        <v>499582152.5142017</v>
      </c>
      <c r="AJ3114" s="19">
        <f t="shared" si="914"/>
        <v>59520528.679470733</v>
      </c>
      <c r="AK3114" s="20">
        <f t="shared" si="920"/>
        <v>0.11914062257814291</v>
      </c>
      <c r="AL3114" s="17"/>
      <c r="AM3114" s="17"/>
      <c r="AN3114" s="17"/>
      <c r="AO3114" s="17"/>
      <c r="AP3114" s="28" t="str">
        <f t="shared" si="921"/>
        <v>CancelCancel</v>
      </c>
      <c r="AQ3114" s="28" t="str">
        <f t="shared" si="922"/>
        <v>CancelCancelRMB</v>
      </c>
      <c r="AR3114" s="206" t="str">
        <f t="shared" si="923"/>
        <v>YAMAHA_Mounter</v>
      </c>
      <c r="AS3114" s="22" t="str">
        <f t="shared" si="924"/>
        <v/>
      </c>
      <c r="AT3114" s="24" t="str">
        <f t="shared" si="925"/>
        <v/>
      </c>
      <c r="AU3114" s="22" t="s">
        <v>3240</v>
      </c>
    </row>
    <row r="3115" spans="1:47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185</v>
      </c>
      <c r="F3115" s="13" t="s">
        <v>185</v>
      </c>
      <c r="G3115" s="152" t="s">
        <v>185</v>
      </c>
      <c r="H3115" s="155"/>
      <c r="I3115" s="33" t="str">
        <f t="shared" si="917"/>
        <v>Cancel</v>
      </c>
      <c r="J3115" s="186" t="s">
        <v>669</v>
      </c>
      <c r="K3115" s="155" t="s">
        <v>307</v>
      </c>
      <c r="L3115" s="17" t="s">
        <v>67</v>
      </c>
      <c r="M3115" s="13" t="s">
        <v>60</v>
      </c>
      <c r="N3115" s="13">
        <v>1</v>
      </c>
      <c r="O3115" s="13"/>
      <c r="P3115" s="33" t="str">
        <f t="shared" si="928"/>
        <v>MAIN UNIT</v>
      </c>
      <c r="Q3115" s="13" t="s">
        <v>61</v>
      </c>
      <c r="R3115" s="13" t="s">
        <v>62</v>
      </c>
      <c r="S3115" s="13" t="s">
        <v>49</v>
      </c>
      <c r="T3115" s="13" t="s">
        <v>78</v>
      </c>
      <c r="U3115" s="13" t="s">
        <v>79</v>
      </c>
      <c r="V3115" s="13" t="s">
        <v>311</v>
      </c>
      <c r="W3115" s="13" t="s">
        <v>64</v>
      </c>
      <c r="X3115" s="135">
        <v>550000</v>
      </c>
      <c r="Y3115" s="156">
        <v>1.1299999999999999</v>
      </c>
      <c r="Z3115" s="18">
        <f t="shared" si="926"/>
        <v>550000</v>
      </c>
      <c r="AA3115" s="13">
        <v>1.095</v>
      </c>
      <c r="AB3115" s="21">
        <f t="shared" si="912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13"/>
        <v>499582152.5142017</v>
      </c>
      <c r="AJ3115" s="19">
        <f t="shared" si="914"/>
        <v>59520528.679470733</v>
      </c>
      <c r="AK3115" s="20">
        <f t="shared" si="920"/>
        <v>0.11914062257814291</v>
      </c>
      <c r="AL3115" s="17"/>
      <c r="AM3115" s="17"/>
      <c r="AN3115" s="17"/>
      <c r="AO3115" s="17"/>
      <c r="AP3115" s="28" t="str">
        <f t="shared" si="921"/>
        <v>CancelCancel</v>
      </c>
      <c r="AQ3115" s="28" t="str">
        <f t="shared" si="922"/>
        <v>CancelCancelRMB</v>
      </c>
      <c r="AR3115" s="206" t="str">
        <f t="shared" si="923"/>
        <v>YAMAHA_Mounter</v>
      </c>
      <c r="AS3115" s="22" t="str">
        <f t="shared" si="924"/>
        <v/>
      </c>
      <c r="AT3115" s="24" t="str">
        <f t="shared" si="925"/>
        <v/>
      </c>
      <c r="AU3115" s="22" t="s">
        <v>3744</v>
      </c>
    </row>
    <row r="3116" spans="1:47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185</v>
      </c>
      <c r="F3116" s="13" t="s">
        <v>185</v>
      </c>
      <c r="G3116" s="152" t="s">
        <v>185</v>
      </c>
      <c r="H3116" s="155"/>
      <c r="I3116" s="33" t="str">
        <f t="shared" si="917"/>
        <v>Cancel</v>
      </c>
      <c r="J3116" s="186" t="s">
        <v>669</v>
      </c>
      <c r="K3116" s="155" t="s">
        <v>307</v>
      </c>
      <c r="L3116" s="17" t="s">
        <v>67</v>
      </c>
      <c r="M3116" s="13" t="s">
        <v>60</v>
      </c>
      <c r="N3116" s="13">
        <v>1</v>
      </c>
      <c r="O3116" s="13"/>
      <c r="P3116" s="33" t="str">
        <f t="shared" si="928"/>
        <v>MAIN UNIT</v>
      </c>
      <c r="Q3116" s="13" t="s">
        <v>61</v>
      </c>
      <c r="R3116" s="13" t="s">
        <v>62</v>
      </c>
      <c r="S3116" s="13" t="s">
        <v>49</v>
      </c>
      <c r="T3116" s="13" t="s">
        <v>78</v>
      </c>
      <c r="U3116" s="13" t="s">
        <v>79</v>
      </c>
      <c r="V3116" s="13" t="s">
        <v>311</v>
      </c>
      <c r="W3116" s="13" t="s">
        <v>64</v>
      </c>
      <c r="X3116" s="135">
        <v>550000</v>
      </c>
      <c r="Y3116" s="156">
        <v>1.1299999999999999</v>
      </c>
      <c r="Z3116" s="18">
        <f t="shared" si="926"/>
        <v>550000</v>
      </c>
      <c r="AA3116" s="13">
        <v>1.095</v>
      </c>
      <c r="AB3116" s="21">
        <f t="shared" si="912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13"/>
        <v>499582152.5142017</v>
      </c>
      <c r="AJ3116" s="19">
        <f t="shared" si="914"/>
        <v>59520528.679470733</v>
      </c>
      <c r="AK3116" s="20">
        <f t="shared" si="920"/>
        <v>0.11914062257814291</v>
      </c>
      <c r="AL3116" s="17"/>
      <c r="AM3116" s="17"/>
      <c r="AN3116" s="17"/>
      <c r="AO3116" s="17"/>
      <c r="AP3116" s="28" t="str">
        <f t="shared" si="921"/>
        <v>CancelCancel</v>
      </c>
      <c r="AQ3116" s="28" t="str">
        <f t="shared" si="922"/>
        <v>CancelCancelRMB</v>
      </c>
      <c r="AR3116" s="206" t="str">
        <f t="shared" si="923"/>
        <v>YAMAHA_Mounter</v>
      </c>
      <c r="AS3116" s="22" t="str">
        <f t="shared" si="924"/>
        <v/>
      </c>
      <c r="AT3116" s="24" t="str">
        <f t="shared" si="925"/>
        <v/>
      </c>
      <c r="AU3116" s="22" t="s">
        <v>3744</v>
      </c>
    </row>
    <row r="3117" spans="1:47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53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1919</v>
      </c>
      <c r="K3117" s="155" t="s">
        <v>1920</v>
      </c>
      <c r="L3117" s="17" t="s">
        <v>92</v>
      </c>
      <c r="M3117" s="13" t="s">
        <v>60</v>
      </c>
      <c r="N3117" s="13">
        <v>1</v>
      </c>
      <c r="O3117" s="13"/>
      <c r="P3117" s="33" t="str">
        <f t="shared" si="928"/>
        <v>MAIN UNIT</v>
      </c>
      <c r="Q3117" s="13" t="s">
        <v>68</v>
      </c>
      <c r="R3117" s="13" t="s">
        <v>62</v>
      </c>
      <c r="S3117" s="13" t="s">
        <v>49</v>
      </c>
      <c r="T3117" s="13" t="s">
        <v>78</v>
      </c>
      <c r="U3117" s="13" t="s">
        <v>79</v>
      </c>
      <c r="V3117" s="13" t="s">
        <v>311</v>
      </c>
      <c r="W3117" s="13" t="s">
        <v>64</v>
      </c>
      <c r="X3117" s="135">
        <v>874688</v>
      </c>
      <c r="Y3117" s="157" t="str">
        <f>IF(W3117="RMB","1.13", "1")</f>
        <v>1.13</v>
      </c>
      <c r="Z3117" s="18">
        <f t="shared" si="926"/>
        <v>874688</v>
      </c>
      <c r="AA3117" s="13">
        <v>1.2150000000000001</v>
      </c>
      <c r="AB3117" s="21">
        <f t="shared" si="912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13"/>
        <v>25380121.402654871</v>
      </c>
      <c r="AJ3117" s="19">
        <f t="shared" si="914"/>
        <v>3850343.1237796471</v>
      </c>
      <c r="AK3117" s="20">
        <f t="shared" si="920"/>
        <v>0.1517070412191521</v>
      </c>
      <c r="AL3117" s="17"/>
      <c r="AM3117" s="17"/>
      <c r="AN3117" s="17"/>
      <c r="AO3117" s="17"/>
      <c r="AP3117" s="28" t="str">
        <f t="shared" si="921"/>
        <v>202112</v>
      </c>
      <c r="AQ3117" s="28" t="str">
        <f t="shared" si="922"/>
        <v>202112RMB</v>
      </c>
      <c r="AR3117" s="206" t="str">
        <f t="shared" si="923"/>
        <v>YAMAHA_Mounter</v>
      </c>
      <c r="AS3117" s="22">
        <f t="shared" si="924"/>
        <v>1</v>
      </c>
      <c r="AT3117" s="24" t="str">
        <f t="shared" si="925"/>
        <v>0-3 months</v>
      </c>
      <c r="AU3117" s="22" t="s">
        <v>3751</v>
      </c>
    </row>
    <row r="3118" spans="1:47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53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1986</v>
      </c>
      <c r="K3118" s="155" t="s">
        <v>1920</v>
      </c>
      <c r="L3118" s="17" t="s">
        <v>67</v>
      </c>
      <c r="M3118" s="13" t="s">
        <v>60</v>
      </c>
      <c r="N3118" s="13">
        <v>1</v>
      </c>
      <c r="O3118" s="13"/>
      <c r="P3118" s="33" t="str">
        <f t="shared" si="928"/>
        <v>MAIN UNIT</v>
      </c>
      <c r="Q3118" s="13" t="s">
        <v>68</v>
      </c>
      <c r="R3118" s="13" t="s">
        <v>62</v>
      </c>
      <c r="S3118" s="13" t="s">
        <v>49</v>
      </c>
      <c r="T3118" s="13" t="s">
        <v>78</v>
      </c>
      <c r="U3118" s="13" t="s">
        <v>79</v>
      </c>
      <c r="V3118" s="13" t="s">
        <v>311</v>
      </c>
      <c r="W3118" s="13" t="s">
        <v>109</v>
      </c>
      <c r="X3118" s="135">
        <v>7020000</v>
      </c>
      <c r="Y3118" s="157" t="str">
        <f>IF(W3118="RMB","1.13", "1")</f>
        <v>1</v>
      </c>
      <c r="Z3118" s="18">
        <f t="shared" si="926"/>
        <v>7020000</v>
      </c>
      <c r="AA3118" s="13">
        <v>6.9199999999999998E-2</v>
      </c>
      <c r="AB3118" s="21">
        <f t="shared" si="912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13"/>
        <v>28726768.133805312</v>
      </c>
      <c r="AJ3118" s="19">
        <f t="shared" si="914"/>
        <v>3853638.1988864429</v>
      </c>
      <c r="AK3118" s="20">
        <f t="shared" si="920"/>
        <v>0.1341479898099476</v>
      </c>
      <c r="AL3118" s="17"/>
      <c r="AM3118" s="17"/>
      <c r="AN3118" s="17"/>
      <c r="AO3118" s="17"/>
      <c r="AP3118" s="28" t="str">
        <f t="shared" si="921"/>
        <v>20223</v>
      </c>
      <c r="AQ3118" s="28" t="str">
        <f t="shared" si="922"/>
        <v>20223JPY</v>
      </c>
      <c r="AR3118" s="206" t="str">
        <f t="shared" si="923"/>
        <v>YAMAHA_Mounter</v>
      </c>
      <c r="AS3118" s="22">
        <f t="shared" si="924"/>
        <v>4</v>
      </c>
      <c r="AT3118" s="24" t="str">
        <f t="shared" si="925"/>
        <v>4-6 months</v>
      </c>
      <c r="AU3118" s="22" t="s">
        <v>3745</v>
      </c>
    </row>
    <row r="3119" spans="1:47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47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937</v>
      </c>
      <c r="K3119" s="155" t="s">
        <v>938</v>
      </c>
      <c r="L3119" s="17" t="s">
        <v>67</v>
      </c>
      <c r="M3119" s="13" t="s">
        <v>60</v>
      </c>
      <c r="N3119" s="13">
        <v>1</v>
      </c>
      <c r="O3119" s="13"/>
      <c r="P3119" s="33" t="str">
        <f t="shared" si="928"/>
        <v>MAIN UNIT</v>
      </c>
      <c r="Q3119" s="13" t="s">
        <v>68</v>
      </c>
      <c r="R3119" s="13" t="s">
        <v>62</v>
      </c>
      <c r="S3119" s="13" t="s">
        <v>49</v>
      </c>
      <c r="T3119" s="13" t="s">
        <v>120</v>
      </c>
      <c r="U3119" s="13" t="s">
        <v>79</v>
      </c>
      <c r="V3119" s="13" t="s">
        <v>311</v>
      </c>
      <c r="W3119" s="13" t="s">
        <v>64</v>
      </c>
      <c r="X3119" s="135">
        <v>550000</v>
      </c>
      <c r="Y3119" s="156">
        <v>1.1299999999999999</v>
      </c>
      <c r="Z3119" s="18">
        <f t="shared" si="926"/>
        <v>550000</v>
      </c>
      <c r="AA3119" s="13">
        <v>1.095</v>
      </c>
      <c r="AB3119" s="21">
        <f t="shared" si="912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13"/>
        <v>28647263.974455759</v>
      </c>
      <c r="AJ3119" s="19">
        <f t="shared" si="914"/>
        <v>3219855.6912513468</v>
      </c>
      <c r="AK3119" s="20">
        <f t="shared" si="920"/>
        <v>0.11239662168514358</v>
      </c>
      <c r="AL3119" s="17"/>
      <c r="AM3119" s="17"/>
      <c r="AN3119" s="17"/>
      <c r="AO3119" s="17"/>
      <c r="AP3119" s="28" t="str">
        <f t="shared" si="921"/>
        <v>201910</v>
      </c>
      <c r="AQ3119" s="28" t="str">
        <f t="shared" si="922"/>
        <v>201910RMB</v>
      </c>
      <c r="AR3119" s="206" t="str">
        <f t="shared" si="923"/>
        <v>YAMAHA_Mounter</v>
      </c>
      <c r="AS3119" s="22">
        <f t="shared" si="924"/>
        <v>1</v>
      </c>
      <c r="AT3119" s="24" t="str">
        <f t="shared" si="925"/>
        <v>0-3 months</v>
      </c>
      <c r="AU3119" s="22" t="s">
        <v>3744</v>
      </c>
    </row>
    <row r="3120" spans="1:47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47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937</v>
      </c>
      <c r="K3120" s="155" t="s">
        <v>938</v>
      </c>
      <c r="L3120" s="17" t="s">
        <v>92</v>
      </c>
      <c r="M3120" s="13" t="s">
        <v>60</v>
      </c>
      <c r="N3120" s="13">
        <v>1</v>
      </c>
      <c r="O3120" s="13"/>
      <c r="P3120" s="33" t="str">
        <f t="shared" si="928"/>
        <v>MAIN UNIT</v>
      </c>
      <c r="Q3120" s="13" t="s">
        <v>68</v>
      </c>
      <c r="R3120" s="13" t="s">
        <v>62</v>
      </c>
      <c r="S3120" s="13" t="s">
        <v>49</v>
      </c>
      <c r="T3120" s="13" t="s">
        <v>120</v>
      </c>
      <c r="U3120" s="13" t="s">
        <v>79</v>
      </c>
      <c r="V3120" s="13" t="s">
        <v>311</v>
      </c>
      <c r="W3120" s="13" t="s">
        <v>64</v>
      </c>
      <c r="X3120" s="135">
        <v>944400</v>
      </c>
      <c r="Y3120" s="156">
        <v>1.1299999999999999</v>
      </c>
      <c r="Z3120" s="18">
        <f t="shared" si="926"/>
        <v>944400</v>
      </c>
      <c r="AA3120" s="13">
        <v>1.095</v>
      </c>
      <c r="AB3120" s="21">
        <f t="shared" si="912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13"/>
        <v>28647263.974455759</v>
      </c>
      <c r="AJ3120" s="19">
        <f t="shared" si="914"/>
        <v>3219855.6912513468</v>
      </c>
      <c r="AK3120" s="20">
        <f t="shared" si="920"/>
        <v>0.11239662168514358</v>
      </c>
      <c r="AL3120" s="17"/>
      <c r="AM3120" s="17"/>
      <c r="AN3120" s="17"/>
      <c r="AO3120" s="17"/>
      <c r="AP3120" s="28" t="str">
        <f t="shared" si="921"/>
        <v>201910</v>
      </c>
      <c r="AQ3120" s="28" t="str">
        <f t="shared" si="922"/>
        <v>201910RMB</v>
      </c>
      <c r="AR3120" s="206" t="str">
        <f t="shared" si="923"/>
        <v>YAMAHA_Mounter</v>
      </c>
      <c r="AS3120" s="22">
        <f t="shared" si="924"/>
        <v>1</v>
      </c>
      <c r="AT3120" s="24" t="str">
        <f t="shared" si="925"/>
        <v>0-3 months</v>
      </c>
      <c r="AU3120" s="22" t="s">
        <v>3744</v>
      </c>
    </row>
    <row r="3121" spans="1:47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185</v>
      </c>
      <c r="F3121" s="13" t="s">
        <v>185</v>
      </c>
      <c r="G3121" s="152" t="s">
        <v>1616</v>
      </c>
      <c r="H3121" s="155"/>
      <c r="I3121" s="33" t="str">
        <f t="shared" si="917"/>
        <v>Cancel</v>
      </c>
      <c r="J3121" s="186" t="s">
        <v>2083</v>
      </c>
      <c r="K3121" s="155" t="s">
        <v>938</v>
      </c>
      <c r="L3121" s="17" t="s">
        <v>67</v>
      </c>
      <c r="M3121" s="13" t="s">
        <v>60</v>
      </c>
      <c r="N3121" s="13">
        <v>1</v>
      </c>
      <c r="O3121" s="13"/>
      <c r="P3121" s="33" t="str">
        <f t="shared" si="928"/>
        <v>MAIN UNIT</v>
      </c>
      <c r="Q3121" s="13" t="s">
        <v>61</v>
      </c>
      <c r="R3121" s="13" t="s">
        <v>62</v>
      </c>
      <c r="S3121" s="13" t="s">
        <v>49</v>
      </c>
      <c r="T3121" s="13" t="s">
        <v>78</v>
      </c>
      <c r="U3121" s="13" t="s">
        <v>79</v>
      </c>
      <c r="V3121" s="13" t="s">
        <v>311</v>
      </c>
      <c r="W3121" s="13" t="s">
        <v>109</v>
      </c>
      <c r="X3121" s="135">
        <v>8600000</v>
      </c>
      <c r="Y3121" s="157" t="str">
        <f>IF(W3121="RMB","1.13", "1")</f>
        <v>1</v>
      </c>
      <c r="Z3121" s="18">
        <f t="shared" si="926"/>
        <v>8600000</v>
      </c>
      <c r="AA3121" s="13">
        <v>7.0000000000000007E-2</v>
      </c>
      <c r="AB3121" s="21">
        <f t="shared" si="912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13"/>
        <v>499582152.5142017</v>
      </c>
      <c r="AJ3121" s="19">
        <f t="shared" si="914"/>
        <v>59520528.679470733</v>
      </c>
      <c r="AK3121" s="20">
        <f t="shared" si="920"/>
        <v>0.11914062257814291</v>
      </c>
      <c r="AL3121" s="17"/>
      <c r="AM3121" s="17"/>
      <c r="AN3121" s="17"/>
      <c r="AO3121" s="17"/>
      <c r="AP3121" s="28" t="str">
        <f t="shared" si="921"/>
        <v>CancelCANCEL</v>
      </c>
      <c r="AQ3121" s="28" t="str">
        <f t="shared" si="922"/>
        <v>CancelCANCELJPY</v>
      </c>
      <c r="AR3121" s="206" t="str">
        <f t="shared" si="923"/>
        <v>YAMAHA_Mounter</v>
      </c>
      <c r="AS3121" s="22" t="str">
        <f t="shared" si="924"/>
        <v/>
      </c>
      <c r="AT3121" s="24" t="str">
        <f t="shared" si="925"/>
        <v/>
      </c>
      <c r="AU3121" s="22" t="s">
        <v>3745</v>
      </c>
    </row>
    <row r="3122" spans="1:47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185</v>
      </c>
      <c r="F3122" s="13" t="s">
        <v>185</v>
      </c>
      <c r="G3122" s="152" t="s">
        <v>1616</v>
      </c>
      <c r="H3122" s="155"/>
      <c r="I3122" s="33" t="str">
        <f t="shared" si="917"/>
        <v>Cancel</v>
      </c>
      <c r="J3122" s="186" t="s">
        <v>2083</v>
      </c>
      <c r="K3122" s="155" t="s">
        <v>938</v>
      </c>
      <c r="L3122" s="17" t="s">
        <v>92</v>
      </c>
      <c r="M3122" s="13" t="s">
        <v>60</v>
      </c>
      <c r="N3122" s="13">
        <v>1</v>
      </c>
      <c r="O3122" s="13"/>
      <c r="P3122" s="33" t="str">
        <f t="shared" si="928"/>
        <v>MAIN UNIT</v>
      </c>
      <c r="Q3122" s="13" t="s">
        <v>61</v>
      </c>
      <c r="R3122" s="13" t="s">
        <v>62</v>
      </c>
      <c r="S3122" s="13" t="s">
        <v>49</v>
      </c>
      <c r="T3122" s="13" t="s">
        <v>78</v>
      </c>
      <c r="U3122" s="13" t="s">
        <v>79</v>
      </c>
      <c r="V3122" s="13" t="s">
        <v>311</v>
      </c>
      <c r="W3122" s="13" t="s">
        <v>109</v>
      </c>
      <c r="X3122" s="135">
        <v>12000000</v>
      </c>
      <c r="Y3122" s="157" t="str">
        <f>IF(W3122="RMB","1.13", "1")</f>
        <v>1</v>
      </c>
      <c r="Z3122" s="18">
        <f t="shared" si="926"/>
        <v>12000000</v>
      </c>
      <c r="AA3122" s="13">
        <v>7.0000000000000007E-2</v>
      </c>
      <c r="AB3122" s="21">
        <f t="shared" si="912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13"/>
        <v>499582152.5142017</v>
      </c>
      <c r="AJ3122" s="19">
        <f t="shared" si="914"/>
        <v>59520528.679470733</v>
      </c>
      <c r="AK3122" s="20">
        <f t="shared" si="920"/>
        <v>0.11914062257814291</v>
      </c>
      <c r="AL3122" s="17"/>
      <c r="AM3122" s="17"/>
      <c r="AN3122" s="17"/>
      <c r="AO3122" s="17"/>
      <c r="AP3122" s="28" t="str">
        <f t="shared" si="921"/>
        <v>CancelCANCEL</v>
      </c>
      <c r="AQ3122" s="28" t="str">
        <f t="shared" si="922"/>
        <v>CancelCANCELJPY</v>
      </c>
      <c r="AR3122" s="206" t="str">
        <f t="shared" si="923"/>
        <v>YAMAHA_Mounter</v>
      </c>
      <c r="AS3122" s="22" t="str">
        <f t="shared" si="924"/>
        <v/>
      </c>
      <c r="AT3122" s="24" t="str">
        <f t="shared" si="925"/>
        <v/>
      </c>
      <c r="AU3122" s="22" t="s">
        <v>3745</v>
      </c>
    </row>
    <row r="3123" spans="1:47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48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1498</v>
      </c>
      <c r="K3123" s="155" t="s">
        <v>1499</v>
      </c>
      <c r="L3123" s="17" t="s">
        <v>67</v>
      </c>
      <c r="M3123" s="13" t="s">
        <v>60</v>
      </c>
      <c r="N3123" s="13">
        <v>1</v>
      </c>
      <c r="O3123" s="13"/>
      <c r="P3123" s="33" t="str">
        <f t="shared" si="928"/>
        <v>MAIN UNIT</v>
      </c>
      <c r="Q3123" s="13" t="s">
        <v>68</v>
      </c>
      <c r="R3123" s="13" t="s">
        <v>62</v>
      </c>
      <c r="S3123" s="13" t="s">
        <v>49</v>
      </c>
      <c r="T3123" s="13" t="s">
        <v>78</v>
      </c>
      <c r="U3123" s="13" t="s">
        <v>79</v>
      </c>
      <c r="V3123" s="13" t="s">
        <v>1307</v>
      </c>
      <c r="W3123" s="13" t="s">
        <v>1308</v>
      </c>
      <c r="X3123" s="135">
        <v>770000</v>
      </c>
      <c r="Y3123" s="156">
        <v>1.1299999999999999</v>
      </c>
      <c r="Z3123" s="18">
        <f t="shared" si="926"/>
        <v>770000</v>
      </c>
      <c r="AA3123" s="13">
        <v>1.1850000000000001</v>
      </c>
      <c r="AB3123" s="21">
        <f t="shared" si="912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13"/>
        <v>45803245.025628321</v>
      </c>
      <c r="AJ3123" s="19">
        <f t="shared" si="914"/>
        <v>5664636.2584379362</v>
      </c>
      <c r="AK3123" s="20">
        <f t="shared" si="920"/>
        <v>0.12367325186825515</v>
      </c>
      <c r="AL3123" s="17"/>
      <c r="AM3123" s="17"/>
      <c r="AN3123" s="17"/>
      <c r="AO3123" s="17"/>
      <c r="AP3123" s="28" t="str">
        <f t="shared" si="921"/>
        <v>20211</v>
      </c>
      <c r="AQ3123" s="28" t="str">
        <f t="shared" si="922"/>
        <v>20211RMB</v>
      </c>
      <c r="AR3123" s="206" t="str">
        <f t="shared" si="923"/>
        <v>YAMAHA_Mounter</v>
      </c>
      <c r="AS3123" s="22">
        <f t="shared" si="924"/>
        <v>5</v>
      </c>
      <c r="AT3123" s="24" t="str">
        <f t="shared" si="925"/>
        <v>4-6 months</v>
      </c>
      <c r="AU3123" s="22" t="s">
        <v>3744</v>
      </c>
    </row>
    <row r="3124" spans="1:47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48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1498</v>
      </c>
      <c r="K3124" s="155" t="s">
        <v>1499</v>
      </c>
      <c r="L3124" s="17" t="s">
        <v>92</v>
      </c>
      <c r="M3124" s="13" t="s">
        <v>60</v>
      </c>
      <c r="N3124" s="13">
        <v>1</v>
      </c>
      <c r="O3124" s="13"/>
      <c r="P3124" s="33" t="str">
        <f t="shared" si="928"/>
        <v>MAIN UNIT</v>
      </c>
      <c r="Q3124" s="13" t="s">
        <v>68</v>
      </c>
      <c r="R3124" s="13" t="s">
        <v>62</v>
      </c>
      <c r="S3124" s="13" t="s">
        <v>49</v>
      </c>
      <c r="T3124" s="13" t="s">
        <v>78</v>
      </c>
      <c r="U3124" s="13" t="s">
        <v>79</v>
      </c>
      <c r="V3124" s="13" t="s">
        <v>1307</v>
      </c>
      <c r="W3124" s="13" t="s">
        <v>1308</v>
      </c>
      <c r="X3124" s="135">
        <v>1000000</v>
      </c>
      <c r="Y3124" s="156">
        <v>1.1299999999999999</v>
      </c>
      <c r="Z3124" s="18">
        <f t="shared" si="926"/>
        <v>1000000</v>
      </c>
      <c r="AA3124" s="13">
        <v>1.1850000000000001</v>
      </c>
      <c r="AB3124" s="21">
        <f t="shared" si="912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13"/>
        <v>45803245.025628321</v>
      </c>
      <c r="AJ3124" s="19">
        <f t="shared" si="914"/>
        <v>5664636.2584379362</v>
      </c>
      <c r="AK3124" s="20">
        <f t="shared" si="920"/>
        <v>0.12367325186825515</v>
      </c>
      <c r="AL3124" s="17"/>
      <c r="AM3124" s="17"/>
      <c r="AN3124" s="17"/>
      <c r="AO3124" s="17"/>
      <c r="AP3124" s="28" t="str">
        <f t="shared" si="921"/>
        <v>20211</v>
      </c>
      <c r="AQ3124" s="28" t="str">
        <f t="shared" si="922"/>
        <v>20211RMB</v>
      </c>
      <c r="AR3124" s="206" t="str">
        <f t="shared" si="923"/>
        <v>YAMAHA_Mounter</v>
      </c>
      <c r="AS3124" s="22">
        <f t="shared" si="924"/>
        <v>5</v>
      </c>
      <c r="AT3124" s="24" t="str">
        <f t="shared" si="925"/>
        <v>4-6 months</v>
      </c>
      <c r="AU3124" s="22" t="s">
        <v>3744</v>
      </c>
    </row>
    <row r="3125" spans="1:47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53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1817</v>
      </c>
      <c r="K3125" s="155" t="s">
        <v>1818</v>
      </c>
      <c r="L3125" s="17" t="s">
        <v>92</v>
      </c>
      <c r="M3125" s="13" t="s">
        <v>60</v>
      </c>
      <c r="N3125" s="13">
        <v>1</v>
      </c>
      <c r="O3125" s="13"/>
      <c r="P3125" s="33" t="str">
        <f t="shared" si="928"/>
        <v>MAIN UNIT</v>
      </c>
      <c r="Q3125" s="13" t="s">
        <v>61</v>
      </c>
      <c r="R3125" s="13" t="s">
        <v>62</v>
      </c>
      <c r="S3125" s="13" t="s">
        <v>49</v>
      </c>
      <c r="T3125" s="13" t="s">
        <v>78</v>
      </c>
      <c r="U3125" s="13" t="s">
        <v>79</v>
      </c>
      <c r="V3125" s="13" t="s">
        <v>112</v>
      </c>
      <c r="W3125" s="13" t="s">
        <v>109</v>
      </c>
      <c r="X3125" s="135">
        <v>13887500</v>
      </c>
      <c r="Y3125" s="157" t="str">
        <f>IF(W3125="RMB","1.13", "1")</f>
        <v>1</v>
      </c>
      <c r="Z3125" s="18">
        <f t="shared" si="926"/>
        <v>13887500</v>
      </c>
      <c r="AA3125" s="13">
        <v>7.17E-2</v>
      </c>
      <c r="AB3125" s="21">
        <f t="shared" si="912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13"/>
        <v>41443303.53761062</v>
      </c>
      <c r="AJ3125" s="19">
        <f t="shared" si="914"/>
        <v>6194988.76643031</v>
      </c>
      <c r="AK3125" s="20">
        <f t="shared" si="920"/>
        <v>0.1494810557466355</v>
      </c>
      <c r="AL3125" s="17"/>
      <c r="AM3125" s="17"/>
      <c r="AN3125" s="17"/>
      <c r="AO3125" s="17"/>
      <c r="AP3125" s="28" t="str">
        <f t="shared" si="921"/>
        <v>20217</v>
      </c>
      <c r="AQ3125" s="28" t="str">
        <f t="shared" si="922"/>
        <v>20217JPY</v>
      </c>
      <c r="AR3125" s="206" t="str">
        <f t="shared" si="923"/>
        <v>YAMAHA_Mounter</v>
      </c>
      <c r="AS3125" s="22">
        <f t="shared" si="924"/>
        <v>4</v>
      </c>
      <c r="AT3125" s="24" t="str">
        <f t="shared" si="925"/>
        <v>4-6 months</v>
      </c>
      <c r="AU3125" s="22" t="s">
        <v>3745</v>
      </c>
    </row>
    <row r="3126" spans="1:47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54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2409</v>
      </c>
      <c r="K3126" s="155" t="s">
        <v>1818</v>
      </c>
      <c r="L3126" s="17" t="s">
        <v>67</v>
      </c>
      <c r="M3126" s="13" t="s">
        <v>60</v>
      </c>
      <c r="N3126" s="13">
        <v>1</v>
      </c>
      <c r="O3126" s="13"/>
      <c r="P3126" s="33" t="str">
        <f t="shared" si="928"/>
        <v>MAIN UNIT</v>
      </c>
      <c r="Q3126" s="13" t="s">
        <v>61</v>
      </c>
      <c r="R3126" s="13" t="s">
        <v>62</v>
      </c>
      <c r="S3126" s="13" t="s">
        <v>49</v>
      </c>
      <c r="T3126" s="13" t="s">
        <v>78</v>
      </c>
      <c r="U3126" s="13" t="s">
        <v>79</v>
      </c>
      <c r="V3126" s="13" t="s">
        <v>112</v>
      </c>
      <c r="W3126" s="13" t="s">
        <v>64</v>
      </c>
      <c r="X3126" s="135">
        <v>600000</v>
      </c>
      <c r="Y3126" s="157" t="str">
        <f>IF(W3126="RMB","1.13", "1")</f>
        <v>1.13</v>
      </c>
      <c r="Z3126" s="18">
        <f t="shared" si="926"/>
        <v>600000</v>
      </c>
      <c r="AA3126" s="13">
        <v>1.1200000000000001</v>
      </c>
      <c r="AB3126" s="21">
        <f t="shared" si="912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13"/>
        <v>7502645.9971681423</v>
      </c>
      <c r="AJ3126" s="19">
        <f t="shared" si="914"/>
        <v>664841.72044240718</v>
      </c>
      <c r="AK3126" s="20">
        <f t="shared" si="920"/>
        <v>8.861429963420242E-2</v>
      </c>
      <c r="AL3126" s="17"/>
      <c r="AM3126" s="17"/>
      <c r="AN3126" s="17"/>
      <c r="AO3126" s="17"/>
      <c r="AP3126" s="28" t="str">
        <f t="shared" si="921"/>
        <v>20231</v>
      </c>
      <c r="AQ3126" s="28" t="str">
        <f t="shared" si="922"/>
        <v>20231RMB</v>
      </c>
      <c r="AR3126" s="206" t="str">
        <f t="shared" si="923"/>
        <v>YAMAHA_Mounter</v>
      </c>
      <c r="AS3126" s="22">
        <f t="shared" si="924"/>
        <v>0</v>
      </c>
      <c r="AT3126" s="24" t="str">
        <f t="shared" si="925"/>
        <v>0-3 months</v>
      </c>
      <c r="AU3126" s="22" t="s">
        <v>3751</v>
      </c>
    </row>
    <row r="3127" spans="1:47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54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2409</v>
      </c>
      <c r="K3127" s="155" t="s">
        <v>1818</v>
      </c>
      <c r="L3127" s="17" t="s">
        <v>92</v>
      </c>
      <c r="M3127" s="13" t="s">
        <v>60</v>
      </c>
      <c r="N3127" s="13">
        <v>1</v>
      </c>
      <c r="O3127" s="13"/>
      <c r="P3127" s="33" t="str">
        <f t="shared" si="928"/>
        <v>MAIN UNIT</v>
      </c>
      <c r="Q3127" s="13" t="s">
        <v>61</v>
      </c>
      <c r="R3127" s="13" t="s">
        <v>62</v>
      </c>
      <c r="S3127" s="13" t="s">
        <v>49</v>
      </c>
      <c r="T3127" s="13" t="s">
        <v>78</v>
      </c>
      <c r="U3127" s="13" t="s">
        <v>79</v>
      </c>
      <c r="V3127" s="13" t="s">
        <v>112</v>
      </c>
      <c r="W3127" s="13" t="s">
        <v>64</v>
      </c>
      <c r="X3127" s="135">
        <v>800000</v>
      </c>
      <c r="Y3127" s="157" t="str">
        <f>IF(W3127="RMB","1.13", "1")</f>
        <v>1.13</v>
      </c>
      <c r="Z3127" s="18">
        <f t="shared" si="926"/>
        <v>800000</v>
      </c>
      <c r="AA3127" s="13">
        <v>1.1200000000000001</v>
      </c>
      <c r="AB3127" s="21">
        <f t="shared" si="912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13"/>
        <v>7502645.9971681423</v>
      </c>
      <c r="AJ3127" s="19">
        <f t="shared" si="914"/>
        <v>664841.72044240718</v>
      </c>
      <c r="AK3127" s="20">
        <f t="shared" si="920"/>
        <v>8.861429963420242E-2</v>
      </c>
      <c r="AL3127" s="17"/>
      <c r="AM3127" s="17"/>
      <c r="AN3127" s="17"/>
      <c r="AO3127" s="17"/>
      <c r="AP3127" s="28" t="str">
        <f t="shared" si="921"/>
        <v>20231</v>
      </c>
      <c r="AQ3127" s="28" t="str">
        <f t="shared" si="922"/>
        <v>20231RMB</v>
      </c>
      <c r="AR3127" s="206" t="str">
        <f t="shared" si="923"/>
        <v>YAMAHA_Mounter</v>
      </c>
      <c r="AS3127" s="22">
        <f t="shared" si="924"/>
        <v>0</v>
      </c>
      <c r="AT3127" s="24" t="str">
        <f t="shared" si="925"/>
        <v>0-3 months</v>
      </c>
      <c r="AU3127" s="22" t="s">
        <v>3751</v>
      </c>
    </row>
    <row r="3128" spans="1:47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48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988</v>
      </c>
      <c r="K3128" s="155" t="s">
        <v>989</v>
      </c>
      <c r="L3128" s="17" t="s">
        <v>92</v>
      </c>
      <c r="M3128" s="13" t="s">
        <v>60</v>
      </c>
      <c r="N3128" s="13">
        <v>1</v>
      </c>
      <c r="O3128" s="13"/>
      <c r="P3128" s="33" t="str">
        <f t="shared" si="928"/>
        <v>MAIN UNIT</v>
      </c>
      <c r="Q3128" s="13" t="s">
        <v>61</v>
      </c>
      <c r="R3128" s="13" t="s">
        <v>62</v>
      </c>
      <c r="S3128" s="13" t="s">
        <v>49</v>
      </c>
      <c r="T3128" s="13" t="s">
        <v>246</v>
      </c>
      <c r="U3128" s="13" t="s">
        <v>79</v>
      </c>
      <c r="V3128" s="13" t="s">
        <v>131</v>
      </c>
      <c r="W3128" s="13" t="s">
        <v>109</v>
      </c>
      <c r="X3128" s="135">
        <v>15830000</v>
      </c>
      <c r="Y3128" s="156">
        <v>1</v>
      </c>
      <c r="Z3128" s="18">
        <f t="shared" si="926"/>
        <v>15830000</v>
      </c>
      <c r="AA3128" s="13">
        <v>7.3599999999999999E-2</v>
      </c>
      <c r="AB3128" s="21">
        <f t="shared" si="912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13"/>
        <v>33477255.428389374</v>
      </c>
      <c r="AJ3128" s="19">
        <f t="shared" si="914"/>
        <v>4578663.362915583</v>
      </c>
      <c r="AK3128" s="20">
        <f t="shared" si="920"/>
        <v>0.13676937682988152</v>
      </c>
      <c r="AL3128" s="17"/>
      <c r="AM3128" s="17"/>
      <c r="AN3128" s="17"/>
      <c r="AO3128" s="17"/>
      <c r="AP3128" s="28" t="str">
        <f t="shared" si="921"/>
        <v>20204</v>
      </c>
      <c r="AQ3128" s="28" t="str">
        <f t="shared" si="922"/>
        <v>20204JPY</v>
      </c>
      <c r="AR3128" s="206" t="str">
        <f t="shared" si="923"/>
        <v>YAMAHA_Mounter</v>
      </c>
      <c r="AS3128" s="22">
        <f t="shared" si="924"/>
        <v>4</v>
      </c>
      <c r="AT3128" s="24" t="str">
        <f t="shared" si="925"/>
        <v>4-6 months</v>
      </c>
      <c r="AU3128" s="22" t="s">
        <v>3746</v>
      </c>
    </row>
    <row r="3129" spans="1:47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48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988</v>
      </c>
      <c r="K3129" s="155" t="s">
        <v>989</v>
      </c>
      <c r="L3129" s="17" t="s">
        <v>92</v>
      </c>
      <c r="M3129" s="13" t="s">
        <v>60</v>
      </c>
      <c r="N3129" s="13">
        <v>1</v>
      </c>
      <c r="O3129" s="13"/>
      <c r="P3129" s="33" t="str">
        <f t="shared" si="928"/>
        <v>MAIN UNIT</v>
      </c>
      <c r="Q3129" s="13" t="s">
        <v>61</v>
      </c>
      <c r="R3129" s="13" t="s">
        <v>62</v>
      </c>
      <c r="S3129" s="13" t="s">
        <v>49</v>
      </c>
      <c r="T3129" s="13" t="s">
        <v>246</v>
      </c>
      <c r="U3129" s="13" t="s">
        <v>79</v>
      </c>
      <c r="V3129" s="13" t="s">
        <v>131</v>
      </c>
      <c r="W3129" s="13" t="s">
        <v>109</v>
      </c>
      <c r="X3129" s="135">
        <v>15830000</v>
      </c>
      <c r="Y3129" s="156">
        <v>1</v>
      </c>
      <c r="Z3129" s="18">
        <f t="shared" si="926"/>
        <v>15830000</v>
      </c>
      <c r="AA3129" s="13">
        <v>7.3599999999999999E-2</v>
      </c>
      <c r="AB3129" s="21">
        <f t="shared" si="912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13"/>
        <v>33477255.428389374</v>
      </c>
      <c r="AJ3129" s="19">
        <f t="shared" si="914"/>
        <v>4578663.362915583</v>
      </c>
      <c r="AK3129" s="20">
        <f t="shared" si="920"/>
        <v>0.13676937682988152</v>
      </c>
      <c r="AL3129" s="17"/>
      <c r="AM3129" s="17"/>
      <c r="AN3129" s="17"/>
      <c r="AO3129" s="17"/>
      <c r="AP3129" s="28" t="str">
        <f t="shared" si="921"/>
        <v>20204</v>
      </c>
      <c r="AQ3129" s="28" t="str">
        <f t="shared" si="922"/>
        <v>20204JPY</v>
      </c>
      <c r="AR3129" s="206" t="str">
        <f t="shared" si="923"/>
        <v>YAMAHA_Mounter</v>
      </c>
      <c r="AS3129" s="22">
        <f t="shared" si="924"/>
        <v>4</v>
      </c>
      <c r="AT3129" s="24" t="str">
        <f t="shared" si="925"/>
        <v>4-6 months</v>
      </c>
      <c r="AU3129" s="22" t="s">
        <v>3746</v>
      </c>
    </row>
    <row r="3130" spans="1:47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48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988</v>
      </c>
      <c r="K3130" s="155" t="s">
        <v>989</v>
      </c>
      <c r="L3130" s="17" t="s">
        <v>92</v>
      </c>
      <c r="M3130" s="13" t="s">
        <v>60</v>
      </c>
      <c r="N3130" s="13">
        <v>1</v>
      </c>
      <c r="O3130" s="13"/>
      <c r="P3130" s="33" t="str">
        <f t="shared" si="928"/>
        <v>MAIN UNIT</v>
      </c>
      <c r="Q3130" s="13" t="s">
        <v>61</v>
      </c>
      <c r="R3130" s="13" t="s">
        <v>62</v>
      </c>
      <c r="S3130" s="13" t="s">
        <v>49</v>
      </c>
      <c r="T3130" s="13" t="s">
        <v>246</v>
      </c>
      <c r="U3130" s="13" t="s">
        <v>79</v>
      </c>
      <c r="V3130" s="13" t="s">
        <v>131</v>
      </c>
      <c r="W3130" s="13" t="s">
        <v>109</v>
      </c>
      <c r="X3130" s="135">
        <v>15830000</v>
      </c>
      <c r="Y3130" s="156">
        <v>1</v>
      </c>
      <c r="Z3130" s="18">
        <f t="shared" si="926"/>
        <v>15830000</v>
      </c>
      <c r="AA3130" s="13">
        <v>7.3599999999999999E-2</v>
      </c>
      <c r="AB3130" s="21">
        <f t="shared" si="912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13"/>
        <v>33477255.428389374</v>
      </c>
      <c r="AJ3130" s="19">
        <f t="shared" si="914"/>
        <v>4578663.362915583</v>
      </c>
      <c r="AK3130" s="20">
        <f t="shared" si="920"/>
        <v>0.13676937682988152</v>
      </c>
      <c r="AL3130" s="17"/>
      <c r="AM3130" s="17"/>
      <c r="AN3130" s="17"/>
      <c r="AO3130" s="17"/>
      <c r="AP3130" s="28" t="str">
        <f t="shared" si="921"/>
        <v>20204</v>
      </c>
      <c r="AQ3130" s="28" t="str">
        <f t="shared" si="922"/>
        <v>20204JPY</v>
      </c>
      <c r="AR3130" s="206" t="str">
        <f t="shared" si="923"/>
        <v>YAMAHA_Mounter</v>
      </c>
      <c r="AS3130" s="22">
        <f t="shared" si="924"/>
        <v>4</v>
      </c>
      <c r="AT3130" s="24" t="str">
        <f t="shared" si="925"/>
        <v>4-6 months</v>
      </c>
      <c r="AU3130" s="22" t="s">
        <v>3746</v>
      </c>
    </row>
    <row r="3131" spans="1:47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48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1444</v>
      </c>
      <c r="K3131" s="155" t="s">
        <v>989</v>
      </c>
      <c r="L3131" s="17" t="s">
        <v>92</v>
      </c>
      <c r="M3131" s="13" t="s">
        <v>60</v>
      </c>
      <c r="N3131" s="13">
        <v>1</v>
      </c>
      <c r="O3131" s="13"/>
      <c r="P3131" s="33" t="str">
        <f t="shared" si="928"/>
        <v>MAIN UNIT</v>
      </c>
      <c r="Q3131" s="13" t="s">
        <v>61</v>
      </c>
      <c r="R3131" s="13" t="s">
        <v>62</v>
      </c>
      <c r="S3131" s="13" t="s">
        <v>49</v>
      </c>
      <c r="T3131" s="13" t="s">
        <v>78</v>
      </c>
      <c r="U3131" s="13" t="s">
        <v>79</v>
      </c>
      <c r="V3131" s="13" t="s">
        <v>131</v>
      </c>
      <c r="W3131" s="13" t="s">
        <v>109</v>
      </c>
      <c r="X3131" s="135">
        <v>17531000</v>
      </c>
      <c r="Y3131" s="157" t="str">
        <f t="shared" ref="Y3131:Y3148" si="930">IF(W3131="RMB","1.13", "1")</f>
        <v>1</v>
      </c>
      <c r="Z3131" s="18">
        <f t="shared" si="926"/>
        <v>17531000</v>
      </c>
      <c r="AA3131" s="13">
        <v>7.6100000000000001E-2</v>
      </c>
      <c r="AB3131" s="21">
        <f t="shared" si="912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13"/>
        <v>44078731.611185849</v>
      </c>
      <c r="AJ3131" s="19">
        <f t="shared" si="914"/>
        <v>5508173.2163771465</v>
      </c>
      <c r="AK3131" s="20">
        <f t="shared" si="920"/>
        <v>0.12496215328889679</v>
      </c>
      <c r="AL3131" s="17"/>
      <c r="AM3131" s="17"/>
      <c r="AN3131" s="17"/>
      <c r="AO3131" s="17"/>
      <c r="AP3131" s="28" t="str">
        <f t="shared" si="921"/>
        <v>202011</v>
      </c>
      <c r="AQ3131" s="28" t="str">
        <f t="shared" si="922"/>
        <v>202011JPY</v>
      </c>
      <c r="AR3131" s="206" t="str">
        <f t="shared" si="923"/>
        <v>YAMAHA_Mounter</v>
      </c>
      <c r="AS3131" s="22">
        <f t="shared" si="924"/>
        <v>2</v>
      </c>
      <c r="AT3131" s="24" t="str">
        <f t="shared" si="925"/>
        <v>0-3 months</v>
      </c>
      <c r="AU3131" s="22" t="s">
        <v>3746</v>
      </c>
    </row>
    <row r="3132" spans="1:47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48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1444</v>
      </c>
      <c r="K3132" s="155" t="s">
        <v>989</v>
      </c>
      <c r="L3132" s="17" t="s">
        <v>92</v>
      </c>
      <c r="M3132" s="13" t="s">
        <v>60</v>
      </c>
      <c r="N3132" s="13">
        <v>1</v>
      </c>
      <c r="O3132" s="13"/>
      <c r="P3132" s="33" t="str">
        <f t="shared" si="928"/>
        <v>MAIN UNIT</v>
      </c>
      <c r="Q3132" s="13" t="s">
        <v>61</v>
      </c>
      <c r="R3132" s="13" t="s">
        <v>62</v>
      </c>
      <c r="S3132" s="13" t="s">
        <v>49</v>
      </c>
      <c r="T3132" s="13" t="s">
        <v>78</v>
      </c>
      <c r="U3132" s="13" t="s">
        <v>79</v>
      </c>
      <c r="V3132" s="13" t="s">
        <v>131</v>
      </c>
      <c r="W3132" s="13" t="s">
        <v>109</v>
      </c>
      <c r="X3132" s="135">
        <v>17531000</v>
      </c>
      <c r="Y3132" s="157" t="str">
        <f t="shared" si="930"/>
        <v>1</v>
      </c>
      <c r="Z3132" s="18">
        <f t="shared" si="926"/>
        <v>17531000</v>
      </c>
      <c r="AA3132" s="13">
        <v>7.6100000000000001E-2</v>
      </c>
      <c r="AB3132" s="21">
        <f t="shared" ref="AB3132:AB3195" si="931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13"/>
        <v>48763143.537654862</v>
      </c>
      <c r="AJ3132" s="19">
        <f t="shared" si="914"/>
        <v>5924029.9702154724</v>
      </c>
      <c r="AK3132" s="20">
        <f t="shared" si="920"/>
        <v>0.1214858095774925</v>
      </c>
      <c r="AL3132" s="17"/>
      <c r="AM3132" s="17"/>
      <c r="AN3132" s="17"/>
      <c r="AO3132" s="17"/>
      <c r="AP3132" s="28" t="str">
        <f t="shared" si="921"/>
        <v>202012</v>
      </c>
      <c r="AQ3132" s="28" t="str">
        <f t="shared" si="922"/>
        <v>202012JPY</v>
      </c>
      <c r="AR3132" s="206" t="str">
        <f t="shared" si="923"/>
        <v>YAMAHA_Mounter</v>
      </c>
      <c r="AS3132" s="22">
        <f t="shared" si="924"/>
        <v>3</v>
      </c>
      <c r="AT3132" s="24" t="str">
        <f t="shared" si="925"/>
        <v>0-3 months</v>
      </c>
      <c r="AU3132" s="22" t="s">
        <v>3746</v>
      </c>
    </row>
    <row r="3133" spans="1:47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53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1677</v>
      </c>
      <c r="K3133" s="155" t="s">
        <v>989</v>
      </c>
      <c r="L3133" s="17" t="s">
        <v>92</v>
      </c>
      <c r="M3133" s="13" t="s">
        <v>60</v>
      </c>
      <c r="N3133" s="13">
        <v>1</v>
      </c>
      <c r="O3133" s="13"/>
      <c r="P3133" s="33" t="str">
        <f t="shared" si="928"/>
        <v>MAIN UNIT</v>
      </c>
      <c r="Q3133" s="13" t="s">
        <v>61</v>
      </c>
      <c r="R3133" s="13" t="s">
        <v>62</v>
      </c>
      <c r="S3133" s="13" t="s">
        <v>49</v>
      </c>
      <c r="T3133" s="13" t="s">
        <v>78</v>
      </c>
      <c r="U3133" s="13" t="s">
        <v>79</v>
      </c>
      <c r="V3133" s="13" t="s">
        <v>131</v>
      </c>
      <c r="W3133" s="13" t="s">
        <v>109</v>
      </c>
      <c r="X3133" s="135">
        <v>24630000</v>
      </c>
      <c r="Y3133" s="157" t="str">
        <f t="shared" si="930"/>
        <v>1</v>
      </c>
      <c r="Z3133" s="18">
        <f t="shared" si="926"/>
        <v>24630000</v>
      </c>
      <c r="AA3133" s="13">
        <v>7.17E-2</v>
      </c>
      <c r="AB3133" s="21">
        <f t="shared" si="931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13"/>
        <v>43684091.636631854</v>
      </c>
      <c r="AJ3133" s="19">
        <f t="shared" si="914"/>
        <v>6483951.8242071122</v>
      </c>
      <c r="AK3133" s="20">
        <f t="shared" si="920"/>
        <v>0.14842821680123736</v>
      </c>
      <c r="AL3133" s="17"/>
      <c r="AM3133" s="17"/>
      <c r="AN3133" s="17"/>
      <c r="AO3133" s="17"/>
      <c r="AP3133" s="28" t="str">
        <f t="shared" si="921"/>
        <v>20214</v>
      </c>
      <c r="AQ3133" s="28" t="str">
        <f t="shared" si="922"/>
        <v>20214JPY</v>
      </c>
      <c r="AR3133" s="206" t="str">
        <f t="shared" si="923"/>
        <v>YAMAHA_Mounter</v>
      </c>
      <c r="AS3133" s="22">
        <f t="shared" si="924"/>
        <v>3</v>
      </c>
      <c r="AT3133" s="24" t="str">
        <f t="shared" si="925"/>
        <v>0-3 months</v>
      </c>
      <c r="AU3133" s="22" t="s">
        <v>3746</v>
      </c>
    </row>
    <row r="3134" spans="1:47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53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1808</v>
      </c>
      <c r="K3134" s="155" t="s">
        <v>989</v>
      </c>
      <c r="L3134" s="17" t="s">
        <v>92</v>
      </c>
      <c r="M3134" s="13" t="s">
        <v>60</v>
      </c>
      <c r="N3134" s="13">
        <v>1</v>
      </c>
      <c r="O3134" s="13"/>
      <c r="P3134" s="33" t="str">
        <f t="shared" si="928"/>
        <v>MAIN UNIT</v>
      </c>
      <c r="Q3134" s="13" t="s">
        <v>61</v>
      </c>
      <c r="R3134" s="13" t="s">
        <v>62</v>
      </c>
      <c r="S3134" s="13" t="s">
        <v>49</v>
      </c>
      <c r="T3134" s="13" t="s">
        <v>78</v>
      </c>
      <c r="U3134" s="13" t="s">
        <v>79</v>
      </c>
      <c r="V3134" s="13" t="s">
        <v>131</v>
      </c>
      <c r="W3134" s="13" t="s">
        <v>109</v>
      </c>
      <c r="X3134" s="135">
        <v>18810000</v>
      </c>
      <c r="Y3134" s="157" t="str">
        <f t="shared" si="930"/>
        <v>1</v>
      </c>
      <c r="Z3134" s="18">
        <f t="shared" si="926"/>
        <v>18810000</v>
      </c>
      <c r="AA3134" s="13">
        <v>7.2099999999999997E-2</v>
      </c>
      <c r="AB3134" s="21">
        <f t="shared" si="931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13"/>
        <v>54700260.692079648</v>
      </c>
      <c r="AJ3134" s="19">
        <f t="shared" si="914"/>
        <v>7482899.5749188727</v>
      </c>
      <c r="AK3134" s="20">
        <f t="shared" si="920"/>
        <v>0.13679824337660537</v>
      </c>
      <c r="AL3134" s="17"/>
      <c r="AM3134" s="17"/>
      <c r="AN3134" s="17"/>
      <c r="AO3134" s="17"/>
      <c r="AP3134" s="28" t="str">
        <f t="shared" si="921"/>
        <v>20216</v>
      </c>
      <c r="AQ3134" s="28" t="str">
        <f t="shared" si="922"/>
        <v>20216JPY</v>
      </c>
      <c r="AR3134" s="206" t="str">
        <f t="shared" si="923"/>
        <v>YAMAHA_Mounter</v>
      </c>
      <c r="AS3134" s="22">
        <f t="shared" si="924"/>
        <v>3</v>
      </c>
      <c r="AT3134" s="24" t="str">
        <f t="shared" si="925"/>
        <v>0-3 months</v>
      </c>
      <c r="AU3134" s="22" t="s">
        <v>3746</v>
      </c>
    </row>
    <row r="3135" spans="1:47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53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1808</v>
      </c>
      <c r="K3135" s="155" t="s">
        <v>989</v>
      </c>
      <c r="L3135" s="17" t="s">
        <v>92</v>
      </c>
      <c r="M3135" s="13" t="s">
        <v>60</v>
      </c>
      <c r="N3135" s="13">
        <v>1</v>
      </c>
      <c r="O3135" s="13"/>
      <c r="P3135" s="33" t="str">
        <f t="shared" si="928"/>
        <v>MAIN UNIT</v>
      </c>
      <c r="Q3135" s="13" t="s">
        <v>61</v>
      </c>
      <c r="R3135" s="13" t="s">
        <v>62</v>
      </c>
      <c r="S3135" s="13" t="s">
        <v>49</v>
      </c>
      <c r="T3135" s="13" t="s">
        <v>78</v>
      </c>
      <c r="U3135" s="13" t="s">
        <v>79</v>
      </c>
      <c r="V3135" s="13" t="s">
        <v>131</v>
      </c>
      <c r="W3135" s="13" t="s">
        <v>109</v>
      </c>
      <c r="X3135" s="135">
        <v>18810000</v>
      </c>
      <c r="Y3135" s="157" t="str">
        <f t="shared" si="930"/>
        <v>1</v>
      </c>
      <c r="Z3135" s="18">
        <f t="shared" si="926"/>
        <v>18810000</v>
      </c>
      <c r="AA3135" s="13">
        <v>7.2099999999999997E-2</v>
      </c>
      <c r="AB3135" s="21">
        <f t="shared" si="931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13"/>
        <v>54700260.692079648</v>
      </c>
      <c r="AJ3135" s="19">
        <f t="shared" si="914"/>
        <v>7482899.5749188727</v>
      </c>
      <c r="AK3135" s="20">
        <f t="shared" si="920"/>
        <v>0.13679824337660537</v>
      </c>
      <c r="AL3135" s="17"/>
      <c r="AM3135" s="17"/>
      <c r="AN3135" s="17"/>
      <c r="AO3135" s="17"/>
      <c r="AP3135" s="28" t="str">
        <f t="shared" si="921"/>
        <v>20216</v>
      </c>
      <c r="AQ3135" s="28" t="str">
        <f t="shared" si="922"/>
        <v>20216JPY</v>
      </c>
      <c r="AR3135" s="206" t="str">
        <f t="shared" si="923"/>
        <v>YAMAHA_Mounter</v>
      </c>
      <c r="AS3135" s="22">
        <f t="shared" si="924"/>
        <v>3</v>
      </c>
      <c r="AT3135" s="24" t="str">
        <f t="shared" si="925"/>
        <v>0-3 months</v>
      </c>
      <c r="AU3135" s="22" t="s">
        <v>3746</v>
      </c>
    </row>
    <row r="3136" spans="1:47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185</v>
      </c>
      <c r="F3136" s="13" t="s">
        <v>185</v>
      </c>
      <c r="G3136" s="152" t="s">
        <v>1616</v>
      </c>
      <c r="H3136" s="155"/>
      <c r="I3136" s="33" t="str">
        <f t="shared" si="917"/>
        <v>Cancel</v>
      </c>
      <c r="J3136" s="186" t="s">
        <v>2067</v>
      </c>
      <c r="K3136" s="155" t="s">
        <v>989</v>
      </c>
      <c r="L3136" s="17" t="s">
        <v>92</v>
      </c>
      <c r="M3136" s="13" t="s">
        <v>60</v>
      </c>
      <c r="N3136" s="13">
        <v>1</v>
      </c>
      <c r="O3136" s="13"/>
      <c r="P3136" s="33" t="str">
        <f t="shared" si="928"/>
        <v>MAIN UNIT</v>
      </c>
      <c r="Q3136" s="13" t="s">
        <v>61</v>
      </c>
      <c r="R3136" s="13" t="s">
        <v>62</v>
      </c>
      <c r="S3136" s="13" t="s">
        <v>49</v>
      </c>
      <c r="T3136" s="13" t="s">
        <v>78</v>
      </c>
      <c r="U3136" s="13" t="s">
        <v>79</v>
      </c>
      <c r="V3136" s="13" t="s">
        <v>131</v>
      </c>
      <c r="W3136" s="13" t="s">
        <v>109</v>
      </c>
      <c r="X3136" s="135">
        <v>16165000</v>
      </c>
      <c r="Y3136" s="157" t="str">
        <f t="shared" si="930"/>
        <v>1</v>
      </c>
      <c r="Z3136" s="18">
        <f t="shared" si="926"/>
        <v>16165000</v>
      </c>
      <c r="AA3136" s="13">
        <v>7.2099999999999997E-2</v>
      </c>
      <c r="AB3136" s="21">
        <f t="shared" si="931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13"/>
        <v>499582152.5142017</v>
      </c>
      <c r="AJ3136" s="19">
        <f t="shared" si="914"/>
        <v>59520528.679470733</v>
      </c>
      <c r="AK3136" s="20">
        <f t="shared" si="920"/>
        <v>0.11914062257814291</v>
      </c>
      <c r="AL3136" s="17"/>
      <c r="AM3136" s="17"/>
      <c r="AN3136" s="17"/>
      <c r="AO3136" s="17"/>
      <c r="AP3136" s="28" t="str">
        <f t="shared" si="921"/>
        <v>CancelCANCEL</v>
      </c>
      <c r="AQ3136" s="28" t="str">
        <f t="shared" si="922"/>
        <v>CancelCANCELJPY</v>
      </c>
      <c r="AR3136" s="206" t="str">
        <f t="shared" si="923"/>
        <v>YAMAHA_Mounter</v>
      </c>
      <c r="AS3136" s="22" t="str">
        <f t="shared" si="924"/>
        <v/>
      </c>
      <c r="AT3136" s="24" t="str">
        <f t="shared" si="925"/>
        <v/>
      </c>
      <c r="AU3136" s="22" t="s">
        <v>3240</v>
      </c>
    </row>
    <row r="3137" spans="1:47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185</v>
      </c>
      <c r="F3137" s="13" t="s">
        <v>185</v>
      </c>
      <c r="G3137" s="152" t="s">
        <v>1616</v>
      </c>
      <c r="H3137" s="155"/>
      <c r="I3137" s="33" t="str">
        <f t="shared" si="917"/>
        <v>Cancel</v>
      </c>
      <c r="J3137" s="186" t="s">
        <v>2067</v>
      </c>
      <c r="K3137" s="155" t="s">
        <v>989</v>
      </c>
      <c r="L3137" s="17" t="s">
        <v>92</v>
      </c>
      <c r="M3137" s="13" t="s">
        <v>60</v>
      </c>
      <c r="N3137" s="13">
        <v>1</v>
      </c>
      <c r="O3137" s="13"/>
      <c r="P3137" s="33" t="str">
        <f t="shared" si="928"/>
        <v>MAIN UNIT</v>
      </c>
      <c r="Q3137" s="13" t="s">
        <v>61</v>
      </c>
      <c r="R3137" s="13" t="s">
        <v>62</v>
      </c>
      <c r="S3137" s="13" t="s">
        <v>49</v>
      </c>
      <c r="T3137" s="13" t="s">
        <v>78</v>
      </c>
      <c r="U3137" s="13" t="s">
        <v>79</v>
      </c>
      <c r="V3137" s="13" t="s">
        <v>131</v>
      </c>
      <c r="W3137" s="13" t="s">
        <v>109</v>
      </c>
      <c r="X3137" s="135">
        <v>16165000</v>
      </c>
      <c r="Y3137" s="157" t="str">
        <f t="shared" si="930"/>
        <v>1</v>
      </c>
      <c r="Z3137" s="18">
        <f t="shared" si="926"/>
        <v>16165000</v>
      </c>
      <c r="AA3137" s="13">
        <v>7.2099999999999997E-2</v>
      </c>
      <c r="AB3137" s="21">
        <f t="shared" si="931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13"/>
        <v>499582152.5142017</v>
      </c>
      <c r="AJ3137" s="19">
        <f t="shared" si="914"/>
        <v>59520528.679470733</v>
      </c>
      <c r="AK3137" s="20">
        <f t="shared" si="920"/>
        <v>0.11914062257814291</v>
      </c>
      <c r="AL3137" s="17"/>
      <c r="AM3137" s="17"/>
      <c r="AN3137" s="17"/>
      <c r="AO3137" s="17"/>
      <c r="AP3137" s="28" t="str">
        <f t="shared" si="921"/>
        <v>CancelCANCEL</v>
      </c>
      <c r="AQ3137" s="28" t="str">
        <f t="shared" si="922"/>
        <v>CancelCANCELJPY</v>
      </c>
      <c r="AR3137" s="206" t="str">
        <f t="shared" si="923"/>
        <v>YAMAHA_Mounter</v>
      </c>
      <c r="AS3137" s="22" t="str">
        <f t="shared" si="924"/>
        <v/>
      </c>
      <c r="AT3137" s="24" t="str">
        <f t="shared" si="925"/>
        <v/>
      </c>
      <c r="AU3137" s="22" t="s">
        <v>3240</v>
      </c>
    </row>
    <row r="3138" spans="1:47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185</v>
      </c>
      <c r="F3138" s="13" t="s">
        <v>185</v>
      </c>
      <c r="G3138" s="152" t="s">
        <v>1616</v>
      </c>
      <c r="H3138" s="155"/>
      <c r="I3138" s="33" t="str">
        <f t="shared" si="917"/>
        <v>Cancel</v>
      </c>
      <c r="J3138" s="186" t="s">
        <v>2067</v>
      </c>
      <c r="K3138" s="155" t="s">
        <v>989</v>
      </c>
      <c r="L3138" s="17" t="s">
        <v>92</v>
      </c>
      <c r="M3138" s="13" t="s">
        <v>60</v>
      </c>
      <c r="N3138" s="13">
        <v>1</v>
      </c>
      <c r="O3138" s="13"/>
      <c r="P3138" s="33" t="str">
        <f t="shared" si="928"/>
        <v>MAIN UNIT</v>
      </c>
      <c r="Q3138" s="13" t="s">
        <v>61</v>
      </c>
      <c r="R3138" s="13" t="s">
        <v>62</v>
      </c>
      <c r="S3138" s="13" t="s">
        <v>49</v>
      </c>
      <c r="T3138" s="13" t="s">
        <v>78</v>
      </c>
      <c r="U3138" s="13" t="s">
        <v>79</v>
      </c>
      <c r="V3138" s="13" t="s">
        <v>131</v>
      </c>
      <c r="W3138" s="13" t="s">
        <v>109</v>
      </c>
      <c r="X3138" s="135">
        <v>16165000</v>
      </c>
      <c r="Y3138" s="157" t="str">
        <f t="shared" si="930"/>
        <v>1</v>
      </c>
      <c r="Z3138" s="18">
        <f t="shared" si="926"/>
        <v>16165000</v>
      </c>
      <c r="AA3138" s="13">
        <v>7.2099999999999997E-2</v>
      </c>
      <c r="AB3138" s="21">
        <f t="shared" si="931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ref="AI3138:AI3201" si="932">IF(P3138="C66 SERVICE","",SUMIFS(AB:AB,F:F,F3138,G:G,G3138,E:E,E3138))</f>
        <v>499582152.5142017</v>
      </c>
      <c r="AJ3138" s="19">
        <f t="shared" ref="AJ3138:AJ3201" si="933">IF(P3138="C66 SERVICE","",SUMIFS(AC:AC,F:F,F3138,G:G,G3138,E:E,E3138))</f>
        <v>59520528.679470733</v>
      </c>
      <c r="AK3138" s="20">
        <f t="shared" si="920"/>
        <v>0.11914062257814291</v>
      </c>
      <c r="AL3138" s="17"/>
      <c r="AM3138" s="17"/>
      <c r="AN3138" s="17"/>
      <c r="AO3138" s="17"/>
      <c r="AP3138" s="28" t="str">
        <f t="shared" si="921"/>
        <v>CancelCANCEL</v>
      </c>
      <c r="AQ3138" s="28" t="str">
        <f t="shared" si="922"/>
        <v>CancelCANCELJPY</v>
      </c>
      <c r="AR3138" s="206" t="str">
        <f t="shared" si="923"/>
        <v>YAMAHA_Mounter</v>
      </c>
      <c r="AS3138" s="22" t="str">
        <f t="shared" si="924"/>
        <v/>
      </c>
      <c r="AT3138" s="24" t="str">
        <f t="shared" si="925"/>
        <v/>
      </c>
      <c r="AU3138" s="22" t="s">
        <v>3240</v>
      </c>
    </row>
    <row r="3139" spans="1:47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185</v>
      </c>
      <c r="F3139" s="13" t="s">
        <v>185</v>
      </c>
      <c r="G3139" s="152" t="s">
        <v>1616</v>
      </c>
      <c r="H3139" s="155"/>
      <c r="I3139" s="33" t="str">
        <f t="shared" si="917"/>
        <v>Cancel</v>
      </c>
      <c r="J3139" s="186" t="s">
        <v>2067</v>
      </c>
      <c r="K3139" s="155" t="s">
        <v>989</v>
      </c>
      <c r="L3139" s="17" t="s">
        <v>92</v>
      </c>
      <c r="M3139" s="13" t="s">
        <v>60</v>
      </c>
      <c r="N3139" s="13">
        <v>1</v>
      </c>
      <c r="O3139" s="13"/>
      <c r="P3139" s="33" t="str">
        <f t="shared" si="928"/>
        <v>MAIN UNIT</v>
      </c>
      <c r="Q3139" s="13" t="s">
        <v>61</v>
      </c>
      <c r="R3139" s="13" t="s">
        <v>62</v>
      </c>
      <c r="S3139" s="13" t="s">
        <v>49</v>
      </c>
      <c r="T3139" s="13" t="s">
        <v>78</v>
      </c>
      <c r="U3139" s="13" t="s">
        <v>79</v>
      </c>
      <c r="V3139" s="13" t="s">
        <v>131</v>
      </c>
      <c r="W3139" s="13" t="s">
        <v>109</v>
      </c>
      <c r="X3139" s="135">
        <v>16165000</v>
      </c>
      <c r="Y3139" s="157" t="str">
        <f t="shared" si="930"/>
        <v>1</v>
      </c>
      <c r="Z3139" s="18">
        <f t="shared" si="926"/>
        <v>16165000</v>
      </c>
      <c r="AA3139" s="13">
        <v>7.2099999999999997E-2</v>
      </c>
      <c r="AB3139" s="21">
        <f t="shared" si="931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32"/>
        <v>499582152.5142017</v>
      </c>
      <c r="AJ3139" s="19">
        <f t="shared" si="933"/>
        <v>59520528.679470733</v>
      </c>
      <c r="AK3139" s="20">
        <f t="shared" si="920"/>
        <v>0.11914062257814291</v>
      </c>
      <c r="AL3139" s="17"/>
      <c r="AM3139" s="17"/>
      <c r="AN3139" s="17"/>
      <c r="AO3139" s="17"/>
      <c r="AP3139" s="28" t="str">
        <f t="shared" si="921"/>
        <v>CancelCANCEL</v>
      </c>
      <c r="AQ3139" s="28" t="str">
        <f t="shared" si="922"/>
        <v>CancelCANCELJPY</v>
      </c>
      <c r="AR3139" s="206" t="str">
        <f t="shared" si="923"/>
        <v>YAMAHA_Mounter</v>
      </c>
      <c r="AS3139" s="22" t="str">
        <f t="shared" si="924"/>
        <v/>
      </c>
      <c r="AT3139" s="24" t="str">
        <f t="shared" si="925"/>
        <v/>
      </c>
      <c r="AU3139" s="22" t="s">
        <v>3240</v>
      </c>
    </row>
    <row r="3140" spans="1:47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48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2886</v>
      </c>
      <c r="K3140" s="155" t="s">
        <v>989</v>
      </c>
      <c r="L3140" s="17" t="s">
        <v>2831</v>
      </c>
      <c r="M3140" s="13" t="s">
        <v>2832</v>
      </c>
      <c r="N3140" s="13">
        <v>1</v>
      </c>
      <c r="O3140" s="13"/>
      <c r="P3140" s="33" t="str">
        <f t="shared" si="928"/>
        <v>MAIN UNIT</v>
      </c>
      <c r="Q3140" s="13" t="s">
        <v>61</v>
      </c>
      <c r="R3140" s="13" t="s">
        <v>2055</v>
      </c>
      <c r="S3140" s="13" t="s">
        <v>49</v>
      </c>
      <c r="T3140" s="13" t="s">
        <v>246</v>
      </c>
      <c r="U3140" s="13" t="s">
        <v>79</v>
      </c>
      <c r="V3140" s="13" t="s">
        <v>2779</v>
      </c>
      <c r="W3140" s="13" t="s">
        <v>901</v>
      </c>
      <c r="X3140" s="135">
        <v>51000</v>
      </c>
      <c r="Y3140" s="157" t="str">
        <f t="shared" si="930"/>
        <v>1</v>
      </c>
      <c r="Z3140" s="18">
        <f t="shared" si="926"/>
        <v>51000</v>
      </c>
      <c r="AA3140" s="13">
        <v>7.8</v>
      </c>
      <c r="AB3140" s="21">
        <f t="shared" si="931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32"/>
        <v>33477255.428389374</v>
      </c>
      <c r="AJ3140" s="19">
        <f t="shared" si="933"/>
        <v>4578663.362915583</v>
      </c>
      <c r="AK3140" s="20">
        <f t="shared" si="920"/>
        <v>0.13676937682988152</v>
      </c>
      <c r="AL3140" s="17"/>
      <c r="AM3140" s="17"/>
      <c r="AN3140" s="17"/>
      <c r="AO3140" s="17"/>
      <c r="AP3140" s="28" t="str">
        <f t="shared" si="921"/>
        <v>20204</v>
      </c>
      <c r="AQ3140" s="28" t="str">
        <f t="shared" si="922"/>
        <v>20204USD</v>
      </c>
      <c r="AR3140" s="206" t="str">
        <f t="shared" si="923"/>
        <v>PEMTRON</v>
      </c>
      <c r="AS3140" s="22">
        <f t="shared" si="924"/>
        <v>4</v>
      </c>
      <c r="AT3140" s="24" t="str">
        <f t="shared" si="925"/>
        <v>4-6 months</v>
      </c>
      <c r="AU3140" s="22" t="s">
        <v>3746</v>
      </c>
    </row>
    <row r="3141" spans="1:47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48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2887</v>
      </c>
      <c r="K3141" s="155" t="s">
        <v>989</v>
      </c>
      <c r="L3141" s="17" t="s">
        <v>2780</v>
      </c>
      <c r="M3141" s="13" t="s">
        <v>60</v>
      </c>
      <c r="N3141" s="13">
        <v>1</v>
      </c>
      <c r="O3141" s="13"/>
      <c r="P3141" s="33" t="str">
        <f t="shared" si="928"/>
        <v>MAIN UNIT</v>
      </c>
      <c r="Q3141" s="13" t="s">
        <v>61</v>
      </c>
      <c r="R3141" s="13" t="s">
        <v>2055</v>
      </c>
      <c r="S3141" s="13" t="s">
        <v>49</v>
      </c>
      <c r="T3141" s="13" t="s">
        <v>246</v>
      </c>
      <c r="U3141" s="13" t="s">
        <v>79</v>
      </c>
      <c r="V3141" s="13" t="s">
        <v>2794</v>
      </c>
      <c r="W3141" s="13" t="s">
        <v>109</v>
      </c>
      <c r="X3141" s="135">
        <v>5820000</v>
      </c>
      <c r="Y3141" s="157" t="str">
        <f t="shared" si="930"/>
        <v>1</v>
      </c>
      <c r="Z3141" s="18">
        <f t="shared" si="926"/>
        <v>5820000</v>
      </c>
      <c r="AA3141" s="13">
        <v>7.3599999999999999E-2</v>
      </c>
      <c r="AB3141" s="21">
        <f t="shared" si="931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32"/>
        <v>33477255.428389374</v>
      </c>
      <c r="AJ3141" s="19">
        <f t="shared" si="933"/>
        <v>4578663.362915583</v>
      </c>
      <c r="AK3141" s="20">
        <f t="shared" si="920"/>
        <v>0.13676937682988152</v>
      </c>
      <c r="AL3141" s="17"/>
      <c r="AM3141" s="17"/>
      <c r="AN3141" s="17"/>
      <c r="AO3141" s="17"/>
      <c r="AP3141" s="28" t="str">
        <f t="shared" si="921"/>
        <v>20204</v>
      </c>
      <c r="AQ3141" s="28" t="str">
        <f t="shared" si="922"/>
        <v>20204JPY</v>
      </c>
      <c r="AR3141" s="206" t="str">
        <f t="shared" si="923"/>
        <v>YAMAHA_Non_Mounter</v>
      </c>
      <c r="AS3141" s="22">
        <f t="shared" si="924"/>
        <v>4</v>
      </c>
      <c r="AT3141" s="24" t="str">
        <f t="shared" si="925"/>
        <v>4-6 months</v>
      </c>
      <c r="AU3141" s="22" t="s">
        <v>3746</v>
      </c>
    </row>
    <row r="3142" spans="1:47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48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2888</v>
      </c>
      <c r="K3142" s="155" t="s">
        <v>989</v>
      </c>
      <c r="L3142" s="17" t="s">
        <v>2802</v>
      </c>
      <c r="M3142" s="13" t="s">
        <v>2607</v>
      </c>
      <c r="N3142" s="13">
        <v>1</v>
      </c>
      <c r="O3142" s="13"/>
      <c r="P3142" s="33" t="str">
        <f t="shared" si="928"/>
        <v>MAIN UNIT</v>
      </c>
      <c r="Q3142" s="13" t="s">
        <v>61</v>
      </c>
      <c r="R3142" s="13" t="s">
        <v>2055</v>
      </c>
      <c r="S3142" s="13" t="s">
        <v>49</v>
      </c>
      <c r="T3142" s="13" t="s">
        <v>246</v>
      </c>
      <c r="U3142" s="13" t="s">
        <v>79</v>
      </c>
      <c r="V3142" s="13" t="s">
        <v>2779</v>
      </c>
      <c r="W3142" s="13" t="s">
        <v>901</v>
      </c>
      <c r="X3142" s="135">
        <v>79000</v>
      </c>
      <c r="Y3142" s="157" t="str">
        <f t="shared" si="930"/>
        <v>1</v>
      </c>
      <c r="Z3142" s="18">
        <f t="shared" si="926"/>
        <v>79000</v>
      </c>
      <c r="AA3142" s="13">
        <v>7.8</v>
      </c>
      <c r="AB3142" s="21">
        <f t="shared" si="931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si="932"/>
        <v>33477255.428389374</v>
      </c>
      <c r="AJ3142" s="19">
        <f t="shared" si="933"/>
        <v>4578663.362915583</v>
      </c>
      <c r="AK3142" s="20">
        <f t="shared" ref="AK3142:AK3205" si="939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0">IF(F3142="","",F3142&amp;G3142)</f>
        <v>20204</v>
      </c>
      <c r="AQ3142" s="28" t="str">
        <f t="shared" ref="AQ3142:AQ3205" si="941">IF(W3142="","",F3142&amp;G3142&amp;W3142)</f>
        <v>20204USD</v>
      </c>
      <c r="AR3142" s="206" t="str">
        <f t="shared" ref="AR3142:AR3205" si="942">IFERROR(IF(AND(M3142="YAMAHA", R3142="C28"), "YAMAHA_Non_Mounter", IF(AND(M3142="YAMAHA", R3142="C49"), "YAMAHA_Mounter", M3142)),"")</f>
        <v>HELLER</v>
      </c>
      <c r="AS3142" s="22">
        <f t="shared" ref="AS3142:AS3205" si="943">IFERROR(IF(OR(G3142="TBA", G3142=""), "", DATEDIF(DATE(B3142, C3142, 1), DATE(F3142, G3142, 1), "M")),"")</f>
        <v>5</v>
      </c>
      <c r="AT3142" s="24" t="str">
        <f t="shared" ref="AT3142:AT3205" si="944">IF(ISNUMBER(AS3142), IF(AS3142&gt;=0, IF(AS3142&lt;=3, "0-3 months", IF(AS3142&lt;=6, "4-6 months", "&gt; 6 months"))), "")</f>
        <v>4-6 months</v>
      </c>
      <c r="AU3142" s="22" t="s">
        <v>3746</v>
      </c>
    </row>
    <row r="3143" spans="1:47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48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2926</v>
      </c>
      <c r="K3143" s="155" t="s">
        <v>989</v>
      </c>
      <c r="L3143" s="17" t="s">
        <v>2927</v>
      </c>
      <c r="M3143" s="13" t="s">
        <v>2832</v>
      </c>
      <c r="N3143" s="13">
        <v>1</v>
      </c>
      <c r="O3143" s="13"/>
      <c r="P3143" s="33" t="str">
        <f t="shared" si="928"/>
        <v>MAIN UNIT</v>
      </c>
      <c r="Q3143" s="13" t="s">
        <v>61</v>
      </c>
      <c r="R3143" s="13" t="s">
        <v>2055</v>
      </c>
      <c r="S3143" s="13" t="s">
        <v>49</v>
      </c>
      <c r="T3143" s="13" t="s">
        <v>78</v>
      </c>
      <c r="U3143" s="13" t="s">
        <v>79</v>
      </c>
      <c r="V3143" s="13" t="s">
        <v>2856</v>
      </c>
      <c r="W3143" s="13" t="s">
        <v>901</v>
      </c>
      <c r="X3143" s="135">
        <v>51000</v>
      </c>
      <c r="Y3143" s="157" t="str">
        <f t="shared" si="930"/>
        <v>1</v>
      </c>
      <c r="Z3143" s="18">
        <f t="shared" si="926"/>
        <v>51000</v>
      </c>
      <c r="AA3143" s="13">
        <v>7.8</v>
      </c>
      <c r="AB3143" s="21">
        <f t="shared" si="931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2"/>
        <v>48763143.537654862</v>
      </c>
      <c r="AJ3143" s="19">
        <f t="shared" si="933"/>
        <v>5924029.9702154724</v>
      </c>
      <c r="AK3143" s="20">
        <f t="shared" si="939"/>
        <v>0.1214858095774925</v>
      </c>
      <c r="AL3143" s="17"/>
      <c r="AM3143" s="17"/>
      <c r="AN3143" s="17"/>
      <c r="AO3143" s="17"/>
      <c r="AP3143" s="28" t="str">
        <f t="shared" si="940"/>
        <v>202012</v>
      </c>
      <c r="AQ3143" s="28" t="str">
        <f t="shared" si="941"/>
        <v>202012USD</v>
      </c>
      <c r="AR3143" s="206" t="str">
        <f t="shared" si="942"/>
        <v>PEMTRON</v>
      </c>
      <c r="AS3143" s="22">
        <f t="shared" si="943"/>
        <v>3</v>
      </c>
      <c r="AT3143" s="24" t="str">
        <f t="shared" si="944"/>
        <v>0-3 months</v>
      </c>
      <c r="AU3143" s="22" t="s">
        <v>3746</v>
      </c>
    </row>
    <row r="3144" spans="1:47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48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2928</v>
      </c>
      <c r="K3144" s="155" t="s">
        <v>989</v>
      </c>
      <c r="L3144" s="17" t="s">
        <v>2780</v>
      </c>
      <c r="M3144" s="13" t="s">
        <v>60</v>
      </c>
      <c r="N3144" s="13">
        <v>1</v>
      </c>
      <c r="O3144" s="13"/>
      <c r="P3144" s="33" t="str">
        <f t="shared" si="928"/>
        <v>MAIN UNIT</v>
      </c>
      <c r="Q3144" s="13" t="s">
        <v>61</v>
      </c>
      <c r="R3144" s="13" t="s">
        <v>2055</v>
      </c>
      <c r="S3144" s="13" t="s">
        <v>49</v>
      </c>
      <c r="T3144" s="13" t="s">
        <v>78</v>
      </c>
      <c r="U3144" s="13" t="s">
        <v>79</v>
      </c>
      <c r="V3144" s="13" t="s">
        <v>2856</v>
      </c>
      <c r="W3144" s="13" t="s">
        <v>109</v>
      </c>
      <c r="X3144" s="135">
        <v>5820000</v>
      </c>
      <c r="Y3144" s="157" t="str">
        <f t="shared" si="930"/>
        <v>1</v>
      </c>
      <c r="Z3144" s="18">
        <f t="shared" si="926"/>
        <v>5820000</v>
      </c>
      <c r="AA3144" s="13">
        <v>7.6100000000000001E-2</v>
      </c>
      <c r="AB3144" s="21">
        <f t="shared" si="931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2"/>
        <v>44078731.611185849</v>
      </c>
      <c r="AJ3144" s="19">
        <f t="shared" si="933"/>
        <v>5508173.2163771465</v>
      </c>
      <c r="AK3144" s="20">
        <f t="shared" si="939"/>
        <v>0.12496215328889679</v>
      </c>
      <c r="AL3144" s="17"/>
      <c r="AM3144" s="17"/>
      <c r="AN3144" s="17"/>
      <c r="AO3144" s="17"/>
      <c r="AP3144" s="28" t="str">
        <f t="shared" si="940"/>
        <v>202011</v>
      </c>
      <c r="AQ3144" s="28" t="str">
        <f t="shared" si="941"/>
        <v>202011JPY</v>
      </c>
      <c r="AR3144" s="206" t="str">
        <f t="shared" si="942"/>
        <v>YAMAHA_Non_Mounter</v>
      </c>
      <c r="AS3144" s="22">
        <f t="shared" si="943"/>
        <v>2</v>
      </c>
      <c r="AT3144" s="24" t="str">
        <f t="shared" si="944"/>
        <v>0-3 months</v>
      </c>
      <c r="AU3144" s="22" t="s">
        <v>3746</v>
      </c>
    </row>
    <row r="3145" spans="1:47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48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2929</v>
      </c>
      <c r="K3145" s="155" t="s">
        <v>989</v>
      </c>
      <c r="L3145" s="17" t="s">
        <v>2802</v>
      </c>
      <c r="M3145" s="13" t="s">
        <v>2607</v>
      </c>
      <c r="N3145" s="13">
        <v>1</v>
      </c>
      <c r="O3145" s="13"/>
      <c r="P3145" s="33" t="str">
        <f t="shared" si="928"/>
        <v>MAIN UNIT</v>
      </c>
      <c r="Q3145" s="13" t="s">
        <v>61</v>
      </c>
      <c r="R3145" s="13" t="s">
        <v>2055</v>
      </c>
      <c r="S3145" s="13" t="s">
        <v>49</v>
      </c>
      <c r="T3145" s="13" t="s">
        <v>78</v>
      </c>
      <c r="U3145" s="13" t="s">
        <v>79</v>
      </c>
      <c r="V3145" s="13" t="s">
        <v>2856</v>
      </c>
      <c r="W3145" s="13" t="s">
        <v>901</v>
      </c>
      <c r="X3145" s="135">
        <v>79000</v>
      </c>
      <c r="Y3145" s="157" t="str">
        <f t="shared" si="930"/>
        <v>1</v>
      </c>
      <c r="Z3145" s="18">
        <f t="shared" si="926"/>
        <v>79000</v>
      </c>
      <c r="AA3145" s="13">
        <v>7.8</v>
      </c>
      <c r="AB3145" s="21">
        <f t="shared" si="931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2"/>
        <v>48763143.537654862</v>
      </c>
      <c r="AJ3145" s="19">
        <f t="shared" si="933"/>
        <v>5924029.9702154724</v>
      </c>
      <c r="AK3145" s="20">
        <f t="shared" si="939"/>
        <v>0.1214858095774925</v>
      </c>
      <c r="AL3145" s="17"/>
      <c r="AM3145" s="17"/>
      <c r="AN3145" s="17"/>
      <c r="AO3145" s="17"/>
      <c r="AP3145" s="28" t="str">
        <f t="shared" si="940"/>
        <v>202012</v>
      </c>
      <c r="AQ3145" s="28" t="str">
        <f t="shared" si="941"/>
        <v>202012USD</v>
      </c>
      <c r="AR3145" s="206" t="str">
        <f t="shared" si="942"/>
        <v>HELLER</v>
      </c>
      <c r="AS3145" s="22">
        <f t="shared" si="943"/>
        <v>3</v>
      </c>
      <c r="AT3145" s="24" t="str">
        <f t="shared" si="944"/>
        <v>0-3 months</v>
      </c>
      <c r="AU3145" s="22" t="s">
        <v>3746</v>
      </c>
    </row>
    <row r="3146" spans="1:47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53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2949</v>
      </c>
      <c r="K3146" s="155" t="s">
        <v>989</v>
      </c>
      <c r="L3146" s="17" t="s">
        <v>2620</v>
      </c>
      <c r="M3146" s="13" t="s">
        <v>60</v>
      </c>
      <c r="N3146" s="13">
        <v>1</v>
      </c>
      <c r="O3146" s="13"/>
      <c r="P3146" s="33" t="str">
        <f t="shared" si="928"/>
        <v>MAIN UNIT</v>
      </c>
      <c r="Q3146" s="13" t="s">
        <v>61</v>
      </c>
      <c r="R3146" s="13" t="s">
        <v>2055</v>
      </c>
      <c r="S3146" s="13" t="s">
        <v>49</v>
      </c>
      <c r="T3146" s="13" t="s">
        <v>246</v>
      </c>
      <c r="U3146" s="13" t="s">
        <v>2056</v>
      </c>
      <c r="V3146" s="13" t="s">
        <v>2856</v>
      </c>
      <c r="W3146" s="13" t="s">
        <v>109</v>
      </c>
      <c r="X3146" s="135">
        <v>12780000</v>
      </c>
      <c r="Y3146" s="157" t="str">
        <f t="shared" si="930"/>
        <v>1</v>
      </c>
      <c r="Z3146" s="18">
        <f t="shared" ref="Z3146:Z3209" si="945">IF(X3146="","",X3146*MAX(O3146,N3146))</f>
        <v>12780000</v>
      </c>
      <c r="AA3146" s="13">
        <v>7.17E-2</v>
      </c>
      <c r="AB3146" s="21">
        <f t="shared" si="931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2"/>
        <v>43684091.636631854</v>
      </c>
      <c r="AJ3146" s="19">
        <f t="shared" si="933"/>
        <v>6483951.8242071122</v>
      </c>
      <c r="AK3146" s="20">
        <f t="shared" si="939"/>
        <v>0.14842821680123736</v>
      </c>
      <c r="AL3146" s="17"/>
      <c r="AM3146" s="17"/>
      <c r="AN3146" s="17"/>
      <c r="AO3146" s="17"/>
      <c r="AP3146" s="28" t="str">
        <f t="shared" si="940"/>
        <v>20214</v>
      </c>
      <c r="AQ3146" s="28" t="str">
        <f t="shared" si="941"/>
        <v>20214JPY</v>
      </c>
      <c r="AR3146" s="206" t="str">
        <f t="shared" si="942"/>
        <v>YAMAHA_Non_Mounter</v>
      </c>
      <c r="AS3146" s="22">
        <f t="shared" si="943"/>
        <v>3</v>
      </c>
      <c r="AT3146" s="24" t="str">
        <f t="shared" si="944"/>
        <v>0-3 months</v>
      </c>
      <c r="AU3146" s="22" t="s">
        <v>3746</v>
      </c>
    </row>
    <row r="3147" spans="1:47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53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2959</v>
      </c>
      <c r="K3147" s="155" t="s">
        <v>989</v>
      </c>
      <c r="L3147" s="17" t="s">
        <v>2960</v>
      </c>
      <c r="M3147" s="13" t="s">
        <v>377</v>
      </c>
      <c r="N3147" s="13">
        <v>1</v>
      </c>
      <c r="O3147" s="13"/>
      <c r="P3147" s="33" t="str">
        <f t="shared" si="928"/>
        <v>MAIN UNIT</v>
      </c>
      <c r="Q3147" s="13" t="s">
        <v>61</v>
      </c>
      <c r="R3147" s="13" t="s">
        <v>2055</v>
      </c>
      <c r="S3147" s="13" t="s">
        <v>49</v>
      </c>
      <c r="T3147" s="13" t="s">
        <v>78</v>
      </c>
      <c r="U3147" s="13" t="s">
        <v>79</v>
      </c>
      <c r="V3147" s="13" t="s">
        <v>2856</v>
      </c>
      <c r="W3147" s="13" t="s">
        <v>2507</v>
      </c>
      <c r="X3147" s="135">
        <v>298000</v>
      </c>
      <c r="Y3147" s="157" t="str">
        <f t="shared" si="930"/>
        <v>1</v>
      </c>
      <c r="Z3147" s="18">
        <f t="shared" si="945"/>
        <v>298000</v>
      </c>
      <c r="AA3147" s="13">
        <v>1</v>
      </c>
      <c r="AB3147" s="21">
        <f t="shared" si="931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2"/>
        <v>47458373.787610628</v>
      </c>
      <c r="AJ3147" s="19">
        <f t="shared" si="933"/>
        <v>7436880.1411522133</v>
      </c>
      <c r="AK3147" s="20">
        <f t="shared" si="939"/>
        <v>0.15670322321692506</v>
      </c>
      <c r="AL3147" s="17"/>
      <c r="AM3147" s="17"/>
      <c r="AN3147" s="17"/>
      <c r="AO3147" s="17"/>
      <c r="AP3147" s="28" t="str">
        <f t="shared" si="940"/>
        <v>20218</v>
      </c>
      <c r="AQ3147" s="28" t="str">
        <f t="shared" si="941"/>
        <v>20218HKD</v>
      </c>
      <c r="AR3147" s="206" t="str">
        <f t="shared" si="942"/>
        <v>LOCAL SUPPLIER</v>
      </c>
      <c r="AS3147" s="22">
        <f t="shared" si="943"/>
        <v>3</v>
      </c>
      <c r="AT3147" s="24" t="str">
        <f t="shared" si="944"/>
        <v>0-3 months</v>
      </c>
      <c r="AU3147" s="22" t="s">
        <v>3746</v>
      </c>
    </row>
    <row r="3148" spans="1:47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53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2968</v>
      </c>
      <c r="K3148" s="155" t="s">
        <v>989</v>
      </c>
      <c r="L3148" s="17" t="s">
        <v>2906</v>
      </c>
      <c r="M3148" s="13" t="s">
        <v>2054</v>
      </c>
      <c r="N3148" s="13">
        <v>1</v>
      </c>
      <c r="O3148" s="13"/>
      <c r="P3148" s="33" t="str">
        <f t="shared" si="928"/>
        <v>MAIN UNIT</v>
      </c>
      <c r="Q3148" s="13" t="s">
        <v>61</v>
      </c>
      <c r="R3148" s="13" t="s">
        <v>2055</v>
      </c>
      <c r="S3148" s="13" t="s">
        <v>49</v>
      </c>
      <c r="T3148" s="13" t="s">
        <v>246</v>
      </c>
      <c r="U3148" s="13" t="s">
        <v>79</v>
      </c>
      <c r="V3148" s="13" t="s">
        <v>2856</v>
      </c>
      <c r="W3148" s="13" t="s">
        <v>901</v>
      </c>
      <c r="X3148" s="135">
        <v>6000</v>
      </c>
      <c r="Y3148" s="157" t="str">
        <f t="shared" si="930"/>
        <v>1</v>
      </c>
      <c r="Z3148" s="18">
        <f t="shared" si="945"/>
        <v>6000</v>
      </c>
      <c r="AA3148" s="13">
        <v>7.8</v>
      </c>
      <c r="AB3148" s="21">
        <f t="shared" si="931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2"/>
        <v>15533177.71460177</v>
      </c>
      <c r="AJ3148" s="19">
        <f t="shared" si="933"/>
        <v>1819298.5437526547</v>
      </c>
      <c r="AK3148" s="20">
        <f t="shared" si="939"/>
        <v>0.11712339723265033</v>
      </c>
      <c r="AL3148" s="17"/>
      <c r="AM3148" s="17"/>
      <c r="AN3148" s="17"/>
      <c r="AO3148" s="17"/>
      <c r="AP3148" s="28" t="str">
        <f t="shared" si="940"/>
        <v>202110</v>
      </c>
      <c r="AQ3148" s="28" t="str">
        <f t="shared" si="941"/>
        <v>202110USD</v>
      </c>
      <c r="AR3148" s="206" t="str">
        <f t="shared" si="942"/>
        <v>SOLDERSTAR</v>
      </c>
      <c r="AS3148" s="22">
        <f t="shared" si="943"/>
        <v>1</v>
      </c>
      <c r="AT3148" s="24" t="str">
        <f t="shared" si="944"/>
        <v>0-3 months</v>
      </c>
      <c r="AU3148" s="22" t="s">
        <v>3746</v>
      </c>
    </row>
    <row r="3149" spans="1:47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3172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3490</v>
      </c>
      <c r="K3149" s="29" t="s">
        <v>3094</v>
      </c>
      <c r="L3149" s="17" t="s">
        <v>67</v>
      </c>
      <c r="M3149" s="13" t="s">
        <v>60</v>
      </c>
      <c r="N3149" s="13">
        <v>1</v>
      </c>
      <c r="O3149" s="22"/>
      <c r="P3149" s="202" t="str">
        <f t="shared" si="928"/>
        <v>MAIN UNIT</v>
      </c>
      <c r="Q3149" s="22" t="s">
        <v>61</v>
      </c>
      <c r="R3149" s="22" t="s">
        <v>62</v>
      </c>
      <c r="S3149" s="22" t="s">
        <v>49</v>
      </c>
      <c r="T3149" s="22" t="s">
        <v>78</v>
      </c>
      <c r="U3149" s="22" t="s">
        <v>78</v>
      </c>
      <c r="V3149" s="22" t="s">
        <v>3095</v>
      </c>
      <c r="W3149" s="22" t="s">
        <v>109</v>
      </c>
      <c r="X3149" s="104">
        <v>7250000</v>
      </c>
      <c r="Y3149" s="195" t="str">
        <f t="shared" ref="Y3149:Y3156" si="946">IF(W3149="","",IF(W3149="RMB","1.13", "1"))</f>
        <v>1</v>
      </c>
      <c r="Z3149" s="196">
        <f t="shared" si="945"/>
        <v>7250000</v>
      </c>
      <c r="AA3149" s="22">
        <v>5.2299999999999999E-2</v>
      </c>
      <c r="AB3149" s="197">
        <f t="shared" si="931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2"/>
        <v>25354039.366920356</v>
      </c>
      <c r="AJ3149" s="200">
        <f t="shared" si="933"/>
        <v>3028631.2816309328</v>
      </c>
      <c r="AK3149" s="201">
        <f t="shared" si="939"/>
        <v>0.11945360018579192</v>
      </c>
      <c r="AL3149" s="24"/>
      <c r="AM3149" s="24"/>
      <c r="AN3149" s="24"/>
      <c r="AO3149" s="24"/>
      <c r="AP3149" s="105" t="str">
        <f t="shared" si="940"/>
        <v>20248</v>
      </c>
      <c r="AQ3149" s="28" t="str">
        <f t="shared" si="941"/>
        <v>20248JPY</v>
      </c>
      <c r="AR3149" s="206" t="str">
        <f t="shared" si="942"/>
        <v>YAMAHA_Mounter</v>
      </c>
      <c r="AS3149" s="22">
        <f t="shared" si="943"/>
        <v>1</v>
      </c>
      <c r="AT3149" s="24" t="str">
        <f t="shared" si="944"/>
        <v>0-3 months</v>
      </c>
      <c r="AU3149" s="22" t="s">
        <v>3745</v>
      </c>
    </row>
    <row r="3150" spans="1:47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3172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3493</v>
      </c>
      <c r="K3150" s="29" t="s">
        <v>3494</v>
      </c>
      <c r="L3150" s="17" t="s">
        <v>67</v>
      </c>
      <c r="M3150" s="13" t="s">
        <v>60</v>
      </c>
      <c r="N3150" s="13">
        <v>1</v>
      </c>
      <c r="O3150" s="22"/>
      <c r="P3150" s="202" t="str">
        <f t="shared" si="928"/>
        <v>MAIN UNIT</v>
      </c>
      <c r="Q3150" s="22" t="s">
        <v>61</v>
      </c>
      <c r="R3150" s="22" t="s">
        <v>62</v>
      </c>
      <c r="S3150" s="22" t="s">
        <v>49</v>
      </c>
      <c r="T3150" s="22" t="s">
        <v>78</v>
      </c>
      <c r="U3150" s="22" t="s">
        <v>464</v>
      </c>
      <c r="V3150" s="22" t="s">
        <v>131</v>
      </c>
      <c r="W3150" s="22" t="s">
        <v>64</v>
      </c>
      <c r="X3150" s="104">
        <v>410000</v>
      </c>
      <c r="Y3150" s="195" t="str">
        <f t="shared" si="946"/>
        <v>1.13</v>
      </c>
      <c r="Z3150" s="196">
        <f t="shared" si="945"/>
        <v>410000</v>
      </c>
      <c r="AA3150" s="22">
        <v>1.08</v>
      </c>
      <c r="AB3150" s="197">
        <f t="shared" si="931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2"/>
        <v>25354039.366920356</v>
      </c>
      <c r="AJ3150" s="200">
        <f t="shared" si="933"/>
        <v>3028631.2816309328</v>
      </c>
      <c r="AK3150" s="201">
        <f t="shared" si="939"/>
        <v>0.11945360018579192</v>
      </c>
      <c r="AL3150" s="24"/>
      <c r="AM3150" s="24"/>
      <c r="AN3150" s="24"/>
      <c r="AO3150" s="24"/>
      <c r="AP3150" s="105" t="str">
        <f t="shared" si="940"/>
        <v>20248</v>
      </c>
      <c r="AQ3150" s="28" t="str">
        <f t="shared" si="941"/>
        <v>20248RMB</v>
      </c>
      <c r="AR3150" s="206" t="str">
        <f t="shared" si="942"/>
        <v>YAMAHA_Mounter</v>
      </c>
      <c r="AS3150" s="22">
        <f t="shared" si="943"/>
        <v>1</v>
      </c>
      <c r="AT3150" s="24" t="str">
        <f t="shared" si="944"/>
        <v>0-3 months</v>
      </c>
      <c r="AU3150" s="22" t="s">
        <v>3751</v>
      </c>
    </row>
    <row r="3151" spans="1:47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3172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3493</v>
      </c>
      <c r="K3151" s="29" t="s">
        <v>3494</v>
      </c>
      <c r="L3151" s="17" t="s">
        <v>67</v>
      </c>
      <c r="M3151" s="13" t="s">
        <v>60</v>
      </c>
      <c r="N3151" s="13">
        <v>1</v>
      </c>
      <c r="O3151" s="22"/>
      <c r="P3151" s="202" t="str">
        <f t="shared" si="928"/>
        <v>MAIN UNIT</v>
      </c>
      <c r="Q3151" s="22" t="s">
        <v>61</v>
      </c>
      <c r="R3151" s="22" t="s">
        <v>62</v>
      </c>
      <c r="S3151" s="22" t="s">
        <v>49</v>
      </c>
      <c r="T3151" s="22" t="s">
        <v>78</v>
      </c>
      <c r="U3151" s="22" t="s">
        <v>464</v>
      </c>
      <c r="V3151" s="22" t="s">
        <v>131</v>
      </c>
      <c r="W3151" s="22" t="s">
        <v>64</v>
      </c>
      <c r="X3151" s="104">
        <v>410000</v>
      </c>
      <c r="Y3151" s="195" t="str">
        <f t="shared" si="946"/>
        <v>1.13</v>
      </c>
      <c r="Z3151" s="196">
        <f t="shared" si="945"/>
        <v>410000</v>
      </c>
      <c r="AA3151" s="22">
        <v>1.08</v>
      </c>
      <c r="AB3151" s="197">
        <f t="shared" si="931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2"/>
        <v>25354039.366920356</v>
      </c>
      <c r="AJ3151" s="200">
        <f t="shared" si="933"/>
        <v>3028631.2816309328</v>
      </c>
      <c r="AK3151" s="201">
        <f t="shared" si="939"/>
        <v>0.11945360018579192</v>
      </c>
      <c r="AL3151" s="24"/>
      <c r="AM3151" s="24"/>
      <c r="AN3151" s="24"/>
      <c r="AO3151" s="24"/>
      <c r="AP3151" s="105" t="str">
        <f t="shared" si="940"/>
        <v>20248</v>
      </c>
      <c r="AQ3151" s="28" t="str">
        <f t="shared" si="941"/>
        <v>20248RMB</v>
      </c>
      <c r="AR3151" s="206" t="str">
        <f t="shared" si="942"/>
        <v>YAMAHA_Mounter</v>
      </c>
      <c r="AS3151" s="22">
        <f t="shared" si="943"/>
        <v>1</v>
      </c>
      <c r="AT3151" s="24" t="str">
        <f t="shared" si="944"/>
        <v>0-3 months</v>
      </c>
      <c r="AU3151" s="22" t="s">
        <v>3751</v>
      </c>
    </row>
    <row r="3152" spans="1:47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3172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3495</v>
      </c>
      <c r="K3152" s="29" t="s">
        <v>3375</v>
      </c>
      <c r="L3152" s="17" t="s">
        <v>67</v>
      </c>
      <c r="M3152" s="13" t="s">
        <v>60</v>
      </c>
      <c r="N3152" s="13">
        <v>1</v>
      </c>
      <c r="O3152" s="22"/>
      <c r="P3152" s="202" t="str">
        <f t="shared" si="928"/>
        <v>MAIN UNIT</v>
      </c>
      <c r="Q3152" s="22" t="s">
        <v>61</v>
      </c>
      <c r="R3152" s="22" t="s">
        <v>62</v>
      </c>
      <c r="S3152" s="22" t="s">
        <v>49</v>
      </c>
      <c r="T3152" s="22" t="s">
        <v>78</v>
      </c>
      <c r="U3152" s="22" t="s">
        <v>78</v>
      </c>
      <c r="V3152" s="22" t="s">
        <v>112</v>
      </c>
      <c r="W3152" s="22" t="s">
        <v>109</v>
      </c>
      <c r="X3152" s="104">
        <v>7950000</v>
      </c>
      <c r="Y3152" s="195" t="str">
        <f t="shared" si="946"/>
        <v>1</v>
      </c>
      <c r="Z3152" s="196">
        <f t="shared" si="945"/>
        <v>7950000</v>
      </c>
      <c r="AA3152" s="22">
        <v>5.2299999999999999E-2</v>
      </c>
      <c r="AB3152" s="197">
        <f t="shared" si="931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2"/>
        <v>25354039.366920356</v>
      </c>
      <c r="AJ3152" s="200">
        <f t="shared" si="933"/>
        <v>3028631.2816309328</v>
      </c>
      <c r="AK3152" s="201">
        <f t="shared" si="939"/>
        <v>0.11945360018579192</v>
      </c>
      <c r="AL3152" s="24"/>
      <c r="AM3152" s="24"/>
      <c r="AN3152" s="24"/>
      <c r="AO3152" s="24"/>
      <c r="AP3152" s="105" t="str">
        <f t="shared" si="940"/>
        <v>20248</v>
      </c>
      <c r="AQ3152" s="28" t="str">
        <f t="shared" si="941"/>
        <v>20248JPY</v>
      </c>
      <c r="AR3152" s="206" t="str">
        <f t="shared" si="942"/>
        <v>YAMAHA_Mounter</v>
      </c>
      <c r="AS3152" s="22">
        <f t="shared" si="943"/>
        <v>1</v>
      </c>
      <c r="AT3152" s="24" t="str">
        <f t="shared" si="944"/>
        <v>0-3 months</v>
      </c>
      <c r="AU3152" s="22" t="s">
        <v>3745</v>
      </c>
    </row>
    <row r="3153" spans="1:47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3172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3491</v>
      </c>
      <c r="K3153" s="29" t="s">
        <v>3492</v>
      </c>
      <c r="L3153" s="17" t="s">
        <v>92</v>
      </c>
      <c r="M3153" s="13" t="s">
        <v>60</v>
      </c>
      <c r="N3153" s="13">
        <v>1</v>
      </c>
      <c r="O3153" s="22"/>
      <c r="P3153" s="202" t="str">
        <f t="shared" si="928"/>
        <v>MAIN UNIT</v>
      </c>
      <c r="Q3153" s="22" t="s">
        <v>68</v>
      </c>
      <c r="R3153" s="22" t="s">
        <v>62</v>
      </c>
      <c r="S3153" s="22" t="s">
        <v>49</v>
      </c>
      <c r="T3153" s="22" t="s">
        <v>78</v>
      </c>
      <c r="U3153" s="22" t="s">
        <v>78</v>
      </c>
      <c r="V3153" s="22" t="s">
        <v>121</v>
      </c>
      <c r="W3153" s="22" t="s">
        <v>109</v>
      </c>
      <c r="X3153" s="104">
        <v>12650000</v>
      </c>
      <c r="Y3153" s="195" t="str">
        <f t="shared" si="946"/>
        <v>1</v>
      </c>
      <c r="Z3153" s="196">
        <f t="shared" si="945"/>
        <v>12650000</v>
      </c>
      <c r="AA3153" s="22">
        <v>5.5599999999999997E-2</v>
      </c>
      <c r="AB3153" s="197">
        <f t="shared" si="931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2"/>
        <v>22758096.38940867</v>
      </c>
      <c r="AJ3153" s="200">
        <f t="shared" si="933"/>
        <v>2469357.2298956565</v>
      </c>
      <c r="AK3153" s="201">
        <f t="shared" si="939"/>
        <v>0.10850455976822666</v>
      </c>
      <c r="AL3153" s="24"/>
      <c r="AM3153" s="24"/>
      <c r="AN3153" s="24"/>
      <c r="AO3153" s="24"/>
      <c r="AP3153" s="105" t="str">
        <f t="shared" si="940"/>
        <v>202410</v>
      </c>
      <c r="AQ3153" s="28" t="str">
        <f t="shared" si="941"/>
        <v>202410JPY</v>
      </c>
      <c r="AR3153" s="206" t="str">
        <f t="shared" si="942"/>
        <v>YAMAHA_Mounter</v>
      </c>
      <c r="AS3153" s="22">
        <f t="shared" si="943"/>
        <v>3</v>
      </c>
      <c r="AT3153" s="24" t="str">
        <f t="shared" si="944"/>
        <v>0-3 months</v>
      </c>
      <c r="AU3153" s="22" t="s">
        <v>3745</v>
      </c>
    </row>
    <row r="3154" spans="1:47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3172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3491</v>
      </c>
      <c r="K3154" s="29" t="s">
        <v>3492</v>
      </c>
      <c r="L3154" s="17" t="s">
        <v>92</v>
      </c>
      <c r="M3154" s="13" t="s">
        <v>60</v>
      </c>
      <c r="N3154" s="13">
        <v>1</v>
      </c>
      <c r="O3154" s="22"/>
      <c r="P3154" s="202" t="str">
        <f t="shared" si="928"/>
        <v>MAIN UNIT</v>
      </c>
      <c r="Q3154" s="22" t="s">
        <v>68</v>
      </c>
      <c r="R3154" s="22" t="s">
        <v>62</v>
      </c>
      <c r="S3154" s="22" t="s">
        <v>49</v>
      </c>
      <c r="T3154" s="22" t="s">
        <v>78</v>
      </c>
      <c r="U3154" s="22" t="s">
        <v>78</v>
      </c>
      <c r="V3154" s="22" t="s">
        <v>121</v>
      </c>
      <c r="W3154" s="22" t="s">
        <v>109</v>
      </c>
      <c r="X3154" s="104">
        <v>12650000</v>
      </c>
      <c r="Y3154" s="195" t="str">
        <f t="shared" si="946"/>
        <v>1</v>
      </c>
      <c r="Z3154" s="196">
        <f t="shared" si="945"/>
        <v>12650000</v>
      </c>
      <c r="AA3154" s="22">
        <v>5.5599999999999997E-2</v>
      </c>
      <c r="AB3154" s="197">
        <f t="shared" si="931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2"/>
        <v>22758096.38940867</v>
      </c>
      <c r="AJ3154" s="200">
        <f t="shared" si="933"/>
        <v>2469357.2298956565</v>
      </c>
      <c r="AK3154" s="201">
        <f t="shared" si="939"/>
        <v>0.10850455976822666</v>
      </c>
      <c r="AL3154" s="24"/>
      <c r="AM3154" s="24"/>
      <c r="AN3154" s="24"/>
      <c r="AO3154" s="24"/>
      <c r="AP3154" s="105" t="str">
        <f t="shared" si="940"/>
        <v>202410</v>
      </c>
      <c r="AQ3154" s="28" t="str">
        <f t="shared" si="941"/>
        <v>202410JPY</v>
      </c>
      <c r="AR3154" s="206" t="str">
        <f t="shared" si="942"/>
        <v>YAMAHA_Mounter</v>
      </c>
      <c r="AS3154" s="22">
        <f t="shared" si="943"/>
        <v>3</v>
      </c>
      <c r="AT3154" s="24" t="str">
        <f t="shared" si="944"/>
        <v>0-3 months</v>
      </c>
      <c r="AU3154" s="22" t="s">
        <v>3745</v>
      </c>
    </row>
    <row r="3155" spans="1:47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3172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3513</v>
      </c>
      <c r="K3155" s="29" t="s">
        <v>2022</v>
      </c>
      <c r="L3155" s="17" t="s">
        <v>92</v>
      </c>
      <c r="M3155" s="13" t="s">
        <v>60</v>
      </c>
      <c r="N3155" s="13">
        <v>1</v>
      </c>
      <c r="O3155" s="22"/>
      <c r="P3155" s="202" t="str">
        <f t="shared" si="928"/>
        <v>MAIN UNIT</v>
      </c>
      <c r="Q3155" s="22" t="s">
        <v>61</v>
      </c>
      <c r="R3155" s="22" t="s">
        <v>62</v>
      </c>
      <c r="S3155" s="22" t="s">
        <v>49</v>
      </c>
      <c r="T3155" s="22" t="s">
        <v>78</v>
      </c>
      <c r="U3155" s="22" t="s">
        <v>78</v>
      </c>
      <c r="V3155" s="22" t="s">
        <v>311</v>
      </c>
      <c r="W3155" s="22" t="s">
        <v>64</v>
      </c>
      <c r="X3155" s="104">
        <v>630000</v>
      </c>
      <c r="Y3155" s="195" t="str">
        <f t="shared" si="946"/>
        <v>1.13</v>
      </c>
      <c r="Z3155" s="196">
        <f t="shared" si="945"/>
        <v>630000</v>
      </c>
      <c r="AA3155" s="22">
        <v>1.08</v>
      </c>
      <c r="AB3155" s="197">
        <f t="shared" si="931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2"/>
        <v>25354039.366920356</v>
      </c>
      <c r="AJ3155" s="200">
        <f t="shared" si="933"/>
        <v>3028631.2816309328</v>
      </c>
      <c r="AK3155" s="201">
        <f t="shared" si="939"/>
        <v>0.11945360018579192</v>
      </c>
      <c r="AL3155" s="24"/>
      <c r="AM3155" s="24"/>
      <c r="AN3155" s="24"/>
      <c r="AO3155" s="24"/>
      <c r="AP3155" s="105" t="str">
        <f t="shared" si="940"/>
        <v>20248</v>
      </c>
      <c r="AQ3155" s="28" t="str">
        <f t="shared" si="941"/>
        <v>20248RMB</v>
      </c>
      <c r="AR3155" s="206" t="str">
        <f t="shared" si="942"/>
        <v>YAMAHA_Mounter</v>
      </c>
      <c r="AS3155" s="22">
        <f t="shared" si="943"/>
        <v>1</v>
      </c>
      <c r="AT3155" s="24" t="str">
        <f t="shared" si="944"/>
        <v>0-3 months</v>
      </c>
      <c r="AU3155" s="22" t="s">
        <v>3751</v>
      </c>
    </row>
    <row r="3156" spans="1:47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3172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3513</v>
      </c>
      <c r="K3156" s="29" t="s">
        <v>2022</v>
      </c>
      <c r="L3156" s="17" t="s">
        <v>92</v>
      </c>
      <c r="M3156" s="13" t="s">
        <v>60</v>
      </c>
      <c r="N3156" s="13">
        <v>1</v>
      </c>
      <c r="O3156" s="22"/>
      <c r="P3156" s="202" t="str">
        <f t="shared" si="928"/>
        <v>MAIN UNIT</v>
      </c>
      <c r="Q3156" s="22" t="s">
        <v>61</v>
      </c>
      <c r="R3156" s="22" t="s">
        <v>62</v>
      </c>
      <c r="S3156" s="22" t="s">
        <v>49</v>
      </c>
      <c r="T3156" s="22" t="s">
        <v>78</v>
      </c>
      <c r="U3156" s="22" t="s">
        <v>78</v>
      </c>
      <c r="V3156" s="22" t="s">
        <v>311</v>
      </c>
      <c r="W3156" s="22" t="s">
        <v>64</v>
      </c>
      <c r="X3156" s="104">
        <v>630000</v>
      </c>
      <c r="Y3156" s="195" t="str">
        <f t="shared" si="946"/>
        <v>1.13</v>
      </c>
      <c r="Z3156" s="196">
        <f t="shared" si="945"/>
        <v>630000</v>
      </c>
      <c r="AA3156" s="22">
        <v>1.08</v>
      </c>
      <c r="AB3156" s="197">
        <f t="shared" si="931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2"/>
        <v>25354039.366920356</v>
      </c>
      <c r="AJ3156" s="200">
        <f t="shared" si="933"/>
        <v>3028631.2816309328</v>
      </c>
      <c r="AK3156" s="201">
        <f t="shared" si="939"/>
        <v>0.11945360018579192</v>
      </c>
      <c r="AL3156" s="24"/>
      <c r="AM3156" s="24"/>
      <c r="AN3156" s="24"/>
      <c r="AO3156" s="24"/>
      <c r="AP3156" s="105" t="str">
        <f t="shared" si="940"/>
        <v>20248</v>
      </c>
      <c r="AQ3156" s="28" t="str">
        <f t="shared" si="941"/>
        <v>20248RMB</v>
      </c>
      <c r="AR3156" s="206" t="str">
        <f t="shared" si="942"/>
        <v>YAMAHA_Mounter</v>
      </c>
      <c r="AS3156" s="22">
        <f t="shared" si="943"/>
        <v>1</v>
      </c>
      <c r="AT3156" s="24" t="str">
        <f t="shared" si="944"/>
        <v>0-3 months</v>
      </c>
      <c r="AU3156" s="22" t="s">
        <v>3751</v>
      </c>
    </row>
    <row r="3157" spans="1:47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56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2797</v>
      </c>
      <c r="K3157" s="155" t="s">
        <v>2798</v>
      </c>
      <c r="L3157" s="17" t="s">
        <v>2778</v>
      </c>
      <c r="M3157" s="13" t="s">
        <v>2607</v>
      </c>
      <c r="N3157" s="13">
        <v>2</v>
      </c>
      <c r="O3157" s="13"/>
      <c r="P3157" s="33" t="str">
        <f t="shared" si="928"/>
        <v>MAIN UNIT</v>
      </c>
      <c r="Q3157" s="13" t="s">
        <v>61</v>
      </c>
      <c r="R3157" s="13" t="s">
        <v>2055</v>
      </c>
      <c r="S3157" s="13" t="s">
        <v>51</v>
      </c>
      <c r="T3157" s="13" t="s">
        <v>992</v>
      </c>
      <c r="U3157" s="13" t="s">
        <v>149</v>
      </c>
      <c r="V3157" s="13" t="s">
        <v>150</v>
      </c>
      <c r="W3157" s="13" t="s">
        <v>901</v>
      </c>
      <c r="X3157" s="135">
        <v>89500</v>
      </c>
      <c r="Y3157" s="156">
        <v>1</v>
      </c>
      <c r="Z3157" s="18">
        <f t="shared" si="945"/>
        <v>179000</v>
      </c>
      <c r="AA3157" s="13">
        <v>7.8</v>
      </c>
      <c r="AB3157" s="21">
        <f t="shared" si="931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2"/>
        <v>13250187.062905986</v>
      </c>
      <c r="AJ3157" s="19">
        <f t="shared" si="933"/>
        <v>1545643.7555487182</v>
      </c>
      <c r="AK3157" s="20">
        <f t="shared" si="939"/>
        <v>0.11665071203981424</v>
      </c>
      <c r="AL3157" s="17" t="s">
        <v>2799</v>
      </c>
      <c r="AM3157" s="17">
        <v>179000</v>
      </c>
      <c r="AN3157" s="17"/>
      <c r="AO3157" s="17"/>
      <c r="AP3157" s="28" t="str">
        <f t="shared" si="940"/>
        <v>20183</v>
      </c>
      <c r="AQ3157" s="28" t="str">
        <f t="shared" si="941"/>
        <v>20183USD</v>
      </c>
      <c r="AR3157" s="206" t="str">
        <f t="shared" si="942"/>
        <v>HELLER</v>
      </c>
      <c r="AS3157" s="22">
        <f t="shared" si="943"/>
        <v>2</v>
      </c>
      <c r="AT3157" s="24" t="str">
        <f t="shared" si="944"/>
        <v>0-3 months</v>
      </c>
      <c r="AU3157" s="22" t="s">
        <v>3240</v>
      </c>
    </row>
    <row r="3158" spans="1:47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41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2822</v>
      </c>
      <c r="K3158" s="155" t="s">
        <v>2798</v>
      </c>
      <c r="L3158" s="17" t="s">
        <v>2778</v>
      </c>
      <c r="M3158" s="13" t="s">
        <v>2607</v>
      </c>
      <c r="N3158" s="13">
        <v>4</v>
      </c>
      <c r="O3158" s="13"/>
      <c r="P3158" s="33" t="str">
        <f t="shared" ref="P3158:P3221" si="947">IF(M3158="","",IF(AND(N3158&gt;0,L3158&lt;&gt;""),"MAIN UNIT",IF(AND(O3158&gt;0,L3158&lt;&gt;""),"SERVICE/ PARTS","C66 SERVICE/OTHERS")))</f>
        <v>MAIN UNIT</v>
      </c>
      <c r="Q3158" s="13" t="s">
        <v>61</v>
      </c>
      <c r="R3158" s="13" t="s">
        <v>2055</v>
      </c>
      <c r="S3158" s="13" t="s">
        <v>51</v>
      </c>
      <c r="T3158" s="13" t="s">
        <v>992</v>
      </c>
      <c r="U3158" s="13" t="s">
        <v>149</v>
      </c>
      <c r="V3158" s="13" t="s">
        <v>507</v>
      </c>
      <c r="W3158" s="13" t="s">
        <v>901</v>
      </c>
      <c r="X3158" s="135">
        <v>89500</v>
      </c>
      <c r="Y3158" s="156">
        <v>1</v>
      </c>
      <c r="Z3158" s="18">
        <f t="shared" si="945"/>
        <v>358000</v>
      </c>
      <c r="AA3158" s="13">
        <v>7.8</v>
      </c>
      <c r="AB3158" s="21">
        <f t="shared" si="931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2"/>
        <v>24398045.86045352</v>
      </c>
      <c r="AJ3158" s="19">
        <f t="shared" si="933"/>
        <v>3478417.4064663448</v>
      </c>
      <c r="AK3158" s="20">
        <f t="shared" si="939"/>
        <v>0.14256950849102498</v>
      </c>
      <c r="AL3158" s="17"/>
      <c r="AM3158" s="17"/>
      <c r="AN3158" s="17"/>
      <c r="AO3158" s="17"/>
      <c r="AP3158" s="28" t="str">
        <f t="shared" si="940"/>
        <v>20186</v>
      </c>
      <c r="AQ3158" s="28" t="str">
        <f t="shared" si="941"/>
        <v>20186USD</v>
      </c>
      <c r="AR3158" s="206" t="str">
        <f t="shared" si="942"/>
        <v>HELLER</v>
      </c>
      <c r="AS3158" s="22">
        <f t="shared" si="943"/>
        <v>1</v>
      </c>
      <c r="AT3158" s="24" t="str">
        <f t="shared" si="944"/>
        <v>0-3 months</v>
      </c>
      <c r="AU3158" s="22" t="s">
        <v>3240</v>
      </c>
    </row>
    <row r="3159" spans="1:47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41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2823</v>
      </c>
      <c r="K3159" s="155" t="s">
        <v>2798</v>
      </c>
      <c r="L3159" s="17" t="s">
        <v>2778</v>
      </c>
      <c r="M3159" s="13" t="s">
        <v>2607</v>
      </c>
      <c r="N3159" s="13">
        <v>1</v>
      </c>
      <c r="O3159" s="13"/>
      <c r="P3159" s="33" t="str">
        <f t="shared" si="947"/>
        <v>MAIN UNIT</v>
      </c>
      <c r="Q3159" s="13" t="s">
        <v>61</v>
      </c>
      <c r="R3159" s="13" t="s">
        <v>2055</v>
      </c>
      <c r="S3159" s="13" t="s">
        <v>51</v>
      </c>
      <c r="T3159" s="13" t="s">
        <v>992</v>
      </c>
      <c r="U3159" s="13" t="s">
        <v>149</v>
      </c>
      <c r="V3159" s="13" t="s">
        <v>507</v>
      </c>
      <c r="W3159" s="13" t="s">
        <v>901</v>
      </c>
      <c r="X3159" s="135">
        <v>61800</v>
      </c>
      <c r="Y3159" s="156">
        <v>1</v>
      </c>
      <c r="Z3159" s="18">
        <f t="shared" si="945"/>
        <v>61800</v>
      </c>
      <c r="AA3159" s="13">
        <v>7.8</v>
      </c>
      <c r="AB3159" s="21">
        <f t="shared" si="931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2"/>
        <v>24398045.86045352</v>
      </c>
      <c r="AJ3159" s="19">
        <f t="shared" si="933"/>
        <v>3478417.4064663448</v>
      </c>
      <c r="AK3159" s="20">
        <f t="shared" si="939"/>
        <v>0.14256950849102498</v>
      </c>
      <c r="AL3159" s="17"/>
      <c r="AM3159" s="17"/>
      <c r="AN3159" s="17"/>
      <c r="AO3159" s="17"/>
      <c r="AP3159" s="28" t="str">
        <f t="shared" si="940"/>
        <v>20186</v>
      </c>
      <c r="AQ3159" s="28" t="str">
        <f t="shared" si="941"/>
        <v>20186USD</v>
      </c>
      <c r="AR3159" s="206" t="str">
        <f t="shared" si="942"/>
        <v>HELLER</v>
      </c>
      <c r="AS3159" s="22">
        <f t="shared" si="943"/>
        <v>1</v>
      </c>
      <c r="AT3159" s="24" t="str">
        <f t="shared" si="944"/>
        <v>0-3 months</v>
      </c>
      <c r="AU3159" s="22" t="s">
        <v>3240</v>
      </c>
    </row>
    <row r="3160" spans="1:47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48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2909</v>
      </c>
      <c r="K3160" s="155" t="s">
        <v>2798</v>
      </c>
      <c r="L3160" s="17" t="s">
        <v>2778</v>
      </c>
      <c r="M3160" s="13" t="s">
        <v>2607</v>
      </c>
      <c r="N3160" s="13">
        <v>1</v>
      </c>
      <c r="O3160" s="13"/>
      <c r="P3160" s="33" t="str">
        <f t="shared" si="947"/>
        <v>MAIN UNIT</v>
      </c>
      <c r="Q3160" s="13" t="s">
        <v>61</v>
      </c>
      <c r="R3160" s="13" t="s">
        <v>2055</v>
      </c>
      <c r="S3160" s="13" t="s">
        <v>51</v>
      </c>
      <c r="T3160" s="13" t="s">
        <v>992</v>
      </c>
      <c r="U3160" s="13" t="s">
        <v>149</v>
      </c>
      <c r="V3160" s="13" t="s">
        <v>2833</v>
      </c>
      <c r="W3160" s="13" t="s">
        <v>901</v>
      </c>
      <c r="X3160" s="135">
        <v>61500</v>
      </c>
      <c r="Y3160" s="157" t="str">
        <f>IF(W3160="RMB","1.13", "1")</f>
        <v>1</v>
      </c>
      <c r="Z3160" s="18">
        <f t="shared" si="945"/>
        <v>61500</v>
      </c>
      <c r="AA3160" s="13">
        <v>7.8</v>
      </c>
      <c r="AB3160" s="21">
        <f t="shared" si="931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2"/>
        <v>29183109.05575221</v>
      </c>
      <c r="AJ3160" s="19">
        <f t="shared" si="933"/>
        <v>3741266.5648721238</v>
      </c>
      <c r="AK3160" s="20">
        <f t="shared" si="939"/>
        <v>0.12819972531798121</v>
      </c>
      <c r="AL3160" s="17"/>
      <c r="AM3160" s="17"/>
      <c r="AN3160" s="17"/>
      <c r="AO3160" s="17"/>
      <c r="AP3160" s="28" t="str">
        <f t="shared" si="940"/>
        <v>20206</v>
      </c>
      <c r="AQ3160" s="28" t="str">
        <f t="shared" si="941"/>
        <v>20206USD</v>
      </c>
      <c r="AR3160" s="206" t="str">
        <f t="shared" si="942"/>
        <v>HELLER</v>
      </c>
      <c r="AS3160" s="22">
        <f t="shared" si="943"/>
        <v>3</v>
      </c>
      <c r="AT3160" s="24" t="str">
        <f t="shared" si="944"/>
        <v>0-3 months</v>
      </c>
      <c r="AU3160" s="22" t="s">
        <v>3240</v>
      </c>
    </row>
    <row r="3161" spans="1:47" s="12" customFormat="1">
      <c r="A3161" s="33" t="str">
        <f t="shared" si="934"/>
        <v/>
      </c>
      <c r="B3161" s="152" t="s">
        <v>2584</v>
      </c>
      <c r="C3161" s="152" t="s">
        <v>2584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2584</v>
      </c>
      <c r="G3161" s="152" t="s">
        <v>2584</v>
      </c>
      <c r="H3161" s="155"/>
      <c r="I3161" s="33" t="str">
        <f t="shared" si="936"/>
        <v>TBA</v>
      </c>
      <c r="J3161" s="186" t="s">
        <v>2584</v>
      </c>
      <c r="K3161" s="155" t="s">
        <v>2608</v>
      </c>
      <c r="L3161" s="17" t="s">
        <v>2609</v>
      </c>
      <c r="M3161" s="13" t="s">
        <v>2607</v>
      </c>
      <c r="N3161" s="13">
        <v>2</v>
      </c>
      <c r="O3161" s="13"/>
      <c r="P3161" s="33" t="str">
        <f t="shared" si="947"/>
        <v>MAIN UNIT</v>
      </c>
      <c r="Q3161" s="13" t="s">
        <v>61</v>
      </c>
      <c r="R3161" s="13" t="s">
        <v>2055</v>
      </c>
      <c r="S3161" s="13" t="s">
        <v>51</v>
      </c>
      <c r="T3161" s="13" t="s">
        <v>992</v>
      </c>
      <c r="U3161" s="13" t="s">
        <v>149</v>
      </c>
      <c r="V3161" s="13" t="s">
        <v>507</v>
      </c>
      <c r="W3161" s="13" t="s">
        <v>64</v>
      </c>
      <c r="X3161" s="135">
        <v>900000</v>
      </c>
      <c r="Y3161" s="157" t="str">
        <f>IF(W3161="","",IF(W3161="RMB","1.13", "1"))</f>
        <v>1.13</v>
      </c>
      <c r="Z3161" s="18">
        <f t="shared" si="945"/>
        <v>1800000</v>
      </c>
      <c r="AA3161" s="13">
        <v>1.095</v>
      </c>
      <c r="AB3161" s="21">
        <f t="shared" si="931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2"/>
        <v>30033846.584070798</v>
      </c>
      <c r="AJ3161" s="19">
        <f t="shared" si="933"/>
        <v>3534936.4750884958</v>
      </c>
      <c r="AK3161" s="20">
        <f t="shared" si="939"/>
        <v>0.11769842618039268</v>
      </c>
      <c r="AL3161" s="17"/>
      <c r="AM3161" s="17"/>
      <c r="AN3161" s="17"/>
      <c r="AO3161" s="17"/>
      <c r="AP3161" s="28" t="str">
        <f t="shared" si="940"/>
        <v>TBATBA</v>
      </c>
      <c r="AQ3161" s="28" t="str">
        <f t="shared" si="941"/>
        <v>TBATBARMB</v>
      </c>
      <c r="AR3161" s="206" t="str">
        <f t="shared" si="942"/>
        <v>HELLER</v>
      </c>
      <c r="AS3161" s="22" t="str">
        <f t="shared" si="943"/>
        <v/>
      </c>
      <c r="AT3161" s="24" t="str">
        <f t="shared" si="944"/>
        <v/>
      </c>
      <c r="AU3161" s="22" t="s">
        <v>3240</v>
      </c>
    </row>
    <row r="3162" spans="1:47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54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2608</v>
      </c>
      <c r="L3162" s="17" t="s">
        <v>2609</v>
      </c>
      <c r="M3162" s="13" t="s">
        <v>2607</v>
      </c>
      <c r="N3162" s="13">
        <v>1</v>
      </c>
      <c r="O3162" s="13"/>
      <c r="P3162" s="33" t="str">
        <f t="shared" si="947"/>
        <v>MAIN UNIT</v>
      </c>
      <c r="Q3162" s="13" t="s">
        <v>61</v>
      </c>
      <c r="R3162" s="13" t="s">
        <v>2055</v>
      </c>
      <c r="S3162" s="13" t="s">
        <v>51</v>
      </c>
      <c r="T3162" s="13" t="s">
        <v>992</v>
      </c>
      <c r="U3162" s="13" t="s">
        <v>149</v>
      </c>
      <c r="V3162" s="13" t="s">
        <v>954</v>
      </c>
      <c r="W3162" s="13" t="s">
        <v>901</v>
      </c>
      <c r="X3162" s="135">
        <v>116200</v>
      </c>
      <c r="Y3162" s="157" t="str">
        <f>IF(W3162="","",IF(W3162="RMB","1.13", "1"))</f>
        <v>1</v>
      </c>
      <c r="Z3162" s="18">
        <f t="shared" si="945"/>
        <v>116200</v>
      </c>
      <c r="AA3162" s="13">
        <v>7.8</v>
      </c>
      <c r="AB3162" s="21">
        <f t="shared" si="931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2"/>
        <v>33543315.897345133</v>
      </c>
      <c r="AJ3162" s="19">
        <f t="shared" si="933"/>
        <v>4706169.3252984071</v>
      </c>
      <c r="AK3162" s="20">
        <f t="shared" si="939"/>
        <v>0.14030125523967318</v>
      </c>
      <c r="AL3162" s="17"/>
      <c r="AM3162" s="17"/>
      <c r="AN3162" s="17"/>
      <c r="AO3162" s="17"/>
      <c r="AP3162" s="28" t="str">
        <f t="shared" si="940"/>
        <v>20233</v>
      </c>
      <c r="AQ3162" s="28" t="str">
        <f t="shared" si="941"/>
        <v>20233USD</v>
      </c>
      <c r="AR3162" s="206" t="str">
        <f t="shared" si="942"/>
        <v>HELLER</v>
      </c>
      <c r="AS3162" s="22">
        <f t="shared" si="943"/>
        <v>4</v>
      </c>
      <c r="AT3162" s="24" t="str">
        <f t="shared" si="944"/>
        <v>4-6 months</v>
      </c>
      <c r="AU3162" s="22" t="s">
        <v>3240</v>
      </c>
    </row>
    <row r="3163" spans="1:47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2608</v>
      </c>
      <c r="L3163" s="17" t="s">
        <v>2778</v>
      </c>
      <c r="M3163" s="13" t="s">
        <v>2607</v>
      </c>
      <c r="N3163" s="13">
        <v>1</v>
      </c>
      <c r="O3163" s="13"/>
      <c r="P3163" s="33" t="str">
        <f t="shared" si="947"/>
        <v>MAIN UNIT</v>
      </c>
      <c r="Q3163" s="13" t="s">
        <v>61</v>
      </c>
      <c r="R3163" s="13" t="s">
        <v>2055</v>
      </c>
      <c r="S3163" s="13" t="s">
        <v>51</v>
      </c>
      <c r="T3163" s="13" t="s">
        <v>992</v>
      </c>
      <c r="U3163" s="13" t="s">
        <v>149</v>
      </c>
      <c r="V3163" s="13" t="s">
        <v>507</v>
      </c>
      <c r="W3163" s="13" t="s">
        <v>901</v>
      </c>
      <c r="X3163" s="135">
        <v>89360</v>
      </c>
      <c r="Y3163" s="157" t="str">
        <f>IF(W3163="","",IF(W3163="RMB","1.13", "1"))</f>
        <v>1</v>
      </c>
      <c r="Z3163" s="18">
        <f t="shared" si="945"/>
        <v>89360</v>
      </c>
      <c r="AA3163" s="13">
        <v>7.8</v>
      </c>
      <c r="AB3163" s="21">
        <f t="shared" si="931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2"/>
        <v>26078226.463097349</v>
      </c>
      <c r="AJ3163" s="19">
        <f t="shared" si="933"/>
        <v>3137870.4427774516</v>
      </c>
      <c r="AK3163" s="20">
        <f t="shared" si="939"/>
        <v>0.12032530077218917</v>
      </c>
      <c r="AL3163" s="17"/>
      <c r="AM3163" s="17"/>
      <c r="AN3163" s="17"/>
      <c r="AO3163" s="17"/>
      <c r="AP3163" s="28" t="str">
        <f t="shared" si="940"/>
        <v>20239</v>
      </c>
      <c r="AQ3163" s="28" t="str">
        <f t="shared" si="941"/>
        <v>20239USD</v>
      </c>
      <c r="AR3163" s="206" t="str">
        <f t="shared" si="942"/>
        <v>HELLER</v>
      </c>
      <c r="AS3163" s="22">
        <f t="shared" si="943"/>
        <v>2</v>
      </c>
      <c r="AT3163" s="24" t="str">
        <f t="shared" si="944"/>
        <v>0-3 months</v>
      </c>
      <c r="AU3163" s="22" t="s">
        <v>3240</v>
      </c>
    </row>
    <row r="3164" spans="1:47" s="12" customFormat="1">
      <c r="A3164" s="33" t="str">
        <f t="shared" si="934"/>
        <v>cancel</v>
      </c>
      <c r="B3164" s="152"/>
      <c r="C3164" s="152" t="s">
        <v>185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185</v>
      </c>
      <c r="G3164" s="152" t="s">
        <v>185</v>
      </c>
      <c r="H3164" s="155"/>
      <c r="I3164" s="33" t="str">
        <f t="shared" si="936"/>
        <v>Cancel</v>
      </c>
      <c r="J3164" s="186" t="s">
        <v>185</v>
      </c>
      <c r="K3164" s="155" t="s">
        <v>2608</v>
      </c>
      <c r="L3164" s="17" t="s">
        <v>2606</v>
      </c>
      <c r="M3164" s="13" t="s">
        <v>2607</v>
      </c>
      <c r="N3164" s="13">
        <v>1</v>
      </c>
      <c r="O3164" s="13"/>
      <c r="P3164" s="33" t="str">
        <f t="shared" si="947"/>
        <v>MAIN UNIT</v>
      </c>
      <c r="Q3164" s="13" t="s">
        <v>61</v>
      </c>
      <c r="R3164" s="13" t="s">
        <v>2055</v>
      </c>
      <c r="S3164" s="13" t="s">
        <v>51</v>
      </c>
      <c r="T3164" s="13" t="s">
        <v>992</v>
      </c>
      <c r="U3164" s="13" t="s">
        <v>149</v>
      </c>
      <c r="V3164" s="13" t="s">
        <v>954</v>
      </c>
      <c r="W3164" s="13" t="s">
        <v>64</v>
      </c>
      <c r="X3164" s="135">
        <v>1200000</v>
      </c>
      <c r="Y3164" s="157" t="str">
        <f>IF(W3164="","",IF(W3164="RMB","1.13", "1"))</f>
        <v>1.13</v>
      </c>
      <c r="Z3164" s="18">
        <f t="shared" si="945"/>
        <v>1200000</v>
      </c>
      <c r="AA3164" s="13">
        <v>1.08</v>
      </c>
      <c r="AB3164" s="21">
        <f t="shared" si="931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2"/>
        <v>499582152.5142017</v>
      </c>
      <c r="AJ3164" s="19">
        <f t="shared" si="933"/>
        <v>59520528.679470733</v>
      </c>
      <c r="AK3164" s="20">
        <f t="shared" si="939"/>
        <v>0.11914062257814291</v>
      </c>
      <c r="AL3164" s="17"/>
      <c r="AM3164" s="17"/>
      <c r="AN3164" s="17"/>
      <c r="AO3164" s="17"/>
      <c r="AP3164" s="28" t="str">
        <f t="shared" si="940"/>
        <v>CancelCancel</v>
      </c>
      <c r="AQ3164" s="28" t="str">
        <f t="shared" si="941"/>
        <v>CancelCancelRMB</v>
      </c>
      <c r="AR3164" s="206" t="str">
        <f t="shared" si="942"/>
        <v>HELLER</v>
      </c>
      <c r="AS3164" s="22" t="str">
        <f t="shared" si="943"/>
        <v/>
      </c>
      <c r="AT3164" s="24" t="str">
        <f t="shared" si="944"/>
        <v/>
      </c>
      <c r="AU3164" s="22" t="s">
        <v>3240</v>
      </c>
    </row>
    <row r="3165" spans="1:47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48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990</v>
      </c>
      <c r="K3165" s="155" t="s">
        <v>991</v>
      </c>
      <c r="L3165" s="17" t="s">
        <v>92</v>
      </c>
      <c r="M3165" s="13" t="s">
        <v>60</v>
      </c>
      <c r="N3165" s="13">
        <v>1</v>
      </c>
      <c r="O3165" s="13"/>
      <c r="P3165" s="33" t="str">
        <f t="shared" si="947"/>
        <v>MAIN UNIT</v>
      </c>
      <c r="Q3165" s="13" t="s">
        <v>68</v>
      </c>
      <c r="R3165" s="13" t="s">
        <v>62</v>
      </c>
      <c r="S3165" s="13" t="s">
        <v>51</v>
      </c>
      <c r="T3165" s="13" t="s">
        <v>992</v>
      </c>
      <c r="U3165" s="13" t="s">
        <v>149</v>
      </c>
      <c r="V3165" s="13" t="s">
        <v>507</v>
      </c>
      <c r="W3165" s="13" t="s">
        <v>64</v>
      </c>
      <c r="X3165" s="135">
        <v>1090000</v>
      </c>
      <c r="Y3165" s="156">
        <v>1.1299999999999999</v>
      </c>
      <c r="Z3165" s="18">
        <f t="shared" si="945"/>
        <v>1090000</v>
      </c>
      <c r="AA3165" s="13">
        <v>1.095</v>
      </c>
      <c r="AB3165" s="21">
        <f t="shared" si="931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2"/>
        <v>33477255.428389374</v>
      </c>
      <c r="AJ3165" s="19">
        <f t="shared" si="933"/>
        <v>4578663.362915583</v>
      </c>
      <c r="AK3165" s="20">
        <f t="shared" si="939"/>
        <v>0.13676937682988152</v>
      </c>
      <c r="AL3165" s="17"/>
      <c r="AM3165" s="17"/>
      <c r="AN3165" s="17"/>
      <c r="AO3165" s="17"/>
      <c r="AP3165" s="28" t="str">
        <f t="shared" si="940"/>
        <v>20204</v>
      </c>
      <c r="AQ3165" s="28" t="str">
        <f t="shared" si="941"/>
        <v>20204RMB</v>
      </c>
      <c r="AR3165" s="206" t="str">
        <f t="shared" si="942"/>
        <v>YAMAHA_Mounter</v>
      </c>
      <c r="AS3165" s="22">
        <f t="shared" si="943"/>
        <v>4</v>
      </c>
      <c r="AT3165" s="24" t="str">
        <f t="shared" si="944"/>
        <v>4-6 months</v>
      </c>
      <c r="AU3165" s="22" t="s">
        <v>3240</v>
      </c>
    </row>
    <row r="3166" spans="1:47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47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1255</v>
      </c>
      <c r="K3166" s="155" t="s">
        <v>1256</v>
      </c>
      <c r="L3166" s="17" t="s">
        <v>92</v>
      </c>
      <c r="M3166" s="13" t="s">
        <v>60</v>
      </c>
      <c r="N3166" s="13">
        <v>1</v>
      </c>
      <c r="O3166" s="13"/>
      <c r="P3166" s="33" t="str">
        <f t="shared" si="947"/>
        <v>MAIN UNIT</v>
      </c>
      <c r="Q3166" s="13" t="s">
        <v>68</v>
      </c>
      <c r="R3166" s="13" t="s">
        <v>62</v>
      </c>
      <c r="S3166" s="13" t="s">
        <v>49</v>
      </c>
      <c r="T3166" s="13" t="s">
        <v>249</v>
      </c>
      <c r="U3166" s="13" t="s">
        <v>79</v>
      </c>
      <c r="V3166" s="13" t="s">
        <v>121</v>
      </c>
      <c r="W3166" s="13" t="s">
        <v>109</v>
      </c>
      <c r="X3166" s="135">
        <v>11300000</v>
      </c>
      <c r="Y3166" s="156">
        <v>1</v>
      </c>
      <c r="Z3166" s="18">
        <f t="shared" si="945"/>
        <v>11300000</v>
      </c>
      <c r="AA3166" s="13">
        <v>7.2999999999999995E-2</v>
      </c>
      <c r="AB3166" s="21">
        <f t="shared" si="931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2"/>
        <v>23168285.927433632</v>
      </c>
      <c r="AJ3166" s="19">
        <f t="shared" si="933"/>
        <v>2764878.916878053</v>
      </c>
      <c r="AK3166" s="20">
        <f t="shared" si="939"/>
        <v>0.11933895004309111</v>
      </c>
      <c r="AL3166" s="17"/>
      <c r="AM3166" s="17"/>
      <c r="AN3166" s="17"/>
      <c r="AO3166" s="17"/>
      <c r="AP3166" s="28" t="str">
        <f t="shared" si="940"/>
        <v>20203</v>
      </c>
      <c r="AQ3166" s="28" t="str">
        <f t="shared" si="941"/>
        <v>20203JPY</v>
      </c>
      <c r="AR3166" s="206" t="str">
        <f t="shared" si="942"/>
        <v>YAMAHA_Mounter</v>
      </c>
      <c r="AS3166" s="22">
        <f t="shared" si="943"/>
        <v>2</v>
      </c>
      <c r="AT3166" s="24" t="str">
        <f t="shared" si="944"/>
        <v>0-3 months</v>
      </c>
      <c r="AU3166" s="22" t="s">
        <v>3745</v>
      </c>
    </row>
    <row r="3167" spans="1:47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53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1928</v>
      </c>
      <c r="K3167" s="155" t="s">
        <v>1929</v>
      </c>
      <c r="L3167" s="17" t="s">
        <v>67</v>
      </c>
      <c r="M3167" s="13" t="s">
        <v>60</v>
      </c>
      <c r="N3167" s="13">
        <v>1</v>
      </c>
      <c r="O3167" s="13"/>
      <c r="P3167" s="33" t="str">
        <f t="shared" si="947"/>
        <v>MAIN UNIT</v>
      </c>
      <c r="Q3167" s="13" t="s">
        <v>68</v>
      </c>
      <c r="R3167" s="13" t="s">
        <v>62</v>
      </c>
      <c r="S3167" s="13" t="s">
        <v>49</v>
      </c>
      <c r="T3167" s="13" t="s">
        <v>78</v>
      </c>
      <c r="U3167" s="13" t="s">
        <v>79</v>
      </c>
      <c r="V3167" s="13" t="s">
        <v>1713</v>
      </c>
      <c r="W3167" s="13" t="s">
        <v>109</v>
      </c>
      <c r="X3167" s="135">
        <v>8300000</v>
      </c>
      <c r="Y3167" s="157" t="str">
        <f>IF(W3167="RMB","1.13", "1")</f>
        <v>1</v>
      </c>
      <c r="Z3167" s="18">
        <f t="shared" si="945"/>
        <v>8300000</v>
      </c>
      <c r="AA3167" s="13">
        <v>6.9199999999999998E-2</v>
      </c>
      <c r="AB3167" s="21">
        <f t="shared" si="931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2"/>
        <v>26407088.359292038</v>
      </c>
      <c r="AJ3167" s="19">
        <f t="shared" si="933"/>
        <v>3424510.6998470789</v>
      </c>
      <c r="AK3167" s="20">
        <f t="shared" si="939"/>
        <v>0.12968149510667554</v>
      </c>
      <c r="AL3167" s="17"/>
      <c r="AM3167" s="17"/>
      <c r="AN3167" s="17"/>
      <c r="AO3167" s="17"/>
      <c r="AP3167" s="28" t="str">
        <f t="shared" si="940"/>
        <v>20221</v>
      </c>
      <c r="AQ3167" s="28" t="str">
        <f t="shared" si="941"/>
        <v>20221JPY</v>
      </c>
      <c r="AR3167" s="206" t="str">
        <f t="shared" si="942"/>
        <v>YAMAHA_Mounter</v>
      </c>
      <c r="AS3167" s="22">
        <f t="shared" si="943"/>
        <v>9</v>
      </c>
      <c r="AT3167" s="24" t="str">
        <f t="shared" si="944"/>
        <v>&gt; 6 months</v>
      </c>
      <c r="AU3167" s="22" t="s">
        <v>3745</v>
      </c>
    </row>
    <row r="3168" spans="1:47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41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844</v>
      </c>
      <c r="K3168" s="155" t="s">
        <v>845</v>
      </c>
      <c r="L3168" s="17" t="s">
        <v>77</v>
      </c>
      <c r="M3168" s="13" t="s">
        <v>60</v>
      </c>
      <c r="N3168" s="13">
        <v>3</v>
      </c>
      <c r="O3168" s="13"/>
      <c r="P3168" s="33" t="str">
        <f t="shared" si="947"/>
        <v>MAIN UNIT</v>
      </c>
      <c r="Q3168" s="13" t="s">
        <v>68</v>
      </c>
      <c r="R3168" s="13" t="s">
        <v>62</v>
      </c>
      <c r="S3168" s="13" t="s">
        <v>49</v>
      </c>
      <c r="T3168" s="13" t="s">
        <v>78</v>
      </c>
      <c r="U3168" s="13" t="s">
        <v>79</v>
      </c>
      <c r="V3168" s="13" t="s">
        <v>80</v>
      </c>
      <c r="W3168" s="13" t="s">
        <v>109</v>
      </c>
      <c r="X3168" s="135">
        <v>10208000</v>
      </c>
      <c r="Y3168" s="156">
        <v>1</v>
      </c>
      <c r="Z3168" s="18">
        <f t="shared" si="945"/>
        <v>30624000</v>
      </c>
      <c r="AA3168" s="13">
        <v>7.22E-2</v>
      </c>
      <c r="AB3168" s="21">
        <f t="shared" si="931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2"/>
        <v>47416008.333399981</v>
      </c>
      <c r="AJ3168" s="19">
        <f t="shared" si="933"/>
        <v>6981738.4465290187</v>
      </c>
      <c r="AK3168" s="20">
        <f t="shared" si="939"/>
        <v>0.14724433143839863</v>
      </c>
      <c r="AL3168" s="17"/>
      <c r="AM3168" s="17"/>
      <c r="AN3168" s="17"/>
      <c r="AO3168" s="17"/>
      <c r="AP3168" s="28" t="str">
        <f t="shared" si="940"/>
        <v>20193</v>
      </c>
      <c r="AQ3168" s="28" t="str">
        <f t="shared" si="941"/>
        <v>20193JPY</v>
      </c>
      <c r="AR3168" s="206" t="str">
        <f t="shared" si="942"/>
        <v>YAMAHA_Mounter</v>
      </c>
      <c r="AS3168" s="22">
        <f t="shared" si="943"/>
        <v>1</v>
      </c>
      <c r="AT3168" s="24" t="str">
        <f t="shared" si="944"/>
        <v>0-3 months</v>
      </c>
      <c r="AU3168" s="22" t="s">
        <v>3746</v>
      </c>
    </row>
    <row r="3169" spans="1:47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54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2121</v>
      </c>
      <c r="K3169" s="155" t="s">
        <v>2122</v>
      </c>
      <c r="L3169" s="17" t="s">
        <v>67</v>
      </c>
      <c r="M3169" s="13" t="s">
        <v>60</v>
      </c>
      <c r="N3169" s="13">
        <v>1</v>
      </c>
      <c r="O3169" s="13"/>
      <c r="P3169" s="33" t="str">
        <f t="shared" si="947"/>
        <v>MAIN UNIT</v>
      </c>
      <c r="Q3169" s="13" t="s">
        <v>61</v>
      </c>
      <c r="R3169" s="13" t="s">
        <v>62</v>
      </c>
      <c r="S3169" s="13" t="s">
        <v>50</v>
      </c>
      <c r="T3169" s="13" t="s">
        <v>212</v>
      </c>
      <c r="U3169" s="13" t="s">
        <v>213</v>
      </c>
      <c r="V3169" s="13" t="s">
        <v>2123</v>
      </c>
      <c r="W3169" s="13" t="s">
        <v>64</v>
      </c>
      <c r="X3169" s="135">
        <v>733868</v>
      </c>
      <c r="Y3169" s="157" t="str">
        <f t="shared" ref="Y3169:Y3187" si="948">IF(W3169="RMB","1.13", "1")</f>
        <v>1.13</v>
      </c>
      <c r="Z3169" s="18">
        <f t="shared" si="945"/>
        <v>733868</v>
      </c>
      <c r="AA3169" s="13">
        <v>1.1599999999999999</v>
      </c>
      <c r="AB3169" s="21">
        <f t="shared" si="931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2"/>
        <v>21045012.884955753</v>
      </c>
      <c r="AJ3169" s="19">
        <f t="shared" si="933"/>
        <v>2650260.9603327443</v>
      </c>
      <c r="AK3169" s="20">
        <f t="shared" si="939"/>
        <v>0.12593296924172048</v>
      </c>
      <c r="AL3169" s="17"/>
      <c r="AM3169" s="17"/>
      <c r="AN3169" s="17"/>
      <c r="AO3169" s="17"/>
      <c r="AP3169" s="28" t="str">
        <f t="shared" si="940"/>
        <v>20232</v>
      </c>
      <c r="AQ3169" s="28" t="str">
        <f t="shared" si="941"/>
        <v>20232RMB</v>
      </c>
      <c r="AR3169" s="206" t="str">
        <f t="shared" si="942"/>
        <v>YAMAHA_Mounter</v>
      </c>
      <c r="AS3169" s="22">
        <f t="shared" si="943"/>
        <v>3</v>
      </c>
      <c r="AT3169" s="24" t="str">
        <f t="shared" si="944"/>
        <v>0-3 months</v>
      </c>
      <c r="AU3169" s="22" t="s">
        <v>3240</v>
      </c>
    </row>
    <row r="3170" spans="1:47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54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2121</v>
      </c>
      <c r="K3170" s="155" t="s">
        <v>2122</v>
      </c>
      <c r="L3170" s="17" t="s">
        <v>92</v>
      </c>
      <c r="M3170" s="13" t="s">
        <v>60</v>
      </c>
      <c r="N3170" s="13">
        <v>1</v>
      </c>
      <c r="O3170" s="13"/>
      <c r="P3170" s="33" t="str">
        <f t="shared" si="947"/>
        <v>MAIN UNIT</v>
      </c>
      <c r="Q3170" s="13" t="s">
        <v>61</v>
      </c>
      <c r="R3170" s="13" t="s">
        <v>62</v>
      </c>
      <c r="S3170" s="13" t="s">
        <v>50</v>
      </c>
      <c r="T3170" s="13" t="s">
        <v>212</v>
      </c>
      <c r="U3170" s="13" t="s">
        <v>213</v>
      </c>
      <c r="V3170" s="13" t="s">
        <v>2123</v>
      </c>
      <c r="W3170" s="13" t="s">
        <v>64</v>
      </c>
      <c r="X3170" s="135">
        <v>910000</v>
      </c>
      <c r="Y3170" s="157" t="str">
        <f t="shared" si="948"/>
        <v>1.13</v>
      </c>
      <c r="Z3170" s="18">
        <f t="shared" si="945"/>
        <v>910000</v>
      </c>
      <c r="AA3170" s="13">
        <v>1.1599999999999999</v>
      </c>
      <c r="AB3170" s="21">
        <f t="shared" si="931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2"/>
        <v>21045012.884955753</v>
      </c>
      <c r="AJ3170" s="19">
        <f t="shared" si="933"/>
        <v>2650260.9603327443</v>
      </c>
      <c r="AK3170" s="20">
        <f t="shared" si="939"/>
        <v>0.12593296924172048</v>
      </c>
      <c r="AL3170" s="17"/>
      <c r="AM3170" s="17"/>
      <c r="AN3170" s="17"/>
      <c r="AO3170" s="17"/>
      <c r="AP3170" s="28" t="str">
        <f t="shared" si="940"/>
        <v>20232</v>
      </c>
      <c r="AQ3170" s="28" t="str">
        <f t="shared" si="941"/>
        <v>20232RMB</v>
      </c>
      <c r="AR3170" s="206" t="str">
        <f t="shared" si="942"/>
        <v>YAMAHA_Mounter</v>
      </c>
      <c r="AS3170" s="22">
        <f t="shared" si="943"/>
        <v>3</v>
      </c>
      <c r="AT3170" s="24" t="str">
        <f t="shared" si="944"/>
        <v>0-3 months</v>
      </c>
      <c r="AU3170" s="22" t="s">
        <v>3240</v>
      </c>
    </row>
    <row r="3171" spans="1:47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48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1447</v>
      </c>
      <c r="K3171" s="155" t="s">
        <v>1448</v>
      </c>
      <c r="L3171" s="17" t="s">
        <v>92</v>
      </c>
      <c r="M3171" s="13" t="s">
        <v>60</v>
      </c>
      <c r="N3171" s="13">
        <v>1</v>
      </c>
      <c r="O3171" s="13"/>
      <c r="P3171" s="33" t="str">
        <f t="shared" si="947"/>
        <v>MAIN UNIT</v>
      </c>
      <c r="Q3171" s="13" t="s">
        <v>61</v>
      </c>
      <c r="R3171" s="13" t="s">
        <v>62</v>
      </c>
      <c r="S3171" s="13" t="s">
        <v>50</v>
      </c>
      <c r="T3171" s="13" t="s">
        <v>212</v>
      </c>
      <c r="U3171" s="13" t="s">
        <v>213</v>
      </c>
      <c r="V3171" s="13" t="s">
        <v>214</v>
      </c>
      <c r="W3171" s="13" t="s">
        <v>1046</v>
      </c>
      <c r="X3171" s="135">
        <v>10200000</v>
      </c>
      <c r="Y3171" s="157" t="str">
        <f t="shared" si="948"/>
        <v>1</v>
      </c>
      <c r="Z3171" s="18">
        <f t="shared" si="945"/>
        <v>10200000</v>
      </c>
      <c r="AA3171" s="13">
        <v>7.6100000000000001E-2</v>
      </c>
      <c r="AB3171" s="21">
        <f t="shared" si="931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2"/>
        <v>48763143.537654862</v>
      </c>
      <c r="AJ3171" s="19">
        <f t="shared" si="933"/>
        <v>5924029.9702154724</v>
      </c>
      <c r="AK3171" s="20">
        <f t="shared" si="939"/>
        <v>0.1214858095774925</v>
      </c>
      <c r="AL3171" s="17"/>
      <c r="AM3171" s="17"/>
      <c r="AN3171" s="17"/>
      <c r="AO3171" s="17"/>
      <c r="AP3171" s="28" t="str">
        <f t="shared" si="940"/>
        <v>202012</v>
      </c>
      <c r="AQ3171" s="28" t="str">
        <f t="shared" si="941"/>
        <v>202012JPY</v>
      </c>
      <c r="AR3171" s="206" t="str">
        <f t="shared" si="942"/>
        <v>YAMAHA_Mounter</v>
      </c>
      <c r="AS3171" s="22">
        <f t="shared" si="943"/>
        <v>2</v>
      </c>
      <c r="AT3171" s="24" t="str">
        <f t="shared" si="944"/>
        <v>0-3 months</v>
      </c>
      <c r="AU3171" s="22" t="s">
        <v>3240</v>
      </c>
    </row>
    <row r="3172" spans="1:47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48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1447</v>
      </c>
      <c r="K3172" s="155" t="s">
        <v>1448</v>
      </c>
      <c r="L3172" s="17" t="s">
        <v>92</v>
      </c>
      <c r="M3172" s="13" t="s">
        <v>60</v>
      </c>
      <c r="N3172" s="13">
        <v>1</v>
      </c>
      <c r="O3172" s="13"/>
      <c r="P3172" s="33" t="str">
        <f t="shared" si="947"/>
        <v>MAIN UNIT</v>
      </c>
      <c r="Q3172" s="13" t="s">
        <v>61</v>
      </c>
      <c r="R3172" s="13" t="s">
        <v>62</v>
      </c>
      <c r="S3172" s="13" t="s">
        <v>50</v>
      </c>
      <c r="T3172" s="13" t="s">
        <v>212</v>
      </c>
      <c r="U3172" s="13" t="s">
        <v>213</v>
      </c>
      <c r="V3172" s="13" t="s">
        <v>214</v>
      </c>
      <c r="W3172" s="13" t="s">
        <v>1046</v>
      </c>
      <c r="X3172" s="135">
        <v>10200000</v>
      </c>
      <c r="Y3172" s="157" t="str">
        <f t="shared" si="948"/>
        <v>1</v>
      </c>
      <c r="Z3172" s="18">
        <f t="shared" si="945"/>
        <v>10200000</v>
      </c>
      <c r="AA3172" s="13">
        <v>7.6100000000000001E-2</v>
      </c>
      <c r="AB3172" s="21">
        <f t="shared" si="931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2"/>
        <v>48763143.537654862</v>
      </c>
      <c r="AJ3172" s="19">
        <f t="shared" si="933"/>
        <v>5924029.9702154724</v>
      </c>
      <c r="AK3172" s="20">
        <f t="shared" si="939"/>
        <v>0.1214858095774925</v>
      </c>
      <c r="AL3172" s="17"/>
      <c r="AM3172" s="17"/>
      <c r="AN3172" s="17"/>
      <c r="AO3172" s="17"/>
      <c r="AP3172" s="28" t="str">
        <f t="shared" si="940"/>
        <v>202012</v>
      </c>
      <c r="AQ3172" s="28" t="str">
        <f t="shared" si="941"/>
        <v>202012JPY</v>
      </c>
      <c r="AR3172" s="206" t="str">
        <f t="shared" si="942"/>
        <v>YAMAHA_Mounter</v>
      </c>
      <c r="AS3172" s="22">
        <f t="shared" si="943"/>
        <v>2</v>
      </c>
      <c r="AT3172" s="24" t="str">
        <f t="shared" si="944"/>
        <v>0-3 months</v>
      </c>
      <c r="AU3172" s="22" t="s">
        <v>3240</v>
      </c>
    </row>
    <row r="3173" spans="1:47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48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1447</v>
      </c>
      <c r="K3173" s="155" t="s">
        <v>1448</v>
      </c>
      <c r="L3173" s="17" t="s">
        <v>92</v>
      </c>
      <c r="M3173" s="13" t="s">
        <v>60</v>
      </c>
      <c r="N3173" s="13">
        <v>1</v>
      </c>
      <c r="O3173" s="13"/>
      <c r="P3173" s="33" t="str">
        <f t="shared" si="947"/>
        <v>MAIN UNIT</v>
      </c>
      <c r="Q3173" s="13" t="s">
        <v>61</v>
      </c>
      <c r="R3173" s="13" t="s">
        <v>62</v>
      </c>
      <c r="S3173" s="13" t="s">
        <v>50</v>
      </c>
      <c r="T3173" s="13" t="s">
        <v>212</v>
      </c>
      <c r="U3173" s="13" t="s">
        <v>213</v>
      </c>
      <c r="V3173" s="13" t="s">
        <v>214</v>
      </c>
      <c r="W3173" s="13" t="s">
        <v>1046</v>
      </c>
      <c r="X3173" s="135">
        <v>10200000</v>
      </c>
      <c r="Y3173" s="157" t="str">
        <f t="shared" si="948"/>
        <v>1</v>
      </c>
      <c r="Z3173" s="18">
        <f t="shared" si="945"/>
        <v>10200000</v>
      </c>
      <c r="AA3173" s="13">
        <v>7.6100000000000001E-2</v>
      </c>
      <c r="AB3173" s="21">
        <f t="shared" si="931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2"/>
        <v>48763143.537654862</v>
      </c>
      <c r="AJ3173" s="19">
        <f t="shared" si="933"/>
        <v>5924029.9702154724</v>
      </c>
      <c r="AK3173" s="20">
        <f t="shared" si="939"/>
        <v>0.1214858095774925</v>
      </c>
      <c r="AL3173" s="17"/>
      <c r="AM3173" s="17"/>
      <c r="AN3173" s="17"/>
      <c r="AO3173" s="17"/>
      <c r="AP3173" s="28" t="str">
        <f t="shared" si="940"/>
        <v>202012</v>
      </c>
      <c r="AQ3173" s="28" t="str">
        <f t="shared" si="941"/>
        <v>202012JPY</v>
      </c>
      <c r="AR3173" s="206" t="str">
        <f t="shared" si="942"/>
        <v>YAMAHA_Mounter</v>
      </c>
      <c r="AS3173" s="22">
        <f t="shared" si="943"/>
        <v>2</v>
      </c>
      <c r="AT3173" s="24" t="str">
        <f t="shared" si="944"/>
        <v>0-3 months</v>
      </c>
      <c r="AU3173" s="22" t="s">
        <v>3240</v>
      </c>
    </row>
    <row r="3174" spans="1:47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48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1447</v>
      </c>
      <c r="K3174" s="155" t="s">
        <v>1448</v>
      </c>
      <c r="L3174" s="17" t="s">
        <v>92</v>
      </c>
      <c r="M3174" s="13" t="s">
        <v>60</v>
      </c>
      <c r="N3174" s="13">
        <v>1</v>
      </c>
      <c r="O3174" s="13"/>
      <c r="P3174" s="33" t="str">
        <f t="shared" si="947"/>
        <v>MAIN UNIT</v>
      </c>
      <c r="Q3174" s="13" t="s">
        <v>61</v>
      </c>
      <c r="R3174" s="13" t="s">
        <v>62</v>
      </c>
      <c r="S3174" s="13" t="s">
        <v>50</v>
      </c>
      <c r="T3174" s="13" t="s">
        <v>212</v>
      </c>
      <c r="U3174" s="13" t="s">
        <v>213</v>
      </c>
      <c r="V3174" s="13" t="s">
        <v>214</v>
      </c>
      <c r="W3174" s="13" t="s">
        <v>1046</v>
      </c>
      <c r="X3174" s="135">
        <v>10200000</v>
      </c>
      <c r="Y3174" s="157" t="str">
        <f t="shared" si="948"/>
        <v>1</v>
      </c>
      <c r="Z3174" s="18">
        <f t="shared" si="945"/>
        <v>10200000</v>
      </c>
      <c r="AA3174" s="13">
        <v>7.6100000000000001E-2</v>
      </c>
      <c r="AB3174" s="21">
        <f t="shared" si="931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2"/>
        <v>48763143.537654862</v>
      </c>
      <c r="AJ3174" s="19">
        <f t="shared" si="933"/>
        <v>5924029.9702154724</v>
      </c>
      <c r="AK3174" s="20">
        <f t="shared" si="939"/>
        <v>0.1214858095774925</v>
      </c>
      <c r="AL3174" s="17"/>
      <c r="AM3174" s="17"/>
      <c r="AN3174" s="17"/>
      <c r="AO3174" s="17"/>
      <c r="AP3174" s="28" t="str">
        <f t="shared" si="940"/>
        <v>202012</v>
      </c>
      <c r="AQ3174" s="28" t="str">
        <f t="shared" si="941"/>
        <v>202012JPY</v>
      </c>
      <c r="AR3174" s="206" t="str">
        <f t="shared" si="942"/>
        <v>YAMAHA_Mounter</v>
      </c>
      <c r="AS3174" s="22">
        <f t="shared" si="943"/>
        <v>2</v>
      </c>
      <c r="AT3174" s="24" t="str">
        <f t="shared" si="944"/>
        <v>0-3 months</v>
      </c>
      <c r="AU3174" s="22" t="s">
        <v>3240</v>
      </c>
    </row>
    <row r="3175" spans="1:47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48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1447</v>
      </c>
      <c r="K3175" s="155" t="s">
        <v>1448</v>
      </c>
      <c r="L3175" s="17" t="s">
        <v>67</v>
      </c>
      <c r="M3175" s="13" t="s">
        <v>60</v>
      </c>
      <c r="N3175" s="13">
        <v>1</v>
      </c>
      <c r="O3175" s="13"/>
      <c r="P3175" s="33" t="str">
        <f t="shared" si="947"/>
        <v>MAIN UNIT</v>
      </c>
      <c r="Q3175" s="13" t="s">
        <v>61</v>
      </c>
      <c r="R3175" s="13" t="s">
        <v>62</v>
      </c>
      <c r="S3175" s="13" t="s">
        <v>50</v>
      </c>
      <c r="T3175" s="13" t="s">
        <v>212</v>
      </c>
      <c r="U3175" s="13" t="s">
        <v>213</v>
      </c>
      <c r="V3175" s="13" t="s">
        <v>214</v>
      </c>
      <c r="W3175" s="13" t="s">
        <v>1046</v>
      </c>
      <c r="X3175" s="135">
        <v>7600000</v>
      </c>
      <c r="Y3175" s="157" t="str">
        <f t="shared" si="948"/>
        <v>1</v>
      </c>
      <c r="Z3175" s="18">
        <f t="shared" si="945"/>
        <v>7600000</v>
      </c>
      <c r="AA3175" s="13">
        <v>7.6100000000000001E-2</v>
      </c>
      <c r="AB3175" s="21">
        <f t="shared" si="931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2"/>
        <v>48763143.537654862</v>
      </c>
      <c r="AJ3175" s="19">
        <f t="shared" si="933"/>
        <v>5924029.9702154724</v>
      </c>
      <c r="AK3175" s="20">
        <f t="shared" si="939"/>
        <v>0.1214858095774925</v>
      </c>
      <c r="AL3175" s="17"/>
      <c r="AM3175" s="17"/>
      <c r="AN3175" s="17"/>
      <c r="AO3175" s="17"/>
      <c r="AP3175" s="28" t="str">
        <f t="shared" si="940"/>
        <v>202012</v>
      </c>
      <c r="AQ3175" s="28" t="str">
        <f t="shared" si="941"/>
        <v>202012JPY</v>
      </c>
      <c r="AR3175" s="206" t="str">
        <f t="shared" si="942"/>
        <v>YAMAHA_Mounter</v>
      </c>
      <c r="AS3175" s="22">
        <f t="shared" si="943"/>
        <v>2</v>
      </c>
      <c r="AT3175" s="24" t="str">
        <f t="shared" si="944"/>
        <v>0-3 months</v>
      </c>
      <c r="AU3175" s="22" t="s">
        <v>3240</v>
      </c>
    </row>
    <row r="3176" spans="1:47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48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1504</v>
      </c>
      <c r="K3176" s="155" t="s">
        <v>1448</v>
      </c>
      <c r="L3176" s="17" t="s">
        <v>92</v>
      </c>
      <c r="M3176" s="13" t="s">
        <v>60</v>
      </c>
      <c r="N3176" s="13">
        <v>1</v>
      </c>
      <c r="O3176" s="13"/>
      <c r="P3176" s="33" t="str">
        <f t="shared" si="947"/>
        <v>MAIN UNIT</v>
      </c>
      <c r="Q3176" s="13" t="s">
        <v>61</v>
      </c>
      <c r="R3176" s="13" t="s">
        <v>62</v>
      </c>
      <c r="S3176" s="13" t="s">
        <v>50</v>
      </c>
      <c r="T3176" s="13" t="s">
        <v>212</v>
      </c>
      <c r="U3176" s="13" t="s">
        <v>213</v>
      </c>
      <c r="V3176" s="13" t="s">
        <v>214</v>
      </c>
      <c r="W3176" s="13" t="s">
        <v>1046</v>
      </c>
      <c r="X3176" s="135">
        <v>10200000</v>
      </c>
      <c r="Y3176" s="157" t="str">
        <f t="shared" si="948"/>
        <v>1</v>
      </c>
      <c r="Z3176" s="18">
        <f t="shared" si="945"/>
        <v>10200000</v>
      </c>
      <c r="AA3176" s="13">
        <v>7.6799999999999993E-2</v>
      </c>
      <c r="AB3176" s="21">
        <f t="shared" si="931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2"/>
        <v>45803245.025628321</v>
      </c>
      <c r="AJ3176" s="19">
        <f t="shared" si="933"/>
        <v>5664636.2584379362</v>
      </c>
      <c r="AK3176" s="20">
        <f t="shared" si="939"/>
        <v>0.12367325186825515</v>
      </c>
      <c r="AL3176" s="17"/>
      <c r="AM3176" s="17"/>
      <c r="AN3176" s="17"/>
      <c r="AO3176" s="17"/>
      <c r="AP3176" s="28" t="str">
        <f t="shared" si="940"/>
        <v>20211</v>
      </c>
      <c r="AQ3176" s="28" t="str">
        <f t="shared" si="941"/>
        <v>20211JPY</v>
      </c>
      <c r="AR3176" s="206" t="str">
        <f t="shared" si="942"/>
        <v>YAMAHA_Mounter</v>
      </c>
      <c r="AS3176" s="22">
        <f t="shared" si="943"/>
        <v>3</v>
      </c>
      <c r="AT3176" s="24" t="str">
        <f t="shared" si="944"/>
        <v>0-3 months</v>
      </c>
      <c r="AU3176" s="22" t="s">
        <v>3240</v>
      </c>
    </row>
    <row r="3177" spans="1:47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48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1504</v>
      </c>
      <c r="K3177" s="155" t="s">
        <v>1448</v>
      </c>
      <c r="L3177" s="17" t="s">
        <v>92</v>
      </c>
      <c r="M3177" s="13" t="s">
        <v>60</v>
      </c>
      <c r="N3177" s="13">
        <v>1</v>
      </c>
      <c r="O3177" s="13"/>
      <c r="P3177" s="33" t="str">
        <f t="shared" si="947"/>
        <v>MAIN UNIT</v>
      </c>
      <c r="Q3177" s="13" t="s">
        <v>61</v>
      </c>
      <c r="R3177" s="13" t="s">
        <v>62</v>
      </c>
      <c r="S3177" s="13" t="s">
        <v>50</v>
      </c>
      <c r="T3177" s="13" t="s">
        <v>212</v>
      </c>
      <c r="U3177" s="13" t="s">
        <v>213</v>
      </c>
      <c r="V3177" s="13" t="s">
        <v>214</v>
      </c>
      <c r="W3177" s="13" t="s">
        <v>1046</v>
      </c>
      <c r="X3177" s="135">
        <v>10200000</v>
      </c>
      <c r="Y3177" s="157" t="str">
        <f t="shared" si="948"/>
        <v>1</v>
      </c>
      <c r="Z3177" s="18">
        <f t="shared" si="945"/>
        <v>10200000</v>
      </c>
      <c r="AA3177" s="13">
        <v>7.6799999999999993E-2</v>
      </c>
      <c r="AB3177" s="21">
        <f t="shared" si="931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2"/>
        <v>45803245.025628321</v>
      </c>
      <c r="AJ3177" s="19">
        <f t="shared" si="933"/>
        <v>5664636.2584379362</v>
      </c>
      <c r="AK3177" s="20">
        <f t="shared" si="939"/>
        <v>0.12367325186825515</v>
      </c>
      <c r="AL3177" s="17"/>
      <c r="AM3177" s="17"/>
      <c r="AN3177" s="17"/>
      <c r="AO3177" s="17"/>
      <c r="AP3177" s="28" t="str">
        <f t="shared" si="940"/>
        <v>20211</v>
      </c>
      <c r="AQ3177" s="28" t="str">
        <f t="shared" si="941"/>
        <v>20211JPY</v>
      </c>
      <c r="AR3177" s="206" t="str">
        <f t="shared" si="942"/>
        <v>YAMAHA_Mounter</v>
      </c>
      <c r="AS3177" s="22">
        <f t="shared" si="943"/>
        <v>3</v>
      </c>
      <c r="AT3177" s="24" t="str">
        <f t="shared" si="944"/>
        <v>0-3 months</v>
      </c>
      <c r="AU3177" s="22" t="s">
        <v>3240</v>
      </c>
    </row>
    <row r="3178" spans="1:47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48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1504</v>
      </c>
      <c r="K3178" s="155" t="s">
        <v>1448</v>
      </c>
      <c r="L3178" s="17" t="s">
        <v>92</v>
      </c>
      <c r="M3178" s="13" t="s">
        <v>60</v>
      </c>
      <c r="N3178" s="13">
        <v>1</v>
      </c>
      <c r="O3178" s="13"/>
      <c r="P3178" s="33" t="str">
        <f t="shared" si="947"/>
        <v>MAIN UNIT</v>
      </c>
      <c r="Q3178" s="13" t="s">
        <v>61</v>
      </c>
      <c r="R3178" s="13" t="s">
        <v>62</v>
      </c>
      <c r="S3178" s="13" t="s">
        <v>50</v>
      </c>
      <c r="T3178" s="13" t="s">
        <v>212</v>
      </c>
      <c r="U3178" s="13" t="s">
        <v>213</v>
      </c>
      <c r="V3178" s="13" t="s">
        <v>214</v>
      </c>
      <c r="W3178" s="13" t="s">
        <v>1046</v>
      </c>
      <c r="X3178" s="135">
        <v>10200000</v>
      </c>
      <c r="Y3178" s="157" t="str">
        <f t="shared" si="948"/>
        <v>1</v>
      </c>
      <c r="Z3178" s="18">
        <f t="shared" si="945"/>
        <v>10200000</v>
      </c>
      <c r="AA3178" s="13">
        <v>7.6799999999999993E-2</v>
      </c>
      <c r="AB3178" s="21">
        <f t="shared" si="931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2"/>
        <v>45803245.025628321</v>
      </c>
      <c r="AJ3178" s="19">
        <f t="shared" si="933"/>
        <v>5664636.2584379362</v>
      </c>
      <c r="AK3178" s="20">
        <f t="shared" si="939"/>
        <v>0.12367325186825515</v>
      </c>
      <c r="AL3178" s="17"/>
      <c r="AM3178" s="17"/>
      <c r="AN3178" s="17"/>
      <c r="AO3178" s="17"/>
      <c r="AP3178" s="28" t="str">
        <f t="shared" si="940"/>
        <v>20211</v>
      </c>
      <c r="AQ3178" s="28" t="str">
        <f t="shared" si="941"/>
        <v>20211JPY</v>
      </c>
      <c r="AR3178" s="206" t="str">
        <f t="shared" si="942"/>
        <v>YAMAHA_Mounter</v>
      </c>
      <c r="AS3178" s="22">
        <f t="shared" si="943"/>
        <v>3</v>
      </c>
      <c r="AT3178" s="24" t="str">
        <f t="shared" si="944"/>
        <v>0-3 months</v>
      </c>
      <c r="AU3178" s="22" t="s">
        <v>3240</v>
      </c>
    </row>
    <row r="3179" spans="1:47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48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1504</v>
      </c>
      <c r="K3179" s="155" t="s">
        <v>1448</v>
      </c>
      <c r="L3179" s="17" t="s">
        <v>92</v>
      </c>
      <c r="M3179" s="13" t="s">
        <v>60</v>
      </c>
      <c r="N3179" s="13">
        <v>1</v>
      </c>
      <c r="O3179" s="13"/>
      <c r="P3179" s="33" t="str">
        <f t="shared" si="947"/>
        <v>MAIN UNIT</v>
      </c>
      <c r="Q3179" s="13" t="s">
        <v>61</v>
      </c>
      <c r="R3179" s="13" t="s">
        <v>62</v>
      </c>
      <c r="S3179" s="13" t="s">
        <v>50</v>
      </c>
      <c r="T3179" s="13" t="s">
        <v>212</v>
      </c>
      <c r="U3179" s="13" t="s">
        <v>213</v>
      </c>
      <c r="V3179" s="13" t="s">
        <v>214</v>
      </c>
      <c r="W3179" s="13" t="s">
        <v>1046</v>
      </c>
      <c r="X3179" s="135">
        <v>10200000</v>
      </c>
      <c r="Y3179" s="157" t="str">
        <f t="shared" si="948"/>
        <v>1</v>
      </c>
      <c r="Z3179" s="18">
        <f t="shared" si="945"/>
        <v>10200000</v>
      </c>
      <c r="AA3179" s="13">
        <v>7.6799999999999993E-2</v>
      </c>
      <c r="AB3179" s="21">
        <f t="shared" si="931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2"/>
        <v>45803245.025628321</v>
      </c>
      <c r="AJ3179" s="19">
        <f t="shared" si="933"/>
        <v>5664636.2584379362</v>
      </c>
      <c r="AK3179" s="20">
        <f t="shared" si="939"/>
        <v>0.12367325186825515</v>
      </c>
      <c r="AL3179" s="17"/>
      <c r="AM3179" s="17"/>
      <c r="AN3179" s="17"/>
      <c r="AO3179" s="17"/>
      <c r="AP3179" s="28" t="str">
        <f t="shared" si="940"/>
        <v>20211</v>
      </c>
      <c r="AQ3179" s="28" t="str">
        <f t="shared" si="941"/>
        <v>20211JPY</v>
      </c>
      <c r="AR3179" s="206" t="str">
        <f t="shared" si="942"/>
        <v>YAMAHA_Mounter</v>
      </c>
      <c r="AS3179" s="22">
        <f t="shared" si="943"/>
        <v>3</v>
      </c>
      <c r="AT3179" s="24" t="str">
        <f t="shared" si="944"/>
        <v>0-3 months</v>
      </c>
      <c r="AU3179" s="22" t="s">
        <v>3240</v>
      </c>
    </row>
    <row r="3180" spans="1:47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48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1504</v>
      </c>
      <c r="K3180" s="155" t="s">
        <v>1448</v>
      </c>
      <c r="L3180" s="17" t="s">
        <v>67</v>
      </c>
      <c r="M3180" s="13" t="s">
        <v>60</v>
      </c>
      <c r="N3180" s="13">
        <v>1</v>
      </c>
      <c r="O3180" s="13"/>
      <c r="P3180" s="33" t="str">
        <f t="shared" si="947"/>
        <v>MAIN UNIT</v>
      </c>
      <c r="Q3180" s="13" t="s">
        <v>61</v>
      </c>
      <c r="R3180" s="13" t="s">
        <v>62</v>
      </c>
      <c r="S3180" s="13" t="s">
        <v>50</v>
      </c>
      <c r="T3180" s="13" t="s">
        <v>212</v>
      </c>
      <c r="U3180" s="13" t="s">
        <v>213</v>
      </c>
      <c r="V3180" s="13" t="s">
        <v>214</v>
      </c>
      <c r="W3180" s="13" t="s">
        <v>1046</v>
      </c>
      <c r="X3180" s="135">
        <v>7600000</v>
      </c>
      <c r="Y3180" s="157" t="str">
        <f t="shared" si="948"/>
        <v>1</v>
      </c>
      <c r="Z3180" s="18">
        <f t="shared" si="945"/>
        <v>7600000</v>
      </c>
      <c r="AA3180" s="13">
        <v>7.6799999999999993E-2</v>
      </c>
      <c r="AB3180" s="21">
        <f t="shared" si="931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2"/>
        <v>45803245.025628321</v>
      </c>
      <c r="AJ3180" s="19">
        <f t="shared" si="933"/>
        <v>5664636.2584379362</v>
      </c>
      <c r="AK3180" s="20">
        <f t="shared" si="939"/>
        <v>0.12367325186825515</v>
      </c>
      <c r="AL3180" s="17"/>
      <c r="AM3180" s="17"/>
      <c r="AN3180" s="17"/>
      <c r="AO3180" s="17"/>
      <c r="AP3180" s="28" t="str">
        <f t="shared" si="940"/>
        <v>20211</v>
      </c>
      <c r="AQ3180" s="28" t="str">
        <f t="shared" si="941"/>
        <v>20211JPY</v>
      </c>
      <c r="AR3180" s="206" t="str">
        <f t="shared" si="942"/>
        <v>YAMAHA_Mounter</v>
      </c>
      <c r="AS3180" s="22">
        <f t="shared" si="943"/>
        <v>3</v>
      </c>
      <c r="AT3180" s="24" t="str">
        <f t="shared" si="944"/>
        <v>0-3 months</v>
      </c>
      <c r="AU3180" s="22" t="s">
        <v>3240</v>
      </c>
    </row>
    <row r="3181" spans="1:47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54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2017</v>
      </c>
      <c r="K3181" s="155" t="s">
        <v>1448</v>
      </c>
      <c r="L3181" s="17" t="s">
        <v>92</v>
      </c>
      <c r="M3181" s="13" t="s">
        <v>60</v>
      </c>
      <c r="N3181" s="13">
        <v>1</v>
      </c>
      <c r="O3181" s="13"/>
      <c r="P3181" s="33" t="str">
        <f t="shared" si="947"/>
        <v>MAIN UNIT</v>
      </c>
      <c r="Q3181" s="13" t="s">
        <v>61</v>
      </c>
      <c r="R3181" s="13" t="s">
        <v>62</v>
      </c>
      <c r="S3181" s="13" t="s">
        <v>50</v>
      </c>
      <c r="T3181" s="13" t="s">
        <v>212</v>
      </c>
      <c r="U3181" s="13" t="s">
        <v>213</v>
      </c>
      <c r="V3181" s="13" t="s">
        <v>214</v>
      </c>
      <c r="W3181" s="13" t="s">
        <v>109</v>
      </c>
      <c r="X3181" s="135">
        <v>10877781</v>
      </c>
      <c r="Y3181" s="157" t="str">
        <f t="shared" si="948"/>
        <v>1</v>
      </c>
      <c r="Z3181" s="18">
        <f t="shared" si="945"/>
        <v>10877781</v>
      </c>
      <c r="AA3181" s="13">
        <v>6.2799999999999995E-2</v>
      </c>
      <c r="AB3181" s="21">
        <f t="shared" si="931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2"/>
        <v>44014086.982070789</v>
      </c>
      <c r="AJ3181" s="19">
        <f t="shared" si="933"/>
        <v>6419974.0221889298</v>
      </c>
      <c r="AK3181" s="20">
        <f t="shared" si="939"/>
        <v>0.14586180158193709</v>
      </c>
      <c r="AL3181" s="17"/>
      <c r="AM3181" s="17"/>
      <c r="AN3181" s="17"/>
      <c r="AO3181" s="17"/>
      <c r="AP3181" s="28" t="str">
        <f t="shared" si="940"/>
        <v>20225</v>
      </c>
      <c r="AQ3181" s="28" t="str">
        <f t="shared" si="941"/>
        <v>20225JPY</v>
      </c>
      <c r="AR3181" s="206" t="str">
        <f t="shared" si="942"/>
        <v>YAMAHA_Mounter</v>
      </c>
      <c r="AS3181" s="22">
        <f t="shared" si="943"/>
        <v>11</v>
      </c>
      <c r="AT3181" s="24" t="str">
        <f t="shared" si="944"/>
        <v>&gt; 6 months</v>
      </c>
      <c r="AU3181" s="22" t="s">
        <v>3240</v>
      </c>
    </row>
    <row r="3182" spans="1:47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54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2017</v>
      </c>
      <c r="K3182" s="155" t="s">
        <v>1448</v>
      </c>
      <c r="L3182" s="17" t="s">
        <v>92</v>
      </c>
      <c r="M3182" s="13" t="s">
        <v>60</v>
      </c>
      <c r="N3182" s="13">
        <v>1</v>
      </c>
      <c r="O3182" s="13"/>
      <c r="P3182" s="33" t="str">
        <f t="shared" si="947"/>
        <v>MAIN UNIT</v>
      </c>
      <c r="Q3182" s="13" t="s">
        <v>61</v>
      </c>
      <c r="R3182" s="13" t="s">
        <v>62</v>
      </c>
      <c r="S3182" s="13" t="s">
        <v>50</v>
      </c>
      <c r="T3182" s="13" t="s">
        <v>212</v>
      </c>
      <c r="U3182" s="13" t="s">
        <v>213</v>
      </c>
      <c r="V3182" s="13" t="s">
        <v>214</v>
      </c>
      <c r="W3182" s="13" t="s">
        <v>109</v>
      </c>
      <c r="X3182" s="135">
        <v>10877781</v>
      </c>
      <c r="Y3182" s="157" t="str">
        <f t="shared" si="948"/>
        <v>1</v>
      </c>
      <c r="Z3182" s="18">
        <f t="shared" si="945"/>
        <v>10877781</v>
      </c>
      <c r="AA3182" s="13">
        <v>6.2799999999999995E-2</v>
      </c>
      <c r="AB3182" s="21">
        <f t="shared" si="931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2"/>
        <v>44014086.982070789</v>
      </c>
      <c r="AJ3182" s="19">
        <f t="shared" si="933"/>
        <v>6419974.0221889298</v>
      </c>
      <c r="AK3182" s="20">
        <f t="shared" si="939"/>
        <v>0.14586180158193709</v>
      </c>
      <c r="AL3182" s="17"/>
      <c r="AM3182" s="17"/>
      <c r="AN3182" s="17"/>
      <c r="AO3182" s="17"/>
      <c r="AP3182" s="28" t="str">
        <f t="shared" si="940"/>
        <v>20225</v>
      </c>
      <c r="AQ3182" s="28" t="str">
        <f t="shared" si="941"/>
        <v>20225JPY</v>
      </c>
      <c r="AR3182" s="206" t="str">
        <f t="shared" si="942"/>
        <v>YAMAHA_Mounter</v>
      </c>
      <c r="AS3182" s="22">
        <f t="shared" si="943"/>
        <v>11</v>
      </c>
      <c r="AT3182" s="24" t="str">
        <f t="shared" si="944"/>
        <v>&gt; 6 months</v>
      </c>
      <c r="AU3182" s="22" t="s">
        <v>3240</v>
      </c>
    </row>
    <row r="3183" spans="1:47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54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2017</v>
      </c>
      <c r="K3183" s="155" t="s">
        <v>1448</v>
      </c>
      <c r="L3183" s="17" t="s">
        <v>92</v>
      </c>
      <c r="M3183" s="13" t="s">
        <v>60</v>
      </c>
      <c r="N3183" s="13">
        <v>1</v>
      </c>
      <c r="O3183" s="13"/>
      <c r="P3183" s="33" t="str">
        <f t="shared" si="947"/>
        <v>MAIN UNIT</v>
      </c>
      <c r="Q3183" s="13" t="s">
        <v>61</v>
      </c>
      <c r="R3183" s="13" t="s">
        <v>62</v>
      </c>
      <c r="S3183" s="13" t="s">
        <v>50</v>
      </c>
      <c r="T3183" s="13" t="s">
        <v>212</v>
      </c>
      <c r="U3183" s="13" t="s">
        <v>213</v>
      </c>
      <c r="V3183" s="13" t="s">
        <v>214</v>
      </c>
      <c r="W3183" s="13" t="s">
        <v>109</v>
      </c>
      <c r="X3183" s="135">
        <v>10877781</v>
      </c>
      <c r="Y3183" s="157" t="str">
        <f t="shared" si="948"/>
        <v>1</v>
      </c>
      <c r="Z3183" s="18">
        <f t="shared" si="945"/>
        <v>10877781</v>
      </c>
      <c r="AA3183" s="13">
        <v>6.2799999999999995E-2</v>
      </c>
      <c r="AB3183" s="21">
        <f t="shared" si="931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2"/>
        <v>44014086.982070789</v>
      </c>
      <c r="AJ3183" s="19">
        <f t="shared" si="933"/>
        <v>6419974.0221889298</v>
      </c>
      <c r="AK3183" s="20">
        <f t="shared" si="939"/>
        <v>0.14586180158193709</v>
      </c>
      <c r="AL3183" s="17"/>
      <c r="AM3183" s="17"/>
      <c r="AN3183" s="17"/>
      <c r="AO3183" s="17"/>
      <c r="AP3183" s="28" t="str">
        <f t="shared" si="940"/>
        <v>20225</v>
      </c>
      <c r="AQ3183" s="28" t="str">
        <f t="shared" si="941"/>
        <v>20225JPY</v>
      </c>
      <c r="AR3183" s="206" t="str">
        <f t="shared" si="942"/>
        <v>YAMAHA_Mounter</v>
      </c>
      <c r="AS3183" s="22">
        <f t="shared" si="943"/>
        <v>11</v>
      </c>
      <c r="AT3183" s="24" t="str">
        <f t="shared" si="944"/>
        <v>&gt; 6 months</v>
      </c>
      <c r="AU3183" s="22" t="s">
        <v>3240</v>
      </c>
    </row>
    <row r="3184" spans="1:47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54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2017</v>
      </c>
      <c r="K3184" s="155" t="s">
        <v>1448</v>
      </c>
      <c r="L3184" s="17" t="s">
        <v>92</v>
      </c>
      <c r="M3184" s="13" t="s">
        <v>60</v>
      </c>
      <c r="N3184" s="13">
        <v>1</v>
      </c>
      <c r="O3184" s="13"/>
      <c r="P3184" s="33" t="str">
        <f t="shared" si="947"/>
        <v>MAIN UNIT</v>
      </c>
      <c r="Q3184" s="13" t="s">
        <v>61</v>
      </c>
      <c r="R3184" s="13" t="s">
        <v>62</v>
      </c>
      <c r="S3184" s="13" t="s">
        <v>50</v>
      </c>
      <c r="T3184" s="13" t="s">
        <v>212</v>
      </c>
      <c r="U3184" s="13" t="s">
        <v>213</v>
      </c>
      <c r="V3184" s="13" t="s">
        <v>214</v>
      </c>
      <c r="W3184" s="13" t="s">
        <v>109</v>
      </c>
      <c r="X3184" s="135">
        <v>10877781</v>
      </c>
      <c r="Y3184" s="157" t="str">
        <f t="shared" si="948"/>
        <v>1</v>
      </c>
      <c r="Z3184" s="18">
        <f t="shared" si="945"/>
        <v>10877781</v>
      </c>
      <c r="AA3184" s="13">
        <v>6.2799999999999995E-2</v>
      </c>
      <c r="AB3184" s="21">
        <f t="shared" si="931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2"/>
        <v>44014086.982070789</v>
      </c>
      <c r="AJ3184" s="19">
        <f t="shared" si="933"/>
        <v>6419974.0221889298</v>
      </c>
      <c r="AK3184" s="20">
        <f t="shared" si="939"/>
        <v>0.14586180158193709</v>
      </c>
      <c r="AL3184" s="17"/>
      <c r="AM3184" s="17"/>
      <c r="AN3184" s="17"/>
      <c r="AO3184" s="17"/>
      <c r="AP3184" s="28" t="str">
        <f t="shared" si="940"/>
        <v>20225</v>
      </c>
      <c r="AQ3184" s="28" t="str">
        <f t="shared" si="941"/>
        <v>20225JPY</v>
      </c>
      <c r="AR3184" s="206" t="str">
        <f t="shared" si="942"/>
        <v>YAMAHA_Mounter</v>
      </c>
      <c r="AS3184" s="22">
        <f t="shared" si="943"/>
        <v>11</v>
      </c>
      <c r="AT3184" s="24" t="str">
        <f t="shared" si="944"/>
        <v>&gt; 6 months</v>
      </c>
      <c r="AU3184" s="22" t="s">
        <v>3240</v>
      </c>
    </row>
    <row r="3185" spans="1:47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54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2017</v>
      </c>
      <c r="K3185" s="155" t="s">
        <v>1448</v>
      </c>
      <c r="L3185" s="17" t="s">
        <v>67</v>
      </c>
      <c r="M3185" s="13" t="s">
        <v>60</v>
      </c>
      <c r="N3185" s="13">
        <v>1</v>
      </c>
      <c r="O3185" s="13"/>
      <c r="P3185" s="33" t="str">
        <f t="shared" si="947"/>
        <v>MAIN UNIT</v>
      </c>
      <c r="Q3185" s="13" t="s">
        <v>61</v>
      </c>
      <c r="R3185" s="13" t="s">
        <v>62</v>
      </c>
      <c r="S3185" s="13" t="s">
        <v>50</v>
      </c>
      <c r="T3185" s="13" t="s">
        <v>212</v>
      </c>
      <c r="U3185" s="13" t="s">
        <v>213</v>
      </c>
      <c r="V3185" s="13" t="s">
        <v>214</v>
      </c>
      <c r="W3185" s="13" t="s">
        <v>109</v>
      </c>
      <c r="X3185" s="135">
        <v>7781117</v>
      </c>
      <c r="Y3185" s="157" t="str">
        <f t="shared" si="948"/>
        <v>1</v>
      </c>
      <c r="Z3185" s="18">
        <f t="shared" si="945"/>
        <v>7781117</v>
      </c>
      <c r="AA3185" s="13">
        <v>6.2799999999999995E-2</v>
      </c>
      <c r="AB3185" s="21">
        <f t="shared" si="931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2"/>
        <v>44014086.982070789</v>
      </c>
      <c r="AJ3185" s="19">
        <f t="shared" si="933"/>
        <v>6419974.0221889298</v>
      </c>
      <c r="AK3185" s="20">
        <f t="shared" si="939"/>
        <v>0.14586180158193709</v>
      </c>
      <c r="AL3185" s="17"/>
      <c r="AM3185" s="17"/>
      <c r="AN3185" s="17"/>
      <c r="AO3185" s="17"/>
      <c r="AP3185" s="28" t="str">
        <f t="shared" si="940"/>
        <v>20225</v>
      </c>
      <c r="AQ3185" s="28" t="str">
        <f t="shared" si="941"/>
        <v>20225JPY</v>
      </c>
      <c r="AR3185" s="206" t="str">
        <f t="shared" si="942"/>
        <v>YAMAHA_Mounter</v>
      </c>
      <c r="AS3185" s="22">
        <f t="shared" si="943"/>
        <v>11</v>
      </c>
      <c r="AT3185" s="24" t="str">
        <f t="shared" si="944"/>
        <v>&gt; 6 months</v>
      </c>
      <c r="AU3185" s="22" t="s">
        <v>3240</v>
      </c>
    </row>
    <row r="3186" spans="1:47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54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2018</v>
      </c>
      <c r="K3186" s="155" t="s">
        <v>1448</v>
      </c>
      <c r="L3186" s="17" t="s">
        <v>67</v>
      </c>
      <c r="M3186" s="13" t="s">
        <v>60</v>
      </c>
      <c r="N3186" s="13">
        <v>1</v>
      </c>
      <c r="O3186" s="13"/>
      <c r="P3186" s="33" t="str">
        <f t="shared" si="947"/>
        <v>MAIN UNIT</v>
      </c>
      <c r="Q3186" s="13" t="s">
        <v>61</v>
      </c>
      <c r="R3186" s="13" t="s">
        <v>62</v>
      </c>
      <c r="S3186" s="13" t="s">
        <v>50</v>
      </c>
      <c r="T3186" s="13" t="s">
        <v>212</v>
      </c>
      <c r="U3186" s="13" t="s">
        <v>213</v>
      </c>
      <c r="V3186" s="13" t="s">
        <v>214</v>
      </c>
      <c r="W3186" s="13" t="s">
        <v>109</v>
      </c>
      <c r="X3186" s="135">
        <v>7781117</v>
      </c>
      <c r="Y3186" s="157" t="str">
        <f t="shared" si="948"/>
        <v>1</v>
      </c>
      <c r="Z3186" s="18">
        <f t="shared" si="945"/>
        <v>7781117</v>
      </c>
      <c r="AA3186" s="13">
        <v>6.2799999999999995E-2</v>
      </c>
      <c r="AB3186" s="21">
        <f t="shared" si="931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2"/>
        <v>44014086.982070789</v>
      </c>
      <c r="AJ3186" s="19">
        <f t="shared" si="933"/>
        <v>6419974.0221889298</v>
      </c>
      <c r="AK3186" s="20">
        <f t="shared" si="939"/>
        <v>0.14586180158193709</v>
      </c>
      <c r="AL3186" s="17"/>
      <c r="AM3186" s="17"/>
      <c r="AN3186" s="17"/>
      <c r="AO3186" s="17"/>
      <c r="AP3186" s="28" t="str">
        <f t="shared" si="940"/>
        <v>20225</v>
      </c>
      <c r="AQ3186" s="28" t="str">
        <f t="shared" si="941"/>
        <v>20225JPY</v>
      </c>
      <c r="AR3186" s="206" t="str">
        <f t="shared" si="942"/>
        <v>YAMAHA_Mounter</v>
      </c>
      <c r="AS3186" s="22">
        <f t="shared" si="943"/>
        <v>11</v>
      </c>
      <c r="AT3186" s="24" t="str">
        <f t="shared" si="944"/>
        <v>&gt; 6 months</v>
      </c>
      <c r="AU3186" s="22" t="s">
        <v>3240</v>
      </c>
    </row>
    <row r="3187" spans="1:47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54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2018</v>
      </c>
      <c r="K3187" s="155" t="s">
        <v>1448</v>
      </c>
      <c r="L3187" s="17" t="s">
        <v>67</v>
      </c>
      <c r="M3187" s="13" t="s">
        <v>60</v>
      </c>
      <c r="N3187" s="13">
        <v>1</v>
      </c>
      <c r="O3187" s="13"/>
      <c r="P3187" s="33" t="str">
        <f t="shared" si="947"/>
        <v>MAIN UNIT</v>
      </c>
      <c r="Q3187" s="13" t="s">
        <v>61</v>
      </c>
      <c r="R3187" s="13" t="s">
        <v>62</v>
      </c>
      <c r="S3187" s="13" t="s">
        <v>50</v>
      </c>
      <c r="T3187" s="13" t="s">
        <v>212</v>
      </c>
      <c r="U3187" s="13" t="s">
        <v>213</v>
      </c>
      <c r="V3187" s="13" t="s">
        <v>214</v>
      </c>
      <c r="W3187" s="13" t="s">
        <v>109</v>
      </c>
      <c r="X3187" s="135">
        <v>7781117</v>
      </c>
      <c r="Y3187" s="157" t="str">
        <f t="shared" si="948"/>
        <v>1</v>
      </c>
      <c r="Z3187" s="18">
        <f t="shared" si="945"/>
        <v>7781117</v>
      </c>
      <c r="AA3187" s="13">
        <v>6.2799999999999995E-2</v>
      </c>
      <c r="AB3187" s="21">
        <f t="shared" si="931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2"/>
        <v>44014086.982070789</v>
      </c>
      <c r="AJ3187" s="19">
        <f t="shared" si="933"/>
        <v>6419974.0221889298</v>
      </c>
      <c r="AK3187" s="20">
        <f t="shared" si="939"/>
        <v>0.14586180158193709</v>
      </c>
      <c r="AL3187" s="17"/>
      <c r="AM3187" s="17"/>
      <c r="AN3187" s="17"/>
      <c r="AO3187" s="17"/>
      <c r="AP3187" s="28" t="str">
        <f t="shared" si="940"/>
        <v>20225</v>
      </c>
      <c r="AQ3187" s="28" t="str">
        <f t="shared" si="941"/>
        <v>20225JPY</v>
      </c>
      <c r="AR3187" s="206" t="str">
        <f t="shared" si="942"/>
        <v>YAMAHA_Mounter</v>
      </c>
      <c r="AS3187" s="22">
        <f t="shared" si="943"/>
        <v>11</v>
      </c>
      <c r="AT3187" s="24" t="str">
        <f t="shared" si="944"/>
        <v>&gt; 6 months</v>
      </c>
      <c r="AU3187" s="22" t="s">
        <v>3240</v>
      </c>
    </row>
    <row r="3188" spans="1:47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3172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3516</v>
      </c>
      <c r="K3188" s="29" t="s">
        <v>2509</v>
      </c>
      <c r="L3188" s="17" t="s">
        <v>67</v>
      </c>
      <c r="M3188" s="13" t="s">
        <v>60</v>
      </c>
      <c r="N3188" s="13">
        <v>1</v>
      </c>
      <c r="O3188" s="22"/>
      <c r="P3188" s="202" t="str">
        <f t="shared" si="947"/>
        <v>MAIN UNIT</v>
      </c>
      <c r="Q3188" s="22" t="s">
        <v>61</v>
      </c>
      <c r="R3188" s="22" t="s">
        <v>62</v>
      </c>
      <c r="S3188" s="22" t="s">
        <v>49</v>
      </c>
      <c r="T3188" s="22" t="s">
        <v>78</v>
      </c>
      <c r="U3188" s="22" t="s">
        <v>3517</v>
      </c>
      <c r="V3188" s="22" t="s">
        <v>80</v>
      </c>
      <c r="W3188" s="22" t="s">
        <v>64</v>
      </c>
      <c r="X3188" s="104">
        <v>404600</v>
      </c>
      <c r="Y3188" s="195" t="str">
        <f t="shared" ref="Y3188:Y3195" si="949">IF(W3188="","",IF(W3188="RMB","1.13", "1"))</f>
        <v>1.13</v>
      </c>
      <c r="Z3188" s="196">
        <f t="shared" si="945"/>
        <v>404600</v>
      </c>
      <c r="AA3188" s="22">
        <v>1.08</v>
      </c>
      <c r="AB3188" s="197">
        <f t="shared" si="931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2"/>
        <v>25354039.366920356</v>
      </c>
      <c r="AJ3188" s="200">
        <f t="shared" si="933"/>
        <v>3028631.2816309328</v>
      </c>
      <c r="AK3188" s="201">
        <f t="shared" si="939"/>
        <v>0.11945360018579192</v>
      </c>
      <c r="AL3188" s="24"/>
      <c r="AM3188" s="24"/>
      <c r="AN3188" s="24"/>
      <c r="AO3188" s="24"/>
      <c r="AP3188" s="105" t="str">
        <f t="shared" si="940"/>
        <v>20248</v>
      </c>
      <c r="AQ3188" s="28" t="str">
        <f t="shared" si="941"/>
        <v>20248RMB</v>
      </c>
      <c r="AR3188" s="206" t="str">
        <f t="shared" si="942"/>
        <v>YAMAHA_Mounter</v>
      </c>
      <c r="AS3188" s="22">
        <f t="shared" si="943"/>
        <v>1</v>
      </c>
      <c r="AT3188" s="24" t="str">
        <f t="shared" si="944"/>
        <v>0-3 months</v>
      </c>
      <c r="AU3188" s="22" t="s">
        <v>3240</v>
      </c>
    </row>
    <row r="3189" spans="1:47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3416</v>
      </c>
      <c r="K3189" s="29" t="s">
        <v>1905</v>
      </c>
      <c r="L3189" s="17" t="s">
        <v>2620</v>
      </c>
      <c r="M3189" s="22" t="s">
        <v>60</v>
      </c>
      <c r="N3189" s="22">
        <v>1</v>
      </c>
      <c r="O3189" s="22"/>
      <c r="P3189" s="33" t="str">
        <f t="shared" si="947"/>
        <v>MAIN UNIT</v>
      </c>
      <c r="Q3189" s="13" t="s">
        <v>61</v>
      </c>
      <c r="R3189" s="194" t="s">
        <v>2055</v>
      </c>
      <c r="S3189" s="194" t="s">
        <v>52</v>
      </c>
      <c r="T3189" s="194" t="s">
        <v>176</v>
      </c>
      <c r="U3189" s="194" t="s">
        <v>177</v>
      </c>
      <c r="V3189" s="194" t="s">
        <v>178</v>
      </c>
      <c r="W3189" s="194" t="s">
        <v>64</v>
      </c>
      <c r="X3189" s="193">
        <v>485000</v>
      </c>
      <c r="Y3189" s="31" t="str">
        <f t="shared" si="949"/>
        <v>1.13</v>
      </c>
      <c r="Z3189" s="18">
        <f t="shared" si="945"/>
        <v>485000</v>
      </c>
      <c r="AA3189" s="22">
        <v>1.08</v>
      </c>
      <c r="AB3189" s="21">
        <f t="shared" si="931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2"/>
        <v>25354039.366920356</v>
      </c>
      <c r="AJ3189" s="27">
        <f t="shared" si="933"/>
        <v>3028631.2816309328</v>
      </c>
      <c r="AK3189" s="28">
        <f t="shared" si="939"/>
        <v>0.11945360018579192</v>
      </c>
      <c r="AL3189" s="24"/>
      <c r="AM3189" s="24"/>
      <c r="AN3189" s="24"/>
      <c r="AO3189" s="24"/>
      <c r="AP3189" s="28" t="str">
        <f t="shared" si="940"/>
        <v>20248</v>
      </c>
      <c r="AQ3189" s="28" t="str">
        <f t="shared" si="941"/>
        <v>20248RMB</v>
      </c>
      <c r="AR3189" s="206" t="str">
        <f t="shared" si="942"/>
        <v>YAMAHA_Non_Mounter</v>
      </c>
      <c r="AS3189" s="22">
        <f t="shared" si="943"/>
        <v>4</v>
      </c>
      <c r="AT3189" s="24" t="str">
        <f t="shared" si="944"/>
        <v>4-6 months</v>
      </c>
      <c r="AU3189" s="22" t="s">
        <v>3240</v>
      </c>
    </row>
    <row r="3190" spans="1:47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3416</v>
      </c>
      <c r="K3190" s="29" t="s">
        <v>1905</v>
      </c>
      <c r="L3190" s="17" t="s">
        <v>2620</v>
      </c>
      <c r="M3190" s="22" t="s">
        <v>60</v>
      </c>
      <c r="N3190" s="22">
        <v>1</v>
      </c>
      <c r="O3190" s="22"/>
      <c r="P3190" s="33" t="str">
        <f t="shared" si="947"/>
        <v>MAIN UNIT</v>
      </c>
      <c r="Q3190" s="13" t="s">
        <v>61</v>
      </c>
      <c r="R3190" s="194" t="s">
        <v>2055</v>
      </c>
      <c r="S3190" s="194" t="s">
        <v>52</v>
      </c>
      <c r="T3190" s="194" t="s">
        <v>176</v>
      </c>
      <c r="U3190" s="194" t="s">
        <v>177</v>
      </c>
      <c r="V3190" s="194" t="s">
        <v>178</v>
      </c>
      <c r="W3190" s="194" t="s">
        <v>64</v>
      </c>
      <c r="X3190" s="193">
        <v>485000</v>
      </c>
      <c r="Y3190" s="31" t="str">
        <f t="shared" si="949"/>
        <v>1.13</v>
      </c>
      <c r="Z3190" s="18">
        <f t="shared" si="945"/>
        <v>485000</v>
      </c>
      <c r="AA3190" s="22">
        <v>1.08</v>
      </c>
      <c r="AB3190" s="21">
        <f t="shared" si="931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2"/>
        <v>25354039.366920356</v>
      </c>
      <c r="AJ3190" s="27">
        <f t="shared" si="933"/>
        <v>3028631.2816309328</v>
      </c>
      <c r="AK3190" s="28">
        <f t="shared" si="939"/>
        <v>0.11945360018579192</v>
      </c>
      <c r="AL3190" s="24"/>
      <c r="AM3190" s="24"/>
      <c r="AN3190" s="24"/>
      <c r="AO3190" s="24"/>
      <c r="AP3190" s="28" t="str">
        <f t="shared" si="940"/>
        <v>20248</v>
      </c>
      <c r="AQ3190" s="28" t="str">
        <f t="shared" si="941"/>
        <v>20248RMB</v>
      </c>
      <c r="AR3190" s="206" t="str">
        <f t="shared" si="942"/>
        <v>YAMAHA_Non_Mounter</v>
      </c>
      <c r="AS3190" s="22">
        <f t="shared" si="943"/>
        <v>4</v>
      </c>
      <c r="AT3190" s="24" t="str">
        <f t="shared" si="944"/>
        <v>4-6 months</v>
      </c>
      <c r="AU3190" s="22" t="s">
        <v>3240</v>
      </c>
    </row>
    <row r="3191" spans="1:47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3172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3438</v>
      </c>
      <c r="K3191" s="29" t="s">
        <v>3441</v>
      </c>
      <c r="L3191" s="17" t="s">
        <v>67</v>
      </c>
      <c r="M3191" s="22" t="s">
        <v>60</v>
      </c>
      <c r="N3191" s="22">
        <v>1</v>
      </c>
      <c r="O3191" s="22"/>
      <c r="P3191" s="33" t="str">
        <f t="shared" si="947"/>
        <v>MAIN UNIT</v>
      </c>
      <c r="Q3191" s="22" t="s">
        <v>68</v>
      </c>
      <c r="R3191" s="22" t="s">
        <v>62</v>
      </c>
      <c r="S3191" s="22" t="s">
        <v>50</v>
      </c>
      <c r="T3191" s="22" t="s">
        <v>325</v>
      </c>
      <c r="U3191" s="22" t="s">
        <v>70</v>
      </c>
      <c r="V3191" s="22" t="s">
        <v>1010</v>
      </c>
      <c r="W3191" s="22" t="s">
        <v>64</v>
      </c>
      <c r="X3191" s="104">
        <v>411888</v>
      </c>
      <c r="Y3191" s="195" t="str">
        <f t="shared" si="949"/>
        <v>1.13</v>
      </c>
      <c r="Z3191" s="196">
        <f t="shared" si="945"/>
        <v>411888</v>
      </c>
      <c r="AA3191" s="22">
        <v>1.08</v>
      </c>
      <c r="AB3191" s="197">
        <f t="shared" si="931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2"/>
        <v>25354039.366920356</v>
      </c>
      <c r="AJ3191" s="200">
        <f t="shared" si="933"/>
        <v>3028631.2816309328</v>
      </c>
      <c r="AK3191" s="201">
        <f t="shared" si="939"/>
        <v>0.11945360018579192</v>
      </c>
      <c r="AL3191" s="24"/>
      <c r="AM3191" s="24"/>
      <c r="AN3191" s="24"/>
      <c r="AO3191" s="24"/>
      <c r="AP3191" s="105" t="str">
        <f t="shared" si="940"/>
        <v>20248</v>
      </c>
      <c r="AQ3191" s="28" t="str">
        <f t="shared" si="941"/>
        <v>20248RMB</v>
      </c>
      <c r="AR3191" s="206" t="str">
        <f t="shared" si="942"/>
        <v>YAMAHA_Mounter</v>
      </c>
      <c r="AS3191" s="22">
        <f t="shared" si="943"/>
        <v>3</v>
      </c>
      <c r="AT3191" s="24" t="str">
        <f t="shared" si="944"/>
        <v>0-3 months</v>
      </c>
      <c r="AU3191" s="22" t="s">
        <v>3240</v>
      </c>
    </row>
    <row r="3192" spans="1:47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3172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3469</v>
      </c>
      <c r="K3192" s="29" t="s">
        <v>820</v>
      </c>
      <c r="L3192" s="17" t="s">
        <v>92</v>
      </c>
      <c r="M3192" s="22" t="s">
        <v>60</v>
      </c>
      <c r="N3192" s="22">
        <v>1</v>
      </c>
      <c r="O3192" s="22"/>
      <c r="P3192" s="33" t="str">
        <f t="shared" si="947"/>
        <v>MAIN UNIT</v>
      </c>
      <c r="Q3192" s="22" t="s">
        <v>61</v>
      </c>
      <c r="R3192" s="22" t="s">
        <v>62</v>
      </c>
      <c r="S3192" s="22" t="s">
        <v>49</v>
      </c>
      <c r="T3192" s="22" t="s">
        <v>78</v>
      </c>
      <c r="U3192" s="22" t="s">
        <v>78</v>
      </c>
      <c r="V3192" s="22" t="s">
        <v>112</v>
      </c>
      <c r="W3192" s="22" t="s">
        <v>109</v>
      </c>
      <c r="X3192" s="104">
        <v>11900000</v>
      </c>
      <c r="Y3192" s="195" t="str">
        <f t="shared" si="949"/>
        <v>1</v>
      </c>
      <c r="Z3192" s="196">
        <f t="shared" si="945"/>
        <v>11900000</v>
      </c>
      <c r="AA3192" s="22">
        <v>5.2299999999999999E-2</v>
      </c>
      <c r="AB3192" s="197">
        <f t="shared" si="931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2"/>
        <v>25354039.366920356</v>
      </c>
      <c r="AJ3192" s="200">
        <f t="shared" si="933"/>
        <v>3028631.2816309328</v>
      </c>
      <c r="AK3192" s="201">
        <f t="shared" si="939"/>
        <v>0.11945360018579192</v>
      </c>
      <c r="AL3192" s="24"/>
      <c r="AM3192" s="24"/>
      <c r="AN3192" s="24"/>
      <c r="AO3192" s="24"/>
      <c r="AP3192" s="105" t="str">
        <f t="shared" si="940"/>
        <v>20248</v>
      </c>
      <c r="AQ3192" s="28" t="str">
        <f t="shared" si="941"/>
        <v>20248JPY</v>
      </c>
      <c r="AR3192" s="206" t="str">
        <f t="shared" si="942"/>
        <v>YAMAHA_Mounter</v>
      </c>
      <c r="AS3192" s="22">
        <f t="shared" si="943"/>
        <v>2</v>
      </c>
      <c r="AT3192" s="24" t="str">
        <f t="shared" si="944"/>
        <v>0-3 months</v>
      </c>
      <c r="AU3192" s="22" t="s">
        <v>3745</v>
      </c>
    </row>
    <row r="3193" spans="1:47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3172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3469</v>
      </c>
      <c r="K3193" s="29" t="s">
        <v>820</v>
      </c>
      <c r="L3193" s="17" t="s">
        <v>92</v>
      </c>
      <c r="M3193" s="22" t="s">
        <v>60</v>
      </c>
      <c r="N3193" s="22">
        <v>1</v>
      </c>
      <c r="O3193" s="22"/>
      <c r="P3193" s="33" t="str">
        <f t="shared" si="947"/>
        <v>MAIN UNIT</v>
      </c>
      <c r="Q3193" s="22" t="s">
        <v>61</v>
      </c>
      <c r="R3193" s="22" t="s">
        <v>62</v>
      </c>
      <c r="S3193" s="22" t="s">
        <v>49</v>
      </c>
      <c r="T3193" s="22" t="s">
        <v>78</v>
      </c>
      <c r="U3193" s="22" t="s">
        <v>78</v>
      </c>
      <c r="V3193" s="22" t="s">
        <v>112</v>
      </c>
      <c r="W3193" s="22" t="s">
        <v>109</v>
      </c>
      <c r="X3193" s="104">
        <v>11900000</v>
      </c>
      <c r="Y3193" s="195" t="str">
        <f t="shared" si="949"/>
        <v>1</v>
      </c>
      <c r="Z3193" s="196">
        <f t="shared" si="945"/>
        <v>11900000</v>
      </c>
      <c r="AA3193" s="22">
        <v>5.2299999999999999E-2</v>
      </c>
      <c r="AB3193" s="197">
        <f t="shared" si="931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2"/>
        <v>25354039.366920356</v>
      </c>
      <c r="AJ3193" s="200">
        <f t="shared" si="933"/>
        <v>3028631.2816309328</v>
      </c>
      <c r="AK3193" s="201">
        <f t="shared" si="939"/>
        <v>0.11945360018579192</v>
      </c>
      <c r="AL3193" s="24"/>
      <c r="AM3193" s="24"/>
      <c r="AN3193" s="24"/>
      <c r="AO3193" s="24"/>
      <c r="AP3193" s="105" t="str">
        <f t="shared" si="940"/>
        <v>20248</v>
      </c>
      <c r="AQ3193" s="28" t="str">
        <f t="shared" si="941"/>
        <v>20248JPY</v>
      </c>
      <c r="AR3193" s="206" t="str">
        <f t="shared" si="942"/>
        <v>YAMAHA_Mounter</v>
      </c>
      <c r="AS3193" s="22">
        <f t="shared" si="943"/>
        <v>2</v>
      </c>
      <c r="AT3193" s="24" t="str">
        <f t="shared" si="944"/>
        <v>0-3 months</v>
      </c>
      <c r="AU3193" s="22" t="s">
        <v>3745</v>
      </c>
    </row>
    <row r="3194" spans="1:47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185</v>
      </c>
      <c r="G3194" s="23" t="s">
        <v>185</v>
      </c>
      <c r="H3194" s="29"/>
      <c r="I3194" s="33" t="str">
        <f t="shared" si="936"/>
        <v>Cancel</v>
      </c>
      <c r="J3194" s="188" t="s">
        <v>3386</v>
      </c>
      <c r="K3194" s="29" t="s">
        <v>1348</v>
      </c>
      <c r="L3194" s="17" t="s">
        <v>67</v>
      </c>
      <c r="M3194" s="22" t="s">
        <v>60</v>
      </c>
      <c r="N3194" s="22">
        <v>1</v>
      </c>
      <c r="O3194" s="22"/>
      <c r="P3194" s="33" t="str">
        <f t="shared" si="947"/>
        <v>MAIN UNIT</v>
      </c>
      <c r="Q3194" s="13" t="s">
        <v>61</v>
      </c>
      <c r="R3194" s="22" t="s">
        <v>62</v>
      </c>
      <c r="S3194" s="22" t="s">
        <v>49</v>
      </c>
      <c r="T3194" s="22" t="s">
        <v>78</v>
      </c>
      <c r="U3194" s="22" t="s">
        <v>396</v>
      </c>
      <c r="V3194" s="22" t="s">
        <v>131</v>
      </c>
      <c r="W3194" s="22" t="s">
        <v>109</v>
      </c>
      <c r="X3194" s="30">
        <v>7668000</v>
      </c>
      <c r="Y3194" s="31" t="str">
        <f t="shared" si="949"/>
        <v>1</v>
      </c>
      <c r="Z3194" s="18">
        <f t="shared" si="945"/>
        <v>7668000</v>
      </c>
      <c r="AA3194" s="22">
        <v>5.1799999999999999E-2</v>
      </c>
      <c r="AB3194" s="21">
        <f t="shared" si="931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2"/>
        <v>499582152.5142017</v>
      </c>
      <c r="AJ3194" s="27">
        <f t="shared" si="933"/>
        <v>59520528.679470733</v>
      </c>
      <c r="AK3194" s="28">
        <f t="shared" si="939"/>
        <v>0.11914062257814291</v>
      </c>
      <c r="AL3194" s="24"/>
      <c r="AM3194" s="24"/>
      <c r="AN3194" s="24"/>
      <c r="AO3194" s="24"/>
      <c r="AP3194" s="28" t="str">
        <f t="shared" si="940"/>
        <v>CancelCancel</v>
      </c>
      <c r="AQ3194" s="28" t="str">
        <f t="shared" si="941"/>
        <v>CancelCancelJPY</v>
      </c>
      <c r="AR3194" s="206" t="str">
        <f t="shared" si="942"/>
        <v>YAMAHA_Mounter</v>
      </c>
      <c r="AS3194" s="22" t="str">
        <f t="shared" si="943"/>
        <v/>
      </c>
      <c r="AT3194" s="24" t="str">
        <f t="shared" si="944"/>
        <v/>
      </c>
      <c r="AU3194" s="22" t="s">
        <v>3745</v>
      </c>
    </row>
    <row r="3195" spans="1:47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185</v>
      </c>
      <c r="G3195" s="23" t="s">
        <v>185</v>
      </c>
      <c r="H3195" s="29"/>
      <c r="I3195" s="33" t="str">
        <f t="shared" si="936"/>
        <v>Cancel</v>
      </c>
      <c r="J3195" s="188" t="s">
        <v>3386</v>
      </c>
      <c r="K3195" s="29" t="s">
        <v>1348</v>
      </c>
      <c r="L3195" s="17" t="s">
        <v>67</v>
      </c>
      <c r="M3195" s="22" t="s">
        <v>60</v>
      </c>
      <c r="N3195" s="22">
        <v>1</v>
      </c>
      <c r="O3195" s="22"/>
      <c r="P3195" s="33" t="str">
        <f t="shared" si="947"/>
        <v>MAIN UNIT</v>
      </c>
      <c r="Q3195" s="13" t="s">
        <v>61</v>
      </c>
      <c r="R3195" s="22" t="s">
        <v>62</v>
      </c>
      <c r="S3195" s="22" t="s">
        <v>49</v>
      </c>
      <c r="T3195" s="22" t="s">
        <v>78</v>
      </c>
      <c r="U3195" s="22" t="s">
        <v>396</v>
      </c>
      <c r="V3195" s="22" t="s">
        <v>131</v>
      </c>
      <c r="W3195" s="22" t="s">
        <v>109</v>
      </c>
      <c r="X3195" s="30">
        <v>7668000</v>
      </c>
      <c r="Y3195" s="31" t="str">
        <f t="shared" si="949"/>
        <v>1</v>
      </c>
      <c r="Z3195" s="18">
        <f t="shared" si="945"/>
        <v>7668000</v>
      </c>
      <c r="AA3195" s="22">
        <v>5.1799999999999999E-2</v>
      </c>
      <c r="AB3195" s="21">
        <f t="shared" si="931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2"/>
        <v>499582152.5142017</v>
      </c>
      <c r="AJ3195" s="27">
        <f t="shared" si="933"/>
        <v>59520528.679470733</v>
      </c>
      <c r="AK3195" s="28">
        <f t="shared" si="939"/>
        <v>0.11914062257814291</v>
      </c>
      <c r="AL3195" s="24"/>
      <c r="AM3195" s="24"/>
      <c r="AN3195" s="24"/>
      <c r="AO3195" s="24"/>
      <c r="AP3195" s="28" t="str">
        <f t="shared" si="940"/>
        <v>CancelCancel</v>
      </c>
      <c r="AQ3195" s="28" t="str">
        <f t="shared" si="941"/>
        <v>CancelCancelJPY</v>
      </c>
      <c r="AR3195" s="206" t="str">
        <f t="shared" si="942"/>
        <v>YAMAHA_Mounter</v>
      </c>
      <c r="AS3195" s="22" t="str">
        <f t="shared" si="943"/>
        <v/>
      </c>
      <c r="AT3195" s="24" t="str">
        <f t="shared" si="944"/>
        <v/>
      </c>
      <c r="AU3195" s="22" t="s">
        <v>3745</v>
      </c>
    </row>
    <row r="3196" spans="1:47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48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1239</v>
      </c>
      <c r="K3196" s="155" t="s">
        <v>1240</v>
      </c>
      <c r="L3196" s="17" t="s">
        <v>516</v>
      </c>
      <c r="M3196" s="13" t="s">
        <v>60</v>
      </c>
      <c r="N3196" s="13">
        <v>0</v>
      </c>
      <c r="O3196" s="13">
        <v>1</v>
      </c>
      <c r="P3196" s="33" t="str">
        <f t="shared" si="947"/>
        <v>SERVICE/ PARTS</v>
      </c>
      <c r="Q3196" s="13" t="s">
        <v>61</v>
      </c>
      <c r="R3196" s="13" t="s">
        <v>62</v>
      </c>
      <c r="S3196" s="13" t="s">
        <v>50</v>
      </c>
      <c r="T3196" s="13" t="s">
        <v>212</v>
      </c>
      <c r="U3196" s="13" t="s">
        <v>213</v>
      </c>
      <c r="V3196" s="13" t="s">
        <v>831</v>
      </c>
      <c r="W3196" s="13" t="s">
        <v>703</v>
      </c>
      <c r="X3196" s="135">
        <v>111434</v>
      </c>
      <c r="Y3196" s="156">
        <v>1.1299999999999999</v>
      </c>
      <c r="Z3196" s="18">
        <f t="shared" si="945"/>
        <v>111434</v>
      </c>
      <c r="AA3196" s="13">
        <v>1.089</v>
      </c>
      <c r="AB3196" s="21">
        <f t="shared" ref="AB3196:AB3259" si="950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2"/>
        <v>29183109.05575221</v>
      </c>
      <c r="AJ3196" s="19">
        <f t="shared" si="933"/>
        <v>3741266.5648721238</v>
      </c>
      <c r="AK3196" s="20">
        <f t="shared" si="939"/>
        <v>0.12819972531798121</v>
      </c>
      <c r="AL3196" s="17"/>
      <c r="AM3196" s="17"/>
      <c r="AN3196" s="17"/>
      <c r="AO3196" s="17"/>
      <c r="AP3196" s="28" t="str">
        <f t="shared" si="940"/>
        <v>20206</v>
      </c>
      <c r="AQ3196" s="28" t="str">
        <f t="shared" si="941"/>
        <v>20206RMB</v>
      </c>
      <c r="AR3196" s="206" t="str">
        <f t="shared" si="942"/>
        <v>YAMAHA_Mounter</v>
      </c>
      <c r="AS3196" s="22">
        <f t="shared" si="943"/>
        <v>0</v>
      </c>
      <c r="AT3196" s="24" t="str">
        <f t="shared" si="944"/>
        <v>0-3 months</v>
      </c>
      <c r="AU3196" s="22" t="s">
        <v>3240</v>
      </c>
    </row>
    <row r="3197" spans="1:47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48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1357</v>
      </c>
      <c r="K3197" s="155" t="s">
        <v>1240</v>
      </c>
      <c r="L3197" s="17" t="s">
        <v>92</v>
      </c>
      <c r="M3197" s="13" t="s">
        <v>60</v>
      </c>
      <c r="N3197" s="13">
        <v>1</v>
      </c>
      <c r="O3197" s="13"/>
      <c r="P3197" s="33" t="str">
        <f t="shared" si="947"/>
        <v>MAIN UNIT</v>
      </c>
      <c r="Q3197" s="13" t="s">
        <v>61</v>
      </c>
      <c r="R3197" s="13" t="s">
        <v>62</v>
      </c>
      <c r="S3197" s="13" t="s">
        <v>50</v>
      </c>
      <c r="T3197" s="13" t="s">
        <v>212</v>
      </c>
      <c r="U3197" s="13" t="s">
        <v>213</v>
      </c>
      <c r="V3197" s="13" t="s">
        <v>214</v>
      </c>
      <c r="W3197" s="13" t="s">
        <v>109</v>
      </c>
      <c r="X3197" s="135">
        <v>10300000</v>
      </c>
      <c r="Y3197" s="156">
        <v>1</v>
      </c>
      <c r="Z3197" s="18">
        <f t="shared" si="945"/>
        <v>10300000</v>
      </c>
      <c r="AA3197" s="13">
        <v>7.4899999999999994E-2</v>
      </c>
      <c r="AB3197" s="21">
        <f t="shared" si="950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2"/>
        <v>47907808.356810622</v>
      </c>
      <c r="AJ3197" s="19">
        <f t="shared" si="933"/>
        <v>6027384.8806384448</v>
      </c>
      <c r="AK3197" s="20">
        <f t="shared" si="939"/>
        <v>0.12581216063459488</v>
      </c>
      <c r="AL3197" s="17"/>
      <c r="AM3197" s="17"/>
      <c r="AN3197" s="17"/>
      <c r="AO3197" s="17"/>
      <c r="AP3197" s="28" t="str">
        <f t="shared" si="940"/>
        <v>20209</v>
      </c>
      <c r="AQ3197" s="28" t="str">
        <f t="shared" si="941"/>
        <v>20209JPY</v>
      </c>
      <c r="AR3197" s="206" t="str">
        <f t="shared" si="942"/>
        <v>YAMAHA_Mounter</v>
      </c>
      <c r="AS3197" s="22">
        <f t="shared" si="943"/>
        <v>3</v>
      </c>
      <c r="AT3197" s="24" t="str">
        <f t="shared" si="944"/>
        <v>0-3 months</v>
      </c>
      <c r="AU3197" s="22" t="s">
        <v>3240</v>
      </c>
    </row>
    <row r="3198" spans="1:47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48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1357</v>
      </c>
      <c r="K3198" s="155" t="s">
        <v>1240</v>
      </c>
      <c r="L3198" s="17" t="s">
        <v>92</v>
      </c>
      <c r="M3198" s="13" t="s">
        <v>60</v>
      </c>
      <c r="N3198" s="13">
        <v>1</v>
      </c>
      <c r="O3198" s="13"/>
      <c r="P3198" s="33" t="str">
        <f t="shared" si="947"/>
        <v>MAIN UNIT</v>
      </c>
      <c r="Q3198" s="13" t="s">
        <v>61</v>
      </c>
      <c r="R3198" s="13" t="s">
        <v>62</v>
      </c>
      <c r="S3198" s="13" t="s">
        <v>50</v>
      </c>
      <c r="T3198" s="13" t="s">
        <v>212</v>
      </c>
      <c r="U3198" s="13" t="s">
        <v>213</v>
      </c>
      <c r="V3198" s="13" t="s">
        <v>214</v>
      </c>
      <c r="W3198" s="13" t="s">
        <v>109</v>
      </c>
      <c r="X3198" s="135">
        <v>10300000</v>
      </c>
      <c r="Y3198" s="156">
        <v>1</v>
      </c>
      <c r="Z3198" s="18">
        <f t="shared" si="945"/>
        <v>10300000</v>
      </c>
      <c r="AA3198" s="13">
        <v>7.4899999999999994E-2</v>
      </c>
      <c r="AB3198" s="21">
        <f t="shared" si="950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2"/>
        <v>47907808.356810622</v>
      </c>
      <c r="AJ3198" s="19">
        <f t="shared" si="933"/>
        <v>6027384.8806384448</v>
      </c>
      <c r="AK3198" s="20">
        <f t="shared" si="939"/>
        <v>0.12581216063459488</v>
      </c>
      <c r="AL3198" s="17"/>
      <c r="AM3198" s="17"/>
      <c r="AN3198" s="17"/>
      <c r="AO3198" s="17"/>
      <c r="AP3198" s="28" t="str">
        <f t="shared" si="940"/>
        <v>20209</v>
      </c>
      <c r="AQ3198" s="28" t="str">
        <f t="shared" si="941"/>
        <v>20209JPY</v>
      </c>
      <c r="AR3198" s="206" t="str">
        <f t="shared" si="942"/>
        <v>YAMAHA_Mounter</v>
      </c>
      <c r="AS3198" s="22">
        <f t="shared" si="943"/>
        <v>3</v>
      </c>
      <c r="AT3198" s="24" t="str">
        <f t="shared" si="944"/>
        <v>0-3 months</v>
      </c>
      <c r="AU3198" s="22" t="s">
        <v>3240</v>
      </c>
    </row>
    <row r="3199" spans="1:47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48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1357</v>
      </c>
      <c r="K3199" s="155" t="s">
        <v>1240</v>
      </c>
      <c r="L3199" s="17" t="s">
        <v>92</v>
      </c>
      <c r="M3199" s="13" t="s">
        <v>60</v>
      </c>
      <c r="N3199" s="13">
        <v>1</v>
      </c>
      <c r="O3199" s="13"/>
      <c r="P3199" s="33" t="str">
        <f t="shared" si="947"/>
        <v>MAIN UNIT</v>
      </c>
      <c r="Q3199" s="13" t="s">
        <v>61</v>
      </c>
      <c r="R3199" s="13" t="s">
        <v>62</v>
      </c>
      <c r="S3199" s="13" t="s">
        <v>50</v>
      </c>
      <c r="T3199" s="13" t="s">
        <v>212</v>
      </c>
      <c r="U3199" s="13" t="s">
        <v>213</v>
      </c>
      <c r="V3199" s="13" t="s">
        <v>214</v>
      </c>
      <c r="W3199" s="13" t="s">
        <v>109</v>
      </c>
      <c r="X3199" s="135">
        <v>10300000</v>
      </c>
      <c r="Y3199" s="156">
        <v>1</v>
      </c>
      <c r="Z3199" s="18">
        <f t="shared" si="945"/>
        <v>10300000</v>
      </c>
      <c r="AA3199" s="13">
        <v>7.4899999999999994E-2</v>
      </c>
      <c r="AB3199" s="21">
        <f t="shared" si="950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2"/>
        <v>47907808.356810622</v>
      </c>
      <c r="AJ3199" s="19">
        <f t="shared" si="933"/>
        <v>6027384.8806384448</v>
      </c>
      <c r="AK3199" s="20">
        <f t="shared" si="939"/>
        <v>0.12581216063459488</v>
      </c>
      <c r="AL3199" s="17"/>
      <c r="AM3199" s="17"/>
      <c r="AN3199" s="17"/>
      <c r="AO3199" s="17"/>
      <c r="AP3199" s="28" t="str">
        <f t="shared" si="940"/>
        <v>20209</v>
      </c>
      <c r="AQ3199" s="28" t="str">
        <f t="shared" si="941"/>
        <v>20209JPY</v>
      </c>
      <c r="AR3199" s="206" t="str">
        <f t="shared" si="942"/>
        <v>YAMAHA_Mounter</v>
      </c>
      <c r="AS3199" s="22">
        <f t="shared" si="943"/>
        <v>3</v>
      </c>
      <c r="AT3199" s="24" t="str">
        <f t="shared" si="944"/>
        <v>0-3 months</v>
      </c>
      <c r="AU3199" s="22" t="s">
        <v>3240</v>
      </c>
    </row>
    <row r="3200" spans="1:47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48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1357</v>
      </c>
      <c r="K3200" s="155" t="s">
        <v>1240</v>
      </c>
      <c r="L3200" s="17" t="s">
        <v>92</v>
      </c>
      <c r="M3200" s="13" t="s">
        <v>60</v>
      </c>
      <c r="N3200" s="13">
        <v>1</v>
      </c>
      <c r="O3200" s="13"/>
      <c r="P3200" s="33" t="str">
        <f t="shared" si="947"/>
        <v>MAIN UNIT</v>
      </c>
      <c r="Q3200" s="13" t="s">
        <v>61</v>
      </c>
      <c r="R3200" s="13" t="s">
        <v>62</v>
      </c>
      <c r="S3200" s="13" t="s">
        <v>50</v>
      </c>
      <c r="T3200" s="13" t="s">
        <v>212</v>
      </c>
      <c r="U3200" s="13" t="s">
        <v>213</v>
      </c>
      <c r="V3200" s="13" t="s">
        <v>214</v>
      </c>
      <c r="W3200" s="13" t="s">
        <v>109</v>
      </c>
      <c r="X3200" s="135">
        <v>10300000</v>
      </c>
      <c r="Y3200" s="156">
        <v>1</v>
      </c>
      <c r="Z3200" s="18">
        <f t="shared" si="945"/>
        <v>10300000</v>
      </c>
      <c r="AA3200" s="13">
        <v>7.4899999999999994E-2</v>
      </c>
      <c r="AB3200" s="21">
        <f t="shared" si="950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2"/>
        <v>47907808.356810622</v>
      </c>
      <c r="AJ3200" s="19">
        <f t="shared" si="933"/>
        <v>6027384.8806384448</v>
      </c>
      <c r="AK3200" s="20">
        <f t="shared" si="939"/>
        <v>0.12581216063459488</v>
      </c>
      <c r="AL3200" s="17"/>
      <c r="AM3200" s="17"/>
      <c r="AN3200" s="17"/>
      <c r="AO3200" s="17"/>
      <c r="AP3200" s="28" t="str">
        <f t="shared" si="940"/>
        <v>20209</v>
      </c>
      <c r="AQ3200" s="28" t="str">
        <f t="shared" si="941"/>
        <v>20209JPY</v>
      </c>
      <c r="AR3200" s="206" t="str">
        <f t="shared" si="942"/>
        <v>YAMAHA_Mounter</v>
      </c>
      <c r="AS3200" s="22">
        <f t="shared" si="943"/>
        <v>3</v>
      </c>
      <c r="AT3200" s="24" t="str">
        <f t="shared" si="944"/>
        <v>0-3 months</v>
      </c>
      <c r="AU3200" s="22" t="s">
        <v>3240</v>
      </c>
    </row>
    <row r="3201" spans="1:47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48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1357</v>
      </c>
      <c r="K3201" s="155" t="s">
        <v>1240</v>
      </c>
      <c r="L3201" s="17" t="s">
        <v>67</v>
      </c>
      <c r="M3201" s="13" t="s">
        <v>60</v>
      </c>
      <c r="N3201" s="13">
        <v>1</v>
      </c>
      <c r="O3201" s="13"/>
      <c r="P3201" s="33" t="str">
        <f t="shared" si="947"/>
        <v>MAIN UNIT</v>
      </c>
      <c r="Q3201" s="13" t="s">
        <v>61</v>
      </c>
      <c r="R3201" s="13" t="s">
        <v>62</v>
      </c>
      <c r="S3201" s="13" t="s">
        <v>50</v>
      </c>
      <c r="T3201" s="13" t="s">
        <v>212</v>
      </c>
      <c r="U3201" s="13" t="s">
        <v>213</v>
      </c>
      <c r="V3201" s="13" t="s">
        <v>214</v>
      </c>
      <c r="W3201" s="13" t="s">
        <v>109</v>
      </c>
      <c r="X3201" s="135">
        <v>8303704</v>
      </c>
      <c r="Y3201" s="156">
        <v>1</v>
      </c>
      <c r="Z3201" s="18">
        <f t="shared" si="945"/>
        <v>8303704</v>
      </c>
      <c r="AA3201" s="13">
        <v>7.4899999999999994E-2</v>
      </c>
      <c r="AB3201" s="21">
        <f t="shared" si="950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2"/>
        <v>47907808.356810622</v>
      </c>
      <c r="AJ3201" s="19">
        <f t="shared" si="933"/>
        <v>6027384.8806384448</v>
      </c>
      <c r="AK3201" s="20">
        <f t="shared" si="939"/>
        <v>0.12581216063459488</v>
      </c>
      <c r="AL3201" s="17"/>
      <c r="AM3201" s="17"/>
      <c r="AN3201" s="17"/>
      <c r="AO3201" s="17"/>
      <c r="AP3201" s="28" t="str">
        <f t="shared" si="940"/>
        <v>20209</v>
      </c>
      <c r="AQ3201" s="28" t="str">
        <f t="shared" si="941"/>
        <v>20209JPY</v>
      </c>
      <c r="AR3201" s="206" t="str">
        <f t="shared" si="942"/>
        <v>YAMAHA_Mounter</v>
      </c>
      <c r="AS3201" s="22">
        <f t="shared" si="943"/>
        <v>3</v>
      </c>
      <c r="AT3201" s="24" t="str">
        <f t="shared" si="944"/>
        <v>0-3 months</v>
      </c>
      <c r="AU3201" s="22" t="s">
        <v>3240</v>
      </c>
    </row>
    <row r="3202" spans="1:47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48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1357</v>
      </c>
      <c r="K3202" s="155" t="s">
        <v>1240</v>
      </c>
      <c r="L3202" s="17" t="s">
        <v>67</v>
      </c>
      <c r="M3202" s="13" t="s">
        <v>60</v>
      </c>
      <c r="N3202" s="13">
        <v>1</v>
      </c>
      <c r="O3202" s="13"/>
      <c r="P3202" s="33" t="str">
        <f t="shared" si="947"/>
        <v>MAIN UNIT</v>
      </c>
      <c r="Q3202" s="13" t="s">
        <v>61</v>
      </c>
      <c r="R3202" s="13" t="s">
        <v>62</v>
      </c>
      <c r="S3202" s="13" t="s">
        <v>50</v>
      </c>
      <c r="T3202" s="13" t="s">
        <v>212</v>
      </c>
      <c r="U3202" s="13" t="s">
        <v>213</v>
      </c>
      <c r="V3202" s="13" t="s">
        <v>214</v>
      </c>
      <c r="W3202" s="13" t="s">
        <v>109</v>
      </c>
      <c r="X3202" s="135">
        <v>8303704</v>
      </c>
      <c r="Y3202" s="156">
        <v>1</v>
      </c>
      <c r="Z3202" s="18">
        <f t="shared" si="945"/>
        <v>8303704</v>
      </c>
      <c r="AA3202" s="13">
        <v>7.4899999999999994E-2</v>
      </c>
      <c r="AB3202" s="21">
        <f t="shared" si="950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ref="AI3202:AI3265" si="951">IF(P3202="C66 SERVICE","",SUMIFS(AB:AB,F:F,F3202,G:G,G3202,E:E,E3202))</f>
        <v>47907808.356810622</v>
      </c>
      <c r="AJ3202" s="19">
        <f t="shared" ref="AJ3202:AJ3265" si="952">IF(P3202="C66 SERVICE","",SUMIFS(AC:AC,F:F,F3202,G:G,G3202,E:E,E3202))</f>
        <v>6027384.8806384448</v>
      </c>
      <c r="AK3202" s="20">
        <f t="shared" si="939"/>
        <v>0.12581216063459488</v>
      </c>
      <c r="AL3202" s="17"/>
      <c r="AM3202" s="17"/>
      <c r="AN3202" s="17"/>
      <c r="AO3202" s="17"/>
      <c r="AP3202" s="28" t="str">
        <f t="shared" si="940"/>
        <v>20209</v>
      </c>
      <c r="AQ3202" s="28" t="str">
        <f t="shared" si="941"/>
        <v>20209JPY</v>
      </c>
      <c r="AR3202" s="206" t="str">
        <f t="shared" si="942"/>
        <v>YAMAHA_Mounter</v>
      </c>
      <c r="AS3202" s="22">
        <f t="shared" si="943"/>
        <v>3</v>
      </c>
      <c r="AT3202" s="24" t="str">
        <f t="shared" si="944"/>
        <v>0-3 months</v>
      </c>
      <c r="AU3202" s="22" t="s">
        <v>3240</v>
      </c>
    </row>
    <row r="3203" spans="1:47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41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380</v>
      </c>
      <c r="K3203" s="155" t="s">
        <v>381</v>
      </c>
      <c r="L3203" s="17" t="s">
        <v>67</v>
      </c>
      <c r="M3203" s="13" t="s">
        <v>60</v>
      </c>
      <c r="N3203" s="13">
        <v>2</v>
      </c>
      <c r="O3203" s="13"/>
      <c r="P3203" s="33" t="str">
        <f t="shared" si="947"/>
        <v>MAIN UNIT</v>
      </c>
      <c r="Q3203" s="13" t="s">
        <v>68</v>
      </c>
      <c r="R3203" s="13" t="s">
        <v>62</v>
      </c>
      <c r="S3203" s="13" t="s">
        <v>49</v>
      </c>
      <c r="T3203" s="13" t="s">
        <v>249</v>
      </c>
      <c r="U3203" s="13" t="s">
        <v>79</v>
      </c>
      <c r="V3203" s="13" t="s">
        <v>112</v>
      </c>
      <c r="W3203" s="13" t="s">
        <v>109</v>
      </c>
      <c r="X3203" s="135">
        <v>9679840</v>
      </c>
      <c r="Y3203" s="156">
        <v>1</v>
      </c>
      <c r="Z3203" s="18">
        <f t="shared" si="945"/>
        <v>19359680</v>
      </c>
      <c r="AA3203" s="13">
        <v>7.2099999999999997E-2</v>
      </c>
      <c r="AB3203" s="21">
        <f t="shared" si="950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51"/>
        <v>26492741.106427077</v>
      </c>
      <c r="AJ3203" s="19">
        <f t="shared" si="952"/>
        <v>3348032.1325698122</v>
      </c>
      <c r="AK3203" s="20">
        <f t="shared" si="939"/>
        <v>0.12637545201985867</v>
      </c>
      <c r="AL3203" s="17"/>
      <c r="AM3203" s="17"/>
      <c r="AN3203" s="17"/>
      <c r="AO3203" s="17"/>
      <c r="AP3203" s="28" t="str">
        <f t="shared" si="940"/>
        <v>20189</v>
      </c>
      <c r="AQ3203" s="28" t="str">
        <f t="shared" si="941"/>
        <v>20189JPY</v>
      </c>
      <c r="AR3203" s="206" t="str">
        <f t="shared" si="942"/>
        <v>YAMAHA_Mounter</v>
      </c>
      <c r="AS3203" s="22">
        <f t="shared" si="943"/>
        <v>2</v>
      </c>
      <c r="AT3203" s="24" t="str">
        <f t="shared" si="944"/>
        <v>0-3 months</v>
      </c>
      <c r="AU3203" s="22" t="s">
        <v>3745</v>
      </c>
    </row>
    <row r="3204" spans="1:47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47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1155</v>
      </c>
      <c r="K3204" s="155" t="s">
        <v>1156</v>
      </c>
      <c r="L3204" s="17" t="s">
        <v>92</v>
      </c>
      <c r="M3204" s="13" t="s">
        <v>60</v>
      </c>
      <c r="N3204" s="13">
        <v>1</v>
      </c>
      <c r="O3204" s="13"/>
      <c r="P3204" s="33" t="str">
        <f t="shared" si="947"/>
        <v>MAIN UNIT</v>
      </c>
      <c r="Q3204" s="13" t="s">
        <v>61</v>
      </c>
      <c r="R3204" s="13" t="s">
        <v>62</v>
      </c>
      <c r="S3204" s="13" t="s">
        <v>49</v>
      </c>
      <c r="T3204" s="13" t="s">
        <v>249</v>
      </c>
      <c r="U3204" s="13" t="s">
        <v>79</v>
      </c>
      <c r="V3204" s="13" t="s">
        <v>112</v>
      </c>
      <c r="W3204" s="13" t="s">
        <v>109</v>
      </c>
      <c r="X3204" s="135">
        <v>15884750</v>
      </c>
      <c r="Y3204" s="156">
        <v>1</v>
      </c>
      <c r="Z3204" s="18">
        <f t="shared" si="945"/>
        <v>15884750</v>
      </c>
      <c r="AA3204" s="13">
        <v>7.2700000000000001E-2</v>
      </c>
      <c r="AB3204" s="21">
        <f t="shared" si="950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51"/>
        <v>14005204.685000001</v>
      </c>
      <c r="AJ3204" s="19">
        <f t="shared" si="952"/>
        <v>1436995.246084</v>
      </c>
      <c r="AK3204" s="20">
        <f t="shared" si="939"/>
        <v>0.10260437304590525</v>
      </c>
      <c r="AL3204" s="17"/>
      <c r="AM3204" s="17"/>
      <c r="AN3204" s="17"/>
      <c r="AO3204" s="17"/>
      <c r="AP3204" s="28" t="str">
        <f t="shared" si="940"/>
        <v>20202</v>
      </c>
      <c r="AQ3204" s="28" t="str">
        <f t="shared" si="941"/>
        <v>20202JPY</v>
      </c>
      <c r="AR3204" s="206" t="str">
        <f t="shared" si="942"/>
        <v>YAMAHA_Mounter</v>
      </c>
      <c r="AS3204" s="22">
        <f t="shared" si="943"/>
        <v>0</v>
      </c>
      <c r="AT3204" s="24" t="str">
        <f t="shared" si="944"/>
        <v>0-3 months</v>
      </c>
      <c r="AU3204" s="22" t="s">
        <v>3745</v>
      </c>
    </row>
    <row r="3205" spans="1:47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53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1690</v>
      </c>
      <c r="K3205" s="155" t="s">
        <v>1156</v>
      </c>
      <c r="L3205" s="17" t="s">
        <v>67</v>
      </c>
      <c r="M3205" s="13" t="s">
        <v>60</v>
      </c>
      <c r="N3205" s="13">
        <v>1</v>
      </c>
      <c r="O3205" s="13"/>
      <c r="P3205" s="33" t="str">
        <f t="shared" si="947"/>
        <v>MAIN UNIT</v>
      </c>
      <c r="Q3205" s="13" t="s">
        <v>68</v>
      </c>
      <c r="R3205" s="13" t="s">
        <v>62</v>
      </c>
      <c r="S3205" s="13" t="s">
        <v>49</v>
      </c>
      <c r="T3205" s="13" t="s">
        <v>78</v>
      </c>
      <c r="U3205" s="13" t="s">
        <v>79</v>
      </c>
      <c r="V3205" s="13" t="s">
        <v>1407</v>
      </c>
      <c r="W3205" s="13" t="s">
        <v>109</v>
      </c>
      <c r="X3205" s="135">
        <v>8410000</v>
      </c>
      <c r="Y3205" s="157" t="str">
        <f>IF(W3205="RMB","1.13", "1")</f>
        <v>1</v>
      </c>
      <c r="Z3205" s="18">
        <f t="shared" si="945"/>
        <v>8410000</v>
      </c>
      <c r="AA3205" s="13">
        <v>7.17E-2</v>
      </c>
      <c r="AB3205" s="21">
        <f t="shared" si="950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51"/>
        <v>43684091.636631854</v>
      </c>
      <c r="AJ3205" s="19">
        <f t="shared" si="952"/>
        <v>6483951.8242071122</v>
      </c>
      <c r="AK3205" s="20">
        <f t="shared" si="939"/>
        <v>0.14842821680123736</v>
      </c>
      <c r="AL3205" s="17"/>
      <c r="AM3205" s="17"/>
      <c r="AN3205" s="17"/>
      <c r="AO3205" s="17"/>
      <c r="AP3205" s="28" t="str">
        <f t="shared" si="940"/>
        <v>20214</v>
      </c>
      <c r="AQ3205" s="28" t="str">
        <f t="shared" si="941"/>
        <v>20214JPY</v>
      </c>
      <c r="AR3205" s="206" t="str">
        <f t="shared" si="942"/>
        <v>YAMAHA_Mounter</v>
      </c>
      <c r="AS3205" s="22">
        <f t="shared" si="943"/>
        <v>1</v>
      </c>
      <c r="AT3205" s="24" t="str">
        <f t="shared" si="944"/>
        <v>0-3 months</v>
      </c>
      <c r="AU3205" s="22" t="s">
        <v>3745</v>
      </c>
    </row>
    <row r="3206" spans="1:47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54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2404</v>
      </c>
      <c r="K3206" s="155" t="s">
        <v>1156</v>
      </c>
      <c r="L3206" s="17" t="s">
        <v>92</v>
      </c>
      <c r="M3206" s="13" t="s">
        <v>60</v>
      </c>
      <c r="N3206" s="13">
        <v>1</v>
      </c>
      <c r="O3206" s="13"/>
      <c r="P3206" s="33" t="str">
        <f t="shared" si="947"/>
        <v>MAIN UNIT</v>
      </c>
      <c r="Q3206" s="13" t="s">
        <v>61</v>
      </c>
      <c r="R3206" s="13" t="s">
        <v>62</v>
      </c>
      <c r="S3206" s="13" t="s">
        <v>49</v>
      </c>
      <c r="T3206" s="13" t="s">
        <v>78</v>
      </c>
      <c r="U3206" s="13" t="s">
        <v>79</v>
      </c>
      <c r="V3206" s="13" t="s">
        <v>1407</v>
      </c>
      <c r="W3206" s="13" t="s">
        <v>64</v>
      </c>
      <c r="X3206" s="135">
        <v>840000</v>
      </c>
      <c r="Y3206" s="157" t="str">
        <f>IF(W3206="RMB","1.13", "1")</f>
        <v>1.13</v>
      </c>
      <c r="Z3206" s="18">
        <f t="shared" si="945"/>
        <v>840000</v>
      </c>
      <c r="AA3206" s="13">
        <v>1.0900000000000001</v>
      </c>
      <c r="AB3206" s="21">
        <f t="shared" si="950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si="951"/>
        <v>17329060.066371687</v>
      </c>
      <c r="AJ3206" s="19">
        <f t="shared" si="952"/>
        <v>2472600.2142256643</v>
      </c>
      <c r="AK3206" s="20">
        <f t="shared" ref="AK3206:AK3269" si="958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59">IF(F3206="","",F3206&amp;G3206)</f>
        <v>202212</v>
      </c>
      <c r="AQ3206" s="28" t="str">
        <f t="shared" ref="AQ3206:AQ3269" si="960">IF(W3206="","",F3206&amp;G3206&amp;W3206)</f>
        <v>202212RMB</v>
      </c>
      <c r="AR3206" s="206" t="str">
        <f t="shared" ref="AR3206:AR3269" si="961">IFERROR(IF(AND(M3206="YAMAHA", R3206="C28"), "YAMAHA_Non_Mounter", IF(AND(M3206="YAMAHA", R3206="C49"), "YAMAHA_Mounter", M3206)),"")</f>
        <v>YAMAHA_Mounter</v>
      </c>
      <c r="AS3206" s="22">
        <f t="shared" ref="AS3206:AS3269" si="962">IFERROR(IF(OR(G3206="TBA", G3206=""), "", DATEDIF(DATE(B3206, C3206, 1), DATE(F3206, G3206, 1), "M")),"")</f>
        <v>0</v>
      </c>
      <c r="AT3206" s="24" t="str">
        <f t="shared" ref="AT3206:AT3269" si="963">IF(ISNUMBER(AS3206), IF(AS3206&gt;=0, IF(AS3206&lt;=3, "0-3 months", IF(AS3206&lt;=6, "4-6 months", "&gt; 6 months"))), "")</f>
        <v>0-3 months</v>
      </c>
      <c r="AU3206" s="22" t="s">
        <v>3751</v>
      </c>
    </row>
    <row r="3207" spans="1:47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3116</v>
      </c>
      <c r="K3207" s="155" t="s">
        <v>1156</v>
      </c>
      <c r="L3207" s="17" t="s">
        <v>67</v>
      </c>
      <c r="M3207" s="13" t="s">
        <v>60</v>
      </c>
      <c r="N3207" s="13">
        <v>1</v>
      </c>
      <c r="O3207" s="13"/>
      <c r="P3207" s="33" t="str">
        <f t="shared" si="947"/>
        <v>MAIN UNIT</v>
      </c>
      <c r="Q3207" s="13" t="s">
        <v>61</v>
      </c>
      <c r="R3207" s="13" t="s">
        <v>62</v>
      </c>
      <c r="S3207" s="13" t="s">
        <v>49</v>
      </c>
      <c r="T3207" s="13" t="s">
        <v>78</v>
      </c>
      <c r="U3207" s="13" t="s">
        <v>2110</v>
      </c>
      <c r="V3207" s="13" t="s">
        <v>1407</v>
      </c>
      <c r="W3207" s="13" t="s">
        <v>109</v>
      </c>
      <c r="X3207" s="135">
        <v>8500000</v>
      </c>
      <c r="Y3207" s="157" t="str">
        <f>IF(W3207="","",IF(W3207="RMB","1.13", "1"))</f>
        <v>1</v>
      </c>
      <c r="Z3207" s="18">
        <f t="shared" si="945"/>
        <v>8500000</v>
      </c>
      <c r="AA3207" s="13">
        <v>5.4199999999999998E-2</v>
      </c>
      <c r="AB3207" s="21">
        <f t="shared" si="950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1"/>
        <v>10271727.486725664</v>
      </c>
      <c r="AJ3207" s="19">
        <f t="shared" si="952"/>
        <v>1227228.7260761063</v>
      </c>
      <c r="AK3207" s="20">
        <f t="shared" si="958"/>
        <v>0.11947637120066472</v>
      </c>
      <c r="AL3207" s="17"/>
      <c r="AM3207" s="17"/>
      <c r="AN3207" s="17"/>
      <c r="AO3207" s="17"/>
      <c r="AP3207" s="28" t="str">
        <f t="shared" si="959"/>
        <v>202312</v>
      </c>
      <c r="AQ3207" s="28" t="str">
        <f t="shared" si="960"/>
        <v>202312JPY</v>
      </c>
      <c r="AR3207" s="206" t="str">
        <f t="shared" si="961"/>
        <v>YAMAHA_Mounter</v>
      </c>
      <c r="AS3207" s="22">
        <f t="shared" si="962"/>
        <v>1</v>
      </c>
      <c r="AT3207" s="24" t="str">
        <f t="shared" si="963"/>
        <v>0-3 months</v>
      </c>
      <c r="AU3207" s="22" t="s">
        <v>3745</v>
      </c>
    </row>
    <row r="3208" spans="1:47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41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389</v>
      </c>
      <c r="K3208" s="155" t="s">
        <v>390</v>
      </c>
      <c r="L3208" s="17" t="s">
        <v>100</v>
      </c>
      <c r="M3208" s="13" t="s">
        <v>60</v>
      </c>
      <c r="N3208" s="13">
        <v>1</v>
      </c>
      <c r="O3208" s="13"/>
      <c r="P3208" s="33" t="str">
        <f t="shared" si="947"/>
        <v>MAIN UNIT</v>
      </c>
      <c r="Q3208" s="13" t="s">
        <v>68</v>
      </c>
      <c r="R3208" s="13" t="s">
        <v>62</v>
      </c>
      <c r="S3208" s="13" t="s">
        <v>49</v>
      </c>
      <c r="T3208" s="13" t="s">
        <v>120</v>
      </c>
      <c r="U3208" s="13" t="s">
        <v>79</v>
      </c>
      <c r="V3208" s="13" t="s">
        <v>112</v>
      </c>
      <c r="W3208" s="13" t="s">
        <v>109</v>
      </c>
      <c r="X3208" s="135">
        <v>9666667</v>
      </c>
      <c r="Y3208" s="156">
        <v>1</v>
      </c>
      <c r="Z3208" s="18">
        <f t="shared" si="945"/>
        <v>9666667</v>
      </c>
      <c r="AA3208" s="13">
        <v>7.2099999999999997E-2</v>
      </c>
      <c r="AB3208" s="21">
        <f t="shared" si="950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1"/>
        <v>26754147.763010349</v>
      </c>
      <c r="AJ3208" s="19">
        <f t="shared" si="952"/>
        <v>3429137.9965357962</v>
      </c>
      <c r="AK3208" s="20">
        <f t="shared" si="958"/>
        <v>0.12817220069617921</v>
      </c>
      <c r="AL3208" s="17"/>
      <c r="AM3208" s="17"/>
      <c r="AN3208" s="17"/>
      <c r="AO3208" s="17"/>
      <c r="AP3208" s="28" t="str">
        <f t="shared" si="959"/>
        <v>20188</v>
      </c>
      <c r="AQ3208" s="28" t="str">
        <f t="shared" si="960"/>
        <v>20188JPY</v>
      </c>
      <c r="AR3208" s="206" t="str">
        <f t="shared" si="961"/>
        <v>YAMAHA_Mounter</v>
      </c>
      <c r="AS3208" s="22">
        <f t="shared" si="962"/>
        <v>2</v>
      </c>
      <c r="AT3208" s="24" t="str">
        <f t="shared" si="963"/>
        <v>0-3 months</v>
      </c>
      <c r="AU3208" s="22" t="s">
        <v>3745</v>
      </c>
    </row>
    <row r="3209" spans="1:47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41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389</v>
      </c>
      <c r="K3209" s="155" t="s">
        <v>390</v>
      </c>
      <c r="L3209" s="17" t="s">
        <v>67</v>
      </c>
      <c r="M3209" s="13" t="s">
        <v>60</v>
      </c>
      <c r="N3209" s="13">
        <v>1</v>
      </c>
      <c r="O3209" s="13"/>
      <c r="P3209" s="33" t="str">
        <f t="shared" si="947"/>
        <v>MAIN UNIT</v>
      </c>
      <c r="Q3209" s="13" t="s">
        <v>68</v>
      </c>
      <c r="R3209" s="13" t="s">
        <v>62</v>
      </c>
      <c r="S3209" s="13" t="s">
        <v>49</v>
      </c>
      <c r="T3209" s="13" t="s">
        <v>120</v>
      </c>
      <c r="U3209" s="13" t="s">
        <v>79</v>
      </c>
      <c r="V3209" s="13" t="s">
        <v>112</v>
      </c>
      <c r="W3209" s="13" t="s">
        <v>109</v>
      </c>
      <c r="X3209" s="135">
        <v>9666667</v>
      </c>
      <c r="Y3209" s="156">
        <v>1</v>
      </c>
      <c r="Z3209" s="18">
        <f t="shared" si="945"/>
        <v>9666667</v>
      </c>
      <c r="AA3209" s="13">
        <v>7.22E-2</v>
      </c>
      <c r="AB3209" s="21">
        <f t="shared" si="950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1"/>
        <v>29946107.503386207</v>
      </c>
      <c r="AJ3209" s="19">
        <f t="shared" si="952"/>
        <v>3987206.4954923098</v>
      </c>
      <c r="AK3209" s="20">
        <f t="shared" si="958"/>
        <v>0.13314606898547499</v>
      </c>
      <c r="AL3209" s="17"/>
      <c r="AM3209" s="17"/>
      <c r="AN3209" s="17"/>
      <c r="AO3209" s="17"/>
      <c r="AP3209" s="28" t="str">
        <f t="shared" si="959"/>
        <v>20187</v>
      </c>
      <c r="AQ3209" s="28" t="str">
        <f t="shared" si="960"/>
        <v>20187JPY</v>
      </c>
      <c r="AR3209" s="206" t="str">
        <f t="shared" si="961"/>
        <v>YAMAHA_Mounter</v>
      </c>
      <c r="AS3209" s="22">
        <f t="shared" si="962"/>
        <v>1</v>
      </c>
      <c r="AT3209" s="24" t="str">
        <f t="shared" si="963"/>
        <v>0-3 months</v>
      </c>
      <c r="AU3209" s="22" t="s">
        <v>3745</v>
      </c>
    </row>
    <row r="3210" spans="1:47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41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389</v>
      </c>
      <c r="K3210" s="155" t="s">
        <v>390</v>
      </c>
      <c r="L3210" s="17" t="s">
        <v>59</v>
      </c>
      <c r="M3210" s="13" t="s">
        <v>60</v>
      </c>
      <c r="N3210" s="13">
        <v>1</v>
      </c>
      <c r="O3210" s="13"/>
      <c r="P3210" s="33" t="str">
        <f t="shared" si="947"/>
        <v>MAIN UNIT</v>
      </c>
      <c r="Q3210" s="13" t="s">
        <v>68</v>
      </c>
      <c r="R3210" s="13" t="s">
        <v>62</v>
      </c>
      <c r="S3210" s="13" t="s">
        <v>49</v>
      </c>
      <c r="T3210" s="13" t="s">
        <v>120</v>
      </c>
      <c r="U3210" s="13" t="s">
        <v>79</v>
      </c>
      <c r="V3210" s="13" t="s">
        <v>112</v>
      </c>
      <c r="W3210" s="13" t="s">
        <v>109</v>
      </c>
      <c r="X3210" s="135">
        <v>9666666</v>
      </c>
      <c r="Y3210" s="156">
        <v>1</v>
      </c>
      <c r="Z3210" s="18">
        <f t="shared" ref="Z3210:Z3228" si="964">IF(X3210="","",X3210*MAX(O3210,N3210))</f>
        <v>9666666</v>
      </c>
      <c r="AA3210" s="13">
        <v>7.22E-2</v>
      </c>
      <c r="AB3210" s="21">
        <f t="shared" si="950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1"/>
        <v>29946107.503386207</v>
      </c>
      <c r="AJ3210" s="19">
        <f t="shared" si="952"/>
        <v>3987206.4954923098</v>
      </c>
      <c r="AK3210" s="20">
        <f t="shared" si="958"/>
        <v>0.13314606898547499</v>
      </c>
      <c r="AL3210" s="17"/>
      <c r="AM3210" s="17"/>
      <c r="AN3210" s="17"/>
      <c r="AO3210" s="17"/>
      <c r="AP3210" s="28" t="str">
        <f t="shared" si="959"/>
        <v>20187</v>
      </c>
      <c r="AQ3210" s="28" t="str">
        <f t="shared" si="960"/>
        <v>20187JPY</v>
      </c>
      <c r="AR3210" s="206" t="str">
        <f t="shared" si="961"/>
        <v>YAMAHA_Mounter</v>
      </c>
      <c r="AS3210" s="22">
        <f t="shared" si="962"/>
        <v>1</v>
      </c>
      <c r="AT3210" s="24" t="str">
        <f t="shared" si="963"/>
        <v>0-3 months</v>
      </c>
      <c r="AU3210" s="22" t="s">
        <v>3745</v>
      </c>
    </row>
    <row r="3211" spans="1:47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3111</v>
      </c>
      <c r="K3211" s="155" t="s">
        <v>3112</v>
      </c>
      <c r="L3211" s="17" t="s">
        <v>92</v>
      </c>
      <c r="M3211" s="13" t="s">
        <v>60</v>
      </c>
      <c r="N3211" s="13">
        <v>1</v>
      </c>
      <c r="O3211" s="13"/>
      <c r="P3211" s="33" t="str">
        <f t="shared" si="947"/>
        <v>MAIN UNIT</v>
      </c>
      <c r="Q3211" s="13" t="s">
        <v>68</v>
      </c>
      <c r="R3211" s="13" t="s">
        <v>62</v>
      </c>
      <c r="S3211" s="13" t="s">
        <v>49</v>
      </c>
      <c r="T3211" s="13" t="s">
        <v>78</v>
      </c>
      <c r="U3211" s="13" t="s">
        <v>79</v>
      </c>
      <c r="V3211" s="13" t="s">
        <v>126</v>
      </c>
      <c r="W3211" s="13" t="s">
        <v>109</v>
      </c>
      <c r="X3211" s="135">
        <v>13225000</v>
      </c>
      <c r="Y3211" s="157" t="str">
        <f>IF(W3211="","",IF(W3211="RMB","1.13", "1"))</f>
        <v>1</v>
      </c>
      <c r="Z3211" s="18">
        <f t="shared" si="964"/>
        <v>13225000</v>
      </c>
      <c r="AA3211" s="13">
        <v>5.4199999999999998E-2</v>
      </c>
      <c r="AB3211" s="21">
        <f t="shared" si="950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1"/>
        <v>10271727.486725664</v>
      </c>
      <c r="AJ3211" s="19">
        <f t="shared" si="952"/>
        <v>1227228.7260761063</v>
      </c>
      <c r="AK3211" s="20">
        <f t="shared" si="958"/>
        <v>0.11947637120066472</v>
      </c>
      <c r="AL3211" s="17"/>
      <c r="AM3211" s="17"/>
      <c r="AN3211" s="17"/>
      <c r="AO3211" s="17"/>
      <c r="AP3211" s="28" t="str">
        <f t="shared" si="959"/>
        <v>202312</v>
      </c>
      <c r="AQ3211" s="28" t="str">
        <f t="shared" si="960"/>
        <v>202312JPY</v>
      </c>
      <c r="AR3211" s="206" t="str">
        <f t="shared" si="961"/>
        <v>YAMAHA_Mounter</v>
      </c>
      <c r="AS3211" s="22">
        <f t="shared" si="962"/>
        <v>1</v>
      </c>
      <c r="AT3211" s="24" t="str">
        <f t="shared" si="963"/>
        <v>0-3 months</v>
      </c>
      <c r="AU3211" s="22" t="s">
        <v>3745</v>
      </c>
    </row>
    <row r="3212" spans="1:47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3111</v>
      </c>
      <c r="K3212" s="155" t="s">
        <v>3112</v>
      </c>
      <c r="L3212" s="17" t="s">
        <v>92</v>
      </c>
      <c r="M3212" s="13" t="s">
        <v>60</v>
      </c>
      <c r="N3212" s="13">
        <v>1</v>
      </c>
      <c r="O3212" s="13"/>
      <c r="P3212" s="33" t="str">
        <f t="shared" si="947"/>
        <v>MAIN UNIT</v>
      </c>
      <c r="Q3212" s="13" t="s">
        <v>68</v>
      </c>
      <c r="R3212" s="13" t="s">
        <v>62</v>
      </c>
      <c r="S3212" s="13" t="s">
        <v>49</v>
      </c>
      <c r="T3212" s="13" t="s">
        <v>78</v>
      </c>
      <c r="U3212" s="13" t="s">
        <v>79</v>
      </c>
      <c r="V3212" s="13" t="s">
        <v>126</v>
      </c>
      <c r="W3212" s="13" t="s">
        <v>109</v>
      </c>
      <c r="X3212" s="135">
        <v>13225000</v>
      </c>
      <c r="Y3212" s="157" t="str">
        <f>IF(W3212="","",IF(W3212="RMB","1.13", "1"))</f>
        <v>1</v>
      </c>
      <c r="Z3212" s="18">
        <f t="shared" si="964"/>
        <v>13225000</v>
      </c>
      <c r="AA3212" s="13">
        <v>5.4199999999999998E-2</v>
      </c>
      <c r="AB3212" s="21">
        <f t="shared" si="950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1"/>
        <v>10271727.486725664</v>
      </c>
      <c r="AJ3212" s="19">
        <f t="shared" si="952"/>
        <v>1227228.7260761063</v>
      </c>
      <c r="AK3212" s="20">
        <f t="shared" si="958"/>
        <v>0.11947637120066472</v>
      </c>
      <c r="AL3212" s="17"/>
      <c r="AM3212" s="17"/>
      <c r="AN3212" s="17"/>
      <c r="AO3212" s="17"/>
      <c r="AP3212" s="28" t="str">
        <f t="shared" si="959"/>
        <v>202312</v>
      </c>
      <c r="AQ3212" s="28" t="str">
        <f t="shared" si="960"/>
        <v>202312JPY</v>
      </c>
      <c r="AR3212" s="206" t="str">
        <f t="shared" si="961"/>
        <v>YAMAHA_Mounter</v>
      </c>
      <c r="AS3212" s="22">
        <f t="shared" si="962"/>
        <v>1</v>
      </c>
      <c r="AT3212" s="24" t="str">
        <f t="shared" si="963"/>
        <v>0-3 months</v>
      </c>
      <c r="AU3212" s="22" t="s">
        <v>3745</v>
      </c>
    </row>
    <row r="3213" spans="1:47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53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1604</v>
      </c>
      <c r="K3213" s="155" t="s">
        <v>1605</v>
      </c>
      <c r="L3213" s="17" t="s">
        <v>92</v>
      </c>
      <c r="M3213" s="13" t="s">
        <v>60</v>
      </c>
      <c r="N3213" s="13">
        <v>1</v>
      </c>
      <c r="O3213" s="13"/>
      <c r="P3213" s="33" t="str">
        <f t="shared" si="947"/>
        <v>MAIN UNIT</v>
      </c>
      <c r="Q3213" s="13" t="s">
        <v>68</v>
      </c>
      <c r="R3213" s="13" t="s">
        <v>62</v>
      </c>
      <c r="S3213" s="13" t="s">
        <v>49</v>
      </c>
      <c r="T3213" s="13" t="s">
        <v>78</v>
      </c>
      <c r="U3213" s="13" t="s">
        <v>79</v>
      </c>
      <c r="V3213" s="13" t="s">
        <v>126</v>
      </c>
      <c r="W3213" s="13" t="s">
        <v>109</v>
      </c>
      <c r="X3213" s="135">
        <v>12400000</v>
      </c>
      <c r="Y3213" s="157" t="str">
        <f t="shared" ref="Y3213:Y3231" si="965">IF(W3213="RMB","1.13", "1")</f>
        <v>1</v>
      </c>
      <c r="Z3213" s="18">
        <f t="shared" si="964"/>
        <v>12400000</v>
      </c>
      <c r="AA3213" s="13">
        <v>7.17E-2</v>
      </c>
      <c r="AB3213" s="21">
        <f t="shared" si="950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1"/>
        <v>43684091.636631854</v>
      </c>
      <c r="AJ3213" s="19">
        <f t="shared" si="952"/>
        <v>6483951.8242071122</v>
      </c>
      <c r="AK3213" s="20">
        <f t="shared" si="958"/>
        <v>0.14842821680123736</v>
      </c>
      <c r="AL3213" s="17"/>
      <c r="AM3213" s="17"/>
      <c r="AN3213" s="17"/>
      <c r="AO3213" s="17"/>
      <c r="AP3213" s="28" t="str">
        <f t="shared" si="959"/>
        <v>20214</v>
      </c>
      <c r="AQ3213" s="28" t="str">
        <f t="shared" si="960"/>
        <v>20214JPY</v>
      </c>
      <c r="AR3213" s="206" t="str">
        <f t="shared" si="961"/>
        <v>YAMAHA_Mounter</v>
      </c>
      <c r="AS3213" s="22">
        <f t="shared" si="962"/>
        <v>4</v>
      </c>
      <c r="AT3213" s="24" t="str">
        <f t="shared" si="963"/>
        <v>4-6 months</v>
      </c>
      <c r="AU3213" s="22" t="s">
        <v>3745</v>
      </c>
    </row>
    <row r="3214" spans="1:47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53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1604</v>
      </c>
      <c r="K3214" s="155" t="s">
        <v>1605</v>
      </c>
      <c r="L3214" s="17" t="s">
        <v>92</v>
      </c>
      <c r="M3214" s="13" t="s">
        <v>60</v>
      </c>
      <c r="N3214" s="13">
        <v>1</v>
      </c>
      <c r="O3214" s="13"/>
      <c r="P3214" s="33" t="str">
        <f t="shared" si="947"/>
        <v>MAIN UNIT</v>
      </c>
      <c r="Q3214" s="13" t="s">
        <v>68</v>
      </c>
      <c r="R3214" s="13" t="s">
        <v>62</v>
      </c>
      <c r="S3214" s="13" t="s">
        <v>49</v>
      </c>
      <c r="T3214" s="13" t="s">
        <v>78</v>
      </c>
      <c r="U3214" s="13" t="s">
        <v>79</v>
      </c>
      <c r="V3214" s="13" t="s">
        <v>126</v>
      </c>
      <c r="W3214" s="13" t="s">
        <v>109</v>
      </c>
      <c r="X3214" s="135">
        <v>12400000</v>
      </c>
      <c r="Y3214" s="157" t="str">
        <f t="shared" si="965"/>
        <v>1</v>
      </c>
      <c r="Z3214" s="18">
        <f t="shared" si="964"/>
        <v>12400000</v>
      </c>
      <c r="AA3214" s="13">
        <v>7.17E-2</v>
      </c>
      <c r="AB3214" s="21">
        <f t="shared" si="950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1"/>
        <v>43684091.636631854</v>
      </c>
      <c r="AJ3214" s="19">
        <f t="shared" si="952"/>
        <v>6483951.8242071122</v>
      </c>
      <c r="AK3214" s="20">
        <f t="shared" si="958"/>
        <v>0.14842821680123736</v>
      </c>
      <c r="AL3214" s="17"/>
      <c r="AM3214" s="17"/>
      <c r="AN3214" s="17"/>
      <c r="AO3214" s="17"/>
      <c r="AP3214" s="28" t="str">
        <f t="shared" si="959"/>
        <v>20214</v>
      </c>
      <c r="AQ3214" s="28" t="str">
        <f t="shared" si="960"/>
        <v>20214JPY</v>
      </c>
      <c r="AR3214" s="206" t="str">
        <f t="shared" si="961"/>
        <v>YAMAHA_Mounter</v>
      </c>
      <c r="AS3214" s="22">
        <f t="shared" si="962"/>
        <v>4</v>
      </c>
      <c r="AT3214" s="24" t="str">
        <f t="shared" si="963"/>
        <v>4-6 months</v>
      </c>
      <c r="AU3214" s="22" t="s">
        <v>3745</v>
      </c>
    </row>
    <row r="3215" spans="1:47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53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1604</v>
      </c>
      <c r="K3215" s="155" t="s">
        <v>1605</v>
      </c>
      <c r="L3215" s="17" t="s">
        <v>67</v>
      </c>
      <c r="M3215" s="13" t="s">
        <v>60</v>
      </c>
      <c r="N3215" s="13">
        <v>1</v>
      </c>
      <c r="O3215" s="13"/>
      <c r="P3215" s="33" t="str">
        <f t="shared" si="947"/>
        <v>MAIN UNIT</v>
      </c>
      <c r="Q3215" s="13" t="s">
        <v>68</v>
      </c>
      <c r="R3215" s="13" t="s">
        <v>62</v>
      </c>
      <c r="S3215" s="13" t="s">
        <v>49</v>
      </c>
      <c r="T3215" s="13" t="s">
        <v>78</v>
      </c>
      <c r="U3215" s="13" t="s">
        <v>79</v>
      </c>
      <c r="V3215" s="13" t="s">
        <v>126</v>
      </c>
      <c r="W3215" s="13" t="s">
        <v>109</v>
      </c>
      <c r="X3215" s="135">
        <v>8660000</v>
      </c>
      <c r="Y3215" s="157" t="str">
        <f t="shared" si="965"/>
        <v>1</v>
      </c>
      <c r="Z3215" s="18">
        <f t="shared" si="964"/>
        <v>8660000</v>
      </c>
      <c r="AA3215" s="13">
        <v>7.17E-2</v>
      </c>
      <c r="AB3215" s="21">
        <f t="shared" si="950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1"/>
        <v>43684091.636631854</v>
      </c>
      <c r="AJ3215" s="19">
        <f t="shared" si="952"/>
        <v>6483951.8242071122</v>
      </c>
      <c r="AK3215" s="20">
        <f t="shared" si="958"/>
        <v>0.14842821680123736</v>
      </c>
      <c r="AL3215" s="17"/>
      <c r="AM3215" s="17"/>
      <c r="AN3215" s="17"/>
      <c r="AO3215" s="17"/>
      <c r="AP3215" s="28" t="str">
        <f t="shared" si="959"/>
        <v>20214</v>
      </c>
      <c r="AQ3215" s="28" t="str">
        <f t="shared" si="960"/>
        <v>20214JPY</v>
      </c>
      <c r="AR3215" s="206" t="str">
        <f t="shared" si="961"/>
        <v>YAMAHA_Mounter</v>
      </c>
      <c r="AS3215" s="22">
        <f t="shared" si="962"/>
        <v>4</v>
      </c>
      <c r="AT3215" s="24" t="str">
        <f t="shared" si="963"/>
        <v>4-6 months</v>
      </c>
      <c r="AU3215" s="22" t="s">
        <v>3745</v>
      </c>
    </row>
    <row r="3216" spans="1:47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53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1604</v>
      </c>
      <c r="K3216" s="155" t="s">
        <v>1605</v>
      </c>
      <c r="L3216" s="17" t="s">
        <v>67</v>
      </c>
      <c r="M3216" s="13" t="s">
        <v>60</v>
      </c>
      <c r="N3216" s="13">
        <v>1</v>
      </c>
      <c r="O3216" s="13"/>
      <c r="P3216" s="33" t="str">
        <f t="shared" si="947"/>
        <v>MAIN UNIT</v>
      </c>
      <c r="Q3216" s="13" t="s">
        <v>68</v>
      </c>
      <c r="R3216" s="13" t="s">
        <v>62</v>
      </c>
      <c r="S3216" s="13" t="s">
        <v>49</v>
      </c>
      <c r="T3216" s="13" t="s">
        <v>78</v>
      </c>
      <c r="U3216" s="13" t="s">
        <v>79</v>
      </c>
      <c r="V3216" s="13" t="s">
        <v>126</v>
      </c>
      <c r="W3216" s="13" t="s">
        <v>109</v>
      </c>
      <c r="X3216" s="135">
        <v>8660000</v>
      </c>
      <c r="Y3216" s="157" t="str">
        <f t="shared" si="965"/>
        <v>1</v>
      </c>
      <c r="Z3216" s="18">
        <f t="shared" si="964"/>
        <v>8660000</v>
      </c>
      <c r="AA3216" s="13">
        <v>7.17E-2</v>
      </c>
      <c r="AB3216" s="21">
        <f t="shared" si="950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1"/>
        <v>43684091.636631854</v>
      </c>
      <c r="AJ3216" s="19">
        <f t="shared" si="952"/>
        <v>6483951.8242071122</v>
      </c>
      <c r="AK3216" s="20">
        <f t="shared" si="958"/>
        <v>0.14842821680123736</v>
      </c>
      <c r="AL3216" s="17"/>
      <c r="AM3216" s="17"/>
      <c r="AN3216" s="17"/>
      <c r="AO3216" s="17"/>
      <c r="AP3216" s="28" t="str">
        <f t="shared" si="959"/>
        <v>20214</v>
      </c>
      <c r="AQ3216" s="28" t="str">
        <f t="shared" si="960"/>
        <v>20214JPY</v>
      </c>
      <c r="AR3216" s="206" t="str">
        <f t="shared" si="961"/>
        <v>YAMAHA_Mounter</v>
      </c>
      <c r="AS3216" s="22">
        <f t="shared" si="962"/>
        <v>4</v>
      </c>
      <c r="AT3216" s="24" t="str">
        <f t="shared" si="963"/>
        <v>4-6 months</v>
      </c>
      <c r="AU3216" s="22" t="s">
        <v>3745</v>
      </c>
    </row>
    <row r="3217" spans="1:47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185</v>
      </c>
      <c r="F3217" s="13" t="s">
        <v>185</v>
      </c>
      <c r="G3217" s="152" t="s">
        <v>185</v>
      </c>
      <c r="H3217" s="155"/>
      <c r="I3217" s="33" t="str">
        <f t="shared" si="955"/>
        <v>Cancel</v>
      </c>
      <c r="J3217" s="186" t="s">
        <v>1640</v>
      </c>
      <c r="K3217" s="155" t="s">
        <v>1605</v>
      </c>
      <c r="L3217" s="17" t="s">
        <v>92</v>
      </c>
      <c r="M3217" s="13" t="s">
        <v>60</v>
      </c>
      <c r="N3217" s="13">
        <v>1</v>
      </c>
      <c r="O3217" s="13"/>
      <c r="P3217" s="33" t="str">
        <f t="shared" si="947"/>
        <v>MAIN UNIT</v>
      </c>
      <c r="Q3217" s="13" t="s">
        <v>68</v>
      </c>
      <c r="R3217" s="13" t="s">
        <v>62</v>
      </c>
      <c r="S3217" s="13" t="s">
        <v>49</v>
      </c>
      <c r="T3217" s="13" t="s">
        <v>78</v>
      </c>
      <c r="U3217" s="13" t="s">
        <v>79</v>
      </c>
      <c r="V3217" s="13" t="s">
        <v>126</v>
      </c>
      <c r="W3217" s="13" t="s">
        <v>109</v>
      </c>
      <c r="X3217" s="135">
        <v>12400000</v>
      </c>
      <c r="Y3217" s="157" t="str">
        <f t="shared" si="965"/>
        <v>1</v>
      </c>
      <c r="Z3217" s="18">
        <f t="shared" si="964"/>
        <v>12400000</v>
      </c>
      <c r="AA3217" s="13">
        <v>7.17E-2</v>
      </c>
      <c r="AB3217" s="21">
        <f t="shared" si="950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1"/>
        <v>499582152.5142017</v>
      </c>
      <c r="AJ3217" s="19">
        <f t="shared" si="952"/>
        <v>59520528.679470733</v>
      </c>
      <c r="AK3217" s="20">
        <f t="shared" si="958"/>
        <v>0.11914062257814291</v>
      </c>
      <c r="AL3217" s="17"/>
      <c r="AM3217" s="17"/>
      <c r="AN3217" s="17"/>
      <c r="AO3217" s="17"/>
      <c r="AP3217" s="28" t="str">
        <f t="shared" si="959"/>
        <v>CancelCancel</v>
      </c>
      <c r="AQ3217" s="28" t="str">
        <f t="shared" si="960"/>
        <v>CancelCancelJPY</v>
      </c>
      <c r="AR3217" s="206" t="str">
        <f t="shared" si="961"/>
        <v>YAMAHA_Mounter</v>
      </c>
      <c r="AS3217" s="22" t="str">
        <f t="shared" si="962"/>
        <v/>
      </c>
      <c r="AT3217" s="24" t="str">
        <f t="shared" si="963"/>
        <v/>
      </c>
      <c r="AU3217" s="22" t="s">
        <v>3745</v>
      </c>
    </row>
    <row r="3218" spans="1:47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185</v>
      </c>
      <c r="F3218" s="13" t="s">
        <v>185</v>
      </c>
      <c r="G3218" s="152" t="s">
        <v>185</v>
      </c>
      <c r="H3218" s="155"/>
      <c r="I3218" s="33" t="str">
        <f t="shared" si="955"/>
        <v>Cancel</v>
      </c>
      <c r="J3218" s="186" t="s">
        <v>1640</v>
      </c>
      <c r="K3218" s="155" t="s">
        <v>1605</v>
      </c>
      <c r="L3218" s="17" t="s">
        <v>92</v>
      </c>
      <c r="M3218" s="13" t="s">
        <v>60</v>
      </c>
      <c r="N3218" s="13">
        <v>1</v>
      </c>
      <c r="O3218" s="13"/>
      <c r="P3218" s="33" t="str">
        <f t="shared" si="947"/>
        <v>MAIN UNIT</v>
      </c>
      <c r="Q3218" s="13" t="s">
        <v>68</v>
      </c>
      <c r="R3218" s="13" t="s">
        <v>62</v>
      </c>
      <c r="S3218" s="13" t="s">
        <v>49</v>
      </c>
      <c r="T3218" s="13" t="s">
        <v>78</v>
      </c>
      <c r="U3218" s="13" t="s">
        <v>79</v>
      </c>
      <c r="V3218" s="13" t="s">
        <v>126</v>
      </c>
      <c r="W3218" s="13" t="s">
        <v>109</v>
      </c>
      <c r="X3218" s="135">
        <v>12400000</v>
      </c>
      <c r="Y3218" s="157" t="str">
        <f t="shared" si="965"/>
        <v>1</v>
      </c>
      <c r="Z3218" s="18">
        <f t="shared" si="964"/>
        <v>12400000</v>
      </c>
      <c r="AA3218" s="13">
        <v>7.17E-2</v>
      </c>
      <c r="AB3218" s="21">
        <f t="shared" si="950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1"/>
        <v>499582152.5142017</v>
      </c>
      <c r="AJ3218" s="19">
        <f t="shared" si="952"/>
        <v>59520528.679470733</v>
      </c>
      <c r="AK3218" s="20">
        <f t="shared" si="958"/>
        <v>0.11914062257814291</v>
      </c>
      <c r="AL3218" s="17"/>
      <c r="AM3218" s="17"/>
      <c r="AN3218" s="17"/>
      <c r="AO3218" s="17"/>
      <c r="AP3218" s="28" t="str">
        <f t="shared" si="959"/>
        <v>CancelCancel</v>
      </c>
      <c r="AQ3218" s="28" t="str">
        <f t="shared" si="960"/>
        <v>CancelCancelJPY</v>
      </c>
      <c r="AR3218" s="206" t="str">
        <f t="shared" si="961"/>
        <v>YAMAHA_Mounter</v>
      </c>
      <c r="AS3218" s="22" t="str">
        <f t="shared" si="962"/>
        <v/>
      </c>
      <c r="AT3218" s="24" t="str">
        <f t="shared" si="963"/>
        <v/>
      </c>
      <c r="AU3218" s="22" t="s">
        <v>3745</v>
      </c>
    </row>
    <row r="3219" spans="1:47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185</v>
      </c>
      <c r="F3219" s="13" t="s">
        <v>185</v>
      </c>
      <c r="G3219" s="152" t="s">
        <v>185</v>
      </c>
      <c r="H3219" s="155"/>
      <c r="I3219" s="33" t="str">
        <f t="shared" si="955"/>
        <v>Cancel</v>
      </c>
      <c r="J3219" s="186" t="s">
        <v>1640</v>
      </c>
      <c r="K3219" s="155" t="s">
        <v>1605</v>
      </c>
      <c r="L3219" s="17" t="s">
        <v>92</v>
      </c>
      <c r="M3219" s="13" t="s">
        <v>60</v>
      </c>
      <c r="N3219" s="13">
        <v>1</v>
      </c>
      <c r="O3219" s="13"/>
      <c r="P3219" s="33" t="str">
        <f t="shared" si="947"/>
        <v>MAIN UNIT</v>
      </c>
      <c r="Q3219" s="13" t="s">
        <v>68</v>
      </c>
      <c r="R3219" s="13" t="s">
        <v>62</v>
      </c>
      <c r="S3219" s="13" t="s">
        <v>49</v>
      </c>
      <c r="T3219" s="13" t="s">
        <v>78</v>
      </c>
      <c r="U3219" s="13" t="s">
        <v>79</v>
      </c>
      <c r="V3219" s="13" t="s">
        <v>126</v>
      </c>
      <c r="W3219" s="13" t="s">
        <v>109</v>
      </c>
      <c r="X3219" s="135">
        <v>12400000</v>
      </c>
      <c r="Y3219" s="157" t="str">
        <f t="shared" si="965"/>
        <v>1</v>
      </c>
      <c r="Z3219" s="18">
        <f t="shared" si="964"/>
        <v>12400000</v>
      </c>
      <c r="AA3219" s="13">
        <v>7.17E-2</v>
      </c>
      <c r="AB3219" s="21">
        <f t="shared" si="950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1"/>
        <v>499582152.5142017</v>
      </c>
      <c r="AJ3219" s="19">
        <f t="shared" si="952"/>
        <v>59520528.679470733</v>
      </c>
      <c r="AK3219" s="20">
        <f t="shared" si="958"/>
        <v>0.11914062257814291</v>
      </c>
      <c r="AL3219" s="17"/>
      <c r="AM3219" s="17"/>
      <c r="AN3219" s="17"/>
      <c r="AO3219" s="17"/>
      <c r="AP3219" s="28" t="str">
        <f t="shared" si="959"/>
        <v>CancelCancel</v>
      </c>
      <c r="AQ3219" s="28" t="str">
        <f t="shared" si="960"/>
        <v>CancelCancelJPY</v>
      </c>
      <c r="AR3219" s="206" t="str">
        <f t="shared" si="961"/>
        <v>YAMAHA_Mounter</v>
      </c>
      <c r="AS3219" s="22" t="str">
        <f t="shared" si="962"/>
        <v/>
      </c>
      <c r="AT3219" s="24" t="str">
        <f t="shared" si="963"/>
        <v/>
      </c>
      <c r="AU3219" s="22" t="s">
        <v>3745</v>
      </c>
    </row>
    <row r="3220" spans="1:47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185</v>
      </c>
      <c r="F3220" s="13" t="s">
        <v>185</v>
      </c>
      <c r="G3220" s="152" t="s">
        <v>185</v>
      </c>
      <c r="H3220" s="155"/>
      <c r="I3220" s="33" t="str">
        <f t="shared" si="955"/>
        <v>Cancel</v>
      </c>
      <c r="J3220" s="186" t="s">
        <v>1640</v>
      </c>
      <c r="K3220" s="155" t="s">
        <v>1605</v>
      </c>
      <c r="L3220" s="17" t="s">
        <v>92</v>
      </c>
      <c r="M3220" s="13" t="s">
        <v>60</v>
      </c>
      <c r="N3220" s="13">
        <v>1</v>
      </c>
      <c r="O3220" s="13"/>
      <c r="P3220" s="33" t="str">
        <f t="shared" si="947"/>
        <v>MAIN UNIT</v>
      </c>
      <c r="Q3220" s="13" t="s">
        <v>68</v>
      </c>
      <c r="R3220" s="13" t="s">
        <v>62</v>
      </c>
      <c r="S3220" s="13" t="s">
        <v>49</v>
      </c>
      <c r="T3220" s="13" t="s">
        <v>78</v>
      </c>
      <c r="U3220" s="13" t="s">
        <v>79</v>
      </c>
      <c r="V3220" s="13" t="s">
        <v>126</v>
      </c>
      <c r="W3220" s="13" t="s">
        <v>109</v>
      </c>
      <c r="X3220" s="135">
        <v>12400000</v>
      </c>
      <c r="Y3220" s="157" t="str">
        <f t="shared" si="965"/>
        <v>1</v>
      </c>
      <c r="Z3220" s="18">
        <f t="shared" si="964"/>
        <v>12400000</v>
      </c>
      <c r="AA3220" s="13">
        <v>7.17E-2</v>
      </c>
      <c r="AB3220" s="21">
        <f t="shared" si="950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1"/>
        <v>499582152.5142017</v>
      </c>
      <c r="AJ3220" s="19">
        <f t="shared" si="952"/>
        <v>59520528.679470733</v>
      </c>
      <c r="AK3220" s="20">
        <f t="shared" si="958"/>
        <v>0.11914062257814291</v>
      </c>
      <c r="AL3220" s="17"/>
      <c r="AM3220" s="17"/>
      <c r="AN3220" s="17"/>
      <c r="AO3220" s="17"/>
      <c r="AP3220" s="28" t="str">
        <f t="shared" si="959"/>
        <v>CancelCancel</v>
      </c>
      <c r="AQ3220" s="28" t="str">
        <f t="shared" si="960"/>
        <v>CancelCancelJPY</v>
      </c>
      <c r="AR3220" s="206" t="str">
        <f t="shared" si="961"/>
        <v>YAMAHA_Mounter</v>
      </c>
      <c r="AS3220" s="22" t="str">
        <f t="shared" si="962"/>
        <v/>
      </c>
      <c r="AT3220" s="24" t="str">
        <f t="shared" si="963"/>
        <v/>
      </c>
      <c r="AU3220" s="22" t="s">
        <v>3745</v>
      </c>
    </row>
    <row r="3221" spans="1:47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185</v>
      </c>
      <c r="F3221" s="13" t="s">
        <v>185</v>
      </c>
      <c r="G3221" s="152" t="s">
        <v>185</v>
      </c>
      <c r="H3221" s="155"/>
      <c r="I3221" s="33" t="str">
        <f t="shared" si="955"/>
        <v>Cancel</v>
      </c>
      <c r="J3221" s="186" t="s">
        <v>1640</v>
      </c>
      <c r="K3221" s="155" t="s">
        <v>1605</v>
      </c>
      <c r="L3221" s="17" t="s">
        <v>67</v>
      </c>
      <c r="M3221" s="13" t="s">
        <v>60</v>
      </c>
      <c r="N3221" s="13">
        <v>1</v>
      </c>
      <c r="O3221" s="13"/>
      <c r="P3221" s="33" t="str">
        <f t="shared" si="947"/>
        <v>MAIN UNIT</v>
      </c>
      <c r="Q3221" s="13" t="s">
        <v>68</v>
      </c>
      <c r="R3221" s="13" t="s">
        <v>62</v>
      </c>
      <c r="S3221" s="13" t="s">
        <v>49</v>
      </c>
      <c r="T3221" s="13" t="s">
        <v>78</v>
      </c>
      <c r="U3221" s="13" t="s">
        <v>79</v>
      </c>
      <c r="V3221" s="13" t="s">
        <v>126</v>
      </c>
      <c r="W3221" s="13" t="s">
        <v>109</v>
      </c>
      <c r="X3221" s="135">
        <v>8518000</v>
      </c>
      <c r="Y3221" s="157" t="str">
        <f t="shared" si="965"/>
        <v>1</v>
      </c>
      <c r="Z3221" s="18">
        <f t="shared" si="964"/>
        <v>8518000</v>
      </c>
      <c r="AA3221" s="13">
        <v>7.17E-2</v>
      </c>
      <c r="AB3221" s="21">
        <f t="shared" si="950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1"/>
        <v>499582152.5142017</v>
      </c>
      <c r="AJ3221" s="19">
        <f t="shared" si="952"/>
        <v>59520528.679470733</v>
      </c>
      <c r="AK3221" s="20">
        <f t="shared" si="958"/>
        <v>0.11914062257814291</v>
      </c>
      <c r="AL3221" s="17"/>
      <c r="AM3221" s="17"/>
      <c r="AN3221" s="17"/>
      <c r="AO3221" s="17"/>
      <c r="AP3221" s="28" t="str">
        <f t="shared" si="959"/>
        <v>CancelCancel</v>
      </c>
      <c r="AQ3221" s="28" t="str">
        <f t="shared" si="960"/>
        <v>CancelCancelJPY</v>
      </c>
      <c r="AR3221" s="206" t="str">
        <f t="shared" si="961"/>
        <v>YAMAHA_Mounter</v>
      </c>
      <c r="AS3221" s="22" t="str">
        <f t="shared" si="962"/>
        <v/>
      </c>
      <c r="AT3221" s="24" t="str">
        <f t="shared" si="963"/>
        <v/>
      </c>
      <c r="AU3221" s="22" t="s">
        <v>3745</v>
      </c>
    </row>
    <row r="3222" spans="1:47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185</v>
      </c>
      <c r="F3222" s="13" t="s">
        <v>185</v>
      </c>
      <c r="G3222" s="152" t="s">
        <v>185</v>
      </c>
      <c r="H3222" s="155"/>
      <c r="I3222" s="33" t="str">
        <f t="shared" si="955"/>
        <v>Cancel</v>
      </c>
      <c r="J3222" s="186" t="s">
        <v>1640</v>
      </c>
      <c r="K3222" s="155" t="s">
        <v>1605</v>
      </c>
      <c r="L3222" s="17" t="s">
        <v>67</v>
      </c>
      <c r="M3222" s="13" t="s">
        <v>60</v>
      </c>
      <c r="N3222" s="13">
        <v>1</v>
      </c>
      <c r="O3222" s="13"/>
      <c r="P3222" s="33" t="str">
        <f t="shared" ref="P3222:P3285" si="966">IF(M3222="","",IF(AND(N3222&gt;0,L3222&lt;&gt;""),"MAIN UNIT",IF(AND(O3222&gt;0,L3222&lt;&gt;""),"SERVICE/ PARTS","C66 SERVICE/OTHERS")))</f>
        <v>MAIN UNIT</v>
      </c>
      <c r="Q3222" s="13" t="s">
        <v>68</v>
      </c>
      <c r="R3222" s="13" t="s">
        <v>62</v>
      </c>
      <c r="S3222" s="13" t="s">
        <v>49</v>
      </c>
      <c r="T3222" s="13" t="s">
        <v>78</v>
      </c>
      <c r="U3222" s="13" t="s">
        <v>79</v>
      </c>
      <c r="V3222" s="13" t="s">
        <v>126</v>
      </c>
      <c r="W3222" s="13" t="s">
        <v>109</v>
      </c>
      <c r="X3222" s="135">
        <v>8518000</v>
      </c>
      <c r="Y3222" s="157" t="str">
        <f t="shared" si="965"/>
        <v>1</v>
      </c>
      <c r="Z3222" s="18">
        <f t="shared" si="964"/>
        <v>8518000</v>
      </c>
      <c r="AA3222" s="13">
        <v>7.17E-2</v>
      </c>
      <c r="AB3222" s="21">
        <f t="shared" si="950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1"/>
        <v>499582152.5142017</v>
      </c>
      <c r="AJ3222" s="19">
        <f t="shared" si="952"/>
        <v>59520528.679470733</v>
      </c>
      <c r="AK3222" s="20">
        <f t="shared" si="958"/>
        <v>0.11914062257814291</v>
      </c>
      <c r="AL3222" s="17"/>
      <c r="AM3222" s="17"/>
      <c r="AN3222" s="17"/>
      <c r="AO3222" s="17"/>
      <c r="AP3222" s="28" t="str">
        <f t="shared" si="959"/>
        <v>CancelCancel</v>
      </c>
      <c r="AQ3222" s="28" t="str">
        <f t="shared" si="960"/>
        <v>CancelCancelJPY</v>
      </c>
      <c r="AR3222" s="206" t="str">
        <f t="shared" si="961"/>
        <v>YAMAHA_Mounter</v>
      </c>
      <c r="AS3222" s="22" t="str">
        <f t="shared" si="962"/>
        <v/>
      </c>
      <c r="AT3222" s="24" t="str">
        <f t="shared" si="963"/>
        <v/>
      </c>
      <c r="AU3222" s="22" t="s">
        <v>3745</v>
      </c>
    </row>
    <row r="3223" spans="1:47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53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1759</v>
      </c>
      <c r="K3223" s="155" t="s">
        <v>1605</v>
      </c>
      <c r="L3223" s="17" t="s">
        <v>92</v>
      </c>
      <c r="M3223" s="13" t="s">
        <v>60</v>
      </c>
      <c r="N3223" s="13">
        <v>1</v>
      </c>
      <c r="O3223" s="13"/>
      <c r="P3223" s="33" t="str">
        <f t="shared" si="966"/>
        <v>MAIN UNIT</v>
      </c>
      <c r="Q3223" s="13" t="s">
        <v>61</v>
      </c>
      <c r="R3223" s="13" t="s">
        <v>62</v>
      </c>
      <c r="S3223" s="13" t="s">
        <v>49</v>
      </c>
      <c r="T3223" s="13" t="s">
        <v>78</v>
      </c>
      <c r="U3223" s="13" t="s">
        <v>79</v>
      </c>
      <c r="V3223" s="13" t="s">
        <v>126</v>
      </c>
      <c r="W3223" s="13" t="s">
        <v>109</v>
      </c>
      <c r="X3223" s="135">
        <v>12600000</v>
      </c>
      <c r="Y3223" s="157" t="str">
        <f t="shared" si="965"/>
        <v>1</v>
      </c>
      <c r="Z3223" s="18">
        <f t="shared" si="964"/>
        <v>12600000</v>
      </c>
      <c r="AA3223" s="13">
        <v>7.2800000000000004E-2</v>
      </c>
      <c r="AB3223" s="21">
        <f t="shared" si="950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1"/>
        <v>63006605.696460173</v>
      </c>
      <c r="AJ3223" s="19">
        <f t="shared" si="952"/>
        <v>8897485.660753984</v>
      </c>
      <c r="AK3223" s="20">
        <f t="shared" si="958"/>
        <v>0.141215124388995</v>
      </c>
      <c r="AL3223" s="17"/>
      <c r="AM3223" s="17"/>
      <c r="AN3223" s="17"/>
      <c r="AO3223" s="17"/>
      <c r="AP3223" s="28" t="str">
        <f t="shared" si="959"/>
        <v>20215</v>
      </c>
      <c r="AQ3223" s="28" t="str">
        <f t="shared" si="960"/>
        <v>20215JPY</v>
      </c>
      <c r="AR3223" s="206" t="str">
        <f t="shared" si="961"/>
        <v>YAMAHA_Mounter</v>
      </c>
      <c r="AS3223" s="22">
        <f t="shared" si="962"/>
        <v>1</v>
      </c>
      <c r="AT3223" s="24" t="str">
        <f t="shared" si="963"/>
        <v>0-3 months</v>
      </c>
      <c r="AU3223" s="22" t="s">
        <v>3745</v>
      </c>
    </row>
    <row r="3224" spans="1:47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53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1759</v>
      </c>
      <c r="K3224" s="155" t="s">
        <v>1605</v>
      </c>
      <c r="L3224" s="17" t="s">
        <v>92</v>
      </c>
      <c r="M3224" s="13" t="s">
        <v>60</v>
      </c>
      <c r="N3224" s="13">
        <v>1</v>
      </c>
      <c r="O3224" s="13"/>
      <c r="P3224" s="33" t="str">
        <f t="shared" si="966"/>
        <v>MAIN UNIT</v>
      </c>
      <c r="Q3224" s="13" t="s">
        <v>61</v>
      </c>
      <c r="R3224" s="13" t="s">
        <v>62</v>
      </c>
      <c r="S3224" s="13" t="s">
        <v>49</v>
      </c>
      <c r="T3224" s="13" t="s">
        <v>78</v>
      </c>
      <c r="U3224" s="13" t="s">
        <v>79</v>
      </c>
      <c r="V3224" s="13" t="s">
        <v>126</v>
      </c>
      <c r="W3224" s="13" t="s">
        <v>109</v>
      </c>
      <c r="X3224" s="135">
        <v>12600000</v>
      </c>
      <c r="Y3224" s="157" t="str">
        <f t="shared" si="965"/>
        <v>1</v>
      </c>
      <c r="Z3224" s="18">
        <f t="shared" si="964"/>
        <v>12600000</v>
      </c>
      <c r="AA3224" s="13">
        <v>7.2800000000000004E-2</v>
      </c>
      <c r="AB3224" s="21">
        <f t="shared" si="950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1"/>
        <v>63006605.696460173</v>
      </c>
      <c r="AJ3224" s="19">
        <f t="shared" si="952"/>
        <v>8897485.660753984</v>
      </c>
      <c r="AK3224" s="20">
        <f t="shared" si="958"/>
        <v>0.141215124388995</v>
      </c>
      <c r="AL3224" s="17"/>
      <c r="AM3224" s="17"/>
      <c r="AN3224" s="17"/>
      <c r="AO3224" s="17"/>
      <c r="AP3224" s="28" t="str">
        <f t="shared" si="959"/>
        <v>20215</v>
      </c>
      <c r="AQ3224" s="28" t="str">
        <f t="shared" si="960"/>
        <v>20215JPY</v>
      </c>
      <c r="AR3224" s="206" t="str">
        <f t="shared" si="961"/>
        <v>YAMAHA_Mounter</v>
      </c>
      <c r="AS3224" s="22">
        <f t="shared" si="962"/>
        <v>1</v>
      </c>
      <c r="AT3224" s="24" t="str">
        <f t="shared" si="963"/>
        <v>0-3 months</v>
      </c>
      <c r="AU3224" s="22" t="s">
        <v>3745</v>
      </c>
    </row>
    <row r="3225" spans="1:47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53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1759</v>
      </c>
      <c r="K3225" s="155" t="s">
        <v>1605</v>
      </c>
      <c r="L3225" s="17" t="s">
        <v>67</v>
      </c>
      <c r="M3225" s="13" t="s">
        <v>60</v>
      </c>
      <c r="N3225" s="13">
        <v>1</v>
      </c>
      <c r="O3225" s="13"/>
      <c r="P3225" s="33" t="str">
        <f t="shared" si="966"/>
        <v>MAIN UNIT</v>
      </c>
      <c r="Q3225" s="13" t="s">
        <v>61</v>
      </c>
      <c r="R3225" s="13" t="s">
        <v>62</v>
      </c>
      <c r="S3225" s="13" t="s">
        <v>49</v>
      </c>
      <c r="T3225" s="13" t="s">
        <v>78</v>
      </c>
      <c r="U3225" s="13" t="s">
        <v>79</v>
      </c>
      <c r="V3225" s="13" t="s">
        <v>126</v>
      </c>
      <c r="W3225" s="13" t="s">
        <v>109</v>
      </c>
      <c r="X3225" s="135">
        <v>9408000</v>
      </c>
      <c r="Y3225" s="157" t="str">
        <f t="shared" si="965"/>
        <v>1</v>
      </c>
      <c r="Z3225" s="18">
        <f t="shared" si="964"/>
        <v>9408000</v>
      </c>
      <c r="AA3225" s="13">
        <v>7.2800000000000004E-2</v>
      </c>
      <c r="AB3225" s="21">
        <f t="shared" si="950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1"/>
        <v>63006605.696460173</v>
      </c>
      <c r="AJ3225" s="19">
        <f t="shared" si="952"/>
        <v>8897485.660753984</v>
      </c>
      <c r="AK3225" s="20">
        <f t="shared" si="958"/>
        <v>0.141215124388995</v>
      </c>
      <c r="AL3225" s="17"/>
      <c r="AM3225" s="17"/>
      <c r="AN3225" s="17"/>
      <c r="AO3225" s="17"/>
      <c r="AP3225" s="28" t="str">
        <f t="shared" si="959"/>
        <v>20215</v>
      </c>
      <c r="AQ3225" s="28" t="str">
        <f t="shared" si="960"/>
        <v>20215JPY</v>
      </c>
      <c r="AR3225" s="206" t="str">
        <f t="shared" si="961"/>
        <v>YAMAHA_Mounter</v>
      </c>
      <c r="AS3225" s="22">
        <f t="shared" si="962"/>
        <v>1</v>
      </c>
      <c r="AT3225" s="24" t="str">
        <f t="shared" si="963"/>
        <v>0-3 months</v>
      </c>
      <c r="AU3225" s="22" t="s">
        <v>3745</v>
      </c>
    </row>
    <row r="3226" spans="1:47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54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2043</v>
      </c>
      <c r="K3226" s="155" t="s">
        <v>1605</v>
      </c>
      <c r="L3226" s="17" t="s">
        <v>92</v>
      </c>
      <c r="M3226" s="13" t="s">
        <v>60</v>
      </c>
      <c r="N3226" s="13">
        <v>1</v>
      </c>
      <c r="O3226" s="13"/>
      <c r="P3226" s="33" t="str">
        <f t="shared" si="966"/>
        <v>MAIN UNIT</v>
      </c>
      <c r="Q3226" s="13" t="s">
        <v>61</v>
      </c>
      <c r="R3226" s="13" t="s">
        <v>62</v>
      </c>
      <c r="S3226" s="13" t="s">
        <v>49</v>
      </c>
      <c r="T3226" s="13" t="s">
        <v>78</v>
      </c>
      <c r="U3226" s="13" t="s">
        <v>79</v>
      </c>
      <c r="V3226" s="13" t="s">
        <v>126</v>
      </c>
      <c r="W3226" s="13" t="s">
        <v>109</v>
      </c>
      <c r="X3226" s="135">
        <v>15220000</v>
      </c>
      <c r="Y3226" s="157" t="str">
        <f t="shared" si="965"/>
        <v>1</v>
      </c>
      <c r="Z3226" s="18">
        <f t="shared" si="964"/>
        <v>15220000</v>
      </c>
      <c r="AA3226" s="13">
        <v>5.8700000000000002E-2</v>
      </c>
      <c r="AB3226" s="21">
        <f t="shared" si="950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1"/>
        <v>36480247.665929198</v>
      </c>
      <c r="AJ3226" s="19">
        <f t="shared" si="952"/>
        <v>5330996.6372757526</v>
      </c>
      <c r="AK3226" s="20">
        <f t="shared" si="958"/>
        <v>0.14613378412599562</v>
      </c>
      <c r="AL3226" s="17"/>
      <c r="AM3226" s="17"/>
      <c r="AN3226" s="17"/>
      <c r="AO3226" s="17" t="s">
        <v>2044</v>
      </c>
      <c r="AP3226" s="28" t="str">
        <f t="shared" si="959"/>
        <v>20227</v>
      </c>
      <c r="AQ3226" s="28" t="str">
        <f t="shared" si="960"/>
        <v>20227JPY</v>
      </c>
      <c r="AR3226" s="206" t="str">
        <f t="shared" si="961"/>
        <v>YAMAHA_Mounter</v>
      </c>
      <c r="AS3226" s="22">
        <f t="shared" si="962"/>
        <v>15</v>
      </c>
      <c r="AT3226" s="24" t="str">
        <f t="shared" si="963"/>
        <v>&gt; 6 months</v>
      </c>
      <c r="AU3226" s="22" t="s">
        <v>3745</v>
      </c>
    </row>
    <row r="3227" spans="1:47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185</v>
      </c>
      <c r="F3227" s="13" t="s">
        <v>185</v>
      </c>
      <c r="G3227" s="152" t="s">
        <v>1616</v>
      </c>
      <c r="H3227" s="155" t="s">
        <v>2081</v>
      </c>
      <c r="I3227" s="33" t="str">
        <f t="shared" si="955"/>
        <v>Cancel</v>
      </c>
      <c r="J3227" s="186" t="s">
        <v>2082</v>
      </c>
      <c r="K3227" s="155" t="s">
        <v>1605</v>
      </c>
      <c r="L3227" s="17" t="s">
        <v>92</v>
      </c>
      <c r="M3227" s="13" t="s">
        <v>60</v>
      </c>
      <c r="N3227" s="13">
        <v>1</v>
      </c>
      <c r="O3227" s="13"/>
      <c r="P3227" s="33" t="str">
        <f t="shared" si="966"/>
        <v>MAIN UNIT</v>
      </c>
      <c r="Q3227" s="13" t="s">
        <v>61</v>
      </c>
      <c r="R3227" s="13" t="s">
        <v>62</v>
      </c>
      <c r="S3227" s="13" t="s">
        <v>49</v>
      </c>
      <c r="T3227" s="13" t="s">
        <v>78</v>
      </c>
      <c r="U3227" s="13" t="s">
        <v>79</v>
      </c>
      <c r="V3227" s="13" t="s">
        <v>126</v>
      </c>
      <c r="W3227" s="13" t="s">
        <v>109</v>
      </c>
      <c r="X3227" s="135">
        <v>12600000</v>
      </c>
      <c r="Y3227" s="157" t="str">
        <f t="shared" si="965"/>
        <v>1</v>
      </c>
      <c r="Z3227" s="18">
        <f t="shared" si="964"/>
        <v>12600000</v>
      </c>
      <c r="AA3227" s="13">
        <v>6.25E-2</v>
      </c>
      <c r="AB3227" s="21">
        <f t="shared" si="950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1"/>
        <v>499582152.5142017</v>
      </c>
      <c r="AJ3227" s="19">
        <f t="shared" si="952"/>
        <v>59520528.679470733</v>
      </c>
      <c r="AK3227" s="20">
        <f t="shared" si="958"/>
        <v>0.11914062257814291</v>
      </c>
      <c r="AL3227" s="17"/>
      <c r="AM3227" s="17"/>
      <c r="AN3227" s="17"/>
      <c r="AO3227" s="17"/>
      <c r="AP3227" s="28" t="str">
        <f t="shared" si="959"/>
        <v>CancelCANCEL</v>
      </c>
      <c r="AQ3227" s="28" t="str">
        <f t="shared" si="960"/>
        <v>CancelCANCELJPY</v>
      </c>
      <c r="AR3227" s="206" t="str">
        <f t="shared" si="961"/>
        <v>YAMAHA_Mounter</v>
      </c>
      <c r="AS3227" s="22" t="str">
        <f t="shared" si="962"/>
        <v/>
      </c>
      <c r="AT3227" s="24" t="str">
        <f t="shared" si="963"/>
        <v/>
      </c>
      <c r="AU3227" s="22" t="s">
        <v>3240</v>
      </c>
    </row>
    <row r="3228" spans="1:47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185</v>
      </c>
      <c r="F3228" s="13" t="s">
        <v>185</v>
      </c>
      <c r="G3228" s="152" t="s">
        <v>1616</v>
      </c>
      <c r="H3228" s="155" t="s">
        <v>2081</v>
      </c>
      <c r="I3228" s="33" t="str">
        <f t="shared" si="955"/>
        <v>Cancel</v>
      </c>
      <c r="J3228" s="186" t="s">
        <v>2082</v>
      </c>
      <c r="K3228" s="155" t="s">
        <v>1605</v>
      </c>
      <c r="L3228" s="17" t="s">
        <v>67</v>
      </c>
      <c r="M3228" s="13" t="s">
        <v>60</v>
      </c>
      <c r="N3228" s="13">
        <v>1</v>
      </c>
      <c r="O3228" s="13"/>
      <c r="P3228" s="33" t="str">
        <f t="shared" si="966"/>
        <v>MAIN UNIT</v>
      </c>
      <c r="Q3228" s="13" t="s">
        <v>61</v>
      </c>
      <c r="R3228" s="13" t="s">
        <v>62</v>
      </c>
      <c r="S3228" s="13" t="s">
        <v>49</v>
      </c>
      <c r="T3228" s="13" t="s">
        <v>78</v>
      </c>
      <c r="U3228" s="13" t="s">
        <v>79</v>
      </c>
      <c r="V3228" s="13" t="s">
        <v>126</v>
      </c>
      <c r="W3228" s="13" t="s">
        <v>109</v>
      </c>
      <c r="X3228" s="135">
        <v>8958000</v>
      </c>
      <c r="Y3228" s="157" t="str">
        <f t="shared" si="965"/>
        <v>1</v>
      </c>
      <c r="Z3228" s="18">
        <f t="shared" si="964"/>
        <v>8958000</v>
      </c>
      <c r="AA3228" s="13">
        <v>6.25E-2</v>
      </c>
      <c r="AB3228" s="21">
        <f t="shared" si="950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1"/>
        <v>499582152.5142017</v>
      </c>
      <c r="AJ3228" s="19">
        <f t="shared" si="952"/>
        <v>59520528.679470733</v>
      </c>
      <c r="AK3228" s="20">
        <f t="shared" si="958"/>
        <v>0.11914062257814291</v>
      </c>
      <c r="AL3228" s="17"/>
      <c r="AM3228" s="17"/>
      <c r="AN3228" s="17"/>
      <c r="AO3228" s="17"/>
      <c r="AP3228" s="28" t="str">
        <f t="shared" si="959"/>
        <v>CancelCANCEL</v>
      </c>
      <c r="AQ3228" s="28" t="str">
        <f t="shared" si="960"/>
        <v>CancelCANCELJPY</v>
      </c>
      <c r="AR3228" s="206" t="str">
        <f t="shared" si="961"/>
        <v>YAMAHA_Mounter</v>
      </c>
      <c r="AS3228" s="22" t="str">
        <f t="shared" si="962"/>
        <v/>
      </c>
      <c r="AT3228" s="24" t="str">
        <f t="shared" si="963"/>
        <v/>
      </c>
      <c r="AU3228" s="22" t="s">
        <v>3240</v>
      </c>
    </row>
    <row r="3229" spans="1:47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55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2615</v>
      </c>
      <c r="K3229" s="155" t="s">
        <v>2616</v>
      </c>
      <c r="L3229" s="17" t="s">
        <v>92</v>
      </c>
      <c r="M3229" s="13" t="s">
        <v>60</v>
      </c>
      <c r="N3229" s="13">
        <v>1</v>
      </c>
      <c r="O3229" s="13"/>
      <c r="P3229" s="33" t="str">
        <f t="shared" si="966"/>
        <v>MAIN UNIT</v>
      </c>
      <c r="Q3229" s="13" t="s">
        <v>61</v>
      </c>
      <c r="R3229" s="13" t="s">
        <v>62</v>
      </c>
      <c r="S3229" s="13" t="s">
        <v>49</v>
      </c>
      <c r="T3229" s="13" t="s">
        <v>78</v>
      </c>
      <c r="U3229" s="13" t="s">
        <v>79</v>
      </c>
      <c r="V3229" s="13" t="s">
        <v>126</v>
      </c>
      <c r="W3229" s="13" t="s">
        <v>109</v>
      </c>
      <c r="X3229" s="135">
        <v>12500000</v>
      </c>
      <c r="Y3229" s="157" t="str">
        <f t="shared" si="965"/>
        <v>1</v>
      </c>
      <c r="Z3229" s="18">
        <v>13000000</v>
      </c>
      <c r="AA3229" s="13">
        <v>5.3400000000000003E-2</v>
      </c>
      <c r="AB3229" s="21">
        <f t="shared" si="950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1"/>
        <v>5219988.5752212387</v>
      </c>
      <c r="AJ3229" s="19">
        <f t="shared" si="952"/>
        <v>631627.0013460177</v>
      </c>
      <c r="AK3229" s="20">
        <f t="shared" si="958"/>
        <v>0.12100160608478869</v>
      </c>
      <c r="AL3229" s="17"/>
      <c r="AM3229" s="17"/>
      <c r="AN3229" s="17"/>
      <c r="AO3229" s="17"/>
      <c r="AP3229" s="28" t="str">
        <f t="shared" si="959"/>
        <v>202310</v>
      </c>
      <c r="AQ3229" s="28" t="str">
        <f t="shared" si="960"/>
        <v>202310JPY</v>
      </c>
      <c r="AR3229" s="206" t="str">
        <f t="shared" si="961"/>
        <v>YAMAHA_Mounter</v>
      </c>
      <c r="AS3229" s="22">
        <f t="shared" si="962"/>
        <v>1</v>
      </c>
      <c r="AT3229" s="24" t="str">
        <f t="shared" si="963"/>
        <v>0-3 months</v>
      </c>
      <c r="AU3229" s="22" t="s">
        <v>3240</v>
      </c>
    </row>
    <row r="3230" spans="1:47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55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2522</v>
      </c>
      <c r="K3230" s="155" t="s">
        <v>2523</v>
      </c>
      <c r="L3230" s="17" t="s">
        <v>67</v>
      </c>
      <c r="M3230" s="13" t="s">
        <v>60</v>
      </c>
      <c r="N3230" s="13">
        <v>1</v>
      </c>
      <c r="O3230" s="13"/>
      <c r="P3230" s="33" t="str">
        <f t="shared" si="966"/>
        <v>MAIN UNIT</v>
      </c>
      <c r="Q3230" s="13" t="s">
        <v>68</v>
      </c>
      <c r="R3230" s="13" t="s">
        <v>62</v>
      </c>
      <c r="S3230" s="13" t="s">
        <v>49</v>
      </c>
      <c r="T3230" s="13" t="s">
        <v>78</v>
      </c>
      <c r="U3230" s="13" t="s">
        <v>79</v>
      </c>
      <c r="V3230" s="13" t="s">
        <v>1407</v>
      </c>
      <c r="W3230" s="13" t="s">
        <v>64</v>
      </c>
      <c r="X3230" s="135">
        <v>460000</v>
      </c>
      <c r="Y3230" s="157" t="str">
        <f t="shared" si="965"/>
        <v>1.13</v>
      </c>
      <c r="Z3230" s="18">
        <f t="shared" ref="Z3230:Z3293" si="967">IF(X3230="","",X3230*MAX(O3230,N3230))</f>
        <v>460000</v>
      </c>
      <c r="AA3230" s="13">
        <v>1.105</v>
      </c>
      <c r="AB3230" s="21">
        <f t="shared" si="950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1"/>
        <v>13640480.497522123</v>
      </c>
      <c r="AJ3230" s="19">
        <f t="shared" si="952"/>
        <v>1928605.8020906283</v>
      </c>
      <c r="AK3230" s="20">
        <f t="shared" si="958"/>
        <v>0.1413884065477731</v>
      </c>
      <c r="AL3230" s="17"/>
      <c r="AM3230" s="17"/>
      <c r="AN3230" s="17"/>
      <c r="AO3230" s="17"/>
      <c r="AP3230" s="28" t="str">
        <f t="shared" si="959"/>
        <v>20236</v>
      </c>
      <c r="AQ3230" s="28" t="str">
        <f t="shared" si="960"/>
        <v>20236RMB</v>
      </c>
      <c r="AR3230" s="206" t="str">
        <f t="shared" si="961"/>
        <v>YAMAHA_Mounter</v>
      </c>
      <c r="AS3230" s="22">
        <f t="shared" si="962"/>
        <v>1</v>
      </c>
      <c r="AT3230" s="24" t="str">
        <f t="shared" si="963"/>
        <v>0-3 months</v>
      </c>
      <c r="AU3230" s="22" t="s">
        <v>3751</v>
      </c>
    </row>
    <row r="3231" spans="1:47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55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3326</v>
      </c>
      <c r="K3231" s="155" t="s">
        <v>3325</v>
      </c>
      <c r="L3231" s="17" t="s">
        <v>92</v>
      </c>
      <c r="M3231" s="13" t="s">
        <v>60</v>
      </c>
      <c r="N3231" s="13">
        <v>1</v>
      </c>
      <c r="O3231" s="13"/>
      <c r="P3231" s="33" t="str">
        <f t="shared" si="966"/>
        <v>MAIN UNIT</v>
      </c>
      <c r="Q3231" s="13" t="s">
        <v>68</v>
      </c>
      <c r="R3231" s="13" t="s">
        <v>62</v>
      </c>
      <c r="S3231" s="13" t="s">
        <v>49</v>
      </c>
      <c r="T3231" s="13" t="s">
        <v>78</v>
      </c>
      <c r="U3231" s="13" t="s">
        <v>79</v>
      </c>
      <c r="V3231" s="13" t="s">
        <v>2627</v>
      </c>
      <c r="W3231" s="13" t="s">
        <v>1341</v>
      </c>
      <c r="X3231" s="135">
        <v>13600000</v>
      </c>
      <c r="Y3231" s="157" t="str">
        <f t="shared" si="965"/>
        <v>1</v>
      </c>
      <c r="Z3231" s="18">
        <f t="shared" si="967"/>
        <v>13600000</v>
      </c>
      <c r="AA3231" s="13">
        <v>5.3100000000000001E-2</v>
      </c>
      <c r="AB3231" s="21">
        <f t="shared" si="950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1"/>
        <v>21241742.157380536</v>
      </c>
      <c r="AJ3231" s="19">
        <f t="shared" si="952"/>
        <v>2987081.1613773629</v>
      </c>
      <c r="AK3231" s="20">
        <f t="shared" si="958"/>
        <v>0.14062317201884914</v>
      </c>
      <c r="AL3231" s="17"/>
      <c r="AM3231" s="17"/>
      <c r="AN3231" s="17"/>
      <c r="AO3231" s="17"/>
      <c r="AP3231" s="28" t="str">
        <f t="shared" si="959"/>
        <v>20243</v>
      </c>
      <c r="AQ3231" s="28" t="str">
        <f t="shared" si="960"/>
        <v>20243JPY</v>
      </c>
      <c r="AR3231" s="206" t="str">
        <f t="shared" si="961"/>
        <v>YAMAHA_Mounter</v>
      </c>
      <c r="AS3231" s="22">
        <f t="shared" si="962"/>
        <v>36</v>
      </c>
      <c r="AT3231" s="24" t="str">
        <f t="shared" si="963"/>
        <v>&gt; 6 months</v>
      </c>
      <c r="AU3231" s="22" t="s">
        <v>3745</v>
      </c>
    </row>
    <row r="3232" spans="1:47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41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217</v>
      </c>
      <c r="K3232" s="155" t="s">
        <v>218</v>
      </c>
      <c r="L3232" s="17" t="s">
        <v>92</v>
      </c>
      <c r="M3232" s="13" t="s">
        <v>60</v>
      </c>
      <c r="N3232" s="13">
        <v>1</v>
      </c>
      <c r="O3232" s="13"/>
      <c r="P3232" s="33" t="str">
        <f t="shared" si="966"/>
        <v>MAIN UNIT</v>
      </c>
      <c r="Q3232" s="13" t="s">
        <v>61</v>
      </c>
      <c r="R3232" s="13" t="s">
        <v>62</v>
      </c>
      <c r="S3232" s="13" t="s">
        <v>51</v>
      </c>
      <c r="T3232" s="13" t="s">
        <v>219</v>
      </c>
      <c r="U3232" s="13" t="s">
        <v>149</v>
      </c>
      <c r="V3232" s="13" t="s">
        <v>220</v>
      </c>
      <c r="W3232" s="13" t="s">
        <v>64</v>
      </c>
      <c r="X3232" s="135">
        <v>965000</v>
      </c>
      <c r="Y3232" s="156">
        <v>1.1599999999999999</v>
      </c>
      <c r="Z3232" s="18">
        <f t="shared" si="967"/>
        <v>965000</v>
      </c>
      <c r="AA3232" s="13">
        <v>1.23</v>
      </c>
      <c r="AB3232" s="21">
        <f t="shared" si="950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1"/>
        <v>24398045.86045352</v>
      </c>
      <c r="AJ3232" s="19">
        <f t="shared" si="952"/>
        <v>3478417.4064663448</v>
      </c>
      <c r="AK3232" s="20">
        <f t="shared" si="958"/>
        <v>0.14256950849102498</v>
      </c>
      <c r="AL3232" s="17"/>
      <c r="AM3232" s="17"/>
      <c r="AN3232" s="17"/>
      <c r="AO3232" s="17" t="s">
        <v>221</v>
      </c>
      <c r="AP3232" s="28" t="str">
        <f t="shared" si="959"/>
        <v>20186</v>
      </c>
      <c r="AQ3232" s="28" t="str">
        <f t="shared" si="960"/>
        <v>20186RMB</v>
      </c>
      <c r="AR3232" s="206" t="str">
        <f t="shared" si="961"/>
        <v>YAMAHA_Mounter</v>
      </c>
      <c r="AS3232" s="22">
        <f t="shared" si="962"/>
        <v>2</v>
      </c>
      <c r="AT3232" s="24" t="str">
        <f t="shared" si="963"/>
        <v>0-3 months</v>
      </c>
      <c r="AU3232" s="22" t="s">
        <v>3240</v>
      </c>
    </row>
    <row r="3233" spans="1:47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48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995</v>
      </c>
      <c r="K3233" s="155" t="s">
        <v>996</v>
      </c>
      <c r="L3233" s="17" t="s">
        <v>92</v>
      </c>
      <c r="M3233" s="13" t="s">
        <v>60</v>
      </c>
      <c r="N3233" s="13">
        <v>1</v>
      </c>
      <c r="O3233" s="13"/>
      <c r="P3233" s="33" t="str">
        <f t="shared" si="966"/>
        <v>MAIN UNIT</v>
      </c>
      <c r="Q3233" s="13" t="s">
        <v>68</v>
      </c>
      <c r="R3233" s="13" t="s">
        <v>62</v>
      </c>
      <c r="S3233" s="13" t="s">
        <v>49</v>
      </c>
      <c r="T3233" s="13" t="s">
        <v>78</v>
      </c>
      <c r="U3233" s="13" t="s">
        <v>79</v>
      </c>
      <c r="V3233" s="13" t="s">
        <v>725</v>
      </c>
      <c r="W3233" s="13" t="s">
        <v>64</v>
      </c>
      <c r="X3233" s="135">
        <v>1000000</v>
      </c>
      <c r="Y3233" s="156">
        <v>1.1299999999999999</v>
      </c>
      <c r="Z3233" s="18">
        <f t="shared" si="967"/>
        <v>1000000</v>
      </c>
      <c r="AA3233" s="13">
        <v>1.095</v>
      </c>
      <c r="AB3233" s="21">
        <f t="shared" si="950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1"/>
        <v>33477255.428389374</v>
      </c>
      <c r="AJ3233" s="19">
        <f t="shared" si="952"/>
        <v>4578663.362915583</v>
      </c>
      <c r="AK3233" s="20">
        <f t="shared" si="958"/>
        <v>0.13676937682988152</v>
      </c>
      <c r="AL3233" s="17"/>
      <c r="AM3233" s="17"/>
      <c r="AN3233" s="17"/>
      <c r="AO3233" s="17"/>
      <c r="AP3233" s="28" t="str">
        <f t="shared" si="959"/>
        <v>20204</v>
      </c>
      <c r="AQ3233" s="28" t="str">
        <f t="shared" si="960"/>
        <v>20204RMB</v>
      </c>
      <c r="AR3233" s="206" t="str">
        <f t="shared" si="961"/>
        <v>YAMAHA_Mounter</v>
      </c>
      <c r="AS3233" s="22">
        <f t="shared" si="962"/>
        <v>6</v>
      </c>
      <c r="AT3233" s="24" t="str">
        <f t="shared" si="963"/>
        <v>4-6 months</v>
      </c>
      <c r="AU3233" s="22" t="s">
        <v>3744</v>
      </c>
    </row>
    <row r="3234" spans="1:47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48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995</v>
      </c>
      <c r="K3234" s="155" t="s">
        <v>996</v>
      </c>
      <c r="L3234" s="17" t="s">
        <v>67</v>
      </c>
      <c r="M3234" s="13" t="s">
        <v>60</v>
      </c>
      <c r="N3234" s="13">
        <v>1</v>
      </c>
      <c r="O3234" s="13"/>
      <c r="P3234" s="33" t="str">
        <f t="shared" si="966"/>
        <v>MAIN UNIT</v>
      </c>
      <c r="Q3234" s="13" t="s">
        <v>68</v>
      </c>
      <c r="R3234" s="13" t="s">
        <v>62</v>
      </c>
      <c r="S3234" s="13" t="s">
        <v>49</v>
      </c>
      <c r="T3234" s="13" t="s">
        <v>78</v>
      </c>
      <c r="U3234" s="13" t="s">
        <v>79</v>
      </c>
      <c r="V3234" s="13" t="s">
        <v>725</v>
      </c>
      <c r="W3234" s="13" t="s">
        <v>64</v>
      </c>
      <c r="X3234" s="135">
        <v>800000</v>
      </c>
      <c r="Y3234" s="156">
        <v>1.1299999999999999</v>
      </c>
      <c r="Z3234" s="18">
        <f t="shared" si="967"/>
        <v>800000</v>
      </c>
      <c r="AA3234" s="13">
        <v>1.095</v>
      </c>
      <c r="AB3234" s="21">
        <f t="shared" si="950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1"/>
        <v>33477255.428389374</v>
      </c>
      <c r="AJ3234" s="19">
        <f t="shared" si="952"/>
        <v>4578663.362915583</v>
      </c>
      <c r="AK3234" s="20">
        <f t="shared" si="958"/>
        <v>0.13676937682988152</v>
      </c>
      <c r="AL3234" s="17"/>
      <c r="AM3234" s="17"/>
      <c r="AN3234" s="17"/>
      <c r="AO3234" s="17"/>
      <c r="AP3234" s="28" t="str">
        <f t="shared" si="959"/>
        <v>20204</v>
      </c>
      <c r="AQ3234" s="28" t="str">
        <f t="shared" si="960"/>
        <v>20204RMB</v>
      </c>
      <c r="AR3234" s="206" t="str">
        <f t="shared" si="961"/>
        <v>YAMAHA_Mounter</v>
      </c>
      <c r="AS3234" s="22">
        <f t="shared" si="962"/>
        <v>6</v>
      </c>
      <c r="AT3234" s="24" t="str">
        <f t="shared" si="963"/>
        <v>4-6 months</v>
      </c>
      <c r="AU3234" s="22" t="s">
        <v>3744</v>
      </c>
    </row>
    <row r="3235" spans="1:47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47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1257</v>
      </c>
      <c r="K3235" s="155" t="s">
        <v>1258</v>
      </c>
      <c r="L3235" s="17" t="s">
        <v>67</v>
      </c>
      <c r="M3235" s="13" t="s">
        <v>60</v>
      </c>
      <c r="N3235" s="13">
        <v>1</v>
      </c>
      <c r="O3235" s="13"/>
      <c r="P3235" s="33" t="str">
        <f t="shared" si="966"/>
        <v>MAIN UNIT</v>
      </c>
      <c r="Q3235" s="13" t="s">
        <v>68</v>
      </c>
      <c r="R3235" s="13" t="s">
        <v>62</v>
      </c>
      <c r="S3235" s="13" t="s">
        <v>49</v>
      </c>
      <c r="T3235" s="13" t="s">
        <v>78</v>
      </c>
      <c r="U3235" s="13" t="s">
        <v>79</v>
      </c>
      <c r="V3235" s="13" t="s">
        <v>112</v>
      </c>
      <c r="W3235" s="13" t="s">
        <v>109</v>
      </c>
      <c r="X3235" s="135">
        <v>8367850</v>
      </c>
      <c r="Y3235" s="156">
        <v>1</v>
      </c>
      <c r="Z3235" s="18">
        <f t="shared" si="967"/>
        <v>8367850</v>
      </c>
      <c r="AA3235" s="13">
        <v>7.2999999999999995E-2</v>
      </c>
      <c r="AB3235" s="21">
        <f t="shared" si="950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1"/>
        <v>23168285.927433632</v>
      </c>
      <c r="AJ3235" s="19">
        <f t="shared" si="952"/>
        <v>2764878.916878053</v>
      </c>
      <c r="AK3235" s="20">
        <f t="shared" si="958"/>
        <v>0.11933895004309111</v>
      </c>
      <c r="AL3235" s="17"/>
      <c r="AM3235" s="17"/>
      <c r="AN3235" s="17"/>
      <c r="AO3235" s="17"/>
      <c r="AP3235" s="28" t="str">
        <f t="shared" si="959"/>
        <v>20203</v>
      </c>
      <c r="AQ3235" s="28" t="str">
        <f t="shared" si="960"/>
        <v>20203JPY</v>
      </c>
      <c r="AR3235" s="206" t="str">
        <f t="shared" si="961"/>
        <v>YAMAHA_Mounter</v>
      </c>
      <c r="AS3235" s="22">
        <f t="shared" si="962"/>
        <v>2</v>
      </c>
      <c r="AT3235" s="24" t="str">
        <f t="shared" si="963"/>
        <v>0-3 months</v>
      </c>
      <c r="AU3235" s="22" t="s">
        <v>3745</v>
      </c>
    </row>
    <row r="3236" spans="1:47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47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1257</v>
      </c>
      <c r="K3236" s="155" t="s">
        <v>1258</v>
      </c>
      <c r="L3236" s="17" t="s">
        <v>67</v>
      </c>
      <c r="M3236" s="13" t="s">
        <v>60</v>
      </c>
      <c r="N3236" s="13">
        <v>1</v>
      </c>
      <c r="O3236" s="13"/>
      <c r="P3236" s="33" t="str">
        <f t="shared" si="966"/>
        <v>MAIN UNIT</v>
      </c>
      <c r="Q3236" s="13" t="s">
        <v>68</v>
      </c>
      <c r="R3236" s="13" t="s">
        <v>62</v>
      </c>
      <c r="S3236" s="13" t="s">
        <v>49</v>
      </c>
      <c r="T3236" s="13" t="s">
        <v>78</v>
      </c>
      <c r="U3236" s="13" t="s">
        <v>79</v>
      </c>
      <c r="V3236" s="13" t="s">
        <v>112</v>
      </c>
      <c r="W3236" s="13" t="s">
        <v>109</v>
      </c>
      <c r="X3236" s="135">
        <v>8367850</v>
      </c>
      <c r="Y3236" s="156">
        <v>1</v>
      </c>
      <c r="Z3236" s="18">
        <f t="shared" si="967"/>
        <v>8367850</v>
      </c>
      <c r="AA3236" s="13">
        <v>7.2999999999999995E-2</v>
      </c>
      <c r="AB3236" s="21">
        <f t="shared" si="950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1"/>
        <v>23168285.927433632</v>
      </c>
      <c r="AJ3236" s="19">
        <f t="shared" si="952"/>
        <v>2764878.916878053</v>
      </c>
      <c r="AK3236" s="20">
        <f t="shared" si="958"/>
        <v>0.11933895004309111</v>
      </c>
      <c r="AL3236" s="17"/>
      <c r="AM3236" s="17"/>
      <c r="AN3236" s="17"/>
      <c r="AO3236" s="17"/>
      <c r="AP3236" s="28" t="str">
        <f t="shared" si="959"/>
        <v>20203</v>
      </c>
      <c r="AQ3236" s="28" t="str">
        <f t="shared" si="960"/>
        <v>20203JPY</v>
      </c>
      <c r="AR3236" s="206" t="str">
        <f t="shared" si="961"/>
        <v>YAMAHA_Mounter</v>
      </c>
      <c r="AS3236" s="22">
        <f t="shared" si="962"/>
        <v>2</v>
      </c>
      <c r="AT3236" s="24" t="str">
        <f t="shared" si="963"/>
        <v>0-3 months</v>
      </c>
      <c r="AU3236" s="22" t="s">
        <v>3745</v>
      </c>
    </row>
    <row r="3237" spans="1:47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53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1678</v>
      </c>
      <c r="K3237" s="155" t="s">
        <v>1258</v>
      </c>
      <c r="L3237" s="17" t="s">
        <v>92</v>
      </c>
      <c r="M3237" s="13" t="s">
        <v>60</v>
      </c>
      <c r="N3237" s="13">
        <v>1</v>
      </c>
      <c r="O3237" s="13"/>
      <c r="P3237" s="33" t="str">
        <f t="shared" si="966"/>
        <v>MAIN UNIT</v>
      </c>
      <c r="Q3237" s="13" t="s">
        <v>61</v>
      </c>
      <c r="R3237" s="13" t="s">
        <v>62</v>
      </c>
      <c r="S3237" s="13" t="s">
        <v>49</v>
      </c>
      <c r="T3237" s="13" t="s">
        <v>78</v>
      </c>
      <c r="U3237" s="13" t="s">
        <v>79</v>
      </c>
      <c r="V3237" s="13" t="s">
        <v>112</v>
      </c>
      <c r="W3237" s="13" t="s">
        <v>109</v>
      </c>
      <c r="X3237" s="135">
        <v>13000000</v>
      </c>
      <c r="Y3237" s="157" t="str">
        <f t="shared" ref="Y3237:Y3242" si="968">IF(W3237="RMB","1.13", "1")</f>
        <v>1</v>
      </c>
      <c r="Z3237" s="18">
        <f t="shared" si="967"/>
        <v>13000000</v>
      </c>
      <c r="AA3237" s="13">
        <v>7.17E-2</v>
      </c>
      <c r="AB3237" s="21">
        <f t="shared" si="950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1"/>
        <v>43684091.636631854</v>
      </c>
      <c r="AJ3237" s="19">
        <f t="shared" si="952"/>
        <v>6483951.8242071122</v>
      </c>
      <c r="AK3237" s="20">
        <f t="shared" si="958"/>
        <v>0.14842821680123736</v>
      </c>
      <c r="AL3237" s="17"/>
      <c r="AM3237" s="17"/>
      <c r="AN3237" s="17"/>
      <c r="AO3237" s="17"/>
      <c r="AP3237" s="28" t="str">
        <f t="shared" si="959"/>
        <v>20214</v>
      </c>
      <c r="AQ3237" s="28" t="str">
        <f t="shared" si="960"/>
        <v>20214JPY</v>
      </c>
      <c r="AR3237" s="206" t="str">
        <f t="shared" si="961"/>
        <v>YAMAHA_Mounter</v>
      </c>
      <c r="AS3237" s="22">
        <f t="shared" si="962"/>
        <v>3</v>
      </c>
      <c r="AT3237" s="24" t="str">
        <f t="shared" si="963"/>
        <v>0-3 months</v>
      </c>
      <c r="AU3237" s="22" t="s">
        <v>3745</v>
      </c>
    </row>
    <row r="3238" spans="1:47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53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1678</v>
      </c>
      <c r="K3238" s="155" t="s">
        <v>1258</v>
      </c>
      <c r="L3238" s="17" t="s">
        <v>67</v>
      </c>
      <c r="M3238" s="13" t="s">
        <v>60</v>
      </c>
      <c r="N3238" s="13">
        <v>1</v>
      </c>
      <c r="O3238" s="13"/>
      <c r="P3238" s="33" t="str">
        <f t="shared" si="966"/>
        <v>MAIN UNIT</v>
      </c>
      <c r="Q3238" s="13" t="s">
        <v>61</v>
      </c>
      <c r="R3238" s="13" t="s">
        <v>62</v>
      </c>
      <c r="S3238" s="13" t="s">
        <v>49</v>
      </c>
      <c r="T3238" s="13" t="s">
        <v>78</v>
      </c>
      <c r="U3238" s="13" t="s">
        <v>79</v>
      </c>
      <c r="V3238" s="13" t="s">
        <v>112</v>
      </c>
      <c r="W3238" s="13" t="s">
        <v>109</v>
      </c>
      <c r="X3238" s="135">
        <v>7907000</v>
      </c>
      <c r="Y3238" s="157" t="str">
        <f t="shared" si="968"/>
        <v>1</v>
      </c>
      <c r="Z3238" s="18">
        <f t="shared" si="967"/>
        <v>7907000</v>
      </c>
      <c r="AA3238" s="13">
        <v>7.17E-2</v>
      </c>
      <c r="AB3238" s="21">
        <f t="shared" si="950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1"/>
        <v>43684091.636631854</v>
      </c>
      <c r="AJ3238" s="19">
        <f t="shared" si="952"/>
        <v>6483951.8242071122</v>
      </c>
      <c r="AK3238" s="20">
        <f t="shared" si="958"/>
        <v>0.14842821680123736</v>
      </c>
      <c r="AL3238" s="17"/>
      <c r="AM3238" s="17"/>
      <c r="AN3238" s="17"/>
      <c r="AO3238" s="17"/>
      <c r="AP3238" s="28" t="str">
        <f t="shared" si="959"/>
        <v>20214</v>
      </c>
      <c r="AQ3238" s="28" t="str">
        <f t="shared" si="960"/>
        <v>20214JPY</v>
      </c>
      <c r="AR3238" s="206" t="str">
        <f t="shared" si="961"/>
        <v>YAMAHA_Mounter</v>
      </c>
      <c r="AS3238" s="22">
        <f t="shared" si="962"/>
        <v>3</v>
      </c>
      <c r="AT3238" s="24" t="str">
        <f t="shared" si="963"/>
        <v>0-3 months</v>
      </c>
      <c r="AU3238" s="22" t="s">
        <v>3745</v>
      </c>
    </row>
    <row r="3239" spans="1:47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54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2045</v>
      </c>
      <c r="K3239" s="155" t="s">
        <v>1258</v>
      </c>
      <c r="L3239" s="17" t="s">
        <v>92</v>
      </c>
      <c r="M3239" s="13" t="s">
        <v>60</v>
      </c>
      <c r="N3239" s="13">
        <v>1</v>
      </c>
      <c r="O3239" s="13"/>
      <c r="P3239" s="33" t="str">
        <f t="shared" si="966"/>
        <v>MAIN UNIT</v>
      </c>
      <c r="Q3239" s="13" t="s">
        <v>61</v>
      </c>
      <c r="R3239" s="13" t="s">
        <v>62</v>
      </c>
      <c r="S3239" s="13" t="s">
        <v>49</v>
      </c>
      <c r="T3239" s="13" t="s">
        <v>78</v>
      </c>
      <c r="U3239" s="13" t="s">
        <v>79</v>
      </c>
      <c r="V3239" s="13" t="s">
        <v>112</v>
      </c>
      <c r="W3239" s="13" t="s">
        <v>109</v>
      </c>
      <c r="X3239" s="135">
        <v>15000000</v>
      </c>
      <c r="Y3239" s="157" t="str">
        <f t="shared" si="968"/>
        <v>1</v>
      </c>
      <c r="Z3239" s="18">
        <f t="shared" si="967"/>
        <v>15000000</v>
      </c>
      <c r="AA3239" s="13">
        <v>5.8700000000000002E-2</v>
      </c>
      <c r="AB3239" s="21">
        <f t="shared" si="950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1"/>
        <v>36480247.665929198</v>
      </c>
      <c r="AJ3239" s="19">
        <f t="shared" si="952"/>
        <v>5330996.6372757526</v>
      </c>
      <c r="AK3239" s="20">
        <f t="shared" si="958"/>
        <v>0.14613378412599562</v>
      </c>
      <c r="AL3239" s="17"/>
      <c r="AM3239" s="17"/>
      <c r="AN3239" s="17"/>
      <c r="AO3239" s="17"/>
      <c r="AP3239" s="28" t="str">
        <f t="shared" si="959"/>
        <v>20227</v>
      </c>
      <c r="AQ3239" s="28" t="str">
        <f t="shared" si="960"/>
        <v>20227JPY</v>
      </c>
      <c r="AR3239" s="206" t="str">
        <f t="shared" si="961"/>
        <v>YAMAHA_Mounter</v>
      </c>
      <c r="AS3239" s="22">
        <f t="shared" si="962"/>
        <v>7</v>
      </c>
      <c r="AT3239" s="24" t="str">
        <f t="shared" si="963"/>
        <v>&gt; 6 months</v>
      </c>
      <c r="AU3239" s="22" t="s">
        <v>3745</v>
      </c>
    </row>
    <row r="3240" spans="1:47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54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2045</v>
      </c>
      <c r="K3240" s="155" t="s">
        <v>1258</v>
      </c>
      <c r="L3240" s="17" t="s">
        <v>67</v>
      </c>
      <c r="M3240" s="13" t="s">
        <v>60</v>
      </c>
      <c r="N3240" s="13">
        <v>1</v>
      </c>
      <c r="O3240" s="13"/>
      <c r="P3240" s="33" t="str">
        <f t="shared" si="966"/>
        <v>MAIN UNIT</v>
      </c>
      <c r="Q3240" s="13" t="s">
        <v>61</v>
      </c>
      <c r="R3240" s="13" t="s">
        <v>62</v>
      </c>
      <c r="S3240" s="13" t="s">
        <v>49</v>
      </c>
      <c r="T3240" s="13" t="s">
        <v>78</v>
      </c>
      <c r="U3240" s="13" t="s">
        <v>79</v>
      </c>
      <c r="V3240" s="13" t="s">
        <v>112</v>
      </c>
      <c r="W3240" s="13" t="s">
        <v>109</v>
      </c>
      <c r="X3240" s="135">
        <v>9500000</v>
      </c>
      <c r="Y3240" s="157" t="str">
        <f t="shared" si="968"/>
        <v>1</v>
      </c>
      <c r="Z3240" s="18">
        <f t="shared" si="967"/>
        <v>9500000</v>
      </c>
      <c r="AA3240" s="13">
        <v>5.8700000000000002E-2</v>
      </c>
      <c r="AB3240" s="21">
        <f t="shared" si="950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1"/>
        <v>36480247.665929198</v>
      </c>
      <c r="AJ3240" s="19">
        <f t="shared" si="952"/>
        <v>5330996.6372757526</v>
      </c>
      <c r="AK3240" s="20">
        <f t="shared" si="958"/>
        <v>0.14613378412599562</v>
      </c>
      <c r="AL3240" s="17"/>
      <c r="AM3240" s="17"/>
      <c r="AN3240" s="17"/>
      <c r="AO3240" s="17"/>
      <c r="AP3240" s="28" t="str">
        <f t="shared" si="959"/>
        <v>20227</v>
      </c>
      <c r="AQ3240" s="28" t="str">
        <f t="shared" si="960"/>
        <v>20227JPY</v>
      </c>
      <c r="AR3240" s="206" t="str">
        <f t="shared" si="961"/>
        <v>YAMAHA_Mounter</v>
      </c>
      <c r="AS3240" s="22">
        <f t="shared" si="962"/>
        <v>7</v>
      </c>
      <c r="AT3240" s="24" t="str">
        <f t="shared" si="963"/>
        <v>&gt; 6 months</v>
      </c>
      <c r="AU3240" s="22" t="s">
        <v>3745</v>
      </c>
    </row>
    <row r="3241" spans="1:47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48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1649</v>
      </c>
      <c r="K3241" s="155" t="s">
        <v>1650</v>
      </c>
      <c r="L3241" s="17" t="s">
        <v>67</v>
      </c>
      <c r="M3241" s="13" t="s">
        <v>60</v>
      </c>
      <c r="N3241" s="13">
        <v>1</v>
      </c>
      <c r="O3241" s="13"/>
      <c r="P3241" s="33" t="str">
        <f t="shared" si="966"/>
        <v>MAIN UNIT</v>
      </c>
      <c r="Q3241" s="13" t="s">
        <v>68</v>
      </c>
      <c r="R3241" s="13" t="s">
        <v>62</v>
      </c>
      <c r="S3241" s="13" t="s">
        <v>49</v>
      </c>
      <c r="T3241" s="13" t="s">
        <v>78</v>
      </c>
      <c r="U3241" s="13" t="s">
        <v>79</v>
      </c>
      <c r="V3241" s="13" t="s">
        <v>112</v>
      </c>
      <c r="W3241" s="13" t="s">
        <v>109</v>
      </c>
      <c r="X3241" s="135">
        <v>6800000</v>
      </c>
      <c r="Y3241" s="157" t="str">
        <f t="shared" si="968"/>
        <v>1</v>
      </c>
      <c r="Z3241" s="18">
        <f t="shared" si="967"/>
        <v>6800000</v>
      </c>
      <c r="AA3241" s="13">
        <v>7.5700000000000003E-2</v>
      </c>
      <c r="AB3241" s="21">
        <f t="shared" si="950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1"/>
        <v>31097187.02948761</v>
      </c>
      <c r="AJ3241" s="19">
        <f t="shared" si="952"/>
        <v>3892353.6644401965</v>
      </c>
      <c r="AK3241" s="20">
        <f t="shared" si="958"/>
        <v>0.12516738767237401</v>
      </c>
      <c r="AL3241" s="17"/>
      <c r="AM3241" s="17"/>
      <c r="AN3241" s="17"/>
      <c r="AO3241" s="17"/>
      <c r="AP3241" s="28" t="str">
        <f t="shared" si="959"/>
        <v>20212</v>
      </c>
      <c r="AQ3241" s="28" t="str">
        <f t="shared" si="960"/>
        <v>20212JPY</v>
      </c>
      <c r="AR3241" s="206" t="str">
        <f t="shared" si="961"/>
        <v>YAMAHA_Mounter</v>
      </c>
      <c r="AS3241" s="22">
        <f t="shared" si="962"/>
        <v>1</v>
      </c>
      <c r="AT3241" s="24" t="str">
        <f t="shared" si="963"/>
        <v>0-3 months</v>
      </c>
      <c r="AU3241" s="22" t="s">
        <v>3745</v>
      </c>
    </row>
    <row r="3242" spans="1:47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54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2307</v>
      </c>
      <c r="K3242" s="155" t="s">
        <v>1650</v>
      </c>
      <c r="L3242" s="17" t="s">
        <v>67</v>
      </c>
      <c r="M3242" s="13" t="s">
        <v>60</v>
      </c>
      <c r="N3242" s="13">
        <v>1</v>
      </c>
      <c r="O3242" s="13"/>
      <c r="P3242" s="33" t="str">
        <f t="shared" si="966"/>
        <v>MAIN UNIT</v>
      </c>
      <c r="Q3242" s="13" t="s">
        <v>61</v>
      </c>
      <c r="R3242" s="13" t="s">
        <v>62</v>
      </c>
      <c r="S3242" s="13" t="s">
        <v>49</v>
      </c>
      <c r="T3242" s="13" t="s">
        <v>78</v>
      </c>
      <c r="U3242" s="13" t="s">
        <v>79</v>
      </c>
      <c r="V3242" s="13" t="s">
        <v>112</v>
      </c>
      <c r="W3242" s="13" t="s">
        <v>64</v>
      </c>
      <c r="X3242" s="135">
        <v>430000</v>
      </c>
      <c r="Y3242" s="157" t="str">
        <f t="shared" si="968"/>
        <v>1.13</v>
      </c>
      <c r="Z3242" s="18">
        <f t="shared" si="967"/>
        <v>430000</v>
      </c>
      <c r="AA3242" s="13">
        <v>1.1000000000000001</v>
      </c>
      <c r="AB3242" s="21">
        <f t="shared" si="950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1"/>
        <v>22717528.991150443</v>
      </c>
      <c r="AJ3242" s="19">
        <f t="shared" si="952"/>
        <v>3947747.192555753</v>
      </c>
      <c r="AK3242" s="20">
        <f t="shared" si="958"/>
        <v>0.1737753782153679</v>
      </c>
      <c r="AL3242" s="17"/>
      <c r="AM3242" s="17"/>
      <c r="AN3242" s="17"/>
      <c r="AO3242" s="17"/>
      <c r="AP3242" s="28" t="str">
        <f t="shared" si="959"/>
        <v>202210</v>
      </c>
      <c r="AQ3242" s="28" t="str">
        <f t="shared" si="960"/>
        <v>202210RMB</v>
      </c>
      <c r="AR3242" s="206" t="str">
        <f t="shared" si="961"/>
        <v>YAMAHA_Mounter</v>
      </c>
      <c r="AS3242" s="22">
        <f t="shared" si="962"/>
        <v>0</v>
      </c>
      <c r="AT3242" s="24" t="str">
        <f t="shared" si="963"/>
        <v>0-3 months</v>
      </c>
      <c r="AU3242" s="22" t="s">
        <v>3751</v>
      </c>
    </row>
    <row r="3243" spans="1:47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47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1259</v>
      </c>
      <c r="K3243" s="155" t="s">
        <v>1260</v>
      </c>
      <c r="L3243" s="17" t="s">
        <v>92</v>
      </c>
      <c r="M3243" s="13" t="s">
        <v>60</v>
      </c>
      <c r="N3243" s="13">
        <v>1</v>
      </c>
      <c r="O3243" s="13"/>
      <c r="P3243" s="33" t="str">
        <f t="shared" si="966"/>
        <v>MAIN UNIT</v>
      </c>
      <c r="Q3243" s="13" t="s">
        <v>68</v>
      </c>
      <c r="R3243" s="13" t="s">
        <v>62</v>
      </c>
      <c r="S3243" s="13" t="s">
        <v>49</v>
      </c>
      <c r="T3243" s="13" t="s">
        <v>78</v>
      </c>
      <c r="U3243" s="13" t="s">
        <v>79</v>
      </c>
      <c r="V3243" s="13" t="s">
        <v>131</v>
      </c>
      <c r="W3243" s="13" t="s">
        <v>64</v>
      </c>
      <c r="X3243" s="135">
        <v>850000</v>
      </c>
      <c r="Y3243" s="156">
        <v>1.1299999999999999</v>
      </c>
      <c r="Z3243" s="18">
        <f t="shared" si="967"/>
        <v>850000</v>
      </c>
      <c r="AA3243" s="13">
        <v>1.1100000000000001</v>
      </c>
      <c r="AB3243" s="21">
        <f t="shared" si="950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1"/>
        <v>23168285.927433632</v>
      </c>
      <c r="AJ3243" s="19">
        <f t="shared" si="952"/>
        <v>2764878.916878053</v>
      </c>
      <c r="AK3243" s="20">
        <f t="shared" si="958"/>
        <v>0.11933895004309111</v>
      </c>
      <c r="AL3243" s="17"/>
      <c r="AM3243" s="17"/>
      <c r="AN3243" s="17"/>
      <c r="AO3243" s="17"/>
      <c r="AP3243" s="28" t="str">
        <f t="shared" si="959"/>
        <v>20203</v>
      </c>
      <c r="AQ3243" s="28" t="str">
        <f t="shared" si="960"/>
        <v>20203RMB</v>
      </c>
      <c r="AR3243" s="206" t="str">
        <f t="shared" si="961"/>
        <v>YAMAHA_Mounter</v>
      </c>
      <c r="AS3243" s="22">
        <f t="shared" si="962"/>
        <v>2</v>
      </c>
      <c r="AT3243" s="24" t="str">
        <f t="shared" si="963"/>
        <v>0-3 months</v>
      </c>
      <c r="AU3243" s="22" t="s">
        <v>3744</v>
      </c>
    </row>
    <row r="3244" spans="1:47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47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1259</v>
      </c>
      <c r="K3244" s="155" t="s">
        <v>1260</v>
      </c>
      <c r="L3244" s="17" t="s">
        <v>92</v>
      </c>
      <c r="M3244" s="13" t="s">
        <v>60</v>
      </c>
      <c r="N3244" s="13">
        <v>1</v>
      </c>
      <c r="O3244" s="13"/>
      <c r="P3244" s="33" t="str">
        <f t="shared" si="966"/>
        <v>MAIN UNIT</v>
      </c>
      <c r="Q3244" s="13" t="s">
        <v>68</v>
      </c>
      <c r="R3244" s="13" t="s">
        <v>62</v>
      </c>
      <c r="S3244" s="13" t="s">
        <v>49</v>
      </c>
      <c r="T3244" s="13" t="s">
        <v>78</v>
      </c>
      <c r="U3244" s="13" t="s">
        <v>79</v>
      </c>
      <c r="V3244" s="13" t="s">
        <v>131</v>
      </c>
      <c r="W3244" s="13" t="s">
        <v>64</v>
      </c>
      <c r="X3244" s="135">
        <v>850000</v>
      </c>
      <c r="Y3244" s="156">
        <v>1.1299999999999999</v>
      </c>
      <c r="Z3244" s="18">
        <f t="shared" si="967"/>
        <v>850000</v>
      </c>
      <c r="AA3244" s="13">
        <v>1.1100000000000001</v>
      </c>
      <c r="AB3244" s="21">
        <f t="shared" si="950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1"/>
        <v>23168285.927433632</v>
      </c>
      <c r="AJ3244" s="19">
        <f t="shared" si="952"/>
        <v>2764878.916878053</v>
      </c>
      <c r="AK3244" s="20">
        <f t="shared" si="958"/>
        <v>0.11933895004309111</v>
      </c>
      <c r="AL3244" s="17"/>
      <c r="AM3244" s="17"/>
      <c r="AN3244" s="17"/>
      <c r="AO3244" s="17"/>
      <c r="AP3244" s="28" t="str">
        <f t="shared" si="959"/>
        <v>20203</v>
      </c>
      <c r="AQ3244" s="28" t="str">
        <f t="shared" si="960"/>
        <v>20203RMB</v>
      </c>
      <c r="AR3244" s="206" t="str">
        <f t="shared" si="961"/>
        <v>YAMAHA_Mounter</v>
      </c>
      <c r="AS3244" s="22">
        <f t="shared" si="962"/>
        <v>2</v>
      </c>
      <c r="AT3244" s="24" t="str">
        <f t="shared" si="963"/>
        <v>0-3 months</v>
      </c>
      <c r="AU3244" s="22" t="s">
        <v>3744</v>
      </c>
    </row>
    <row r="3245" spans="1:47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53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1676</v>
      </c>
      <c r="K3245" s="155" t="s">
        <v>1260</v>
      </c>
      <c r="L3245" s="17" t="s">
        <v>92</v>
      </c>
      <c r="M3245" s="13" t="s">
        <v>60</v>
      </c>
      <c r="N3245" s="13">
        <v>1</v>
      </c>
      <c r="O3245" s="13"/>
      <c r="P3245" s="33" t="str">
        <f t="shared" si="966"/>
        <v>MAIN UNIT</v>
      </c>
      <c r="Q3245" s="13" t="s">
        <v>61</v>
      </c>
      <c r="R3245" s="13" t="s">
        <v>62</v>
      </c>
      <c r="S3245" s="13" t="s">
        <v>49</v>
      </c>
      <c r="T3245" s="13" t="s">
        <v>78</v>
      </c>
      <c r="U3245" s="13" t="s">
        <v>79</v>
      </c>
      <c r="V3245" s="13" t="s">
        <v>131</v>
      </c>
      <c r="W3245" s="13" t="s">
        <v>64</v>
      </c>
      <c r="X3245" s="135">
        <v>875000</v>
      </c>
      <c r="Y3245" s="157" t="str">
        <f>IF(W3245="RMB","1.13", "1")</f>
        <v>1.13</v>
      </c>
      <c r="Z3245" s="18">
        <f t="shared" si="967"/>
        <v>875000</v>
      </c>
      <c r="AA3245" s="13">
        <v>1.18</v>
      </c>
      <c r="AB3245" s="21">
        <f t="shared" si="950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1"/>
        <v>43684091.636631854</v>
      </c>
      <c r="AJ3245" s="19">
        <f t="shared" si="952"/>
        <v>6483951.8242071122</v>
      </c>
      <c r="AK3245" s="20">
        <f t="shared" si="958"/>
        <v>0.14842821680123736</v>
      </c>
      <c r="AL3245" s="17"/>
      <c r="AM3245" s="17"/>
      <c r="AN3245" s="17"/>
      <c r="AO3245" s="17"/>
      <c r="AP3245" s="28" t="str">
        <f t="shared" si="959"/>
        <v>20214</v>
      </c>
      <c r="AQ3245" s="28" t="str">
        <f t="shared" si="960"/>
        <v>20214RMB</v>
      </c>
      <c r="AR3245" s="206" t="str">
        <f t="shared" si="961"/>
        <v>YAMAHA_Mounter</v>
      </c>
      <c r="AS3245" s="22">
        <f t="shared" si="962"/>
        <v>3</v>
      </c>
      <c r="AT3245" s="24" t="str">
        <f t="shared" si="963"/>
        <v>0-3 months</v>
      </c>
      <c r="AU3245" s="22" t="s">
        <v>3744</v>
      </c>
    </row>
    <row r="3246" spans="1:47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53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1676</v>
      </c>
      <c r="K3246" s="155" t="s">
        <v>1260</v>
      </c>
      <c r="L3246" s="17" t="s">
        <v>92</v>
      </c>
      <c r="M3246" s="13" t="s">
        <v>60</v>
      </c>
      <c r="N3246" s="13">
        <v>1</v>
      </c>
      <c r="O3246" s="13"/>
      <c r="P3246" s="33" t="str">
        <f t="shared" si="966"/>
        <v>MAIN UNIT</v>
      </c>
      <c r="Q3246" s="13" t="s">
        <v>61</v>
      </c>
      <c r="R3246" s="13" t="s">
        <v>62</v>
      </c>
      <c r="S3246" s="13" t="s">
        <v>49</v>
      </c>
      <c r="T3246" s="13" t="s">
        <v>78</v>
      </c>
      <c r="U3246" s="13" t="s">
        <v>79</v>
      </c>
      <c r="V3246" s="13" t="s">
        <v>131</v>
      </c>
      <c r="W3246" s="13" t="s">
        <v>64</v>
      </c>
      <c r="X3246" s="135">
        <v>875000</v>
      </c>
      <c r="Y3246" s="157" t="str">
        <f>IF(W3246="RMB","1.13", "1")</f>
        <v>1.13</v>
      </c>
      <c r="Z3246" s="18">
        <f t="shared" si="967"/>
        <v>875000</v>
      </c>
      <c r="AA3246" s="13">
        <v>1.18</v>
      </c>
      <c r="AB3246" s="21">
        <f t="shared" si="950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1"/>
        <v>43684091.636631854</v>
      </c>
      <c r="AJ3246" s="19">
        <f t="shared" si="952"/>
        <v>6483951.8242071122</v>
      </c>
      <c r="AK3246" s="20">
        <f t="shared" si="958"/>
        <v>0.14842821680123736</v>
      </c>
      <c r="AL3246" s="17"/>
      <c r="AM3246" s="17"/>
      <c r="AN3246" s="17"/>
      <c r="AO3246" s="17"/>
      <c r="AP3246" s="28" t="str">
        <f t="shared" si="959"/>
        <v>20214</v>
      </c>
      <c r="AQ3246" s="28" t="str">
        <f t="shared" si="960"/>
        <v>20214RMB</v>
      </c>
      <c r="AR3246" s="206" t="str">
        <f t="shared" si="961"/>
        <v>YAMAHA_Mounter</v>
      </c>
      <c r="AS3246" s="22">
        <f t="shared" si="962"/>
        <v>3</v>
      </c>
      <c r="AT3246" s="24" t="str">
        <f t="shared" si="963"/>
        <v>0-3 months</v>
      </c>
      <c r="AU3246" s="22" t="s">
        <v>3744</v>
      </c>
    </row>
    <row r="3247" spans="1:47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53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1676</v>
      </c>
      <c r="K3247" s="155" t="s">
        <v>1260</v>
      </c>
      <c r="L3247" s="17" t="s">
        <v>92</v>
      </c>
      <c r="M3247" s="13" t="s">
        <v>60</v>
      </c>
      <c r="N3247" s="13">
        <v>1</v>
      </c>
      <c r="O3247" s="13"/>
      <c r="P3247" s="33" t="str">
        <f t="shared" si="966"/>
        <v>MAIN UNIT</v>
      </c>
      <c r="Q3247" s="13" t="s">
        <v>61</v>
      </c>
      <c r="R3247" s="13" t="s">
        <v>62</v>
      </c>
      <c r="S3247" s="13" t="s">
        <v>49</v>
      </c>
      <c r="T3247" s="13" t="s">
        <v>78</v>
      </c>
      <c r="U3247" s="13" t="s">
        <v>79</v>
      </c>
      <c r="V3247" s="13" t="s">
        <v>131</v>
      </c>
      <c r="W3247" s="13" t="s">
        <v>64</v>
      </c>
      <c r="X3247" s="135">
        <v>875000</v>
      </c>
      <c r="Y3247" s="157" t="str">
        <f>IF(W3247="RMB","1.13", "1")</f>
        <v>1.13</v>
      </c>
      <c r="Z3247" s="18">
        <f t="shared" si="967"/>
        <v>875000</v>
      </c>
      <c r="AA3247" s="13">
        <v>1.18</v>
      </c>
      <c r="AB3247" s="21">
        <f t="shared" si="950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1"/>
        <v>43684091.636631854</v>
      </c>
      <c r="AJ3247" s="19">
        <f t="shared" si="952"/>
        <v>6483951.8242071122</v>
      </c>
      <c r="AK3247" s="20">
        <f t="shared" si="958"/>
        <v>0.14842821680123736</v>
      </c>
      <c r="AL3247" s="17"/>
      <c r="AM3247" s="17"/>
      <c r="AN3247" s="17"/>
      <c r="AO3247" s="17"/>
      <c r="AP3247" s="28" t="str">
        <f t="shared" si="959"/>
        <v>20214</v>
      </c>
      <c r="AQ3247" s="28" t="str">
        <f t="shared" si="960"/>
        <v>20214RMB</v>
      </c>
      <c r="AR3247" s="206" t="str">
        <f t="shared" si="961"/>
        <v>YAMAHA_Mounter</v>
      </c>
      <c r="AS3247" s="22">
        <f t="shared" si="962"/>
        <v>3</v>
      </c>
      <c r="AT3247" s="24" t="str">
        <f t="shared" si="963"/>
        <v>0-3 months</v>
      </c>
      <c r="AU3247" s="22" t="s">
        <v>3744</v>
      </c>
    </row>
    <row r="3248" spans="1:47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53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1676</v>
      </c>
      <c r="K3248" s="155" t="s">
        <v>1260</v>
      </c>
      <c r="L3248" s="17" t="s">
        <v>92</v>
      </c>
      <c r="M3248" s="13" t="s">
        <v>60</v>
      </c>
      <c r="N3248" s="13">
        <v>1</v>
      </c>
      <c r="O3248" s="13"/>
      <c r="P3248" s="33" t="str">
        <f t="shared" si="966"/>
        <v>MAIN UNIT</v>
      </c>
      <c r="Q3248" s="13" t="s">
        <v>61</v>
      </c>
      <c r="R3248" s="13" t="s">
        <v>62</v>
      </c>
      <c r="S3248" s="13" t="s">
        <v>49</v>
      </c>
      <c r="T3248" s="13" t="s">
        <v>78</v>
      </c>
      <c r="U3248" s="13" t="s">
        <v>79</v>
      </c>
      <c r="V3248" s="13" t="s">
        <v>131</v>
      </c>
      <c r="W3248" s="13" t="s">
        <v>64</v>
      </c>
      <c r="X3248" s="135">
        <v>875000</v>
      </c>
      <c r="Y3248" s="157" t="str">
        <f>IF(W3248="RMB","1.13", "1")</f>
        <v>1.13</v>
      </c>
      <c r="Z3248" s="18">
        <f t="shared" si="967"/>
        <v>875000</v>
      </c>
      <c r="AA3248" s="13">
        <v>1.18</v>
      </c>
      <c r="AB3248" s="21">
        <f t="shared" si="950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1"/>
        <v>43684091.636631854</v>
      </c>
      <c r="AJ3248" s="19">
        <f t="shared" si="952"/>
        <v>6483951.8242071122</v>
      </c>
      <c r="AK3248" s="20">
        <f t="shared" si="958"/>
        <v>0.14842821680123736</v>
      </c>
      <c r="AL3248" s="17"/>
      <c r="AM3248" s="17"/>
      <c r="AN3248" s="17"/>
      <c r="AO3248" s="17"/>
      <c r="AP3248" s="28" t="str">
        <f t="shared" si="959"/>
        <v>20214</v>
      </c>
      <c r="AQ3248" s="28" t="str">
        <f t="shared" si="960"/>
        <v>20214RMB</v>
      </c>
      <c r="AR3248" s="206" t="str">
        <f t="shared" si="961"/>
        <v>YAMAHA_Mounter</v>
      </c>
      <c r="AS3248" s="22">
        <f t="shared" si="962"/>
        <v>3</v>
      </c>
      <c r="AT3248" s="24" t="str">
        <f t="shared" si="963"/>
        <v>0-3 months</v>
      </c>
      <c r="AU3248" s="22" t="s">
        <v>3744</v>
      </c>
    </row>
    <row r="3249" spans="1:47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47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1261</v>
      </c>
      <c r="K3249" s="155" t="s">
        <v>1262</v>
      </c>
      <c r="L3249" s="17" t="s">
        <v>67</v>
      </c>
      <c r="M3249" s="13" t="s">
        <v>60</v>
      </c>
      <c r="N3249" s="13">
        <v>1</v>
      </c>
      <c r="O3249" s="13"/>
      <c r="P3249" s="33" t="str">
        <f t="shared" si="966"/>
        <v>MAIN UNIT</v>
      </c>
      <c r="Q3249" s="13" t="s">
        <v>68</v>
      </c>
      <c r="R3249" s="13" t="s">
        <v>62</v>
      </c>
      <c r="S3249" s="13" t="s">
        <v>50</v>
      </c>
      <c r="T3249" s="13" t="s">
        <v>325</v>
      </c>
      <c r="U3249" s="13" t="s">
        <v>70</v>
      </c>
      <c r="V3249" s="13" t="s">
        <v>1010</v>
      </c>
      <c r="W3249" s="13" t="s">
        <v>64</v>
      </c>
      <c r="X3249" s="135">
        <v>528000</v>
      </c>
      <c r="Y3249" s="156">
        <v>1.1299999999999999</v>
      </c>
      <c r="Z3249" s="18">
        <f t="shared" si="967"/>
        <v>528000</v>
      </c>
      <c r="AA3249" s="13">
        <v>1.095</v>
      </c>
      <c r="AB3249" s="21">
        <f t="shared" si="950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1"/>
        <v>23168285.927433632</v>
      </c>
      <c r="AJ3249" s="19">
        <f t="shared" si="952"/>
        <v>2764878.916878053</v>
      </c>
      <c r="AK3249" s="20">
        <f t="shared" si="958"/>
        <v>0.11933895004309111</v>
      </c>
      <c r="AL3249" s="17"/>
      <c r="AM3249" s="17"/>
      <c r="AN3249" s="17"/>
      <c r="AO3249" s="17"/>
      <c r="AP3249" s="28" t="str">
        <f t="shared" si="959"/>
        <v>20203</v>
      </c>
      <c r="AQ3249" s="28" t="str">
        <f t="shared" si="960"/>
        <v>20203RMB</v>
      </c>
      <c r="AR3249" s="206" t="str">
        <f t="shared" si="961"/>
        <v>YAMAHA_Mounter</v>
      </c>
      <c r="AS3249" s="22">
        <f t="shared" si="962"/>
        <v>1</v>
      </c>
      <c r="AT3249" s="24" t="str">
        <f t="shared" si="963"/>
        <v>0-3 months</v>
      </c>
      <c r="AU3249" s="22" t="s">
        <v>3240</v>
      </c>
    </row>
    <row r="3250" spans="1:47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47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1261</v>
      </c>
      <c r="K3250" s="155" t="s">
        <v>1262</v>
      </c>
      <c r="L3250" s="17" t="s">
        <v>92</v>
      </c>
      <c r="M3250" s="13" t="s">
        <v>60</v>
      </c>
      <c r="N3250" s="13">
        <v>1</v>
      </c>
      <c r="O3250" s="13"/>
      <c r="P3250" s="33" t="str">
        <f t="shared" si="966"/>
        <v>MAIN UNIT</v>
      </c>
      <c r="Q3250" s="13" t="s">
        <v>68</v>
      </c>
      <c r="R3250" s="13" t="s">
        <v>62</v>
      </c>
      <c r="S3250" s="13" t="s">
        <v>50</v>
      </c>
      <c r="T3250" s="13" t="s">
        <v>325</v>
      </c>
      <c r="U3250" s="13" t="s">
        <v>70</v>
      </c>
      <c r="V3250" s="13" t="s">
        <v>1010</v>
      </c>
      <c r="W3250" s="13" t="s">
        <v>64</v>
      </c>
      <c r="X3250" s="135">
        <v>800000</v>
      </c>
      <c r="Y3250" s="156">
        <v>1.1299999999999999</v>
      </c>
      <c r="Z3250" s="18">
        <f t="shared" si="967"/>
        <v>800000</v>
      </c>
      <c r="AA3250" s="13">
        <v>1.095</v>
      </c>
      <c r="AB3250" s="21">
        <f t="shared" si="950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1"/>
        <v>23168285.927433632</v>
      </c>
      <c r="AJ3250" s="19">
        <f t="shared" si="952"/>
        <v>2764878.916878053</v>
      </c>
      <c r="AK3250" s="20">
        <f t="shared" si="958"/>
        <v>0.11933895004309111</v>
      </c>
      <c r="AL3250" s="17"/>
      <c r="AM3250" s="17"/>
      <c r="AN3250" s="17"/>
      <c r="AO3250" s="17"/>
      <c r="AP3250" s="28" t="str">
        <f t="shared" si="959"/>
        <v>20203</v>
      </c>
      <c r="AQ3250" s="28" t="str">
        <f t="shared" si="960"/>
        <v>20203RMB</v>
      </c>
      <c r="AR3250" s="206" t="str">
        <f t="shared" si="961"/>
        <v>YAMAHA_Mounter</v>
      </c>
      <c r="AS3250" s="22">
        <f t="shared" si="962"/>
        <v>1</v>
      </c>
      <c r="AT3250" s="24" t="str">
        <f t="shared" si="963"/>
        <v>0-3 months</v>
      </c>
      <c r="AU3250" s="22" t="s">
        <v>3240</v>
      </c>
    </row>
    <row r="3251" spans="1:47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54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2290</v>
      </c>
      <c r="K3251" s="155" t="s">
        <v>2291</v>
      </c>
      <c r="L3251" s="17" t="s">
        <v>92</v>
      </c>
      <c r="M3251" s="13" t="s">
        <v>60</v>
      </c>
      <c r="N3251" s="13">
        <v>1</v>
      </c>
      <c r="O3251" s="13"/>
      <c r="P3251" s="33" t="str">
        <f t="shared" si="966"/>
        <v>MAIN UNIT</v>
      </c>
      <c r="Q3251" s="13" t="s">
        <v>68</v>
      </c>
      <c r="R3251" s="13" t="s">
        <v>62</v>
      </c>
      <c r="S3251" s="13" t="s">
        <v>49</v>
      </c>
      <c r="T3251" s="13" t="s">
        <v>78</v>
      </c>
      <c r="U3251" s="13" t="s">
        <v>79</v>
      </c>
      <c r="V3251" s="13" t="s">
        <v>126</v>
      </c>
      <c r="W3251" s="13" t="s">
        <v>109</v>
      </c>
      <c r="X3251" s="135">
        <v>13980000</v>
      </c>
      <c r="Y3251" s="157" t="str">
        <f>IF(W3251="RMB","1.13", "1")</f>
        <v>1</v>
      </c>
      <c r="Z3251" s="18">
        <f t="shared" si="967"/>
        <v>13980000</v>
      </c>
      <c r="AA3251" s="13">
        <v>5.5399999999999998E-2</v>
      </c>
      <c r="AB3251" s="21">
        <f t="shared" si="950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1"/>
        <v>22717528.991150443</v>
      </c>
      <c r="AJ3251" s="19">
        <f t="shared" si="952"/>
        <v>3947747.192555753</v>
      </c>
      <c r="AK3251" s="20">
        <f t="shared" si="958"/>
        <v>0.1737753782153679</v>
      </c>
      <c r="AL3251" s="17"/>
      <c r="AM3251" s="17"/>
      <c r="AN3251" s="17"/>
      <c r="AO3251" s="17"/>
      <c r="AP3251" s="28" t="str">
        <f t="shared" si="959"/>
        <v>202210</v>
      </c>
      <c r="AQ3251" s="28" t="str">
        <f t="shared" si="960"/>
        <v>202210JPY</v>
      </c>
      <c r="AR3251" s="206" t="str">
        <f t="shared" si="961"/>
        <v>YAMAHA_Mounter</v>
      </c>
      <c r="AS3251" s="22">
        <f t="shared" si="962"/>
        <v>4</v>
      </c>
      <c r="AT3251" s="24" t="str">
        <f t="shared" si="963"/>
        <v>4-6 months</v>
      </c>
      <c r="AU3251" s="22" t="s">
        <v>3745</v>
      </c>
    </row>
    <row r="3252" spans="1:47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54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2415</v>
      </c>
      <c r="K3252" s="155" t="s">
        <v>2291</v>
      </c>
      <c r="L3252" s="17" t="s">
        <v>92</v>
      </c>
      <c r="M3252" s="13" t="s">
        <v>60</v>
      </c>
      <c r="N3252" s="13">
        <v>1</v>
      </c>
      <c r="O3252" s="13"/>
      <c r="P3252" s="33" t="str">
        <f t="shared" si="966"/>
        <v>MAIN UNIT</v>
      </c>
      <c r="Q3252" s="13" t="s">
        <v>61</v>
      </c>
      <c r="R3252" s="13" t="s">
        <v>62</v>
      </c>
      <c r="S3252" s="13" t="s">
        <v>49</v>
      </c>
      <c r="T3252" s="13" t="s">
        <v>78</v>
      </c>
      <c r="U3252" s="13" t="s">
        <v>79</v>
      </c>
      <c r="V3252" s="13" t="s">
        <v>126</v>
      </c>
      <c r="W3252" s="13" t="s">
        <v>64</v>
      </c>
      <c r="X3252" s="135">
        <v>771000</v>
      </c>
      <c r="Y3252" s="157" t="str">
        <f>IF(W3252="RMB","1.13", "1")</f>
        <v>1.13</v>
      </c>
      <c r="Z3252" s="18">
        <f t="shared" si="967"/>
        <v>771000</v>
      </c>
      <c r="AA3252" s="13">
        <v>1.1599999999999999</v>
      </c>
      <c r="AB3252" s="21">
        <f t="shared" si="950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1"/>
        <v>21045012.884955753</v>
      </c>
      <c r="AJ3252" s="19">
        <f t="shared" si="952"/>
        <v>2650260.9603327443</v>
      </c>
      <c r="AK3252" s="20">
        <f t="shared" si="958"/>
        <v>0.12593296924172048</v>
      </c>
      <c r="AL3252" s="17"/>
      <c r="AM3252" s="17"/>
      <c r="AN3252" s="17"/>
      <c r="AO3252" s="17"/>
      <c r="AP3252" s="28" t="str">
        <f t="shared" si="959"/>
        <v>20232</v>
      </c>
      <c r="AQ3252" s="28" t="str">
        <f t="shared" si="960"/>
        <v>20232RMB</v>
      </c>
      <c r="AR3252" s="206" t="str">
        <f t="shared" si="961"/>
        <v>YAMAHA_Mounter</v>
      </c>
      <c r="AS3252" s="22">
        <f t="shared" si="962"/>
        <v>0</v>
      </c>
      <c r="AT3252" s="24" t="str">
        <f t="shared" si="963"/>
        <v>0-3 months</v>
      </c>
      <c r="AU3252" s="22" t="s">
        <v>3240</v>
      </c>
    </row>
    <row r="3253" spans="1:47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185</v>
      </c>
      <c r="G3253" s="23" t="s">
        <v>185</v>
      </c>
      <c r="H3253" s="29"/>
      <c r="I3253" s="33" t="str">
        <f t="shared" si="955"/>
        <v>Cancel</v>
      </c>
      <c r="J3253" s="188" t="s">
        <v>3386</v>
      </c>
      <c r="K3253" s="29" t="s">
        <v>1348</v>
      </c>
      <c r="L3253" s="17" t="s">
        <v>67</v>
      </c>
      <c r="M3253" s="22" t="s">
        <v>60</v>
      </c>
      <c r="N3253" s="22">
        <v>1</v>
      </c>
      <c r="O3253" s="22"/>
      <c r="P3253" s="33" t="str">
        <f t="shared" si="966"/>
        <v>MAIN UNIT</v>
      </c>
      <c r="Q3253" s="13" t="s">
        <v>61</v>
      </c>
      <c r="R3253" s="22" t="s">
        <v>62</v>
      </c>
      <c r="S3253" s="22" t="s">
        <v>49</v>
      </c>
      <c r="T3253" s="22" t="s">
        <v>78</v>
      </c>
      <c r="U3253" s="22" t="s">
        <v>396</v>
      </c>
      <c r="V3253" s="22" t="s">
        <v>131</v>
      </c>
      <c r="W3253" s="22" t="s">
        <v>109</v>
      </c>
      <c r="X3253" s="30">
        <v>7668000</v>
      </c>
      <c r="Y3253" s="31" t="str">
        <f>IF(W3253="","",IF(W3253="RMB","1.13", "1"))</f>
        <v>1</v>
      </c>
      <c r="Z3253" s="18">
        <f t="shared" si="967"/>
        <v>7668000</v>
      </c>
      <c r="AA3253" s="22">
        <v>5.1799999999999999E-2</v>
      </c>
      <c r="AB3253" s="21">
        <f t="shared" si="950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1"/>
        <v>499582152.5142017</v>
      </c>
      <c r="AJ3253" s="27">
        <f t="shared" si="952"/>
        <v>59520528.679470733</v>
      </c>
      <c r="AK3253" s="28">
        <f t="shared" si="958"/>
        <v>0.11914062257814291</v>
      </c>
      <c r="AL3253" s="24"/>
      <c r="AM3253" s="24"/>
      <c r="AN3253" s="24"/>
      <c r="AO3253" s="24"/>
      <c r="AP3253" s="28" t="str">
        <f t="shared" si="959"/>
        <v>CancelCancel</v>
      </c>
      <c r="AQ3253" s="28" t="str">
        <f t="shared" si="960"/>
        <v>CancelCancelJPY</v>
      </c>
      <c r="AR3253" s="206" t="str">
        <f t="shared" si="961"/>
        <v>YAMAHA_Mounter</v>
      </c>
      <c r="AS3253" s="22" t="str">
        <f t="shared" si="962"/>
        <v/>
      </c>
      <c r="AT3253" s="24" t="str">
        <f t="shared" si="963"/>
        <v/>
      </c>
      <c r="AU3253" s="22" t="s">
        <v>3745</v>
      </c>
    </row>
    <row r="3254" spans="1:47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41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510</v>
      </c>
      <c r="K3254" s="155" t="s">
        <v>511</v>
      </c>
      <c r="L3254" s="17" t="s">
        <v>92</v>
      </c>
      <c r="M3254" s="13" t="s">
        <v>60</v>
      </c>
      <c r="N3254" s="13">
        <v>1</v>
      </c>
      <c r="O3254" s="13"/>
      <c r="P3254" s="33" t="str">
        <f t="shared" si="966"/>
        <v>MAIN UNIT</v>
      </c>
      <c r="Q3254" s="13" t="s">
        <v>61</v>
      </c>
      <c r="R3254" s="13" t="s">
        <v>62</v>
      </c>
      <c r="S3254" s="13" t="s">
        <v>49</v>
      </c>
      <c r="T3254" s="13" t="s">
        <v>78</v>
      </c>
      <c r="U3254" s="13" t="s">
        <v>79</v>
      </c>
      <c r="V3254" s="13" t="s">
        <v>134</v>
      </c>
      <c r="W3254" s="13" t="s">
        <v>109</v>
      </c>
      <c r="X3254" s="135">
        <v>16250000</v>
      </c>
      <c r="Y3254" s="156">
        <v>1</v>
      </c>
      <c r="Z3254" s="18">
        <f t="shared" si="967"/>
        <v>16250000</v>
      </c>
      <c r="AA3254" s="13">
        <v>7.0699999999999999E-2</v>
      </c>
      <c r="AB3254" s="21">
        <f t="shared" si="950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1"/>
        <v>10785027.603448275</v>
      </c>
      <c r="AJ3254" s="19">
        <f t="shared" si="952"/>
        <v>1540894.1297982759</v>
      </c>
      <c r="AK3254" s="20">
        <f t="shared" si="958"/>
        <v>0.1428734525728621</v>
      </c>
      <c r="AL3254" s="17"/>
      <c r="AM3254" s="17"/>
      <c r="AN3254" s="17"/>
      <c r="AO3254" s="17"/>
      <c r="AP3254" s="28" t="str">
        <f t="shared" si="959"/>
        <v>201811</v>
      </c>
      <c r="AQ3254" s="28" t="str">
        <f t="shared" si="960"/>
        <v>201811JPY</v>
      </c>
      <c r="AR3254" s="206" t="str">
        <f t="shared" si="961"/>
        <v>YAMAHA_Mounter</v>
      </c>
      <c r="AS3254" s="22">
        <f t="shared" si="962"/>
        <v>1</v>
      </c>
      <c r="AT3254" s="24" t="str">
        <f t="shared" si="963"/>
        <v>0-3 months</v>
      </c>
      <c r="AU3254" s="22" t="s">
        <v>3745</v>
      </c>
    </row>
    <row r="3255" spans="1:47" s="12" customFormat="1">
      <c r="A3255" s="33" t="str">
        <f t="shared" si="953"/>
        <v>cancel</v>
      </c>
      <c r="B3255" s="152"/>
      <c r="C3255" s="152" t="s">
        <v>185</v>
      </c>
      <c r="D3255" s="33" t="str">
        <f t="shared" si="954"/>
        <v/>
      </c>
      <c r="E3255" s="33" t="s">
        <v>185</v>
      </c>
      <c r="F3255" s="13" t="s">
        <v>185</v>
      </c>
      <c r="G3255" s="152" t="s">
        <v>185</v>
      </c>
      <c r="H3255" s="155"/>
      <c r="I3255" s="33" t="str">
        <f t="shared" si="955"/>
        <v>Cancel</v>
      </c>
      <c r="J3255" s="186" t="s">
        <v>2700</v>
      </c>
      <c r="K3255" s="155" t="s">
        <v>2701</v>
      </c>
      <c r="L3255" s="17" t="s">
        <v>92</v>
      </c>
      <c r="M3255" s="13" t="s">
        <v>60</v>
      </c>
      <c r="N3255" s="13">
        <v>1</v>
      </c>
      <c r="O3255" s="13"/>
      <c r="P3255" s="33" t="str">
        <f t="shared" si="966"/>
        <v>MAIN UNIT</v>
      </c>
      <c r="Q3255" s="13" t="s">
        <v>61</v>
      </c>
      <c r="R3255" s="13" t="s">
        <v>62</v>
      </c>
      <c r="S3255" s="13" t="s">
        <v>49</v>
      </c>
      <c r="T3255" s="13" t="s">
        <v>78</v>
      </c>
      <c r="U3255" s="13" t="s">
        <v>79</v>
      </c>
      <c r="V3255" s="13" t="s">
        <v>134</v>
      </c>
      <c r="W3255" s="13" t="s">
        <v>109</v>
      </c>
      <c r="X3255" s="135">
        <v>14700000</v>
      </c>
      <c r="Y3255" s="156">
        <v>1</v>
      </c>
      <c r="Z3255" s="18">
        <f t="shared" si="967"/>
        <v>14700000</v>
      </c>
      <c r="AA3255" s="13">
        <v>7.2900000000000006E-2</v>
      </c>
      <c r="AB3255" s="21">
        <f t="shared" si="950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1"/>
        <v>499582152.5142017</v>
      </c>
      <c r="AJ3255" s="19">
        <f t="shared" si="952"/>
        <v>59520528.679470733</v>
      </c>
      <c r="AK3255" s="20">
        <f t="shared" si="958"/>
        <v>0.11914062257814291</v>
      </c>
      <c r="AL3255" s="17"/>
      <c r="AM3255" s="17"/>
      <c r="AN3255" s="17"/>
      <c r="AO3255" s="17"/>
      <c r="AP3255" s="28" t="str">
        <f t="shared" si="959"/>
        <v>CancelCancel</v>
      </c>
      <c r="AQ3255" s="28" t="str">
        <f t="shared" si="960"/>
        <v>CancelCancelJPY</v>
      </c>
      <c r="AR3255" s="206" t="str">
        <f t="shared" si="961"/>
        <v>YAMAHA_Mounter</v>
      </c>
      <c r="AS3255" s="22" t="str">
        <f t="shared" si="962"/>
        <v/>
      </c>
      <c r="AT3255" s="24" t="str">
        <f t="shared" si="963"/>
        <v/>
      </c>
      <c r="AU3255" s="22" t="s">
        <v>3745</v>
      </c>
    </row>
    <row r="3256" spans="1:47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48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1138</v>
      </c>
      <c r="K3256" s="155" t="s">
        <v>1139</v>
      </c>
      <c r="L3256" s="17" t="s">
        <v>92</v>
      </c>
      <c r="M3256" s="13" t="s">
        <v>60</v>
      </c>
      <c r="N3256" s="13">
        <v>1</v>
      </c>
      <c r="O3256" s="13"/>
      <c r="P3256" s="33" t="str">
        <f t="shared" si="966"/>
        <v>MAIN UNIT</v>
      </c>
      <c r="Q3256" s="13" t="s">
        <v>61</v>
      </c>
      <c r="R3256" s="13" t="s">
        <v>62</v>
      </c>
      <c r="S3256" s="13" t="s">
        <v>49</v>
      </c>
      <c r="T3256" s="13" t="s">
        <v>78</v>
      </c>
      <c r="U3256" s="13" t="s">
        <v>79</v>
      </c>
      <c r="V3256" s="13" t="s">
        <v>1140</v>
      </c>
      <c r="W3256" s="13" t="s">
        <v>109</v>
      </c>
      <c r="X3256" s="135">
        <v>14000000</v>
      </c>
      <c r="Y3256" s="156">
        <v>1</v>
      </c>
      <c r="Z3256" s="18">
        <f t="shared" si="967"/>
        <v>14000000</v>
      </c>
      <c r="AA3256" s="13">
        <v>7.5700000000000003E-2</v>
      </c>
      <c r="AB3256" s="21">
        <f t="shared" si="950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1"/>
        <v>37969334.083628319</v>
      </c>
      <c r="AJ3256" s="19">
        <f t="shared" si="952"/>
        <v>5097226.4551657084</v>
      </c>
      <c r="AK3256" s="20">
        <f t="shared" si="958"/>
        <v>0.13424587441904964</v>
      </c>
      <c r="AL3256" s="17"/>
      <c r="AM3256" s="17"/>
      <c r="AN3256" s="17"/>
      <c r="AO3256" s="17"/>
      <c r="AP3256" s="28" t="str">
        <f t="shared" si="959"/>
        <v>20208</v>
      </c>
      <c r="AQ3256" s="28" t="str">
        <f t="shared" si="960"/>
        <v>20208JPY</v>
      </c>
      <c r="AR3256" s="206" t="str">
        <f t="shared" si="961"/>
        <v>YAMAHA_Mounter</v>
      </c>
      <c r="AS3256" s="22">
        <f t="shared" si="962"/>
        <v>1</v>
      </c>
      <c r="AT3256" s="24" t="str">
        <f t="shared" si="963"/>
        <v>0-3 months</v>
      </c>
      <c r="AU3256" s="22" t="s">
        <v>3745</v>
      </c>
    </row>
    <row r="3257" spans="1:47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48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1138</v>
      </c>
      <c r="K3257" s="155" t="s">
        <v>1139</v>
      </c>
      <c r="L3257" s="17" t="s">
        <v>92</v>
      </c>
      <c r="M3257" s="13" t="s">
        <v>60</v>
      </c>
      <c r="N3257" s="13">
        <v>1</v>
      </c>
      <c r="O3257" s="13"/>
      <c r="P3257" s="33" t="str">
        <f t="shared" si="966"/>
        <v>MAIN UNIT</v>
      </c>
      <c r="Q3257" s="13" t="s">
        <v>61</v>
      </c>
      <c r="R3257" s="13" t="s">
        <v>62</v>
      </c>
      <c r="S3257" s="13" t="s">
        <v>49</v>
      </c>
      <c r="T3257" s="13" t="s">
        <v>78</v>
      </c>
      <c r="U3257" s="13" t="s">
        <v>79</v>
      </c>
      <c r="V3257" s="13" t="s">
        <v>1140</v>
      </c>
      <c r="W3257" s="13" t="s">
        <v>109</v>
      </c>
      <c r="X3257" s="135">
        <v>14000000</v>
      </c>
      <c r="Y3257" s="156">
        <v>1</v>
      </c>
      <c r="Z3257" s="18">
        <f t="shared" si="967"/>
        <v>14000000</v>
      </c>
      <c r="AA3257" s="13">
        <v>7.5700000000000003E-2</v>
      </c>
      <c r="AB3257" s="21">
        <f t="shared" si="950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1"/>
        <v>37969334.083628319</v>
      </c>
      <c r="AJ3257" s="19">
        <f t="shared" si="952"/>
        <v>5097226.4551657084</v>
      </c>
      <c r="AK3257" s="20">
        <f t="shared" si="958"/>
        <v>0.13424587441904964</v>
      </c>
      <c r="AL3257" s="17"/>
      <c r="AM3257" s="17"/>
      <c r="AN3257" s="17"/>
      <c r="AO3257" s="17"/>
      <c r="AP3257" s="28" t="str">
        <f t="shared" si="959"/>
        <v>20208</v>
      </c>
      <c r="AQ3257" s="28" t="str">
        <f t="shared" si="960"/>
        <v>20208JPY</v>
      </c>
      <c r="AR3257" s="206" t="str">
        <f t="shared" si="961"/>
        <v>YAMAHA_Mounter</v>
      </c>
      <c r="AS3257" s="22">
        <f t="shared" si="962"/>
        <v>1</v>
      </c>
      <c r="AT3257" s="24" t="str">
        <f t="shared" si="963"/>
        <v>0-3 months</v>
      </c>
      <c r="AU3257" s="22" t="s">
        <v>3745</v>
      </c>
    </row>
    <row r="3258" spans="1:47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48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1138</v>
      </c>
      <c r="K3258" s="155" t="s">
        <v>1139</v>
      </c>
      <c r="L3258" s="17" t="s">
        <v>92</v>
      </c>
      <c r="M3258" s="13" t="s">
        <v>60</v>
      </c>
      <c r="N3258" s="13">
        <v>1</v>
      </c>
      <c r="O3258" s="13"/>
      <c r="P3258" s="33" t="str">
        <f t="shared" si="966"/>
        <v>MAIN UNIT</v>
      </c>
      <c r="Q3258" s="13" t="s">
        <v>61</v>
      </c>
      <c r="R3258" s="13" t="s">
        <v>62</v>
      </c>
      <c r="S3258" s="13" t="s">
        <v>49</v>
      </c>
      <c r="T3258" s="13" t="s">
        <v>78</v>
      </c>
      <c r="U3258" s="13" t="s">
        <v>79</v>
      </c>
      <c r="V3258" s="13" t="s">
        <v>1140</v>
      </c>
      <c r="W3258" s="13" t="s">
        <v>109</v>
      </c>
      <c r="X3258" s="135">
        <v>14000000</v>
      </c>
      <c r="Y3258" s="156">
        <v>1</v>
      </c>
      <c r="Z3258" s="18">
        <f t="shared" si="967"/>
        <v>14000000</v>
      </c>
      <c r="AA3258" s="13">
        <v>7.5700000000000003E-2</v>
      </c>
      <c r="AB3258" s="21">
        <f t="shared" si="950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1"/>
        <v>37969334.083628319</v>
      </c>
      <c r="AJ3258" s="19">
        <f t="shared" si="952"/>
        <v>5097226.4551657084</v>
      </c>
      <c r="AK3258" s="20">
        <f t="shared" si="958"/>
        <v>0.13424587441904964</v>
      </c>
      <c r="AL3258" s="17"/>
      <c r="AM3258" s="17"/>
      <c r="AN3258" s="17"/>
      <c r="AO3258" s="17"/>
      <c r="AP3258" s="28" t="str">
        <f t="shared" si="959"/>
        <v>20208</v>
      </c>
      <c r="AQ3258" s="28" t="str">
        <f t="shared" si="960"/>
        <v>20208JPY</v>
      </c>
      <c r="AR3258" s="206" t="str">
        <f t="shared" si="961"/>
        <v>YAMAHA_Mounter</v>
      </c>
      <c r="AS3258" s="22">
        <f t="shared" si="962"/>
        <v>1</v>
      </c>
      <c r="AT3258" s="24" t="str">
        <f t="shared" si="963"/>
        <v>0-3 months</v>
      </c>
      <c r="AU3258" s="22" t="s">
        <v>3745</v>
      </c>
    </row>
    <row r="3259" spans="1:47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48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1138</v>
      </c>
      <c r="K3259" s="155" t="s">
        <v>1139</v>
      </c>
      <c r="L3259" s="17" t="s">
        <v>92</v>
      </c>
      <c r="M3259" s="13" t="s">
        <v>60</v>
      </c>
      <c r="N3259" s="13">
        <v>1</v>
      </c>
      <c r="O3259" s="13"/>
      <c r="P3259" s="33" t="str">
        <f t="shared" si="966"/>
        <v>MAIN UNIT</v>
      </c>
      <c r="Q3259" s="13" t="s">
        <v>61</v>
      </c>
      <c r="R3259" s="13" t="s">
        <v>62</v>
      </c>
      <c r="S3259" s="13" t="s">
        <v>49</v>
      </c>
      <c r="T3259" s="13" t="s">
        <v>78</v>
      </c>
      <c r="U3259" s="13" t="s">
        <v>79</v>
      </c>
      <c r="V3259" s="13" t="s">
        <v>1140</v>
      </c>
      <c r="W3259" s="13" t="s">
        <v>109</v>
      </c>
      <c r="X3259" s="135">
        <v>14000000</v>
      </c>
      <c r="Y3259" s="156">
        <v>1</v>
      </c>
      <c r="Z3259" s="18">
        <f t="shared" si="967"/>
        <v>14000000</v>
      </c>
      <c r="AA3259" s="13">
        <v>7.5700000000000003E-2</v>
      </c>
      <c r="AB3259" s="21">
        <f t="shared" si="950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1"/>
        <v>37969334.083628319</v>
      </c>
      <c r="AJ3259" s="19">
        <f t="shared" si="952"/>
        <v>5097226.4551657084</v>
      </c>
      <c r="AK3259" s="20">
        <f t="shared" si="958"/>
        <v>0.13424587441904964</v>
      </c>
      <c r="AL3259" s="17"/>
      <c r="AM3259" s="17"/>
      <c r="AN3259" s="17"/>
      <c r="AO3259" s="17"/>
      <c r="AP3259" s="28" t="str">
        <f t="shared" si="959"/>
        <v>20208</v>
      </c>
      <c r="AQ3259" s="28" t="str">
        <f t="shared" si="960"/>
        <v>20208JPY</v>
      </c>
      <c r="AR3259" s="206" t="str">
        <f t="shared" si="961"/>
        <v>YAMAHA_Mounter</v>
      </c>
      <c r="AS3259" s="22">
        <f t="shared" si="962"/>
        <v>1</v>
      </c>
      <c r="AT3259" s="24" t="str">
        <f t="shared" si="963"/>
        <v>0-3 months</v>
      </c>
      <c r="AU3259" s="22" t="s">
        <v>3745</v>
      </c>
    </row>
    <row r="3260" spans="1:47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48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1138</v>
      </c>
      <c r="K3260" s="155" t="s">
        <v>1139</v>
      </c>
      <c r="L3260" s="17" t="s">
        <v>293</v>
      </c>
      <c r="M3260" s="13" t="s">
        <v>60</v>
      </c>
      <c r="N3260" s="13">
        <v>1</v>
      </c>
      <c r="O3260" s="13"/>
      <c r="P3260" s="33" t="str">
        <f t="shared" si="966"/>
        <v>MAIN UNIT</v>
      </c>
      <c r="Q3260" s="13" t="s">
        <v>61</v>
      </c>
      <c r="R3260" s="13" t="s">
        <v>62</v>
      </c>
      <c r="S3260" s="13" t="s">
        <v>49</v>
      </c>
      <c r="T3260" s="13" t="s">
        <v>78</v>
      </c>
      <c r="U3260" s="13" t="s">
        <v>79</v>
      </c>
      <c r="V3260" s="13" t="s">
        <v>1140</v>
      </c>
      <c r="W3260" s="13" t="s">
        <v>109</v>
      </c>
      <c r="X3260" s="135">
        <v>24000000</v>
      </c>
      <c r="Y3260" s="156">
        <v>1</v>
      </c>
      <c r="Z3260" s="18">
        <f t="shared" si="967"/>
        <v>24000000</v>
      </c>
      <c r="AA3260" s="13">
        <v>7.5700000000000003E-2</v>
      </c>
      <c r="AB3260" s="21">
        <f t="shared" ref="AB3260:AB3323" si="969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1"/>
        <v>37969334.083628319</v>
      </c>
      <c r="AJ3260" s="19">
        <f t="shared" si="952"/>
        <v>5097226.4551657084</v>
      </c>
      <c r="AK3260" s="20">
        <f t="shared" si="958"/>
        <v>0.13424587441904964</v>
      </c>
      <c r="AL3260" s="17"/>
      <c r="AM3260" s="17"/>
      <c r="AN3260" s="17"/>
      <c r="AO3260" s="17"/>
      <c r="AP3260" s="28" t="str">
        <f t="shared" si="959"/>
        <v>20208</v>
      </c>
      <c r="AQ3260" s="28" t="str">
        <f t="shared" si="960"/>
        <v>20208JPY</v>
      </c>
      <c r="AR3260" s="206" t="str">
        <f t="shared" si="961"/>
        <v>YAMAHA_Mounter</v>
      </c>
      <c r="AS3260" s="22">
        <f t="shared" si="962"/>
        <v>1</v>
      </c>
      <c r="AT3260" s="24" t="str">
        <f t="shared" si="963"/>
        <v>0-3 months</v>
      </c>
      <c r="AU3260" s="22" t="s">
        <v>3745</v>
      </c>
    </row>
    <row r="3261" spans="1:47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54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2416</v>
      </c>
      <c r="K3261" s="155" t="s">
        <v>2417</v>
      </c>
      <c r="L3261" s="17" t="s">
        <v>92</v>
      </c>
      <c r="M3261" s="13" t="s">
        <v>60</v>
      </c>
      <c r="N3261" s="13">
        <v>1</v>
      </c>
      <c r="O3261" s="13"/>
      <c r="P3261" s="33" t="str">
        <f t="shared" si="966"/>
        <v>MAIN UNIT</v>
      </c>
      <c r="Q3261" s="13" t="s">
        <v>68</v>
      </c>
      <c r="R3261" s="13" t="s">
        <v>62</v>
      </c>
      <c r="S3261" s="13" t="s">
        <v>49</v>
      </c>
      <c r="T3261" s="13" t="s">
        <v>78</v>
      </c>
      <c r="U3261" s="13" t="s">
        <v>79</v>
      </c>
      <c r="V3261" s="13" t="s">
        <v>2011</v>
      </c>
      <c r="W3261" s="13" t="s">
        <v>64</v>
      </c>
      <c r="X3261" s="135">
        <v>900000</v>
      </c>
      <c r="Y3261" s="157" t="str">
        <f t="shared" ref="Y3261:Y3267" si="970">IF(W3261="RMB","1.13", "1")</f>
        <v>1.13</v>
      </c>
      <c r="Z3261" s="18">
        <f t="shared" si="967"/>
        <v>900000</v>
      </c>
      <c r="AA3261" s="13">
        <v>1.1299999999999999</v>
      </c>
      <c r="AB3261" s="21">
        <f t="shared" si="969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1"/>
        <v>33543315.897345133</v>
      </c>
      <c r="AJ3261" s="19">
        <f t="shared" si="952"/>
        <v>4706169.3252984071</v>
      </c>
      <c r="AK3261" s="20">
        <f t="shared" si="958"/>
        <v>0.14030125523967318</v>
      </c>
      <c r="AL3261" s="17"/>
      <c r="AM3261" s="17"/>
      <c r="AN3261" s="17"/>
      <c r="AO3261" s="17"/>
      <c r="AP3261" s="28" t="str">
        <f t="shared" si="959"/>
        <v>20233</v>
      </c>
      <c r="AQ3261" s="28" t="str">
        <f t="shared" si="960"/>
        <v>20233RMB</v>
      </c>
      <c r="AR3261" s="206" t="str">
        <f t="shared" si="961"/>
        <v>YAMAHA_Mounter</v>
      </c>
      <c r="AS3261" s="22">
        <f t="shared" si="962"/>
        <v>2</v>
      </c>
      <c r="AT3261" s="24" t="str">
        <f t="shared" si="963"/>
        <v>0-3 months</v>
      </c>
      <c r="AU3261" s="22" t="s">
        <v>3751</v>
      </c>
    </row>
    <row r="3262" spans="1:47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48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1660</v>
      </c>
      <c r="K3262" s="155" t="s">
        <v>1661</v>
      </c>
      <c r="L3262" s="17" t="s">
        <v>92</v>
      </c>
      <c r="M3262" s="13" t="s">
        <v>60</v>
      </c>
      <c r="N3262" s="13">
        <v>1</v>
      </c>
      <c r="O3262" s="13"/>
      <c r="P3262" s="33" t="str">
        <f t="shared" si="966"/>
        <v>MAIN UNIT</v>
      </c>
      <c r="Q3262" s="13" t="s">
        <v>68</v>
      </c>
      <c r="R3262" s="13" t="s">
        <v>62</v>
      </c>
      <c r="S3262" s="13" t="s">
        <v>49</v>
      </c>
      <c r="T3262" s="13" t="s">
        <v>78</v>
      </c>
      <c r="U3262" s="13" t="s">
        <v>79</v>
      </c>
      <c r="V3262" s="13" t="s">
        <v>112</v>
      </c>
      <c r="W3262" s="13" t="s">
        <v>109</v>
      </c>
      <c r="X3262" s="135">
        <v>14000000</v>
      </c>
      <c r="Y3262" s="157" t="str">
        <f t="shared" si="970"/>
        <v>1</v>
      </c>
      <c r="Z3262" s="18">
        <f t="shared" si="967"/>
        <v>14000000</v>
      </c>
      <c r="AA3262" s="13">
        <v>7.4499999999999997E-2</v>
      </c>
      <c r="AB3262" s="21">
        <f t="shared" si="969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1"/>
        <v>57778307.282035396</v>
      </c>
      <c r="AJ3262" s="19">
        <f t="shared" si="952"/>
        <v>7259860.7225420559</v>
      </c>
      <c r="AK3262" s="20">
        <f t="shared" si="958"/>
        <v>0.12565028406083667</v>
      </c>
      <c r="AL3262" s="17"/>
      <c r="AM3262" s="17"/>
      <c r="AN3262" s="17"/>
      <c r="AO3262" s="17"/>
      <c r="AP3262" s="28" t="str">
        <f t="shared" si="959"/>
        <v>20213</v>
      </c>
      <c r="AQ3262" s="28" t="str">
        <f t="shared" si="960"/>
        <v>20213JPY</v>
      </c>
      <c r="AR3262" s="206" t="str">
        <f t="shared" si="961"/>
        <v>YAMAHA_Mounter</v>
      </c>
      <c r="AS3262" s="22">
        <f t="shared" si="962"/>
        <v>1</v>
      </c>
      <c r="AT3262" s="24" t="str">
        <f t="shared" si="963"/>
        <v>0-3 months</v>
      </c>
      <c r="AU3262" s="22" t="s">
        <v>3745</v>
      </c>
    </row>
    <row r="3263" spans="1:47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48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1660</v>
      </c>
      <c r="K3263" s="155" t="s">
        <v>1661</v>
      </c>
      <c r="L3263" s="17" t="s">
        <v>67</v>
      </c>
      <c r="M3263" s="13" t="s">
        <v>60</v>
      </c>
      <c r="N3263" s="13">
        <v>1</v>
      </c>
      <c r="O3263" s="13"/>
      <c r="P3263" s="33" t="str">
        <f t="shared" si="966"/>
        <v>MAIN UNIT</v>
      </c>
      <c r="Q3263" s="13" t="s">
        <v>68</v>
      </c>
      <c r="R3263" s="13" t="s">
        <v>62</v>
      </c>
      <c r="S3263" s="13" t="s">
        <v>49</v>
      </c>
      <c r="T3263" s="13" t="s">
        <v>78</v>
      </c>
      <c r="U3263" s="13" t="s">
        <v>79</v>
      </c>
      <c r="V3263" s="13" t="s">
        <v>112</v>
      </c>
      <c r="W3263" s="13" t="s">
        <v>109</v>
      </c>
      <c r="X3263" s="135">
        <v>10000000</v>
      </c>
      <c r="Y3263" s="157" t="str">
        <f t="shared" si="970"/>
        <v>1</v>
      </c>
      <c r="Z3263" s="18">
        <f t="shared" si="967"/>
        <v>10000000</v>
      </c>
      <c r="AA3263" s="13">
        <v>7.4499999999999997E-2</v>
      </c>
      <c r="AB3263" s="21">
        <f t="shared" si="969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1"/>
        <v>57778307.282035396</v>
      </c>
      <c r="AJ3263" s="19">
        <f t="shared" si="952"/>
        <v>7259860.7225420559</v>
      </c>
      <c r="AK3263" s="20">
        <f t="shared" si="958"/>
        <v>0.12565028406083667</v>
      </c>
      <c r="AL3263" s="17"/>
      <c r="AM3263" s="17"/>
      <c r="AN3263" s="17"/>
      <c r="AO3263" s="17"/>
      <c r="AP3263" s="28" t="str">
        <f t="shared" si="959"/>
        <v>20213</v>
      </c>
      <c r="AQ3263" s="28" t="str">
        <f t="shared" si="960"/>
        <v>20213JPY</v>
      </c>
      <c r="AR3263" s="206" t="str">
        <f t="shared" si="961"/>
        <v>YAMAHA_Mounter</v>
      </c>
      <c r="AS3263" s="22">
        <f t="shared" si="962"/>
        <v>1</v>
      </c>
      <c r="AT3263" s="24" t="str">
        <f t="shared" si="963"/>
        <v>0-3 months</v>
      </c>
      <c r="AU3263" s="22" t="s">
        <v>3745</v>
      </c>
    </row>
    <row r="3264" spans="1:47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53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1683</v>
      </c>
      <c r="K3264" s="155" t="s">
        <v>1661</v>
      </c>
      <c r="L3264" s="17" t="s">
        <v>92</v>
      </c>
      <c r="M3264" s="13" t="s">
        <v>60</v>
      </c>
      <c r="N3264" s="13">
        <v>1</v>
      </c>
      <c r="O3264" s="13"/>
      <c r="P3264" s="33" t="str">
        <f t="shared" si="966"/>
        <v>MAIN UNIT</v>
      </c>
      <c r="Q3264" s="13" t="s">
        <v>61</v>
      </c>
      <c r="R3264" s="13" t="s">
        <v>62</v>
      </c>
      <c r="S3264" s="13" t="s">
        <v>49</v>
      </c>
      <c r="T3264" s="13" t="s">
        <v>78</v>
      </c>
      <c r="U3264" s="13" t="s">
        <v>79</v>
      </c>
      <c r="V3264" s="13" t="s">
        <v>112</v>
      </c>
      <c r="W3264" s="13" t="s">
        <v>109</v>
      </c>
      <c r="X3264" s="135">
        <v>11000000</v>
      </c>
      <c r="Y3264" s="157" t="str">
        <f t="shared" si="970"/>
        <v>1</v>
      </c>
      <c r="Z3264" s="18">
        <f t="shared" si="967"/>
        <v>11000000</v>
      </c>
      <c r="AA3264" s="13">
        <v>7.17E-2</v>
      </c>
      <c r="AB3264" s="21">
        <f t="shared" si="969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1"/>
        <v>43684091.636631854</v>
      </c>
      <c r="AJ3264" s="19">
        <f t="shared" si="952"/>
        <v>6483951.8242071122</v>
      </c>
      <c r="AK3264" s="20">
        <f t="shared" si="958"/>
        <v>0.14842821680123736</v>
      </c>
      <c r="AL3264" s="17"/>
      <c r="AM3264" s="17"/>
      <c r="AN3264" s="17"/>
      <c r="AO3264" s="17"/>
      <c r="AP3264" s="28" t="str">
        <f t="shared" si="959"/>
        <v>20214</v>
      </c>
      <c r="AQ3264" s="28" t="str">
        <f t="shared" si="960"/>
        <v>20214JPY</v>
      </c>
      <c r="AR3264" s="206" t="str">
        <f t="shared" si="961"/>
        <v>YAMAHA_Mounter</v>
      </c>
      <c r="AS3264" s="22">
        <f t="shared" si="962"/>
        <v>2</v>
      </c>
      <c r="AT3264" s="24" t="str">
        <f t="shared" si="963"/>
        <v>0-3 months</v>
      </c>
      <c r="AU3264" s="22" t="s">
        <v>3745</v>
      </c>
    </row>
    <row r="3265" spans="1:47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53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1683</v>
      </c>
      <c r="K3265" s="155" t="s">
        <v>1661</v>
      </c>
      <c r="L3265" s="17" t="s">
        <v>67</v>
      </c>
      <c r="M3265" s="13" t="s">
        <v>60</v>
      </c>
      <c r="N3265" s="13">
        <v>1</v>
      </c>
      <c r="O3265" s="13"/>
      <c r="P3265" s="33" t="str">
        <f t="shared" si="966"/>
        <v>MAIN UNIT</v>
      </c>
      <c r="Q3265" s="13" t="s">
        <v>61</v>
      </c>
      <c r="R3265" s="13" t="s">
        <v>62</v>
      </c>
      <c r="S3265" s="13" t="s">
        <v>49</v>
      </c>
      <c r="T3265" s="13" t="s">
        <v>78</v>
      </c>
      <c r="U3265" s="13" t="s">
        <v>79</v>
      </c>
      <c r="V3265" s="13" t="s">
        <v>112</v>
      </c>
      <c r="W3265" s="13" t="s">
        <v>109</v>
      </c>
      <c r="X3265" s="135">
        <v>7350000</v>
      </c>
      <c r="Y3265" s="157" t="str">
        <f t="shared" si="970"/>
        <v>1</v>
      </c>
      <c r="Z3265" s="18">
        <f t="shared" si="967"/>
        <v>7350000</v>
      </c>
      <c r="AA3265" s="13">
        <v>7.17E-2</v>
      </c>
      <c r="AB3265" s="21">
        <f t="shared" si="969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1"/>
        <v>43684091.636631854</v>
      </c>
      <c r="AJ3265" s="19">
        <f t="shared" si="952"/>
        <v>6483951.8242071122</v>
      </c>
      <c r="AK3265" s="20">
        <f t="shared" si="958"/>
        <v>0.14842821680123736</v>
      </c>
      <c r="AL3265" s="17"/>
      <c r="AM3265" s="17"/>
      <c r="AN3265" s="17"/>
      <c r="AO3265" s="17"/>
      <c r="AP3265" s="28" t="str">
        <f t="shared" si="959"/>
        <v>20214</v>
      </c>
      <c r="AQ3265" s="28" t="str">
        <f t="shared" si="960"/>
        <v>20214JPY</v>
      </c>
      <c r="AR3265" s="206" t="str">
        <f t="shared" si="961"/>
        <v>YAMAHA_Mounter</v>
      </c>
      <c r="AS3265" s="22">
        <f t="shared" si="962"/>
        <v>2</v>
      </c>
      <c r="AT3265" s="24" t="str">
        <f t="shared" si="963"/>
        <v>0-3 months</v>
      </c>
      <c r="AU3265" s="22" t="s">
        <v>3745</v>
      </c>
    </row>
    <row r="3266" spans="1:47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53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1852</v>
      </c>
      <c r="K3266" s="155" t="s">
        <v>1853</v>
      </c>
      <c r="L3266" s="17" t="s">
        <v>92</v>
      </c>
      <c r="M3266" s="13" t="s">
        <v>60</v>
      </c>
      <c r="N3266" s="13">
        <v>1</v>
      </c>
      <c r="O3266" s="13"/>
      <c r="P3266" s="33" t="str">
        <f t="shared" si="966"/>
        <v>MAIN UNIT</v>
      </c>
      <c r="Q3266" s="13" t="s">
        <v>68</v>
      </c>
      <c r="R3266" s="13" t="s">
        <v>62</v>
      </c>
      <c r="S3266" s="13" t="s">
        <v>49</v>
      </c>
      <c r="T3266" s="13" t="s">
        <v>78</v>
      </c>
      <c r="U3266" s="13" t="s">
        <v>79</v>
      </c>
      <c r="V3266" s="13" t="s">
        <v>126</v>
      </c>
      <c r="W3266" s="13" t="s">
        <v>109</v>
      </c>
      <c r="X3266" s="135">
        <v>11000000</v>
      </c>
      <c r="Y3266" s="157" t="str">
        <f t="shared" si="970"/>
        <v>1</v>
      </c>
      <c r="Z3266" s="18">
        <f t="shared" si="967"/>
        <v>11000000</v>
      </c>
      <c r="AA3266" s="13">
        <v>7.2400000000000006E-2</v>
      </c>
      <c r="AB3266" s="21">
        <f t="shared" si="969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ref="AI3266:AI3329" si="971">IF(P3266="C66 SERVICE","",SUMIFS(AB:AB,F:F,F3266,G:G,G3266,E:E,E3266))</f>
        <v>47458373.787610628</v>
      </c>
      <c r="AJ3266" s="19">
        <f t="shared" ref="AJ3266:AJ3329" si="972">IF(P3266="C66 SERVICE","",SUMIFS(AC:AC,F:F,F3266,G:G,G3266,E:E,E3266))</f>
        <v>7436880.1411522133</v>
      </c>
      <c r="AK3266" s="20">
        <f t="shared" si="958"/>
        <v>0.15670322321692506</v>
      </c>
      <c r="AL3266" s="17"/>
      <c r="AM3266" s="17"/>
      <c r="AN3266" s="17"/>
      <c r="AO3266" s="17"/>
      <c r="AP3266" s="28" t="str">
        <f t="shared" si="959"/>
        <v>20218</v>
      </c>
      <c r="AQ3266" s="28" t="str">
        <f t="shared" si="960"/>
        <v>20218JPY</v>
      </c>
      <c r="AR3266" s="206" t="str">
        <f t="shared" si="961"/>
        <v>YAMAHA_Mounter</v>
      </c>
      <c r="AS3266" s="22">
        <f t="shared" si="962"/>
        <v>4</v>
      </c>
      <c r="AT3266" s="24" t="str">
        <f t="shared" si="963"/>
        <v>4-6 months</v>
      </c>
      <c r="AU3266" s="22" t="s">
        <v>3745</v>
      </c>
    </row>
    <row r="3267" spans="1:47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53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1852</v>
      </c>
      <c r="K3267" s="155" t="s">
        <v>1853</v>
      </c>
      <c r="L3267" s="17" t="s">
        <v>92</v>
      </c>
      <c r="M3267" s="13" t="s">
        <v>60</v>
      </c>
      <c r="N3267" s="13">
        <v>1</v>
      </c>
      <c r="O3267" s="13"/>
      <c r="P3267" s="33" t="str">
        <f t="shared" si="966"/>
        <v>MAIN UNIT</v>
      </c>
      <c r="Q3267" s="13" t="s">
        <v>68</v>
      </c>
      <c r="R3267" s="13" t="s">
        <v>62</v>
      </c>
      <c r="S3267" s="13" t="s">
        <v>49</v>
      </c>
      <c r="T3267" s="13" t="s">
        <v>78</v>
      </c>
      <c r="U3267" s="13" t="s">
        <v>79</v>
      </c>
      <c r="V3267" s="13" t="s">
        <v>126</v>
      </c>
      <c r="W3267" s="13" t="s">
        <v>109</v>
      </c>
      <c r="X3267" s="135">
        <v>11000000</v>
      </c>
      <c r="Y3267" s="157" t="str">
        <f t="shared" si="970"/>
        <v>1</v>
      </c>
      <c r="Z3267" s="18">
        <f t="shared" si="967"/>
        <v>11000000</v>
      </c>
      <c r="AA3267" s="13">
        <v>7.2300000000000003E-2</v>
      </c>
      <c r="AB3267" s="21">
        <f t="shared" si="969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71"/>
        <v>10844605.840707963</v>
      </c>
      <c r="AJ3267" s="19">
        <f t="shared" si="972"/>
        <v>1523130.9860707966</v>
      </c>
      <c r="AK3267" s="20">
        <f t="shared" si="958"/>
        <v>0.14045056209911663</v>
      </c>
      <c r="AL3267" s="17"/>
      <c r="AM3267" s="17"/>
      <c r="AN3267" s="17"/>
      <c r="AO3267" s="17"/>
      <c r="AP3267" s="28" t="str">
        <f t="shared" si="959"/>
        <v>20219</v>
      </c>
      <c r="AQ3267" s="28" t="str">
        <f t="shared" si="960"/>
        <v>20219JPY</v>
      </c>
      <c r="AR3267" s="206" t="str">
        <f t="shared" si="961"/>
        <v>YAMAHA_Mounter</v>
      </c>
      <c r="AS3267" s="22">
        <f t="shared" si="962"/>
        <v>5</v>
      </c>
      <c r="AT3267" s="24" t="str">
        <f t="shared" si="963"/>
        <v>4-6 months</v>
      </c>
      <c r="AU3267" s="22" t="s">
        <v>3745</v>
      </c>
    </row>
    <row r="3268" spans="1:47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41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283</v>
      </c>
      <c r="K3268" s="155" t="s">
        <v>284</v>
      </c>
      <c r="L3268" s="17" t="s">
        <v>67</v>
      </c>
      <c r="M3268" s="13" t="s">
        <v>60</v>
      </c>
      <c r="N3268" s="13">
        <v>1</v>
      </c>
      <c r="O3268" s="13"/>
      <c r="P3268" s="33" t="str">
        <f t="shared" si="966"/>
        <v>MAIN UNIT</v>
      </c>
      <c r="Q3268" s="13" t="s">
        <v>61</v>
      </c>
      <c r="R3268" s="13" t="s">
        <v>62</v>
      </c>
      <c r="S3268" s="13" t="s">
        <v>49</v>
      </c>
      <c r="T3268" s="13" t="s">
        <v>78</v>
      </c>
      <c r="U3268" s="13" t="s">
        <v>79</v>
      </c>
      <c r="V3268" s="13" t="s">
        <v>285</v>
      </c>
      <c r="W3268" s="13" t="s">
        <v>286</v>
      </c>
      <c r="X3268" s="135">
        <v>750000</v>
      </c>
      <c r="Y3268" s="156">
        <v>1.1599999999999999</v>
      </c>
      <c r="Z3268" s="18">
        <f t="shared" si="967"/>
        <v>750000</v>
      </c>
      <c r="AA3268" s="13">
        <v>1.1499999999999999</v>
      </c>
      <c r="AB3268" s="21">
        <f t="shared" si="969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71"/>
        <v>26492741.106427077</v>
      </c>
      <c r="AJ3268" s="19">
        <f t="shared" si="972"/>
        <v>3348032.1325698122</v>
      </c>
      <c r="AK3268" s="20">
        <f t="shared" si="958"/>
        <v>0.12637545201985867</v>
      </c>
      <c r="AL3268" s="17"/>
      <c r="AM3268" s="17"/>
      <c r="AN3268" s="17"/>
      <c r="AO3268" s="17"/>
      <c r="AP3268" s="28" t="str">
        <f t="shared" si="959"/>
        <v>20189</v>
      </c>
      <c r="AQ3268" s="28" t="str">
        <f t="shared" si="960"/>
        <v>20189RMB</v>
      </c>
      <c r="AR3268" s="206" t="str">
        <f t="shared" si="961"/>
        <v>YAMAHA_Mounter</v>
      </c>
      <c r="AS3268" s="22">
        <f t="shared" si="962"/>
        <v>1</v>
      </c>
      <c r="AT3268" s="24" t="str">
        <f t="shared" si="963"/>
        <v>0-3 months</v>
      </c>
      <c r="AU3268" s="22" t="s">
        <v>3240</v>
      </c>
    </row>
    <row r="3269" spans="1:47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41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283</v>
      </c>
      <c r="K3269" s="155" t="s">
        <v>284</v>
      </c>
      <c r="L3269" s="17" t="s">
        <v>59</v>
      </c>
      <c r="M3269" s="13" t="s">
        <v>60</v>
      </c>
      <c r="N3269" s="13">
        <v>1</v>
      </c>
      <c r="O3269" s="13"/>
      <c r="P3269" s="33" t="str">
        <f t="shared" si="966"/>
        <v>MAIN UNIT</v>
      </c>
      <c r="Q3269" s="13" t="s">
        <v>61</v>
      </c>
      <c r="R3269" s="13" t="s">
        <v>62</v>
      </c>
      <c r="S3269" s="13" t="s">
        <v>49</v>
      </c>
      <c r="T3269" s="13" t="s">
        <v>78</v>
      </c>
      <c r="U3269" s="13" t="s">
        <v>79</v>
      </c>
      <c r="V3269" s="13" t="s">
        <v>285</v>
      </c>
      <c r="W3269" s="13" t="s">
        <v>286</v>
      </c>
      <c r="X3269" s="135">
        <v>520000</v>
      </c>
      <c r="Y3269" s="156">
        <v>1.1599999999999999</v>
      </c>
      <c r="Z3269" s="18">
        <f t="shared" si="967"/>
        <v>520000</v>
      </c>
      <c r="AA3269" s="13">
        <v>1.1499999999999999</v>
      </c>
      <c r="AB3269" s="21">
        <f t="shared" si="969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71"/>
        <v>26492741.106427077</v>
      </c>
      <c r="AJ3269" s="19">
        <f t="shared" si="972"/>
        <v>3348032.1325698122</v>
      </c>
      <c r="AK3269" s="20">
        <f t="shared" si="958"/>
        <v>0.12637545201985867</v>
      </c>
      <c r="AL3269" s="17"/>
      <c r="AM3269" s="17"/>
      <c r="AN3269" s="17"/>
      <c r="AO3269" s="17"/>
      <c r="AP3269" s="28" t="str">
        <f t="shared" si="959"/>
        <v>20189</v>
      </c>
      <c r="AQ3269" s="28" t="str">
        <f t="shared" si="960"/>
        <v>20189RMB</v>
      </c>
      <c r="AR3269" s="206" t="str">
        <f t="shared" si="961"/>
        <v>YAMAHA_Mounter</v>
      </c>
      <c r="AS3269" s="22">
        <f t="shared" si="962"/>
        <v>1</v>
      </c>
      <c r="AT3269" s="24" t="str">
        <f t="shared" si="963"/>
        <v>0-3 months</v>
      </c>
      <c r="AU3269" s="22" t="s">
        <v>3240</v>
      </c>
    </row>
    <row r="3270" spans="1:47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41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438</v>
      </c>
      <c r="K3270" s="155" t="s">
        <v>284</v>
      </c>
      <c r="L3270" s="17" t="s">
        <v>59</v>
      </c>
      <c r="M3270" s="13" t="s">
        <v>60</v>
      </c>
      <c r="N3270" s="13">
        <v>1</v>
      </c>
      <c r="O3270" s="13"/>
      <c r="P3270" s="33" t="str">
        <f t="shared" si="966"/>
        <v>MAIN UNIT</v>
      </c>
      <c r="Q3270" s="13" t="s">
        <v>61</v>
      </c>
      <c r="R3270" s="13" t="s">
        <v>62</v>
      </c>
      <c r="S3270" s="13" t="s">
        <v>49</v>
      </c>
      <c r="T3270" s="13" t="s">
        <v>78</v>
      </c>
      <c r="U3270" s="13" t="s">
        <v>79</v>
      </c>
      <c r="V3270" s="13" t="s">
        <v>126</v>
      </c>
      <c r="W3270" s="13" t="s">
        <v>109</v>
      </c>
      <c r="X3270" s="135">
        <v>7350000</v>
      </c>
      <c r="Y3270" s="156">
        <v>1</v>
      </c>
      <c r="Z3270" s="18">
        <f t="shared" si="967"/>
        <v>7350000</v>
      </c>
      <c r="AA3270" s="13">
        <v>7.51E-2</v>
      </c>
      <c r="AB3270" s="21">
        <f t="shared" si="969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si="971"/>
        <v>29288201.603076916</v>
      </c>
      <c r="AJ3270" s="19">
        <f t="shared" si="972"/>
        <v>3870159.1769246152</v>
      </c>
      <c r="AK3270" s="20">
        <f t="shared" ref="AK3270:AK3333" si="978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79">IF(F3270="","",F3270&amp;G3270)</f>
        <v>20184</v>
      </c>
      <c r="AQ3270" s="28" t="str">
        <f t="shared" ref="AQ3270:AQ3333" si="980">IF(W3270="","",F3270&amp;G3270&amp;W3270)</f>
        <v>20184JPY</v>
      </c>
      <c r="AR3270" s="206" t="str">
        <f t="shared" ref="AR3270:AR3333" si="981">IFERROR(IF(AND(M3270="YAMAHA", R3270="C28"), "YAMAHA_Non_Mounter", IF(AND(M3270="YAMAHA", R3270="C49"), "YAMAHA_Mounter", M3270)),"")</f>
        <v>YAMAHA_Mounter</v>
      </c>
      <c r="AS3270" s="22">
        <f t="shared" ref="AS3270:AS3333" si="982">IFERROR(IF(OR(G3270="TBA", G3270=""), "", DATEDIF(DATE(B3270, C3270, 1), DATE(F3270, G3270, 1), "M")),"")</f>
        <v>1</v>
      </c>
      <c r="AT3270" s="24" t="str">
        <f t="shared" ref="AT3270:AT3333" si="983">IF(ISNUMBER(AS3270), IF(AS3270&gt;=0, IF(AS3270&lt;=3, "0-3 months", IF(AS3270&lt;=6, "4-6 months", "&gt; 6 months"))), "")</f>
        <v>0-3 months</v>
      </c>
      <c r="AU3270" s="22" t="s">
        <v>3745</v>
      </c>
    </row>
    <row r="3271" spans="1:47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53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1746</v>
      </c>
      <c r="K3271" s="155" t="s">
        <v>1747</v>
      </c>
      <c r="L3271" s="17" t="s">
        <v>92</v>
      </c>
      <c r="M3271" s="13" t="s">
        <v>60</v>
      </c>
      <c r="N3271" s="13">
        <v>1</v>
      </c>
      <c r="O3271" s="13"/>
      <c r="P3271" s="33" t="str">
        <f t="shared" si="966"/>
        <v>MAIN UNIT</v>
      </c>
      <c r="Q3271" s="13" t="s">
        <v>61</v>
      </c>
      <c r="R3271" s="13" t="s">
        <v>62</v>
      </c>
      <c r="S3271" s="13" t="s">
        <v>49</v>
      </c>
      <c r="T3271" s="13" t="s">
        <v>78</v>
      </c>
      <c r="U3271" s="13" t="s">
        <v>79</v>
      </c>
      <c r="V3271" s="13" t="s">
        <v>126</v>
      </c>
      <c r="W3271" s="13" t="s">
        <v>64</v>
      </c>
      <c r="X3271" s="135">
        <v>832000</v>
      </c>
      <c r="Y3271" s="157" t="str">
        <f t="shared" ref="Y3271:Y3276" si="984">IF(W3271="RMB","1.13", "1")</f>
        <v>1.13</v>
      </c>
      <c r="Z3271" s="18">
        <f t="shared" si="967"/>
        <v>832000</v>
      </c>
      <c r="AA3271" s="13">
        <v>1.1950000000000001</v>
      </c>
      <c r="AB3271" s="21">
        <f t="shared" si="969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1"/>
        <v>63006605.696460173</v>
      </c>
      <c r="AJ3271" s="19">
        <f t="shared" si="972"/>
        <v>8897485.660753984</v>
      </c>
      <c r="AK3271" s="20">
        <f t="shared" si="978"/>
        <v>0.141215124388995</v>
      </c>
      <c r="AL3271" s="17"/>
      <c r="AM3271" s="17"/>
      <c r="AN3271" s="17"/>
      <c r="AO3271" s="17"/>
      <c r="AP3271" s="28" t="str">
        <f t="shared" si="979"/>
        <v>20215</v>
      </c>
      <c r="AQ3271" s="28" t="str">
        <f t="shared" si="980"/>
        <v>20215RMB</v>
      </c>
      <c r="AR3271" s="206" t="str">
        <f t="shared" si="981"/>
        <v>YAMAHA_Mounter</v>
      </c>
      <c r="AS3271" s="22">
        <f t="shared" si="982"/>
        <v>1</v>
      </c>
      <c r="AT3271" s="24" t="str">
        <f t="shared" si="983"/>
        <v>0-3 months</v>
      </c>
      <c r="AU3271" s="22" t="s">
        <v>3751</v>
      </c>
    </row>
    <row r="3272" spans="1:47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53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1746</v>
      </c>
      <c r="K3272" s="155" t="s">
        <v>1747</v>
      </c>
      <c r="L3272" s="17" t="s">
        <v>67</v>
      </c>
      <c r="M3272" s="13" t="s">
        <v>60</v>
      </c>
      <c r="N3272" s="13">
        <v>1</v>
      </c>
      <c r="O3272" s="13"/>
      <c r="P3272" s="33" t="str">
        <f t="shared" si="966"/>
        <v>MAIN UNIT</v>
      </c>
      <c r="Q3272" s="13" t="s">
        <v>61</v>
      </c>
      <c r="R3272" s="13" t="s">
        <v>62</v>
      </c>
      <c r="S3272" s="13" t="s">
        <v>49</v>
      </c>
      <c r="T3272" s="13" t="s">
        <v>78</v>
      </c>
      <c r="U3272" s="13" t="s">
        <v>79</v>
      </c>
      <c r="V3272" s="13" t="s">
        <v>126</v>
      </c>
      <c r="W3272" s="13" t="s">
        <v>64</v>
      </c>
      <c r="X3272" s="135">
        <v>590000</v>
      </c>
      <c r="Y3272" s="157" t="str">
        <f t="shared" si="984"/>
        <v>1.13</v>
      </c>
      <c r="Z3272" s="18">
        <f t="shared" si="967"/>
        <v>590000</v>
      </c>
      <c r="AA3272" s="13">
        <v>1.1950000000000001</v>
      </c>
      <c r="AB3272" s="21">
        <f t="shared" si="969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1"/>
        <v>63006605.696460173</v>
      </c>
      <c r="AJ3272" s="19">
        <f t="shared" si="972"/>
        <v>8897485.660753984</v>
      </c>
      <c r="AK3272" s="20">
        <f t="shared" si="978"/>
        <v>0.141215124388995</v>
      </c>
      <c r="AL3272" s="17"/>
      <c r="AM3272" s="17"/>
      <c r="AN3272" s="17"/>
      <c r="AO3272" s="17"/>
      <c r="AP3272" s="28" t="str">
        <f t="shared" si="979"/>
        <v>20215</v>
      </c>
      <c r="AQ3272" s="28" t="str">
        <f t="shared" si="980"/>
        <v>20215RMB</v>
      </c>
      <c r="AR3272" s="206" t="str">
        <f t="shared" si="981"/>
        <v>YAMAHA_Mounter</v>
      </c>
      <c r="AS3272" s="22">
        <f t="shared" si="982"/>
        <v>1</v>
      </c>
      <c r="AT3272" s="24" t="str">
        <f t="shared" si="983"/>
        <v>0-3 months</v>
      </c>
      <c r="AU3272" s="22" t="s">
        <v>3751</v>
      </c>
    </row>
    <row r="3273" spans="1:47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54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2014</v>
      </c>
      <c r="K3273" s="155" t="s">
        <v>1747</v>
      </c>
      <c r="L3273" s="17" t="s">
        <v>92</v>
      </c>
      <c r="M3273" s="13" t="s">
        <v>60</v>
      </c>
      <c r="N3273" s="13">
        <v>1</v>
      </c>
      <c r="O3273" s="13"/>
      <c r="P3273" s="33" t="str">
        <f t="shared" si="966"/>
        <v>MAIN UNIT</v>
      </c>
      <c r="Q3273" s="13" t="s">
        <v>61</v>
      </c>
      <c r="R3273" s="13" t="s">
        <v>62</v>
      </c>
      <c r="S3273" s="13" t="s">
        <v>49</v>
      </c>
      <c r="T3273" s="13" t="s">
        <v>78</v>
      </c>
      <c r="U3273" s="13" t="s">
        <v>79</v>
      </c>
      <c r="V3273" s="13" t="s">
        <v>126</v>
      </c>
      <c r="W3273" s="13" t="s">
        <v>109</v>
      </c>
      <c r="X3273" s="135">
        <v>12300000</v>
      </c>
      <c r="Y3273" s="157" t="str">
        <f t="shared" si="984"/>
        <v>1</v>
      </c>
      <c r="Z3273" s="18">
        <f t="shared" si="967"/>
        <v>12300000</v>
      </c>
      <c r="AA3273" s="13">
        <v>6.2799999999999995E-2</v>
      </c>
      <c r="AB3273" s="21">
        <f t="shared" si="969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1"/>
        <v>44014086.982070789</v>
      </c>
      <c r="AJ3273" s="19">
        <f t="shared" si="972"/>
        <v>6419974.0221889298</v>
      </c>
      <c r="AK3273" s="20">
        <f t="shared" si="978"/>
        <v>0.14586180158193709</v>
      </c>
      <c r="AL3273" s="17"/>
      <c r="AM3273" s="17"/>
      <c r="AN3273" s="17"/>
      <c r="AO3273" s="17"/>
      <c r="AP3273" s="28" t="str">
        <f t="shared" si="979"/>
        <v>20225</v>
      </c>
      <c r="AQ3273" s="28" t="str">
        <f t="shared" si="980"/>
        <v>20225JPY</v>
      </c>
      <c r="AR3273" s="206" t="str">
        <f t="shared" si="981"/>
        <v>YAMAHA_Mounter</v>
      </c>
      <c r="AS3273" s="22">
        <f t="shared" si="982"/>
        <v>13</v>
      </c>
      <c r="AT3273" s="24" t="str">
        <f t="shared" si="983"/>
        <v>&gt; 6 months</v>
      </c>
      <c r="AU3273" s="22" t="s">
        <v>3745</v>
      </c>
    </row>
    <row r="3274" spans="1:47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54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2014</v>
      </c>
      <c r="K3274" s="155" t="s">
        <v>1747</v>
      </c>
      <c r="L3274" s="17" t="s">
        <v>92</v>
      </c>
      <c r="M3274" s="13" t="s">
        <v>60</v>
      </c>
      <c r="N3274" s="13">
        <v>1</v>
      </c>
      <c r="O3274" s="13"/>
      <c r="P3274" s="33" t="str">
        <f t="shared" si="966"/>
        <v>MAIN UNIT</v>
      </c>
      <c r="Q3274" s="13" t="s">
        <v>61</v>
      </c>
      <c r="R3274" s="13" t="s">
        <v>62</v>
      </c>
      <c r="S3274" s="13" t="s">
        <v>49</v>
      </c>
      <c r="T3274" s="13" t="s">
        <v>78</v>
      </c>
      <c r="U3274" s="13" t="s">
        <v>79</v>
      </c>
      <c r="V3274" s="13" t="s">
        <v>126</v>
      </c>
      <c r="W3274" s="13" t="s">
        <v>109</v>
      </c>
      <c r="X3274" s="135">
        <v>12300000</v>
      </c>
      <c r="Y3274" s="157" t="str">
        <f t="shared" si="984"/>
        <v>1</v>
      </c>
      <c r="Z3274" s="18">
        <f t="shared" si="967"/>
        <v>12300000</v>
      </c>
      <c r="AA3274" s="13">
        <v>6.2799999999999995E-2</v>
      </c>
      <c r="AB3274" s="21">
        <f t="shared" si="969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1"/>
        <v>44014086.982070789</v>
      </c>
      <c r="AJ3274" s="19">
        <f t="shared" si="972"/>
        <v>6419974.0221889298</v>
      </c>
      <c r="AK3274" s="20">
        <f t="shared" si="978"/>
        <v>0.14586180158193709</v>
      </c>
      <c r="AL3274" s="17"/>
      <c r="AM3274" s="17"/>
      <c r="AN3274" s="17"/>
      <c r="AO3274" s="17"/>
      <c r="AP3274" s="28" t="str">
        <f t="shared" si="979"/>
        <v>20225</v>
      </c>
      <c r="AQ3274" s="28" t="str">
        <f t="shared" si="980"/>
        <v>20225JPY</v>
      </c>
      <c r="AR3274" s="206" t="str">
        <f t="shared" si="981"/>
        <v>YAMAHA_Mounter</v>
      </c>
      <c r="AS3274" s="22">
        <f t="shared" si="982"/>
        <v>13</v>
      </c>
      <c r="AT3274" s="24" t="str">
        <f t="shared" si="983"/>
        <v>&gt; 6 months</v>
      </c>
      <c r="AU3274" s="22" t="s">
        <v>3745</v>
      </c>
    </row>
    <row r="3275" spans="1:47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54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2241</v>
      </c>
      <c r="K3275" s="155" t="s">
        <v>1747</v>
      </c>
      <c r="L3275" s="17" t="s">
        <v>92</v>
      </c>
      <c r="M3275" s="13" t="s">
        <v>60</v>
      </c>
      <c r="N3275" s="13">
        <v>1</v>
      </c>
      <c r="O3275" s="13"/>
      <c r="P3275" s="33" t="str">
        <f t="shared" si="966"/>
        <v>MAIN UNIT</v>
      </c>
      <c r="Q3275" s="13" t="s">
        <v>61</v>
      </c>
      <c r="R3275" s="13" t="s">
        <v>62</v>
      </c>
      <c r="S3275" s="13" t="s">
        <v>49</v>
      </c>
      <c r="T3275" s="13" t="s">
        <v>78</v>
      </c>
      <c r="U3275" s="13" t="s">
        <v>79</v>
      </c>
      <c r="V3275" s="13" t="s">
        <v>126</v>
      </c>
      <c r="W3275" s="13" t="s">
        <v>109</v>
      </c>
      <c r="X3275" s="135">
        <v>13900000</v>
      </c>
      <c r="Y3275" s="157" t="str">
        <f t="shared" si="984"/>
        <v>1</v>
      </c>
      <c r="Z3275" s="18">
        <f t="shared" si="967"/>
        <v>13900000</v>
      </c>
      <c r="AA3275" s="13">
        <v>5.96E-2</v>
      </c>
      <c r="AB3275" s="21">
        <f t="shared" si="969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1"/>
        <v>35073581.838938057</v>
      </c>
      <c r="AJ3275" s="19">
        <f t="shared" si="972"/>
        <v>5034113.9728989396</v>
      </c>
      <c r="AK3275" s="20">
        <f t="shared" si="978"/>
        <v>0.14353007902118958</v>
      </c>
      <c r="AL3275" s="17"/>
      <c r="AM3275" s="17"/>
      <c r="AN3275" s="17"/>
      <c r="AO3275" s="17"/>
      <c r="AP3275" s="28" t="str">
        <f t="shared" si="979"/>
        <v>20228</v>
      </c>
      <c r="AQ3275" s="28" t="str">
        <f t="shared" si="980"/>
        <v>20228JPY</v>
      </c>
      <c r="AR3275" s="206" t="str">
        <f t="shared" si="981"/>
        <v>YAMAHA_Mounter</v>
      </c>
      <c r="AS3275" s="22">
        <f t="shared" si="982"/>
        <v>4</v>
      </c>
      <c r="AT3275" s="24" t="str">
        <f t="shared" si="983"/>
        <v>4-6 months</v>
      </c>
      <c r="AU3275" s="22" t="s">
        <v>3746</v>
      </c>
    </row>
    <row r="3276" spans="1:47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54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2241</v>
      </c>
      <c r="K3276" s="155" t="s">
        <v>1747</v>
      </c>
      <c r="L3276" s="17" t="s">
        <v>67</v>
      </c>
      <c r="M3276" s="13" t="s">
        <v>60</v>
      </c>
      <c r="N3276" s="13">
        <v>1</v>
      </c>
      <c r="O3276" s="13"/>
      <c r="P3276" s="33" t="str">
        <f t="shared" si="966"/>
        <v>MAIN UNIT</v>
      </c>
      <c r="Q3276" s="13" t="s">
        <v>61</v>
      </c>
      <c r="R3276" s="13" t="s">
        <v>62</v>
      </c>
      <c r="S3276" s="13" t="s">
        <v>49</v>
      </c>
      <c r="T3276" s="13" t="s">
        <v>78</v>
      </c>
      <c r="U3276" s="13" t="s">
        <v>79</v>
      </c>
      <c r="V3276" s="13" t="s">
        <v>126</v>
      </c>
      <c r="W3276" s="13" t="s">
        <v>109</v>
      </c>
      <c r="X3276" s="135">
        <v>9978000</v>
      </c>
      <c r="Y3276" s="157" t="str">
        <f t="shared" si="984"/>
        <v>1</v>
      </c>
      <c r="Z3276" s="18">
        <f t="shared" si="967"/>
        <v>9978000</v>
      </c>
      <c r="AA3276" s="13">
        <v>5.96E-2</v>
      </c>
      <c r="AB3276" s="21">
        <f t="shared" si="969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1"/>
        <v>35073581.838938057</v>
      </c>
      <c r="AJ3276" s="19">
        <f t="shared" si="972"/>
        <v>5034113.9728989396</v>
      </c>
      <c r="AK3276" s="20">
        <f t="shared" si="978"/>
        <v>0.14353007902118958</v>
      </c>
      <c r="AL3276" s="17"/>
      <c r="AM3276" s="17"/>
      <c r="AN3276" s="17"/>
      <c r="AO3276" s="17"/>
      <c r="AP3276" s="28" t="str">
        <f t="shared" si="979"/>
        <v>20228</v>
      </c>
      <c r="AQ3276" s="28" t="str">
        <f t="shared" si="980"/>
        <v>20228JPY</v>
      </c>
      <c r="AR3276" s="206" t="str">
        <f t="shared" si="981"/>
        <v>YAMAHA_Mounter</v>
      </c>
      <c r="AS3276" s="22">
        <f t="shared" si="982"/>
        <v>4</v>
      </c>
      <c r="AT3276" s="24" t="str">
        <f t="shared" si="983"/>
        <v>4-6 months</v>
      </c>
      <c r="AU3276" s="22" t="s">
        <v>3746</v>
      </c>
    </row>
    <row r="3277" spans="1:47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185</v>
      </c>
      <c r="G3277" s="23" t="s">
        <v>185</v>
      </c>
      <c r="H3277" s="29"/>
      <c r="I3277" s="33" t="str">
        <f t="shared" si="975"/>
        <v>Cancel</v>
      </c>
      <c r="J3277" s="188" t="s">
        <v>3386</v>
      </c>
      <c r="K3277" s="29" t="s">
        <v>1348</v>
      </c>
      <c r="L3277" s="17" t="s">
        <v>67</v>
      </c>
      <c r="M3277" s="22" t="s">
        <v>60</v>
      </c>
      <c r="N3277" s="22">
        <v>1</v>
      </c>
      <c r="O3277" s="22"/>
      <c r="P3277" s="33" t="str">
        <f t="shared" si="966"/>
        <v>MAIN UNIT</v>
      </c>
      <c r="Q3277" s="13" t="s">
        <v>61</v>
      </c>
      <c r="R3277" s="22" t="s">
        <v>62</v>
      </c>
      <c r="S3277" s="22" t="s">
        <v>49</v>
      </c>
      <c r="T3277" s="22" t="s">
        <v>78</v>
      </c>
      <c r="U3277" s="22" t="s">
        <v>396</v>
      </c>
      <c r="V3277" s="22" t="s">
        <v>131</v>
      </c>
      <c r="W3277" s="22" t="s">
        <v>109</v>
      </c>
      <c r="X3277" s="30">
        <v>7668000</v>
      </c>
      <c r="Y3277" s="31" t="str">
        <f>IF(W3277="","",IF(W3277="RMB","1.13", "1"))</f>
        <v>1</v>
      </c>
      <c r="Z3277" s="18">
        <f t="shared" si="967"/>
        <v>7668000</v>
      </c>
      <c r="AA3277" s="22">
        <v>5.1799999999999999E-2</v>
      </c>
      <c r="AB3277" s="21">
        <f t="shared" si="969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1"/>
        <v>499582152.5142017</v>
      </c>
      <c r="AJ3277" s="27">
        <f t="shared" si="972"/>
        <v>59520528.679470733</v>
      </c>
      <c r="AK3277" s="28">
        <f t="shared" si="978"/>
        <v>0.11914062257814291</v>
      </c>
      <c r="AL3277" s="24"/>
      <c r="AM3277" s="24"/>
      <c r="AN3277" s="24"/>
      <c r="AO3277" s="24"/>
      <c r="AP3277" s="28" t="str">
        <f t="shared" si="979"/>
        <v>CancelCancel</v>
      </c>
      <c r="AQ3277" s="28" t="str">
        <f t="shared" si="980"/>
        <v>CancelCancelJPY</v>
      </c>
      <c r="AR3277" s="206" t="str">
        <f t="shared" si="981"/>
        <v>YAMAHA_Mounter</v>
      </c>
      <c r="AS3277" s="22" t="str">
        <f t="shared" si="982"/>
        <v/>
      </c>
      <c r="AT3277" s="24" t="str">
        <f t="shared" si="983"/>
        <v/>
      </c>
      <c r="AU3277" s="22" t="s">
        <v>3745</v>
      </c>
    </row>
    <row r="3278" spans="1:47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185</v>
      </c>
      <c r="G3278" s="23" t="s">
        <v>185</v>
      </c>
      <c r="H3278" s="29"/>
      <c r="I3278" s="202" t="str">
        <f t="shared" si="975"/>
        <v>Cancel</v>
      </c>
      <c r="J3278" s="188" t="s">
        <v>3420</v>
      </c>
      <c r="K3278" s="29" t="s">
        <v>1796</v>
      </c>
      <c r="L3278" s="17" t="s">
        <v>67</v>
      </c>
      <c r="M3278" s="22" t="s">
        <v>60</v>
      </c>
      <c r="N3278" s="22">
        <v>1</v>
      </c>
      <c r="O3278" s="22"/>
      <c r="P3278" s="33" t="str">
        <f t="shared" si="966"/>
        <v>MAIN UNIT</v>
      </c>
      <c r="Q3278" s="13" t="s">
        <v>61</v>
      </c>
      <c r="R3278" s="22" t="s">
        <v>62</v>
      </c>
      <c r="S3278" s="22" t="s">
        <v>51</v>
      </c>
      <c r="T3278" s="22" t="s">
        <v>349</v>
      </c>
      <c r="U3278" s="22" t="s">
        <v>149</v>
      </c>
      <c r="V3278" s="22" t="s">
        <v>954</v>
      </c>
      <c r="W3278" s="22" t="s">
        <v>64</v>
      </c>
      <c r="X3278" s="32">
        <v>420000</v>
      </c>
      <c r="Y3278" s="195" t="str">
        <f>IF(W3278="","",IF(W3278="RMB","1.13", "1"))</f>
        <v>1.13</v>
      </c>
      <c r="Z3278" s="196">
        <f t="shared" si="967"/>
        <v>420000</v>
      </c>
      <c r="AA3278" s="22">
        <v>1.073</v>
      </c>
      <c r="AB3278" s="197">
        <f t="shared" si="969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1"/>
        <v>499582152.5142017</v>
      </c>
      <c r="AJ3278" s="200">
        <f t="shared" si="972"/>
        <v>59520528.679470733</v>
      </c>
      <c r="AK3278" s="201">
        <f t="shared" si="978"/>
        <v>0.11914062257814291</v>
      </c>
      <c r="AL3278" s="22"/>
      <c r="AM3278" s="22"/>
      <c r="AN3278" s="22"/>
      <c r="AO3278" s="22"/>
      <c r="AP3278" s="28" t="str">
        <f t="shared" si="979"/>
        <v>CancelCancel</v>
      </c>
      <c r="AQ3278" s="28" t="str">
        <f t="shared" si="980"/>
        <v>CancelCancelRMB</v>
      </c>
      <c r="AR3278" s="206" t="str">
        <f t="shared" si="981"/>
        <v>YAMAHA_Mounter</v>
      </c>
      <c r="AS3278" s="22" t="str">
        <f t="shared" si="982"/>
        <v/>
      </c>
      <c r="AT3278" s="24" t="str">
        <f t="shared" si="983"/>
        <v/>
      </c>
      <c r="AU3278" s="22" t="s">
        <v>3240</v>
      </c>
    </row>
    <row r="3279" spans="1:47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48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1201</v>
      </c>
      <c r="K3279" s="155" t="s">
        <v>1202</v>
      </c>
      <c r="L3279" s="17" t="s">
        <v>67</v>
      </c>
      <c r="M3279" s="13" t="s">
        <v>60</v>
      </c>
      <c r="N3279" s="13">
        <v>1</v>
      </c>
      <c r="O3279" s="13"/>
      <c r="P3279" s="33" t="str">
        <f t="shared" si="966"/>
        <v>MAIN UNIT</v>
      </c>
      <c r="Q3279" s="13" t="s">
        <v>68</v>
      </c>
      <c r="R3279" s="13" t="s">
        <v>62</v>
      </c>
      <c r="S3279" s="13" t="s">
        <v>49</v>
      </c>
      <c r="T3279" s="13" t="s">
        <v>78</v>
      </c>
      <c r="U3279" s="13" t="s">
        <v>79</v>
      </c>
      <c r="V3279" s="13" t="s">
        <v>1186</v>
      </c>
      <c r="W3279" s="13" t="s">
        <v>1101</v>
      </c>
      <c r="X3279" s="135">
        <v>575200</v>
      </c>
      <c r="Y3279" s="156">
        <v>1.1299999999999999</v>
      </c>
      <c r="Z3279" s="18">
        <f t="shared" si="967"/>
        <v>575200</v>
      </c>
      <c r="AA3279" s="13">
        <v>1.095</v>
      </c>
      <c r="AB3279" s="21">
        <f t="shared" si="969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1"/>
        <v>35384300.169380538</v>
      </c>
      <c r="AJ3279" s="19">
        <f t="shared" si="972"/>
        <v>5044538.8896988509</v>
      </c>
      <c r="AK3279" s="20">
        <f t="shared" si="978"/>
        <v>0.14256432557804533</v>
      </c>
      <c r="AL3279" s="17"/>
      <c r="AM3279" s="17"/>
      <c r="AN3279" s="17"/>
      <c r="AO3279" s="17"/>
      <c r="AP3279" s="28" t="str">
        <f t="shared" si="979"/>
        <v>20207</v>
      </c>
      <c r="AQ3279" s="28" t="str">
        <f t="shared" si="980"/>
        <v>20207RMB</v>
      </c>
      <c r="AR3279" s="206" t="str">
        <f t="shared" si="981"/>
        <v>YAMAHA_Mounter</v>
      </c>
      <c r="AS3279" s="22">
        <f t="shared" si="982"/>
        <v>0</v>
      </c>
      <c r="AT3279" s="24" t="str">
        <f t="shared" si="983"/>
        <v>0-3 months</v>
      </c>
      <c r="AU3279" s="22" t="s">
        <v>3744</v>
      </c>
    </row>
    <row r="3280" spans="1:47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48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1386</v>
      </c>
      <c r="K3280" s="155" t="s">
        <v>1387</v>
      </c>
      <c r="L3280" s="17" t="s">
        <v>92</v>
      </c>
      <c r="M3280" s="13" t="s">
        <v>60</v>
      </c>
      <c r="N3280" s="13">
        <v>1</v>
      </c>
      <c r="O3280" s="13"/>
      <c r="P3280" s="33" t="str">
        <f t="shared" si="966"/>
        <v>MAIN UNIT</v>
      </c>
      <c r="Q3280" s="13" t="s">
        <v>68</v>
      </c>
      <c r="R3280" s="13" t="s">
        <v>62</v>
      </c>
      <c r="S3280" s="13" t="s">
        <v>50</v>
      </c>
      <c r="T3280" s="13" t="s">
        <v>1388</v>
      </c>
      <c r="U3280" s="13" t="s">
        <v>70</v>
      </c>
      <c r="V3280" s="13" t="s">
        <v>169</v>
      </c>
      <c r="W3280" s="13" t="s">
        <v>64</v>
      </c>
      <c r="X3280" s="135">
        <v>773800</v>
      </c>
      <c r="Y3280" s="156" t="s">
        <v>1110</v>
      </c>
      <c r="Z3280" s="18">
        <f t="shared" si="967"/>
        <v>773800</v>
      </c>
      <c r="AA3280" s="13">
        <v>1.1299999999999999</v>
      </c>
      <c r="AB3280" s="21">
        <f t="shared" si="969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1"/>
        <v>47907808.356810622</v>
      </c>
      <c r="AJ3280" s="19">
        <f t="shared" si="972"/>
        <v>6027384.8806384448</v>
      </c>
      <c r="AK3280" s="20">
        <f t="shared" si="978"/>
        <v>0.12581216063459488</v>
      </c>
      <c r="AL3280" s="17"/>
      <c r="AM3280" s="17"/>
      <c r="AN3280" s="17"/>
      <c r="AO3280" s="17"/>
      <c r="AP3280" s="28" t="str">
        <f t="shared" si="979"/>
        <v>20209</v>
      </c>
      <c r="AQ3280" s="28" t="str">
        <f t="shared" si="980"/>
        <v>20209RMB</v>
      </c>
      <c r="AR3280" s="206" t="str">
        <f t="shared" si="981"/>
        <v>YAMAHA_Mounter</v>
      </c>
      <c r="AS3280" s="22">
        <f t="shared" si="982"/>
        <v>1</v>
      </c>
      <c r="AT3280" s="24" t="str">
        <f t="shared" si="983"/>
        <v>0-3 months</v>
      </c>
      <c r="AU3280" s="22" t="s">
        <v>3240</v>
      </c>
    </row>
    <row r="3281" spans="1:47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48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1386</v>
      </c>
      <c r="K3281" s="155" t="s">
        <v>1387</v>
      </c>
      <c r="L3281" s="17" t="s">
        <v>67</v>
      </c>
      <c r="M3281" s="13" t="s">
        <v>60</v>
      </c>
      <c r="N3281" s="13">
        <v>2</v>
      </c>
      <c r="O3281" s="13"/>
      <c r="P3281" s="33" t="str">
        <f t="shared" si="966"/>
        <v>MAIN UNIT</v>
      </c>
      <c r="Q3281" s="13" t="s">
        <v>68</v>
      </c>
      <c r="R3281" s="13" t="s">
        <v>62</v>
      </c>
      <c r="S3281" s="13" t="s">
        <v>50</v>
      </c>
      <c r="T3281" s="13" t="s">
        <v>1388</v>
      </c>
      <c r="U3281" s="13" t="s">
        <v>70</v>
      </c>
      <c r="V3281" s="13" t="s">
        <v>169</v>
      </c>
      <c r="W3281" s="13" t="s">
        <v>64</v>
      </c>
      <c r="X3281" s="135">
        <v>483000</v>
      </c>
      <c r="Y3281" s="156" t="s">
        <v>1110</v>
      </c>
      <c r="Z3281" s="18">
        <f t="shared" si="967"/>
        <v>966000</v>
      </c>
      <c r="AA3281" s="13">
        <v>1.1299999999999999</v>
      </c>
      <c r="AB3281" s="21">
        <f t="shared" si="969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1"/>
        <v>47907808.356810622</v>
      </c>
      <c r="AJ3281" s="19">
        <f t="shared" si="972"/>
        <v>6027384.8806384448</v>
      </c>
      <c r="AK3281" s="20">
        <f t="shared" si="978"/>
        <v>0.12581216063459488</v>
      </c>
      <c r="AL3281" s="17"/>
      <c r="AM3281" s="17"/>
      <c r="AN3281" s="17"/>
      <c r="AO3281" s="17"/>
      <c r="AP3281" s="28" t="str">
        <f t="shared" si="979"/>
        <v>20209</v>
      </c>
      <c r="AQ3281" s="28" t="str">
        <f t="shared" si="980"/>
        <v>20209RMB</v>
      </c>
      <c r="AR3281" s="206" t="str">
        <f t="shared" si="981"/>
        <v>YAMAHA_Mounter</v>
      </c>
      <c r="AS3281" s="22">
        <f t="shared" si="982"/>
        <v>1</v>
      </c>
      <c r="AT3281" s="24" t="str">
        <f t="shared" si="983"/>
        <v>0-3 months</v>
      </c>
      <c r="AU3281" s="22" t="s">
        <v>3240</v>
      </c>
    </row>
    <row r="3282" spans="1:47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48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1386</v>
      </c>
      <c r="K3282" s="155" t="s">
        <v>1387</v>
      </c>
      <c r="L3282" s="17" t="s">
        <v>2923</v>
      </c>
      <c r="M3282" s="13" t="s">
        <v>377</v>
      </c>
      <c r="N3282" s="13">
        <v>0</v>
      </c>
      <c r="O3282" s="13">
        <v>1</v>
      </c>
      <c r="P3282" s="33" t="str">
        <f t="shared" si="966"/>
        <v>SERVICE/ PARTS</v>
      </c>
      <c r="Q3282" s="13" t="s">
        <v>68</v>
      </c>
      <c r="R3282" s="13" t="s">
        <v>2055</v>
      </c>
      <c r="S3282" s="13" t="s">
        <v>50</v>
      </c>
      <c r="T3282" s="13" t="s">
        <v>1388</v>
      </c>
      <c r="U3282" s="13" t="s">
        <v>70</v>
      </c>
      <c r="V3282" s="13" t="s">
        <v>169</v>
      </c>
      <c r="W3282" s="13" t="s">
        <v>64</v>
      </c>
      <c r="X3282" s="135">
        <v>260200</v>
      </c>
      <c r="Y3282" s="157" t="str">
        <f>IF(W3282="RMB","1.13", "1")</f>
        <v>1.13</v>
      </c>
      <c r="Z3282" s="18">
        <f t="shared" si="967"/>
        <v>260200</v>
      </c>
      <c r="AA3282" s="13">
        <v>1.1299999999999999</v>
      </c>
      <c r="AB3282" s="21">
        <f t="shared" si="969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1"/>
        <v>47907808.356810622</v>
      </c>
      <c r="AJ3282" s="19">
        <f t="shared" si="972"/>
        <v>6027384.8806384448</v>
      </c>
      <c r="AK3282" s="20">
        <f t="shared" si="978"/>
        <v>0.12581216063459488</v>
      </c>
      <c r="AL3282" s="17"/>
      <c r="AM3282" s="17"/>
      <c r="AN3282" s="17"/>
      <c r="AO3282" s="17"/>
      <c r="AP3282" s="28" t="str">
        <f t="shared" si="979"/>
        <v>20209</v>
      </c>
      <c r="AQ3282" s="28" t="str">
        <f t="shared" si="980"/>
        <v>20209RMB</v>
      </c>
      <c r="AR3282" s="206" t="str">
        <f t="shared" si="981"/>
        <v>LOCAL SUPPLIER</v>
      </c>
      <c r="AS3282" s="22">
        <f t="shared" si="982"/>
        <v>1</v>
      </c>
      <c r="AT3282" s="24" t="str">
        <f t="shared" si="983"/>
        <v>0-3 months</v>
      </c>
      <c r="AU3282" s="22" t="s">
        <v>3240</v>
      </c>
    </row>
    <row r="3283" spans="1:47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48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1274</v>
      </c>
      <c r="K3283" s="155" t="s">
        <v>1275</v>
      </c>
      <c r="L3283" s="17" t="s">
        <v>67</v>
      </c>
      <c r="M3283" s="13" t="s">
        <v>60</v>
      </c>
      <c r="N3283" s="13">
        <v>1</v>
      </c>
      <c r="O3283" s="13"/>
      <c r="P3283" s="33" t="str">
        <f t="shared" si="966"/>
        <v>MAIN UNIT</v>
      </c>
      <c r="Q3283" s="13" t="s">
        <v>68</v>
      </c>
      <c r="R3283" s="13" t="s">
        <v>62</v>
      </c>
      <c r="S3283" s="13" t="s">
        <v>52</v>
      </c>
      <c r="T3283" s="13" t="s">
        <v>141</v>
      </c>
      <c r="U3283" s="13" t="s">
        <v>1077</v>
      </c>
      <c r="V3283" s="13" t="s">
        <v>143</v>
      </c>
      <c r="W3283" s="13" t="s">
        <v>64</v>
      </c>
      <c r="X3283" s="135">
        <v>670000</v>
      </c>
      <c r="Y3283" s="156" t="s">
        <v>1058</v>
      </c>
      <c r="Z3283" s="18">
        <f t="shared" si="967"/>
        <v>670000</v>
      </c>
      <c r="AA3283" s="13">
        <v>1.095</v>
      </c>
      <c r="AB3283" s="21">
        <f t="shared" si="969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1"/>
        <v>28065694.408805311</v>
      </c>
      <c r="AJ3283" s="19">
        <f t="shared" si="972"/>
        <v>4157433.2906989697</v>
      </c>
      <c r="AK3283" s="20">
        <f t="shared" si="978"/>
        <v>0.14813220831602228</v>
      </c>
      <c r="AL3283" s="17"/>
      <c r="AM3283" s="17"/>
      <c r="AN3283" s="17"/>
      <c r="AO3283" s="17"/>
      <c r="AP3283" s="28" t="str">
        <f t="shared" si="979"/>
        <v>20205</v>
      </c>
      <c r="AQ3283" s="28" t="str">
        <f t="shared" si="980"/>
        <v>20205RMB</v>
      </c>
      <c r="AR3283" s="206" t="str">
        <f t="shared" si="981"/>
        <v>YAMAHA_Mounter</v>
      </c>
      <c r="AS3283" s="22">
        <f t="shared" si="982"/>
        <v>1</v>
      </c>
      <c r="AT3283" s="24" t="str">
        <f t="shared" si="983"/>
        <v>0-3 months</v>
      </c>
      <c r="AU3283" s="22" t="s">
        <v>3240</v>
      </c>
    </row>
    <row r="3284" spans="1:47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55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2515</v>
      </c>
      <c r="K3284" s="155" t="s">
        <v>1275</v>
      </c>
      <c r="L3284" s="17" t="s">
        <v>92</v>
      </c>
      <c r="M3284" s="13" t="s">
        <v>60</v>
      </c>
      <c r="N3284" s="13">
        <v>1</v>
      </c>
      <c r="O3284" s="13"/>
      <c r="P3284" s="33" t="str">
        <f t="shared" si="966"/>
        <v>MAIN UNIT</v>
      </c>
      <c r="Q3284" s="13" t="s">
        <v>61</v>
      </c>
      <c r="R3284" s="13" t="s">
        <v>62</v>
      </c>
      <c r="S3284" s="13" t="s">
        <v>52</v>
      </c>
      <c r="T3284" s="13" t="s">
        <v>141</v>
      </c>
      <c r="U3284" s="13" t="s">
        <v>1077</v>
      </c>
      <c r="V3284" s="13" t="s">
        <v>143</v>
      </c>
      <c r="W3284" s="13" t="s">
        <v>64</v>
      </c>
      <c r="X3284" s="135">
        <v>1150000</v>
      </c>
      <c r="Y3284" s="157" t="str">
        <f t="shared" ref="Y3284:Y3294" si="985">IF(W3284="RMB","1.13", "1")</f>
        <v>1.13</v>
      </c>
      <c r="Z3284" s="18">
        <f t="shared" si="967"/>
        <v>1150000</v>
      </c>
      <c r="AA3284" s="13">
        <v>1.105</v>
      </c>
      <c r="AB3284" s="21">
        <f t="shared" si="969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1"/>
        <v>13640480.497522123</v>
      </c>
      <c r="AJ3284" s="19">
        <f t="shared" si="972"/>
        <v>1928605.8020906283</v>
      </c>
      <c r="AK3284" s="20">
        <f t="shared" si="978"/>
        <v>0.1413884065477731</v>
      </c>
      <c r="AL3284" s="17"/>
      <c r="AM3284" s="17"/>
      <c r="AN3284" s="17"/>
      <c r="AO3284" s="17"/>
      <c r="AP3284" s="28" t="str">
        <f t="shared" si="979"/>
        <v>20236</v>
      </c>
      <c r="AQ3284" s="28" t="str">
        <f t="shared" si="980"/>
        <v>20236RMB</v>
      </c>
      <c r="AR3284" s="206" t="str">
        <f t="shared" si="981"/>
        <v>YAMAHA_Mounter</v>
      </c>
      <c r="AS3284" s="22">
        <f t="shared" si="982"/>
        <v>4</v>
      </c>
      <c r="AT3284" s="24" t="str">
        <f t="shared" si="983"/>
        <v>4-6 months</v>
      </c>
      <c r="AU3284" s="22" t="s">
        <v>3240</v>
      </c>
    </row>
    <row r="3285" spans="1:47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54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2021</v>
      </c>
      <c r="K3285" s="155" t="s">
        <v>2022</v>
      </c>
      <c r="L3285" s="17" t="s">
        <v>92</v>
      </c>
      <c r="M3285" s="13" t="s">
        <v>60</v>
      </c>
      <c r="N3285" s="13">
        <v>1</v>
      </c>
      <c r="O3285" s="13"/>
      <c r="P3285" s="33" t="str">
        <f t="shared" si="966"/>
        <v>MAIN UNIT</v>
      </c>
      <c r="Q3285" s="13" t="s">
        <v>68</v>
      </c>
      <c r="R3285" s="13" t="s">
        <v>62</v>
      </c>
      <c r="S3285" s="13" t="s">
        <v>49</v>
      </c>
      <c r="T3285" s="13" t="s">
        <v>78</v>
      </c>
      <c r="U3285" s="13" t="s">
        <v>79</v>
      </c>
      <c r="V3285" s="13" t="s">
        <v>311</v>
      </c>
      <c r="W3285" s="13" t="s">
        <v>109</v>
      </c>
      <c r="X3285" s="135">
        <v>13220000</v>
      </c>
      <c r="Y3285" s="157" t="str">
        <f t="shared" si="985"/>
        <v>1</v>
      </c>
      <c r="Z3285" s="18">
        <f t="shared" si="967"/>
        <v>13220000</v>
      </c>
      <c r="AA3285" s="13">
        <v>6.2799999999999995E-2</v>
      </c>
      <c r="AB3285" s="21">
        <f t="shared" si="969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1"/>
        <v>44014086.982070789</v>
      </c>
      <c r="AJ3285" s="19">
        <f t="shared" si="972"/>
        <v>6419974.0221889298</v>
      </c>
      <c r="AK3285" s="20">
        <f t="shared" si="978"/>
        <v>0.14586180158193709</v>
      </c>
      <c r="AL3285" s="17"/>
      <c r="AM3285" s="17"/>
      <c r="AN3285" s="17"/>
      <c r="AO3285" s="17"/>
      <c r="AP3285" s="28" t="str">
        <f t="shared" si="979"/>
        <v>20225</v>
      </c>
      <c r="AQ3285" s="28" t="str">
        <f t="shared" si="980"/>
        <v>20225JPY</v>
      </c>
      <c r="AR3285" s="206" t="str">
        <f t="shared" si="981"/>
        <v>YAMAHA_Mounter</v>
      </c>
      <c r="AS3285" s="22">
        <f t="shared" si="982"/>
        <v>5</v>
      </c>
      <c r="AT3285" s="24" t="str">
        <f t="shared" si="983"/>
        <v>4-6 months</v>
      </c>
      <c r="AU3285" s="22" t="s">
        <v>3745</v>
      </c>
    </row>
    <row r="3286" spans="1:47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54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2021</v>
      </c>
      <c r="K3286" s="155" t="s">
        <v>2022</v>
      </c>
      <c r="L3286" s="17" t="s">
        <v>92</v>
      </c>
      <c r="M3286" s="13" t="s">
        <v>60</v>
      </c>
      <c r="N3286" s="13">
        <v>1</v>
      </c>
      <c r="O3286" s="13"/>
      <c r="P3286" s="33" t="str">
        <f t="shared" ref="P3286:P3349" si="986">IF(M3286="","",IF(AND(N3286&gt;0,L3286&lt;&gt;""),"MAIN UNIT",IF(AND(O3286&gt;0,L3286&lt;&gt;""),"SERVICE/ PARTS","C66 SERVICE/OTHERS")))</f>
        <v>MAIN UNIT</v>
      </c>
      <c r="Q3286" s="13" t="s">
        <v>68</v>
      </c>
      <c r="R3286" s="13" t="s">
        <v>62</v>
      </c>
      <c r="S3286" s="13" t="s">
        <v>49</v>
      </c>
      <c r="T3286" s="13" t="s">
        <v>78</v>
      </c>
      <c r="U3286" s="13" t="s">
        <v>79</v>
      </c>
      <c r="V3286" s="13" t="s">
        <v>311</v>
      </c>
      <c r="W3286" s="13" t="s">
        <v>109</v>
      </c>
      <c r="X3286" s="135">
        <v>13220000</v>
      </c>
      <c r="Y3286" s="157" t="str">
        <f t="shared" si="985"/>
        <v>1</v>
      </c>
      <c r="Z3286" s="18">
        <f t="shared" si="967"/>
        <v>13220000</v>
      </c>
      <c r="AA3286" s="13">
        <v>6.2799999999999995E-2</v>
      </c>
      <c r="AB3286" s="21">
        <f t="shared" si="969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1"/>
        <v>44014086.982070789</v>
      </c>
      <c r="AJ3286" s="19">
        <f t="shared" si="972"/>
        <v>6419974.0221889298</v>
      </c>
      <c r="AK3286" s="20">
        <f t="shared" si="978"/>
        <v>0.14586180158193709</v>
      </c>
      <c r="AL3286" s="17"/>
      <c r="AM3286" s="17"/>
      <c r="AN3286" s="17"/>
      <c r="AO3286" s="17"/>
      <c r="AP3286" s="28" t="str">
        <f t="shared" si="979"/>
        <v>20225</v>
      </c>
      <c r="AQ3286" s="28" t="str">
        <f t="shared" si="980"/>
        <v>20225JPY</v>
      </c>
      <c r="AR3286" s="206" t="str">
        <f t="shared" si="981"/>
        <v>YAMAHA_Mounter</v>
      </c>
      <c r="AS3286" s="22">
        <f t="shared" si="982"/>
        <v>5</v>
      </c>
      <c r="AT3286" s="24" t="str">
        <f t="shared" si="983"/>
        <v>4-6 months</v>
      </c>
      <c r="AU3286" s="22" t="s">
        <v>3745</v>
      </c>
    </row>
    <row r="3287" spans="1:47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54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2021</v>
      </c>
      <c r="K3287" s="155" t="s">
        <v>2022</v>
      </c>
      <c r="L3287" s="17" t="s">
        <v>92</v>
      </c>
      <c r="M3287" s="13" t="s">
        <v>60</v>
      </c>
      <c r="N3287" s="13">
        <v>1</v>
      </c>
      <c r="O3287" s="13"/>
      <c r="P3287" s="33" t="str">
        <f t="shared" si="986"/>
        <v>MAIN UNIT</v>
      </c>
      <c r="Q3287" s="13" t="s">
        <v>68</v>
      </c>
      <c r="R3287" s="13" t="s">
        <v>62</v>
      </c>
      <c r="S3287" s="13" t="s">
        <v>49</v>
      </c>
      <c r="T3287" s="13" t="s">
        <v>78</v>
      </c>
      <c r="U3287" s="13" t="s">
        <v>79</v>
      </c>
      <c r="V3287" s="13" t="s">
        <v>311</v>
      </c>
      <c r="W3287" s="13" t="s">
        <v>109</v>
      </c>
      <c r="X3287" s="135">
        <v>13220000</v>
      </c>
      <c r="Y3287" s="157" t="str">
        <f t="shared" si="985"/>
        <v>1</v>
      </c>
      <c r="Z3287" s="18">
        <f t="shared" si="967"/>
        <v>13220000</v>
      </c>
      <c r="AA3287" s="13">
        <v>6.2799999999999995E-2</v>
      </c>
      <c r="AB3287" s="21">
        <f t="shared" si="969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1"/>
        <v>44014086.982070789</v>
      </c>
      <c r="AJ3287" s="19">
        <f t="shared" si="972"/>
        <v>6419974.0221889298</v>
      </c>
      <c r="AK3287" s="20">
        <f t="shared" si="978"/>
        <v>0.14586180158193709</v>
      </c>
      <c r="AL3287" s="17"/>
      <c r="AM3287" s="17"/>
      <c r="AN3287" s="17"/>
      <c r="AO3287" s="17"/>
      <c r="AP3287" s="28" t="str">
        <f t="shared" si="979"/>
        <v>20225</v>
      </c>
      <c r="AQ3287" s="28" t="str">
        <f t="shared" si="980"/>
        <v>20225JPY</v>
      </c>
      <c r="AR3287" s="206" t="str">
        <f t="shared" si="981"/>
        <v>YAMAHA_Mounter</v>
      </c>
      <c r="AS3287" s="22">
        <f t="shared" si="982"/>
        <v>5</v>
      </c>
      <c r="AT3287" s="24" t="str">
        <f t="shared" si="983"/>
        <v>4-6 months</v>
      </c>
      <c r="AU3287" s="22" t="s">
        <v>3745</v>
      </c>
    </row>
    <row r="3288" spans="1:47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54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2021</v>
      </c>
      <c r="K3288" s="155" t="s">
        <v>2022</v>
      </c>
      <c r="L3288" s="17" t="s">
        <v>92</v>
      </c>
      <c r="M3288" s="13" t="s">
        <v>60</v>
      </c>
      <c r="N3288" s="13">
        <v>1</v>
      </c>
      <c r="O3288" s="13"/>
      <c r="P3288" s="33" t="str">
        <f t="shared" si="986"/>
        <v>MAIN UNIT</v>
      </c>
      <c r="Q3288" s="13" t="s">
        <v>68</v>
      </c>
      <c r="R3288" s="13" t="s">
        <v>62</v>
      </c>
      <c r="S3288" s="13" t="s">
        <v>49</v>
      </c>
      <c r="T3288" s="13" t="s">
        <v>78</v>
      </c>
      <c r="U3288" s="13" t="s">
        <v>79</v>
      </c>
      <c r="V3288" s="13" t="s">
        <v>311</v>
      </c>
      <c r="W3288" s="13" t="s">
        <v>109</v>
      </c>
      <c r="X3288" s="135">
        <v>13220000</v>
      </c>
      <c r="Y3288" s="157" t="str">
        <f t="shared" si="985"/>
        <v>1</v>
      </c>
      <c r="Z3288" s="18">
        <f t="shared" si="967"/>
        <v>13220000</v>
      </c>
      <c r="AA3288" s="13">
        <v>6.2799999999999995E-2</v>
      </c>
      <c r="AB3288" s="21">
        <f t="shared" si="969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1"/>
        <v>44014086.982070789</v>
      </c>
      <c r="AJ3288" s="19">
        <f t="shared" si="972"/>
        <v>6419974.0221889298</v>
      </c>
      <c r="AK3288" s="20">
        <f t="shared" si="978"/>
        <v>0.14586180158193709</v>
      </c>
      <c r="AL3288" s="17"/>
      <c r="AM3288" s="17"/>
      <c r="AN3288" s="17"/>
      <c r="AO3288" s="17"/>
      <c r="AP3288" s="28" t="str">
        <f t="shared" si="979"/>
        <v>20225</v>
      </c>
      <c r="AQ3288" s="28" t="str">
        <f t="shared" si="980"/>
        <v>20225JPY</v>
      </c>
      <c r="AR3288" s="206" t="str">
        <f t="shared" si="981"/>
        <v>YAMAHA_Mounter</v>
      </c>
      <c r="AS3288" s="22">
        <f t="shared" si="982"/>
        <v>5</v>
      </c>
      <c r="AT3288" s="24" t="str">
        <f t="shared" si="983"/>
        <v>4-6 months</v>
      </c>
      <c r="AU3288" s="22" t="s">
        <v>3745</v>
      </c>
    </row>
    <row r="3289" spans="1:47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54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2410</v>
      </c>
      <c r="K3289" s="155" t="s">
        <v>2022</v>
      </c>
      <c r="L3289" s="17" t="s">
        <v>92</v>
      </c>
      <c r="M3289" s="13" t="s">
        <v>60</v>
      </c>
      <c r="N3289" s="13">
        <v>1</v>
      </c>
      <c r="O3289" s="13"/>
      <c r="P3289" s="33" t="str">
        <f t="shared" si="986"/>
        <v>MAIN UNIT</v>
      </c>
      <c r="Q3289" s="13" t="s">
        <v>61</v>
      </c>
      <c r="R3289" s="13" t="s">
        <v>62</v>
      </c>
      <c r="S3289" s="13" t="s">
        <v>49</v>
      </c>
      <c r="T3289" s="13" t="s">
        <v>78</v>
      </c>
      <c r="U3289" s="13" t="s">
        <v>79</v>
      </c>
      <c r="V3289" s="13" t="s">
        <v>311</v>
      </c>
      <c r="W3289" s="13" t="s">
        <v>64</v>
      </c>
      <c r="X3289" s="135">
        <v>776666</v>
      </c>
      <c r="Y3289" s="157" t="str">
        <f t="shared" si="985"/>
        <v>1.13</v>
      </c>
      <c r="Z3289" s="18">
        <f t="shared" si="967"/>
        <v>776666</v>
      </c>
      <c r="AA3289" s="13">
        <v>1.1599999999999999</v>
      </c>
      <c r="AB3289" s="21">
        <f t="shared" si="969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1"/>
        <v>21045012.884955753</v>
      </c>
      <c r="AJ3289" s="19">
        <f t="shared" si="972"/>
        <v>2650260.9603327443</v>
      </c>
      <c r="AK3289" s="20">
        <f t="shared" si="978"/>
        <v>0.12593296924172048</v>
      </c>
      <c r="AL3289" s="17"/>
      <c r="AM3289" s="17"/>
      <c r="AN3289" s="17"/>
      <c r="AO3289" s="17" t="s">
        <v>2411</v>
      </c>
      <c r="AP3289" s="28" t="str">
        <f t="shared" si="979"/>
        <v>20232</v>
      </c>
      <c r="AQ3289" s="28" t="str">
        <f t="shared" si="980"/>
        <v>20232RMB</v>
      </c>
      <c r="AR3289" s="206" t="str">
        <f t="shared" si="981"/>
        <v>YAMAHA_Mounter</v>
      </c>
      <c r="AS3289" s="22">
        <f t="shared" si="982"/>
        <v>1</v>
      </c>
      <c r="AT3289" s="24" t="str">
        <f t="shared" si="983"/>
        <v>0-3 months</v>
      </c>
      <c r="AU3289" s="22" t="s">
        <v>3751</v>
      </c>
    </row>
    <row r="3290" spans="1:47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54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2410</v>
      </c>
      <c r="K3290" s="155" t="s">
        <v>2022</v>
      </c>
      <c r="L3290" s="17" t="s">
        <v>92</v>
      </c>
      <c r="M3290" s="13" t="s">
        <v>60</v>
      </c>
      <c r="N3290" s="13">
        <v>1</v>
      </c>
      <c r="O3290" s="13"/>
      <c r="P3290" s="33" t="str">
        <f t="shared" si="986"/>
        <v>MAIN UNIT</v>
      </c>
      <c r="Q3290" s="13" t="s">
        <v>61</v>
      </c>
      <c r="R3290" s="13" t="s">
        <v>62</v>
      </c>
      <c r="S3290" s="13" t="s">
        <v>49</v>
      </c>
      <c r="T3290" s="13" t="s">
        <v>78</v>
      </c>
      <c r="U3290" s="13" t="s">
        <v>79</v>
      </c>
      <c r="V3290" s="13" t="s">
        <v>311</v>
      </c>
      <c r="W3290" s="13" t="s">
        <v>64</v>
      </c>
      <c r="X3290" s="135">
        <v>776666</v>
      </c>
      <c r="Y3290" s="157" t="str">
        <f t="shared" si="985"/>
        <v>1.13</v>
      </c>
      <c r="Z3290" s="18">
        <f t="shared" si="967"/>
        <v>776666</v>
      </c>
      <c r="AA3290" s="13">
        <v>1.1599999999999999</v>
      </c>
      <c r="AB3290" s="21">
        <f t="shared" si="969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1"/>
        <v>21045012.884955753</v>
      </c>
      <c r="AJ3290" s="19">
        <f t="shared" si="972"/>
        <v>2650260.9603327443</v>
      </c>
      <c r="AK3290" s="20">
        <f t="shared" si="978"/>
        <v>0.12593296924172048</v>
      </c>
      <c r="AL3290" s="17"/>
      <c r="AM3290" s="17"/>
      <c r="AN3290" s="17"/>
      <c r="AO3290" s="17" t="s">
        <v>2411</v>
      </c>
      <c r="AP3290" s="28" t="str">
        <f t="shared" si="979"/>
        <v>20232</v>
      </c>
      <c r="AQ3290" s="28" t="str">
        <f t="shared" si="980"/>
        <v>20232RMB</v>
      </c>
      <c r="AR3290" s="206" t="str">
        <f t="shared" si="981"/>
        <v>YAMAHA_Mounter</v>
      </c>
      <c r="AS3290" s="22">
        <f t="shared" si="982"/>
        <v>1</v>
      </c>
      <c r="AT3290" s="24" t="str">
        <f t="shared" si="983"/>
        <v>0-3 months</v>
      </c>
      <c r="AU3290" s="22" t="s">
        <v>3751</v>
      </c>
    </row>
    <row r="3291" spans="1:47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54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2410</v>
      </c>
      <c r="K3291" s="155" t="s">
        <v>2022</v>
      </c>
      <c r="L3291" s="17" t="s">
        <v>92</v>
      </c>
      <c r="M3291" s="13" t="s">
        <v>60</v>
      </c>
      <c r="N3291" s="13">
        <v>1</v>
      </c>
      <c r="O3291" s="13"/>
      <c r="P3291" s="33" t="str">
        <f t="shared" si="986"/>
        <v>MAIN UNIT</v>
      </c>
      <c r="Q3291" s="13" t="s">
        <v>61</v>
      </c>
      <c r="R3291" s="13" t="s">
        <v>62</v>
      </c>
      <c r="S3291" s="13" t="s">
        <v>49</v>
      </c>
      <c r="T3291" s="13" t="s">
        <v>78</v>
      </c>
      <c r="U3291" s="13" t="s">
        <v>79</v>
      </c>
      <c r="V3291" s="13" t="s">
        <v>311</v>
      </c>
      <c r="W3291" s="13" t="s">
        <v>64</v>
      </c>
      <c r="X3291" s="135">
        <v>776666</v>
      </c>
      <c r="Y3291" s="157" t="str">
        <f t="shared" si="985"/>
        <v>1.13</v>
      </c>
      <c r="Z3291" s="18">
        <f t="shared" si="967"/>
        <v>776666</v>
      </c>
      <c r="AA3291" s="13">
        <v>1.1599999999999999</v>
      </c>
      <c r="AB3291" s="21">
        <f t="shared" si="969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1"/>
        <v>21045012.884955753</v>
      </c>
      <c r="AJ3291" s="19">
        <f t="shared" si="972"/>
        <v>2650260.9603327443</v>
      </c>
      <c r="AK3291" s="20">
        <f t="shared" si="978"/>
        <v>0.12593296924172048</v>
      </c>
      <c r="AL3291" s="17"/>
      <c r="AM3291" s="17"/>
      <c r="AN3291" s="17"/>
      <c r="AO3291" s="17" t="s">
        <v>2411</v>
      </c>
      <c r="AP3291" s="28" t="str">
        <f t="shared" si="979"/>
        <v>20232</v>
      </c>
      <c r="AQ3291" s="28" t="str">
        <f t="shared" si="980"/>
        <v>20232RMB</v>
      </c>
      <c r="AR3291" s="206" t="str">
        <f t="shared" si="981"/>
        <v>YAMAHA_Mounter</v>
      </c>
      <c r="AS3291" s="22">
        <f t="shared" si="982"/>
        <v>1</v>
      </c>
      <c r="AT3291" s="24" t="str">
        <f t="shared" si="983"/>
        <v>0-3 months</v>
      </c>
      <c r="AU3291" s="22" t="s">
        <v>3751</v>
      </c>
    </row>
    <row r="3292" spans="1:47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53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1848</v>
      </c>
      <c r="K3292" s="155" t="s">
        <v>1849</v>
      </c>
      <c r="L3292" s="17" t="s">
        <v>92</v>
      </c>
      <c r="M3292" s="13" t="s">
        <v>60</v>
      </c>
      <c r="N3292" s="13">
        <v>1</v>
      </c>
      <c r="O3292" s="13"/>
      <c r="P3292" s="33" t="str">
        <f t="shared" si="986"/>
        <v>MAIN UNIT</v>
      </c>
      <c r="Q3292" s="13" t="s">
        <v>68</v>
      </c>
      <c r="R3292" s="13" t="s">
        <v>62</v>
      </c>
      <c r="S3292" s="13" t="s">
        <v>49</v>
      </c>
      <c r="T3292" s="13" t="s">
        <v>78</v>
      </c>
      <c r="U3292" s="13" t="s">
        <v>79</v>
      </c>
      <c r="V3292" s="13" t="s">
        <v>311</v>
      </c>
      <c r="W3292" s="13" t="s">
        <v>64</v>
      </c>
      <c r="X3292" s="135">
        <v>906000</v>
      </c>
      <c r="Y3292" s="157" t="str">
        <f t="shared" si="985"/>
        <v>1.13</v>
      </c>
      <c r="Z3292" s="18">
        <f t="shared" si="967"/>
        <v>906000</v>
      </c>
      <c r="AA3292" s="13">
        <v>1.2</v>
      </c>
      <c r="AB3292" s="21">
        <f t="shared" si="969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1"/>
        <v>47458373.787610628</v>
      </c>
      <c r="AJ3292" s="19">
        <f t="shared" si="972"/>
        <v>7436880.1411522133</v>
      </c>
      <c r="AK3292" s="20">
        <f t="shared" si="978"/>
        <v>0.15670322321692506</v>
      </c>
      <c r="AL3292" s="17"/>
      <c r="AM3292" s="17"/>
      <c r="AN3292" s="17"/>
      <c r="AO3292" s="17"/>
      <c r="AP3292" s="28" t="str">
        <f t="shared" si="979"/>
        <v>20218</v>
      </c>
      <c r="AQ3292" s="28" t="str">
        <f t="shared" si="980"/>
        <v>20218RMB</v>
      </c>
      <c r="AR3292" s="206" t="str">
        <f t="shared" si="981"/>
        <v>YAMAHA_Mounter</v>
      </c>
      <c r="AS3292" s="22">
        <f t="shared" si="982"/>
        <v>4</v>
      </c>
      <c r="AT3292" s="24" t="str">
        <f t="shared" si="983"/>
        <v>4-6 months</v>
      </c>
      <c r="AU3292" s="22" t="s">
        <v>3751</v>
      </c>
    </row>
    <row r="3293" spans="1:47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48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2916</v>
      </c>
      <c r="K3293" s="155" t="s">
        <v>2917</v>
      </c>
      <c r="L3293" s="17" t="s">
        <v>2918</v>
      </c>
      <c r="M3293" s="13" t="s">
        <v>2810</v>
      </c>
      <c r="N3293" s="13">
        <v>1</v>
      </c>
      <c r="O3293" s="13"/>
      <c r="P3293" s="33" t="str">
        <f t="shared" si="986"/>
        <v>MAIN UNIT</v>
      </c>
      <c r="Q3293" s="13" t="s">
        <v>68</v>
      </c>
      <c r="R3293" s="13" t="s">
        <v>2055</v>
      </c>
      <c r="S3293" s="13" t="s">
        <v>51</v>
      </c>
      <c r="T3293" s="13" t="s">
        <v>148</v>
      </c>
      <c r="U3293" s="13" t="s">
        <v>149</v>
      </c>
      <c r="V3293" s="13" t="s">
        <v>2828</v>
      </c>
      <c r="W3293" s="13" t="s">
        <v>64</v>
      </c>
      <c r="X3293" s="135">
        <v>400000</v>
      </c>
      <c r="Y3293" s="157" t="str">
        <f t="shared" si="985"/>
        <v>1.13</v>
      </c>
      <c r="Z3293" s="18">
        <f t="shared" si="967"/>
        <v>400000</v>
      </c>
      <c r="AA3293" s="13">
        <v>1.1299999999999999</v>
      </c>
      <c r="AB3293" s="21">
        <f t="shared" si="969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1"/>
        <v>47907808.356810622</v>
      </c>
      <c r="AJ3293" s="19">
        <f t="shared" si="972"/>
        <v>6027384.8806384448</v>
      </c>
      <c r="AK3293" s="20">
        <f t="shared" si="978"/>
        <v>0.12581216063459488</v>
      </c>
      <c r="AL3293" s="17"/>
      <c r="AM3293" s="17"/>
      <c r="AN3293" s="17"/>
      <c r="AO3293" s="17"/>
      <c r="AP3293" s="28" t="str">
        <f t="shared" si="979"/>
        <v>20209</v>
      </c>
      <c r="AQ3293" s="28" t="str">
        <f t="shared" si="980"/>
        <v>20209RMB</v>
      </c>
      <c r="AR3293" s="206" t="str">
        <f t="shared" si="981"/>
        <v>SHIMADZU</v>
      </c>
      <c r="AS3293" s="22">
        <f t="shared" si="982"/>
        <v>2</v>
      </c>
      <c r="AT3293" s="24" t="str">
        <f t="shared" si="983"/>
        <v>0-3 months</v>
      </c>
      <c r="AU3293" s="22" t="s">
        <v>3744</v>
      </c>
    </row>
    <row r="3294" spans="1:47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48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2919</v>
      </c>
      <c r="K3294" s="155" t="s">
        <v>2917</v>
      </c>
      <c r="L3294" s="17" t="s">
        <v>2920</v>
      </c>
      <c r="M3294" s="13" t="s">
        <v>2810</v>
      </c>
      <c r="N3294" s="13">
        <v>1</v>
      </c>
      <c r="O3294" s="13"/>
      <c r="P3294" s="33" t="str">
        <f t="shared" si="986"/>
        <v>MAIN UNIT</v>
      </c>
      <c r="Q3294" s="13" t="s">
        <v>68</v>
      </c>
      <c r="R3294" s="13" t="s">
        <v>2055</v>
      </c>
      <c r="S3294" s="13" t="s">
        <v>51</v>
      </c>
      <c r="T3294" s="13" t="s">
        <v>148</v>
      </c>
      <c r="U3294" s="13" t="s">
        <v>149</v>
      </c>
      <c r="V3294" s="13" t="s">
        <v>2828</v>
      </c>
      <c r="W3294" s="13" t="s">
        <v>64</v>
      </c>
      <c r="X3294" s="135">
        <v>1400000</v>
      </c>
      <c r="Y3294" s="157" t="str">
        <f t="shared" si="985"/>
        <v>1.13</v>
      </c>
      <c r="Z3294" s="18">
        <f t="shared" ref="Z3294:Z3357" si="987">IF(X3294="","",X3294*MAX(O3294,N3294))</f>
        <v>1400000</v>
      </c>
      <c r="AA3294" s="13">
        <v>1.1299999999999999</v>
      </c>
      <c r="AB3294" s="21">
        <f t="shared" si="969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1"/>
        <v>47907808.356810622</v>
      </c>
      <c r="AJ3294" s="19">
        <f t="shared" si="972"/>
        <v>6027384.8806384448</v>
      </c>
      <c r="AK3294" s="20">
        <f t="shared" si="978"/>
        <v>0.12581216063459488</v>
      </c>
      <c r="AL3294" s="17"/>
      <c r="AM3294" s="17"/>
      <c r="AN3294" s="17"/>
      <c r="AO3294" s="17"/>
      <c r="AP3294" s="28" t="str">
        <f t="shared" si="979"/>
        <v>20209</v>
      </c>
      <c r="AQ3294" s="28" t="str">
        <f t="shared" si="980"/>
        <v>20209RMB</v>
      </c>
      <c r="AR3294" s="206" t="str">
        <f t="shared" si="981"/>
        <v>SHIMADZU</v>
      </c>
      <c r="AS3294" s="22">
        <f t="shared" si="982"/>
        <v>2</v>
      </c>
      <c r="AT3294" s="24" t="str">
        <f t="shared" si="983"/>
        <v>0-3 months</v>
      </c>
      <c r="AU3294" s="22" t="s">
        <v>3744</v>
      </c>
    </row>
    <row r="3295" spans="1:47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48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1283</v>
      </c>
      <c r="K3295" s="155" t="s">
        <v>1284</v>
      </c>
      <c r="L3295" s="17" t="s">
        <v>92</v>
      </c>
      <c r="M3295" s="13" t="s">
        <v>60</v>
      </c>
      <c r="N3295" s="13">
        <v>1</v>
      </c>
      <c r="O3295" s="13"/>
      <c r="P3295" s="33" t="str">
        <f t="shared" si="986"/>
        <v>MAIN UNIT</v>
      </c>
      <c r="Q3295" s="13" t="s">
        <v>68</v>
      </c>
      <c r="R3295" s="13" t="s">
        <v>62</v>
      </c>
      <c r="S3295" s="13" t="s">
        <v>52</v>
      </c>
      <c r="T3295" s="13" t="s">
        <v>1285</v>
      </c>
      <c r="U3295" s="13" t="s">
        <v>1077</v>
      </c>
      <c r="V3295" s="13" t="s">
        <v>776</v>
      </c>
      <c r="W3295" s="13" t="s">
        <v>703</v>
      </c>
      <c r="X3295" s="135">
        <v>1050000</v>
      </c>
      <c r="Y3295" s="156">
        <v>1.1299999999999999</v>
      </c>
      <c r="Z3295" s="18">
        <f t="shared" si="987"/>
        <v>1050000</v>
      </c>
      <c r="AA3295" s="13">
        <v>1.095</v>
      </c>
      <c r="AB3295" s="21">
        <f t="shared" si="969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1"/>
        <v>28065694.408805311</v>
      </c>
      <c r="AJ3295" s="19">
        <f t="shared" si="972"/>
        <v>4157433.2906989697</v>
      </c>
      <c r="AK3295" s="20">
        <f t="shared" si="978"/>
        <v>0.14813220831602228</v>
      </c>
      <c r="AL3295" s="17"/>
      <c r="AM3295" s="17"/>
      <c r="AN3295" s="17"/>
      <c r="AO3295" s="17" t="s">
        <v>1286</v>
      </c>
      <c r="AP3295" s="28" t="str">
        <f t="shared" si="979"/>
        <v>20205</v>
      </c>
      <c r="AQ3295" s="28" t="str">
        <f t="shared" si="980"/>
        <v>20205RMB</v>
      </c>
      <c r="AR3295" s="206" t="str">
        <f t="shared" si="981"/>
        <v>YAMAHA_Mounter</v>
      </c>
      <c r="AS3295" s="22">
        <f t="shared" si="982"/>
        <v>1</v>
      </c>
      <c r="AT3295" s="24" t="str">
        <f t="shared" si="983"/>
        <v>0-3 months</v>
      </c>
      <c r="AU3295" s="22" t="s">
        <v>3744</v>
      </c>
    </row>
    <row r="3296" spans="1:47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48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1283</v>
      </c>
      <c r="K3296" s="155" t="s">
        <v>1284</v>
      </c>
      <c r="L3296" s="17" t="s">
        <v>67</v>
      </c>
      <c r="M3296" s="13" t="s">
        <v>60</v>
      </c>
      <c r="N3296" s="13">
        <v>1</v>
      </c>
      <c r="O3296" s="13"/>
      <c r="P3296" s="33" t="str">
        <f t="shared" si="986"/>
        <v>MAIN UNIT</v>
      </c>
      <c r="Q3296" s="13" t="s">
        <v>68</v>
      </c>
      <c r="R3296" s="13" t="s">
        <v>62</v>
      </c>
      <c r="S3296" s="13" t="s">
        <v>52</v>
      </c>
      <c r="T3296" s="13" t="s">
        <v>1285</v>
      </c>
      <c r="U3296" s="13" t="s">
        <v>1077</v>
      </c>
      <c r="V3296" s="13" t="s">
        <v>776</v>
      </c>
      <c r="W3296" s="13" t="s">
        <v>703</v>
      </c>
      <c r="X3296" s="135">
        <v>700000</v>
      </c>
      <c r="Y3296" s="156">
        <v>1.1299999999999999</v>
      </c>
      <c r="Z3296" s="18">
        <f t="shared" si="987"/>
        <v>700000</v>
      </c>
      <c r="AA3296" s="13">
        <v>1.095</v>
      </c>
      <c r="AB3296" s="21">
        <f t="shared" si="969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1"/>
        <v>28065694.408805311</v>
      </c>
      <c r="AJ3296" s="19">
        <f t="shared" si="972"/>
        <v>4157433.2906989697</v>
      </c>
      <c r="AK3296" s="20">
        <f t="shared" si="978"/>
        <v>0.14813220831602228</v>
      </c>
      <c r="AL3296" s="17"/>
      <c r="AM3296" s="17"/>
      <c r="AN3296" s="17"/>
      <c r="AO3296" s="17" t="s">
        <v>1286</v>
      </c>
      <c r="AP3296" s="28" t="str">
        <f t="shared" si="979"/>
        <v>20205</v>
      </c>
      <c r="AQ3296" s="28" t="str">
        <f t="shared" si="980"/>
        <v>20205RMB</v>
      </c>
      <c r="AR3296" s="206" t="str">
        <f t="shared" si="981"/>
        <v>YAMAHA_Mounter</v>
      </c>
      <c r="AS3296" s="22">
        <f t="shared" si="982"/>
        <v>1</v>
      </c>
      <c r="AT3296" s="24" t="str">
        <f t="shared" si="983"/>
        <v>0-3 months</v>
      </c>
      <c r="AU3296" s="22" t="s">
        <v>3744</v>
      </c>
    </row>
    <row r="3297" spans="1:47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48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1370</v>
      </c>
      <c r="K3297" s="155" t="s">
        <v>1371</v>
      </c>
      <c r="L3297" s="17" t="s">
        <v>92</v>
      </c>
      <c r="M3297" s="13" t="s">
        <v>60</v>
      </c>
      <c r="N3297" s="13">
        <v>1</v>
      </c>
      <c r="O3297" s="13"/>
      <c r="P3297" s="33" t="str">
        <f t="shared" si="986"/>
        <v>MAIN UNIT</v>
      </c>
      <c r="Q3297" s="13" t="s">
        <v>61</v>
      </c>
      <c r="R3297" s="13" t="s">
        <v>62</v>
      </c>
      <c r="S3297" s="13" t="s">
        <v>49</v>
      </c>
      <c r="T3297" s="13" t="s">
        <v>78</v>
      </c>
      <c r="U3297" s="13" t="s">
        <v>79</v>
      </c>
      <c r="V3297" s="13" t="s">
        <v>1116</v>
      </c>
      <c r="W3297" s="13" t="s">
        <v>1105</v>
      </c>
      <c r="X3297" s="135">
        <v>14000000</v>
      </c>
      <c r="Y3297" s="156">
        <v>1</v>
      </c>
      <c r="Z3297" s="18">
        <f t="shared" si="987"/>
        <v>14000000</v>
      </c>
      <c r="AA3297" s="13">
        <v>7.4899999999999994E-2</v>
      </c>
      <c r="AB3297" s="21">
        <f t="shared" si="969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1"/>
        <v>47907808.356810622</v>
      </c>
      <c r="AJ3297" s="19">
        <f t="shared" si="972"/>
        <v>6027384.8806384448</v>
      </c>
      <c r="AK3297" s="20">
        <f t="shared" si="978"/>
        <v>0.12581216063459488</v>
      </c>
      <c r="AL3297" s="17"/>
      <c r="AM3297" s="17"/>
      <c r="AN3297" s="17"/>
      <c r="AO3297" s="17"/>
      <c r="AP3297" s="28" t="str">
        <f t="shared" si="979"/>
        <v>20209</v>
      </c>
      <c r="AQ3297" s="28" t="str">
        <f t="shared" si="980"/>
        <v>20209JPY</v>
      </c>
      <c r="AR3297" s="206" t="str">
        <f t="shared" si="981"/>
        <v>YAMAHA_Mounter</v>
      </c>
      <c r="AS3297" s="22">
        <f t="shared" si="982"/>
        <v>2</v>
      </c>
      <c r="AT3297" s="24" t="str">
        <f t="shared" si="983"/>
        <v>0-3 months</v>
      </c>
      <c r="AU3297" s="22" t="s">
        <v>3746</v>
      </c>
    </row>
    <row r="3298" spans="1:47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48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1370</v>
      </c>
      <c r="K3298" s="155" t="s">
        <v>1371</v>
      </c>
      <c r="L3298" s="17" t="s">
        <v>67</v>
      </c>
      <c r="M3298" s="13" t="s">
        <v>60</v>
      </c>
      <c r="N3298" s="13">
        <v>1</v>
      </c>
      <c r="O3298" s="13"/>
      <c r="P3298" s="33" t="str">
        <f t="shared" si="986"/>
        <v>MAIN UNIT</v>
      </c>
      <c r="Q3298" s="13" t="s">
        <v>61</v>
      </c>
      <c r="R3298" s="13" t="s">
        <v>62</v>
      </c>
      <c r="S3298" s="13" t="s">
        <v>49</v>
      </c>
      <c r="T3298" s="13" t="s">
        <v>78</v>
      </c>
      <c r="U3298" s="13" t="s">
        <v>79</v>
      </c>
      <c r="V3298" s="13" t="s">
        <v>1116</v>
      </c>
      <c r="W3298" s="13" t="s">
        <v>1105</v>
      </c>
      <c r="X3298" s="135">
        <v>10000000</v>
      </c>
      <c r="Y3298" s="156">
        <v>1</v>
      </c>
      <c r="Z3298" s="18">
        <f t="shared" si="987"/>
        <v>10000000</v>
      </c>
      <c r="AA3298" s="13">
        <v>7.4899999999999994E-2</v>
      </c>
      <c r="AB3298" s="21">
        <f t="shared" si="969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1"/>
        <v>47907808.356810622</v>
      </c>
      <c r="AJ3298" s="19">
        <f t="shared" si="972"/>
        <v>6027384.8806384448</v>
      </c>
      <c r="AK3298" s="20">
        <f t="shared" si="978"/>
        <v>0.12581216063459488</v>
      </c>
      <c r="AL3298" s="17"/>
      <c r="AM3298" s="17"/>
      <c r="AN3298" s="17"/>
      <c r="AO3298" s="17"/>
      <c r="AP3298" s="28" t="str">
        <f t="shared" si="979"/>
        <v>20209</v>
      </c>
      <c r="AQ3298" s="28" t="str">
        <f t="shared" si="980"/>
        <v>20209JPY</v>
      </c>
      <c r="AR3298" s="206" t="str">
        <f t="shared" si="981"/>
        <v>YAMAHA_Mounter</v>
      </c>
      <c r="AS3298" s="22">
        <f t="shared" si="982"/>
        <v>2</v>
      </c>
      <c r="AT3298" s="24" t="str">
        <f t="shared" si="983"/>
        <v>0-3 months</v>
      </c>
      <c r="AU3298" s="22" t="s">
        <v>3746</v>
      </c>
    </row>
    <row r="3299" spans="1:47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48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1342</v>
      </c>
      <c r="K3299" s="155" t="s">
        <v>1343</v>
      </c>
      <c r="L3299" s="17" t="s">
        <v>92</v>
      </c>
      <c r="M3299" s="13" t="s">
        <v>60</v>
      </c>
      <c r="N3299" s="13">
        <v>1</v>
      </c>
      <c r="O3299" s="13"/>
      <c r="P3299" s="33" t="str">
        <f t="shared" si="986"/>
        <v>MAIN UNIT</v>
      </c>
      <c r="Q3299" s="13" t="s">
        <v>68</v>
      </c>
      <c r="R3299" s="13" t="s">
        <v>62</v>
      </c>
      <c r="S3299" s="13" t="s">
        <v>49</v>
      </c>
      <c r="T3299" s="13" t="s">
        <v>78</v>
      </c>
      <c r="U3299" s="13" t="s">
        <v>79</v>
      </c>
      <c r="V3299" s="13" t="s">
        <v>1344</v>
      </c>
      <c r="W3299" s="13" t="s">
        <v>109</v>
      </c>
      <c r="X3299" s="135">
        <v>12545000</v>
      </c>
      <c r="Y3299" s="156">
        <v>1</v>
      </c>
      <c r="Z3299" s="18">
        <f t="shared" si="987"/>
        <v>12545000</v>
      </c>
      <c r="AA3299" s="13">
        <v>7.4899999999999994E-2</v>
      </c>
      <c r="AB3299" s="21">
        <f t="shared" si="969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1"/>
        <v>47907808.356810622</v>
      </c>
      <c r="AJ3299" s="19">
        <f t="shared" si="972"/>
        <v>6027384.8806384448</v>
      </c>
      <c r="AK3299" s="20">
        <f t="shared" si="978"/>
        <v>0.12581216063459488</v>
      </c>
      <c r="AL3299" s="17"/>
      <c r="AM3299" s="17"/>
      <c r="AN3299" s="17"/>
      <c r="AO3299" s="17"/>
      <c r="AP3299" s="28" t="str">
        <f t="shared" si="979"/>
        <v>20209</v>
      </c>
      <c r="AQ3299" s="28" t="str">
        <f t="shared" si="980"/>
        <v>20209JPY</v>
      </c>
      <c r="AR3299" s="206" t="str">
        <f t="shared" si="981"/>
        <v>YAMAHA_Mounter</v>
      </c>
      <c r="AS3299" s="22">
        <f t="shared" si="982"/>
        <v>1</v>
      </c>
      <c r="AT3299" s="24" t="str">
        <f t="shared" si="983"/>
        <v>0-3 months</v>
      </c>
      <c r="AU3299" s="22" t="s">
        <v>3745</v>
      </c>
    </row>
    <row r="3300" spans="1:47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48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1546</v>
      </c>
      <c r="K3300" s="155" t="s">
        <v>1547</v>
      </c>
      <c r="L3300" s="17" t="s">
        <v>92</v>
      </c>
      <c r="M3300" s="13" t="s">
        <v>60</v>
      </c>
      <c r="N3300" s="13">
        <v>1</v>
      </c>
      <c r="O3300" s="13"/>
      <c r="P3300" s="33" t="str">
        <f t="shared" si="986"/>
        <v>MAIN UNIT</v>
      </c>
      <c r="Q3300" s="13" t="s">
        <v>61</v>
      </c>
      <c r="R3300" s="13" t="s">
        <v>62</v>
      </c>
      <c r="S3300" s="13" t="s">
        <v>49</v>
      </c>
      <c r="T3300" s="13" t="s">
        <v>78</v>
      </c>
      <c r="U3300" s="13" t="s">
        <v>79</v>
      </c>
      <c r="V3300" s="13" t="s">
        <v>126</v>
      </c>
      <c r="W3300" s="13" t="s">
        <v>109</v>
      </c>
      <c r="X3300" s="135">
        <v>12000000</v>
      </c>
      <c r="Y3300" s="157" t="str">
        <f>IF(W3300="RMB","1.13", "1")</f>
        <v>1</v>
      </c>
      <c r="Z3300" s="18">
        <f t="shared" si="987"/>
        <v>12000000</v>
      </c>
      <c r="AA3300" s="13">
        <v>7.5700000000000003E-2</v>
      </c>
      <c r="AB3300" s="21">
        <f t="shared" si="969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1"/>
        <v>31097187.02948761</v>
      </c>
      <c r="AJ3300" s="19">
        <f t="shared" si="972"/>
        <v>3892353.6644401965</v>
      </c>
      <c r="AK3300" s="20">
        <f t="shared" si="978"/>
        <v>0.12516738767237401</v>
      </c>
      <c r="AL3300" s="17"/>
      <c r="AM3300" s="17"/>
      <c r="AN3300" s="17"/>
      <c r="AO3300" s="17"/>
      <c r="AP3300" s="28" t="str">
        <f t="shared" si="979"/>
        <v>20212</v>
      </c>
      <c r="AQ3300" s="28" t="str">
        <f t="shared" si="980"/>
        <v>20212JPY</v>
      </c>
      <c r="AR3300" s="206" t="str">
        <f t="shared" si="981"/>
        <v>YAMAHA_Mounter</v>
      </c>
      <c r="AS3300" s="22">
        <f t="shared" si="982"/>
        <v>3</v>
      </c>
      <c r="AT3300" s="24" t="str">
        <f t="shared" si="983"/>
        <v>0-3 months</v>
      </c>
      <c r="AU3300" s="22" t="s">
        <v>3745</v>
      </c>
    </row>
    <row r="3301" spans="1:47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3140</v>
      </c>
      <c r="K3301" s="29" t="s">
        <v>1547</v>
      </c>
      <c r="L3301" s="17" t="s">
        <v>92</v>
      </c>
      <c r="M3301" s="22" t="s">
        <v>60</v>
      </c>
      <c r="N3301" s="22">
        <v>1</v>
      </c>
      <c r="O3301" s="22"/>
      <c r="P3301" s="33" t="str">
        <f t="shared" si="986"/>
        <v>MAIN UNIT</v>
      </c>
      <c r="Q3301" s="13" t="s">
        <v>61</v>
      </c>
      <c r="R3301" s="22" t="s">
        <v>62</v>
      </c>
      <c r="S3301" s="22" t="s">
        <v>49</v>
      </c>
      <c r="T3301" s="22" t="s">
        <v>78</v>
      </c>
      <c r="U3301" s="22" t="s">
        <v>79</v>
      </c>
      <c r="V3301" s="22" t="s">
        <v>126</v>
      </c>
      <c r="W3301" s="22" t="s">
        <v>109</v>
      </c>
      <c r="X3301" s="30">
        <v>12660000</v>
      </c>
      <c r="Y3301" s="31" t="str">
        <f>IF(W3301="","",IF(W3301="RMB","1.13", "1"))</f>
        <v>1</v>
      </c>
      <c r="Z3301" s="18">
        <f t="shared" si="987"/>
        <v>12660000</v>
      </c>
      <c r="AA3301" s="22">
        <v>5.4100000000000002E-2</v>
      </c>
      <c r="AB3301" s="21">
        <f t="shared" si="969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1"/>
        <v>10524262.405309737</v>
      </c>
      <c r="AJ3301" s="27">
        <f t="shared" si="972"/>
        <v>1479050.9527127435</v>
      </c>
      <c r="AK3301" s="28">
        <f t="shared" si="978"/>
        <v>0.14053725532028996</v>
      </c>
      <c r="AL3301" s="24"/>
      <c r="AM3301" s="24"/>
      <c r="AN3301" s="24"/>
      <c r="AO3301" s="24"/>
      <c r="AP3301" s="28" t="str">
        <f t="shared" si="979"/>
        <v>20242</v>
      </c>
      <c r="AQ3301" s="28" t="str">
        <f t="shared" si="980"/>
        <v>20242JPY</v>
      </c>
      <c r="AR3301" s="206" t="str">
        <f t="shared" si="981"/>
        <v>YAMAHA_Mounter</v>
      </c>
      <c r="AS3301" s="22">
        <f t="shared" si="982"/>
        <v>1</v>
      </c>
      <c r="AT3301" s="24" t="str">
        <f t="shared" si="983"/>
        <v>0-3 months</v>
      </c>
      <c r="AU3301" s="22" t="s">
        <v>3745</v>
      </c>
    </row>
    <row r="3302" spans="1:47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3478</v>
      </c>
      <c r="K3302" s="29" t="s">
        <v>2561</v>
      </c>
      <c r="L3302" s="17" t="s">
        <v>92</v>
      </c>
      <c r="M3302" s="13" t="s">
        <v>60</v>
      </c>
      <c r="N3302" s="13">
        <v>1</v>
      </c>
      <c r="O3302" s="22"/>
      <c r="P3302" s="33" t="str">
        <f t="shared" si="986"/>
        <v>MAIN UNIT</v>
      </c>
      <c r="Q3302" s="22" t="s">
        <v>61</v>
      </c>
      <c r="R3302" s="22" t="s">
        <v>62</v>
      </c>
      <c r="S3302" s="22" t="s">
        <v>50</v>
      </c>
      <c r="T3302" s="22" t="s">
        <v>325</v>
      </c>
      <c r="U3302" s="22" t="s">
        <v>70</v>
      </c>
      <c r="V3302" s="22" t="s">
        <v>1010</v>
      </c>
      <c r="W3302" s="22" t="s">
        <v>64</v>
      </c>
      <c r="X3302" s="104">
        <v>735998</v>
      </c>
      <c r="Y3302" s="195" t="str">
        <f>IF(W3302="","",IF(W3302="RMB","1.13", "1"))</f>
        <v>1.13</v>
      </c>
      <c r="Z3302" s="196">
        <f t="shared" si="987"/>
        <v>735998</v>
      </c>
      <c r="AA3302" s="22">
        <v>1.08</v>
      </c>
      <c r="AB3302" s="197">
        <f t="shared" si="969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1"/>
        <v>25354039.366920356</v>
      </c>
      <c r="AJ3302" s="200">
        <f t="shared" si="972"/>
        <v>3028631.2816309328</v>
      </c>
      <c r="AK3302" s="201">
        <f t="shared" si="978"/>
        <v>0.11945360018579192</v>
      </c>
      <c r="AL3302" s="24"/>
      <c r="AM3302" s="24"/>
      <c r="AN3302" s="24"/>
      <c r="AO3302" s="24"/>
      <c r="AP3302" s="105" t="str">
        <f t="shared" si="979"/>
        <v>20248</v>
      </c>
      <c r="AQ3302" s="28" t="str">
        <f t="shared" si="980"/>
        <v>20248RMB</v>
      </c>
      <c r="AR3302" s="206" t="str">
        <f t="shared" si="981"/>
        <v>YAMAHA_Mounter</v>
      </c>
      <c r="AS3302" s="22">
        <f t="shared" si="982"/>
        <v>2</v>
      </c>
      <c r="AT3302" s="24" t="str">
        <f t="shared" si="983"/>
        <v>0-3 months</v>
      </c>
      <c r="AU3302" s="22" t="s">
        <v>3240</v>
      </c>
    </row>
    <row r="3303" spans="1:47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48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1410</v>
      </c>
      <c r="K3303" s="155" t="s">
        <v>1411</v>
      </c>
      <c r="L3303" s="17" t="s">
        <v>92</v>
      </c>
      <c r="M3303" s="13" t="s">
        <v>60</v>
      </c>
      <c r="N3303" s="13">
        <v>1</v>
      </c>
      <c r="O3303" s="13"/>
      <c r="P3303" s="33" t="str">
        <f t="shared" si="986"/>
        <v>MAIN UNIT</v>
      </c>
      <c r="Q3303" s="13" t="s">
        <v>68</v>
      </c>
      <c r="R3303" s="13" t="s">
        <v>62</v>
      </c>
      <c r="S3303" s="13" t="s">
        <v>49</v>
      </c>
      <c r="T3303" s="13" t="s">
        <v>78</v>
      </c>
      <c r="U3303" s="13" t="s">
        <v>79</v>
      </c>
      <c r="V3303" s="13" t="s">
        <v>715</v>
      </c>
      <c r="W3303" s="13" t="s">
        <v>64</v>
      </c>
      <c r="X3303" s="135">
        <v>982000</v>
      </c>
      <c r="Y3303" s="157" t="str">
        <f>IF(W3303="RMB","1.13", "1")</f>
        <v>1.13</v>
      </c>
      <c r="Z3303" s="18">
        <f t="shared" si="987"/>
        <v>982000</v>
      </c>
      <c r="AA3303" s="13">
        <v>1.135</v>
      </c>
      <c r="AB3303" s="21">
        <f t="shared" si="969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1"/>
        <v>28011162.254106201</v>
      </c>
      <c r="AJ3303" s="19">
        <f t="shared" si="972"/>
        <v>3401347.1124888416</v>
      </c>
      <c r="AK3303" s="20">
        <f t="shared" si="978"/>
        <v>0.12142827497242578</v>
      </c>
      <c r="AL3303" s="17"/>
      <c r="AM3303" s="17"/>
      <c r="AN3303" s="17"/>
      <c r="AO3303" s="17"/>
      <c r="AP3303" s="28" t="str">
        <f t="shared" si="979"/>
        <v>202010</v>
      </c>
      <c r="AQ3303" s="28" t="str">
        <f t="shared" si="980"/>
        <v>202010RMB</v>
      </c>
      <c r="AR3303" s="206" t="str">
        <f t="shared" si="981"/>
        <v>YAMAHA_Mounter</v>
      </c>
      <c r="AS3303" s="22">
        <f t="shared" si="982"/>
        <v>1</v>
      </c>
      <c r="AT3303" s="24" t="str">
        <f t="shared" si="983"/>
        <v>0-3 months</v>
      </c>
      <c r="AU3303" s="22" t="s">
        <v>3744</v>
      </c>
    </row>
    <row r="3304" spans="1:47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47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659</v>
      </c>
      <c r="K3304" s="155" t="s">
        <v>660</v>
      </c>
      <c r="L3304" s="17" t="s">
        <v>92</v>
      </c>
      <c r="M3304" s="13" t="s">
        <v>60</v>
      </c>
      <c r="N3304" s="13">
        <v>1</v>
      </c>
      <c r="O3304" s="13"/>
      <c r="P3304" s="33" t="str">
        <f t="shared" si="986"/>
        <v>MAIN UNIT</v>
      </c>
      <c r="Q3304" s="13" t="s">
        <v>68</v>
      </c>
      <c r="R3304" s="13" t="s">
        <v>62</v>
      </c>
      <c r="S3304" s="13" t="s">
        <v>49</v>
      </c>
      <c r="T3304" s="13" t="s">
        <v>78</v>
      </c>
      <c r="U3304" s="13" t="s">
        <v>79</v>
      </c>
      <c r="V3304" s="13" t="s">
        <v>121</v>
      </c>
      <c r="W3304" s="13" t="s">
        <v>109</v>
      </c>
      <c r="X3304" s="135">
        <v>15000000</v>
      </c>
      <c r="Y3304" s="156">
        <v>1</v>
      </c>
      <c r="Z3304" s="18">
        <f t="shared" si="987"/>
        <v>15000000</v>
      </c>
      <c r="AA3304" s="13">
        <v>7.2300000000000003E-2</v>
      </c>
      <c r="AB3304" s="21">
        <f t="shared" si="969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1"/>
        <v>32843736.557277881</v>
      </c>
      <c r="AJ3304" s="19">
        <f t="shared" si="972"/>
        <v>3921470.6822663117</v>
      </c>
      <c r="AK3304" s="20">
        <f t="shared" si="978"/>
        <v>0.11939782416131177</v>
      </c>
      <c r="AL3304" s="17"/>
      <c r="AM3304" s="17"/>
      <c r="AN3304" s="17"/>
      <c r="AO3304" s="17"/>
      <c r="AP3304" s="28" t="str">
        <f t="shared" si="979"/>
        <v>20194</v>
      </c>
      <c r="AQ3304" s="28" t="str">
        <f t="shared" si="980"/>
        <v>20194JPY</v>
      </c>
      <c r="AR3304" s="206" t="str">
        <f t="shared" si="981"/>
        <v>YAMAHA_Mounter</v>
      </c>
      <c r="AS3304" s="22">
        <f t="shared" si="982"/>
        <v>1</v>
      </c>
      <c r="AT3304" s="24" t="str">
        <f t="shared" si="983"/>
        <v>0-3 months</v>
      </c>
      <c r="AU3304" s="22" t="s">
        <v>3745</v>
      </c>
    </row>
    <row r="3305" spans="1:47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47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659</v>
      </c>
      <c r="K3305" s="155" t="s">
        <v>660</v>
      </c>
      <c r="L3305" s="17" t="s">
        <v>67</v>
      </c>
      <c r="M3305" s="13" t="s">
        <v>60</v>
      </c>
      <c r="N3305" s="13">
        <v>1</v>
      </c>
      <c r="O3305" s="13"/>
      <c r="P3305" s="33" t="str">
        <f t="shared" si="986"/>
        <v>MAIN UNIT</v>
      </c>
      <c r="Q3305" s="13" t="s">
        <v>68</v>
      </c>
      <c r="R3305" s="13" t="s">
        <v>62</v>
      </c>
      <c r="S3305" s="13" t="s">
        <v>49</v>
      </c>
      <c r="T3305" s="13" t="s">
        <v>78</v>
      </c>
      <c r="U3305" s="13" t="s">
        <v>79</v>
      </c>
      <c r="V3305" s="13" t="s">
        <v>121</v>
      </c>
      <c r="W3305" s="13" t="s">
        <v>109</v>
      </c>
      <c r="X3305" s="135">
        <v>12000000</v>
      </c>
      <c r="Y3305" s="156">
        <v>1</v>
      </c>
      <c r="Z3305" s="18">
        <f t="shared" si="987"/>
        <v>12000000</v>
      </c>
      <c r="AA3305" s="13">
        <v>7.2300000000000003E-2</v>
      </c>
      <c r="AB3305" s="21">
        <f t="shared" si="969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1"/>
        <v>32843736.557277881</v>
      </c>
      <c r="AJ3305" s="19">
        <f t="shared" si="972"/>
        <v>3921470.6822663117</v>
      </c>
      <c r="AK3305" s="20">
        <f t="shared" si="978"/>
        <v>0.11939782416131177</v>
      </c>
      <c r="AL3305" s="17"/>
      <c r="AM3305" s="17"/>
      <c r="AN3305" s="17"/>
      <c r="AO3305" s="17"/>
      <c r="AP3305" s="28" t="str">
        <f t="shared" si="979"/>
        <v>20194</v>
      </c>
      <c r="AQ3305" s="28" t="str">
        <f t="shared" si="980"/>
        <v>20194JPY</v>
      </c>
      <c r="AR3305" s="206" t="str">
        <f t="shared" si="981"/>
        <v>YAMAHA_Mounter</v>
      </c>
      <c r="AS3305" s="22">
        <f t="shared" si="982"/>
        <v>1</v>
      </c>
      <c r="AT3305" s="24" t="str">
        <f t="shared" si="983"/>
        <v>0-3 months</v>
      </c>
      <c r="AU3305" s="22" t="s">
        <v>3745</v>
      </c>
    </row>
    <row r="3306" spans="1:47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47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729</v>
      </c>
      <c r="K3306" s="155" t="s">
        <v>660</v>
      </c>
      <c r="L3306" s="17" t="s">
        <v>92</v>
      </c>
      <c r="M3306" s="13" t="s">
        <v>60</v>
      </c>
      <c r="N3306" s="13">
        <v>1</v>
      </c>
      <c r="O3306" s="13"/>
      <c r="P3306" s="33" t="str">
        <f t="shared" si="986"/>
        <v>MAIN UNIT</v>
      </c>
      <c r="Q3306" s="13" t="s">
        <v>61</v>
      </c>
      <c r="R3306" s="13" t="s">
        <v>62</v>
      </c>
      <c r="S3306" s="13" t="s">
        <v>49</v>
      </c>
      <c r="T3306" s="13" t="s">
        <v>78</v>
      </c>
      <c r="U3306" s="13" t="s">
        <v>79</v>
      </c>
      <c r="V3306" s="13" t="s">
        <v>121</v>
      </c>
      <c r="W3306" s="13" t="s">
        <v>109</v>
      </c>
      <c r="X3306" s="135">
        <v>15000000</v>
      </c>
      <c r="Y3306" s="156">
        <v>1</v>
      </c>
      <c r="Z3306" s="18">
        <f t="shared" si="987"/>
        <v>15000000</v>
      </c>
      <c r="AA3306" s="13">
        <v>7.2900000000000006E-2</v>
      </c>
      <c r="AB3306" s="21">
        <f t="shared" si="969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1"/>
        <v>27318180.088495575</v>
      </c>
      <c r="AJ3306" s="19">
        <f t="shared" si="972"/>
        <v>3014099.212353982</v>
      </c>
      <c r="AK3306" s="20">
        <f t="shared" si="978"/>
        <v>0.11033308963444827</v>
      </c>
      <c r="AL3306" s="17"/>
      <c r="AM3306" s="17"/>
      <c r="AN3306" s="17"/>
      <c r="AO3306" s="17"/>
      <c r="AP3306" s="28" t="str">
        <f t="shared" si="979"/>
        <v>201912</v>
      </c>
      <c r="AQ3306" s="28" t="str">
        <f t="shared" si="980"/>
        <v>201912JPY</v>
      </c>
      <c r="AR3306" s="206" t="str">
        <f t="shared" si="981"/>
        <v>YAMAHA_Mounter</v>
      </c>
      <c r="AS3306" s="22">
        <f t="shared" si="982"/>
        <v>2</v>
      </c>
      <c r="AT3306" s="24" t="str">
        <f t="shared" si="983"/>
        <v>0-3 months</v>
      </c>
      <c r="AU3306" s="22" t="s">
        <v>3745</v>
      </c>
    </row>
    <row r="3307" spans="1:47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47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729</v>
      </c>
      <c r="K3307" s="155" t="s">
        <v>660</v>
      </c>
      <c r="L3307" s="17" t="s">
        <v>92</v>
      </c>
      <c r="M3307" s="13" t="s">
        <v>60</v>
      </c>
      <c r="N3307" s="13">
        <v>1</v>
      </c>
      <c r="O3307" s="13"/>
      <c r="P3307" s="33" t="str">
        <f t="shared" si="986"/>
        <v>MAIN UNIT</v>
      </c>
      <c r="Q3307" s="13" t="s">
        <v>61</v>
      </c>
      <c r="R3307" s="13" t="s">
        <v>62</v>
      </c>
      <c r="S3307" s="13" t="s">
        <v>49</v>
      </c>
      <c r="T3307" s="13" t="s">
        <v>78</v>
      </c>
      <c r="U3307" s="13" t="s">
        <v>79</v>
      </c>
      <c r="V3307" s="13" t="s">
        <v>121</v>
      </c>
      <c r="W3307" s="13" t="s">
        <v>109</v>
      </c>
      <c r="X3307" s="135">
        <v>15000000</v>
      </c>
      <c r="Y3307" s="156">
        <v>1</v>
      </c>
      <c r="Z3307" s="18">
        <f t="shared" si="987"/>
        <v>15000000</v>
      </c>
      <c r="AA3307" s="13">
        <v>7.2900000000000006E-2</v>
      </c>
      <c r="AB3307" s="21">
        <f t="shared" si="969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1"/>
        <v>27318180.088495575</v>
      </c>
      <c r="AJ3307" s="19">
        <f t="shared" si="972"/>
        <v>3014099.212353982</v>
      </c>
      <c r="AK3307" s="20">
        <f t="shared" si="978"/>
        <v>0.11033308963444827</v>
      </c>
      <c r="AL3307" s="17"/>
      <c r="AM3307" s="17"/>
      <c r="AN3307" s="17"/>
      <c r="AO3307" s="17"/>
      <c r="AP3307" s="28" t="str">
        <f t="shared" si="979"/>
        <v>201912</v>
      </c>
      <c r="AQ3307" s="28" t="str">
        <f t="shared" si="980"/>
        <v>201912JPY</v>
      </c>
      <c r="AR3307" s="206" t="str">
        <f t="shared" si="981"/>
        <v>YAMAHA_Mounter</v>
      </c>
      <c r="AS3307" s="22">
        <f t="shared" si="982"/>
        <v>2</v>
      </c>
      <c r="AT3307" s="24" t="str">
        <f t="shared" si="983"/>
        <v>0-3 months</v>
      </c>
      <c r="AU3307" s="22" t="s">
        <v>3745</v>
      </c>
    </row>
    <row r="3308" spans="1:47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47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729</v>
      </c>
      <c r="K3308" s="155" t="s">
        <v>660</v>
      </c>
      <c r="L3308" s="17" t="s">
        <v>67</v>
      </c>
      <c r="M3308" s="13" t="s">
        <v>60</v>
      </c>
      <c r="N3308" s="13">
        <v>1</v>
      </c>
      <c r="O3308" s="13"/>
      <c r="P3308" s="33" t="str">
        <f t="shared" si="986"/>
        <v>MAIN UNIT</v>
      </c>
      <c r="Q3308" s="13" t="s">
        <v>61</v>
      </c>
      <c r="R3308" s="13" t="s">
        <v>62</v>
      </c>
      <c r="S3308" s="13" t="s">
        <v>49</v>
      </c>
      <c r="T3308" s="13" t="s">
        <v>78</v>
      </c>
      <c r="U3308" s="13" t="s">
        <v>79</v>
      </c>
      <c r="V3308" s="13" t="s">
        <v>121</v>
      </c>
      <c r="W3308" s="13" t="s">
        <v>109</v>
      </c>
      <c r="X3308" s="135">
        <v>12000000</v>
      </c>
      <c r="Y3308" s="156">
        <v>1</v>
      </c>
      <c r="Z3308" s="18">
        <f t="shared" si="987"/>
        <v>12000000</v>
      </c>
      <c r="AA3308" s="13">
        <v>7.2900000000000006E-2</v>
      </c>
      <c r="AB3308" s="21">
        <f t="shared" si="969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1"/>
        <v>27318180.088495575</v>
      </c>
      <c r="AJ3308" s="19">
        <f t="shared" si="972"/>
        <v>3014099.212353982</v>
      </c>
      <c r="AK3308" s="20">
        <f t="shared" si="978"/>
        <v>0.11033308963444827</v>
      </c>
      <c r="AL3308" s="17"/>
      <c r="AM3308" s="17"/>
      <c r="AN3308" s="17"/>
      <c r="AO3308" s="17"/>
      <c r="AP3308" s="28" t="str">
        <f t="shared" si="979"/>
        <v>201912</v>
      </c>
      <c r="AQ3308" s="28" t="str">
        <f t="shared" si="980"/>
        <v>201912JPY</v>
      </c>
      <c r="AR3308" s="206" t="str">
        <f t="shared" si="981"/>
        <v>YAMAHA_Mounter</v>
      </c>
      <c r="AS3308" s="22">
        <f t="shared" si="982"/>
        <v>2</v>
      </c>
      <c r="AT3308" s="24" t="str">
        <f t="shared" si="983"/>
        <v>0-3 months</v>
      </c>
      <c r="AU3308" s="22" t="s">
        <v>3745</v>
      </c>
    </row>
    <row r="3309" spans="1:47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47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729</v>
      </c>
      <c r="K3309" s="155" t="s">
        <v>660</v>
      </c>
      <c r="L3309" s="17" t="s">
        <v>67</v>
      </c>
      <c r="M3309" s="13" t="s">
        <v>60</v>
      </c>
      <c r="N3309" s="13">
        <v>1</v>
      </c>
      <c r="O3309" s="13"/>
      <c r="P3309" s="33" t="str">
        <f t="shared" si="986"/>
        <v>MAIN UNIT</v>
      </c>
      <c r="Q3309" s="13" t="s">
        <v>61</v>
      </c>
      <c r="R3309" s="13" t="s">
        <v>62</v>
      </c>
      <c r="S3309" s="13" t="s">
        <v>49</v>
      </c>
      <c r="T3309" s="13" t="s">
        <v>78</v>
      </c>
      <c r="U3309" s="13" t="s">
        <v>79</v>
      </c>
      <c r="V3309" s="13" t="s">
        <v>121</v>
      </c>
      <c r="W3309" s="13" t="s">
        <v>109</v>
      </c>
      <c r="X3309" s="135">
        <v>12000000</v>
      </c>
      <c r="Y3309" s="156">
        <v>1</v>
      </c>
      <c r="Z3309" s="18">
        <f t="shared" si="987"/>
        <v>12000000</v>
      </c>
      <c r="AA3309" s="13">
        <v>7.2900000000000006E-2</v>
      </c>
      <c r="AB3309" s="21">
        <f t="shared" si="969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1"/>
        <v>27318180.088495575</v>
      </c>
      <c r="AJ3309" s="19">
        <f t="shared" si="972"/>
        <v>3014099.212353982</v>
      </c>
      <c r="AK3309" s="20">
        <f t="shared" si="978"/>
        <v>0.11033308963444827</v>
      </c>
      <c r="AL3309" s="17"/>
      <c r="AM3309" s="17"/>
      <c r="AN3309" s="17"/>
      <c r="AO3309" s="17"/>
      <c r="AP3309" s="28" t="str">
        <f t="shared" si="979"/>
        <v>201912</v>
      </c>
      <c r="AQ3309" s="28" t="str">
        <f t="shared" si="980"/>
        <v>201912JPY</v>
      </c>
      <c r="AR3309" s="206" t="str">
        <f t="shared" si="981"/>
        <v>YAMAHA_Mounter</v>
      </c>
      <c r="AS3309" s="22">
        <f t="shared" si="982"/>
        <v>2</v>
      </c>
      <c r="AT3309" s="24" t="str">
        <f t="shared" si="983"/>
        <v>0-3 months</v>
      </c>
      <c r="AU3309" s="22" t="s">
        <v>3745</v>
      </c>
    </row>
    <row r="3310" spans="1:47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48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997</v>
      </c>
      <c r="K3310" s="155" t="s">
        <v>660</v>
      </c>
      <c r="L3310" s="17" t="s">
        <v>92</v>
      </c>
      <c r="M3310" s="13" t="s">
        <v>60</v>
      </c>
      <c r="N3310" s="13">
        <v>1</v>
      </c>
      <c r="O3310" s="13"/>
      <c r="P3310" s="33" t="str">
        <f t="shared" si="986"/>
        <v>MAIN UNIT</v>
      </c>
      <c r="Q3310" s="13" t="s">
        <v>61</v>
      </c>
      <c r="R3310" s="13" t="s">
        <v>62</v>
      </c>
      <c r="S3310" s="13" t="s">
        <v>49</v>
      </c>
      <c r="T3310" s="13" t="s">
        <v>78</v>
      </c>
      <c r="U3310" s="13" t="s">
        <v>79</v>
      </c>
      <c r="V3310" s="13" t="s">
        <v>121</v>
      </c>
      <c r="W3310" s="13" t="s">
        <v>109</v>
      </c>
      <c r="X3310" s="135">
        <v>15000000</v>
      </c>
      <c r="Y3310" s="156">
        <v>1</v>
      </c>
      <c r="Z3310" s="18">
        <f t="shared" si="987"/>
        <v>15000000</v>
      </c>
      <c r="AA3310" s="13">
        <v>7.5700000000000003E-2</v>
      </c>
      <c r="AB3310" s="21">
        <f t="shared" si="969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1"/>
        <v>37969334.083628319</v>
      </c>
      <c r="AJ3310" s="19">
        <f t="shared" si="972"/>
        <v>5097226.4551657084</v>
      </c>
      <c r="AK3310" s="20">
        <f t="shared" si="978"/>
        <v>0.13424587441904964</v>
      </c>
      <c r="AL3310" s="17"/>
      <c r="AM3310" s="17"/>
      <c r="AN3310" s="17"/>
      <c r="AO3310" s="17"/>
      <c r="AP3310" s="28" t="str">
        <f t="shared" si="979"/>
        <v>20208</v>
      </c>
      <c r="AQ3310" s="28" t="str">
        <f t="shared" si="980"/>
        <v>20208JPY</v>
      </c>
      <c r="AR3310" s="206" t="str">
        <f t="shared" si="981"/>
        <v>YAMAHA_Mounter</v>
      </c>
      <c r="AS3310" s="22">
        <f t="shared" si="982"/>
        <v>10</v>
      </c>
      <c r="AT3310" s="24" t="str">
        <f t="shared" si="983"/>
        <v>&gt; 6 months</v>
      </c>
      <c r="AU3310" s="22" t="s">
        <v>3745</v>
      </c>
    </row>
    <row r="3311" spans="1:47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48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997</v>
      </c>
      <c r="K3311" s="155" t="s">
        <v>660</v>
      </c>
      <c r="L3311" s="17" t="s">
        <v>67</v>
      </c>
      <c r="M3311" s="13" t="s">
        <v>60</v>
      </c>
      <c r="N3311" s="13">
        <v>1</v>
      </c>
      <c r="O3311" s="13"/>
      <c r="P3311" s="33" t="str">
        <f t="shared" si="986"/>
        <v>MAIN UNIT</v>
      </c>
      <c r="Q3311" s="13" t="s">
        <v>61</v>
      </c>
      <c r="R3311" s="13" t="s">
        <v>62</v>
      </c>
      <c r="S3311" s="13" t="s">
        <v>49</v>
      </c>
      <c r="T3311" s="13" t="s">
        <v>78</v>
      </c>
      <c r="U3311" s="13" t="s">
        <v>79</v>
      </c>
      <c r="V3311" s="13" t="s">
        <v>121</v>
      </c>
      <c r="W3311" s="13" t="s">
        <v>109</v>
      </c>
      <c r="X3311" s="135">
        <v>12000000</v>
      </c>
      <c r="Y3311" s="156">
        <v>1</v>
      </c>
      <c r="Z3311" s="18">
        <f t="shared" si="987"/>
        <v>12000000</v>
      </c>
      <c r="AA3311" s="13">
        <v>7.5700000000000003E-2</v>
      </c>
      <c r="AB3311" s="21">
        <f t="shared" si="969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1"/>
        <v>37969334.083628319</v>
      </c>
      <c r="AJ3311" s="19">
        <f t="shared" si="972"/>
        <v>5097226.4551657084</v>
      </c>
      <c r="AK3311" s="20">
        <f t="shared" si="978"/>
        <v>0.13424587441904964</v>
      </c>
      <c r="AL3311" s="17"/>
      <c r="AM3311" s="17"/>
      <c r="AN3311" s="17"/>
      <c r="AO3311" s="17"/>
      <c r="AP3311" s="28" t="str">
        <f t="shared" si="979"/>
        <v>20208</v>
      </c>
      <c r="AQ3311" s="28" t="str">
        <f t="shared" si="980"/>
        <v>20208JPY</v>
      </c>
      <c r="AR3311" s="206" t="str">
        <f t="shared" si="981"/>
        <v>YAMAHA_Mounter</v>
      </c>
      <c r="AS3311" s="22">
        <f t="shared" si="982"/>
        <v>10</v>
      </c>
      <c r="AT3311" s="24" t="str">
        <f t="shared" si="983"/>
        <v>&gt; 6 months</v>
      </c>
      <c r="AU3311" s="22" t="s">
        <v>3745</v>
      </c>
    </row>
    <row r="3312" spans="1:47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54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2013</v>
      </c>
      <c r="K3312" s="155" t="s">
        <v>660</v>
      </c>
      <c r="L3312" s="17" t="s">
        <v>92</v>
      </c>
      <c r="M3312" s="13" t="s">
        <v>60</v>
      </c>
      <c r="N3312" s="13">
        <v>1</v>
      </c>
      <c r="O3312" s="13"/>
      <c r="P3312" s="33" t="str">
        <f t="shared" si="986"/>
        <v>MAIN UNIT</v>
      </c>
      <c r="Q3312" s="13" t="s">
        <v>61</v>
      </c>
      <c r="R3312" s="13" t="s">
        <v>62</v>
      </c>
      <c r="S3312" s="13" t="s">
        <v>49</v>
      </c>
      <c r="T3312" s="13" t="s">
        <v>78</v>
      </c>
      <c r="U3312" s="13" t="s">
        <v>79</v>
      </c>
      <c r="V3312" s="13" t="s">
        <v>121</v>
      </c>
      <c r="W3312" s="13" t="s">
        <v>109</v>
      </c>
      <c r="X3312" s="135">
        <v>14500000</v>
      </c>
      <c r="Y3312" s="157" t="str">
        <f t="shared" ref="Y3312:Y3319" si="988">IF(W3312="RMB","1.13", "1")</f>
        <v>1</v>
      </c>
      <c r="Z3312" s="18">
        <f t="shared" si="987"/>
        <v>14500000</v>
      </c>
      <c r="AA3312" s="13">
        <v>6.54E-2</v>
      </c>
      <c r="AB3312" s="21">
        <f t="shared" si="969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1"/>
        <v>46600814.041769907</v>
      </c>
      <c r="AJ3312" s="19">
        <f t="shared" si="972"/>
        <v>5956366.3435927071</v>
      </c>
      <c r="AK3312" s="20">
        <f t="shared" si="978"/>
        <v>0.1278167874546958</v>
      </c>
      <c r="AL3312" s="17"/>
      <c r="AM3312" s="17"/>
      <c r="AN3312" s="17"/>
      <c r="AO3312" s="17"/>
      <c r="AP3312" s="28" t="str">
        <f t="shared" si="979"/>
        <v>20224</v>
      </c>
      <c r="AQ3312" s="28" t="str">
        <f t="shared" si="980"/>
        <v>20224JPY</v>
      </c>
      <c r="AR3312" s="206" t="str">
        <f t="shared" si="981"/>
        <v>YAMAHA_Mounter</v>
      </c>
      <c r="AS3312" s="22">
        <f t="shared" si="982"/>
        <v>4</v>
      </c>
      <c r="AT3312" s="24" t="str">
        <f t="shared" si="983"/>
        <v>4-6 months</v>
      </c>
      <c r="AU3312" s="22" t="s">
        <v>3745</v>
      </c>
    </row>
    <row r="3313" spans="1:47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54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2013</v>
      </c>
      <c r="K3313" s="155" t="s">
        <v>660</v>
      </c>
      <c r="L3313" s="17" t="s">
        <v>92</v>
      </c>
      <c r="M3313" s="13" t="s">
        <v>60</v>
      </c>
      <c r="N3313" s="13">
        <v>1</v>
      </c>
      <c r="O3313" s="13"/>
      <c r="P3313" s="33" t="str">
        <f t="shared" si="986"/>
        <v>MAIN UNIT</v>
      </c>
      <c r="Q3313" s="13" t="s">
        <v>61</v>
      </c>
      <c r="R3313" s="13" t="s">
        <v>62</v>
      </c>
      <c r="S3313" s="13" t="s">
        <v>49</v>
      </c>
      <c r="T3313" s="13" t="s">
        <v>78</v>
      </c>
      <c r="U3313" s="13" t="s">
        <v>79</v>
      </c>
      <c r="V3313" s="13" t="s">
        <v>121</v>
      </c>
      <c r="W3313" s="13" t="s">
        <v>109</v>
      </c>
      <c r="X3313" s="135">
        <v>14500000</v>
      </c>
      <c r="Y3313" s="157" t="str">
        <f t="shared" si="988"/>
        <v>1</v>
      </c>
      <c r="Z3313" s="18">
        <f t="shared" si="987"/>
        <v>14500000</v>
      </c>
      <c r="AA3313" s="13">
        <v>6.54E-2</v>
      </c>
      <c r="AB3313" s="21">
        <f t="shared" si="969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1"/>
        <v>46600814.041769907</v>
      </c>
      <c r="AJ3313" s="19">
        <f t="shared" si="972"/>
        <v>5956366.3435927071</v>
      </c>
      <c r="AK3313" s="20">
        <f t="shared" si="978"/>
        <v>0.1278167874546958</v>
      </c>
      <c r="AL3313" s="17"/>
      <c r="AM3313" s="17"/>
      <c r="AN3313" s="17"/>
      <c r="AO3313" s="17"/>
      <c r="AP3313" s="28" t="str">
        <f t="shared" si="979"/>
        <v>20224</v>
      </c>
      <c r="AQ3313" s="28" t="str">
        <f t="shared" si="980"/>
        <v>20224JPY</v>
      </c>
      <c r="AR3313" s="206" t="str">
        <f t="shared" si="981"/>
        <v>YAMAHA_Mounter</v>
      </c>
      <c r="AS3313" s="22">
        <f t="shared" si="982"/>
        <v>4</v>
      </c>
      <c r="AT3313" s="24" t="str">
        <f t="shared" si="983"/>
        <v>4-6 months</v>
      </c>
      <c r="AU3313" s="22" t="s">
        <v>3745</v>
      </c>
    </row>
    <row r="3314" spans="1:47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54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2013</v>
      </c>
      <c r="K3314" s="155" t="s">
        <v>660</v>
      </c>
      <c r="L3314" s="17" t="s">
        <v>67</v>
      </c>
      <c r="M3314" s="13" t="s">
        <v>60</v>
      </c>
      <c r="N3314" s="13">
        <v>1</v>
      </c>
      <c r="O3314" s="13"/>
      <c r="P3314" s="33" t="str">
        <f t="shared" si="986"/>
        <v>MAIN UNIT</v>
      </c>
      <c r="Q3314" s="13" t="s">
        <v>61</v>
      </c>
      <c r="R3314" s="13" t="s">
        <v>62</v>
      </c>
      <c r="S3314" s="13" t="s">
        <v>49</v>
      </c>
      <c r="T3314" s="13" t="s">
        <v>78</v>
      </c>
      <c r="U3314" s="13" t="s">
        <v>79</v>
      </c>
      <c r="V3314" s="13" t="s">
        <v>121</v>
      </c>
      <c r="W3314" s="13" t="s">
        <v>109</v>
      </c>
      <c r="X3314" s="135">
        <v>11000000</v>
      </c>
      <c r="Y3314" s="157" t="str">
        <f t="shared" si="988"/>
        <v>1</v>
      </c>
      <c r="Z3314" s="18">
        <f t="shared" si="987"/>
        <v>11000000</v>
      </c>
      <c r="AA3314" s="13">
        <v>6.54E-2</v>
      </c>
      <c r="AB3314" s="21">
        <f t="shared" si="969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1"/>
        <v>46600814.041769907</v>
      </c>
      <c r="AJ3314" s="19">
        <f t="shared" si="972"/>
        <v>5956366.3435927071</v>
      </c>
      <c r="AK3314" s="20">
        <f t="shared" si="978"/>
        <v>0.1278167874546958</v>
      </c>
      <c r="AL3314" s="17"/>
      <c r="AM3314" s="17"/>
      <c r="AN3314" s="17"/>
      <c r="AO3314" s="17"/>
      <c r="AP3314" s="28" t="str">
        <f t="shared" si="979"/>
        <v>20224</v>
      </c>
      <c r="AQ3314" s="28" t="str">
        <f t="shared" si="980"/>
        <v>20224JPY</v>
      </c>
      <c r="AR3314" s="206" t="str">
        <f t="shared" si="981"/>
        <v>YAMAHA_Mounter</v>
      </c>
      <c r="AS3314" s="22">
        <f t="shared" si="982"/>
        <v>4</v>
      </c>
      <c r="AT3314" s="24" t="str">
        <f t="shared" si="983"/>
        <v>4-6 months</v>
      </c>
      <c r="AU3314" s="22" t="s">
        <v>3745</v>
      </c>
    </row>
    <row r="3315" spans="1:47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54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2013</v>
      </c>
      <c r="K3315" s="155" t="s">
        <v>660</v>
      </c>
      <c r="L3315" s="17" t="s">
        <v>67</v>
      </c>
      <c r="M3315" s="13" t="s">
        <v>60</v>
      </c>
      <c r="N3315" s="13">
        <v>1</v>
      </c>
      <c r="O3315" s="13"/>
      <c r="P3315" s="33" t="str">
        <f t="shared" si="986"/>
        <v>MAIN UNIT</v>
      </c>
      <c r="Q3315" s="13" t="s">
        <v>61</v>
      </c>
      <c r="R3315" s="13" t="s">
        <v>62</v>
      </c>
      <c r="S3315" s="13" t="s">
        <v>49</v>
      </c>
      <c r="T3315" s="13" t="s">
        <v>78</v>
      </c>
      <c r="U3315" s="13" t="s">
        <v>79</v>
      </c>
      <c r="V3315" s="13" t="s">
        <v>121</v>
      </c>
      <c r="W3315" s="13" t="s">
        <v>109</v>
      </c>
      <c r="X3315" s="135">
        <v>11000000</v>
      </c>
      <c r="Y3315" s="157" t="str">
        <f t="shared" si="988"/>
        <v>1</v>
      </c>
      <c r="Z3315" s="18">
        <f t="shared" si="987"/>
        <v>11000000</v>
      </c>
      <c r="AA3315" s="13">
        <v>6.54E-2</v>
      </c>
      <c r="AB3315" s="21">
        <f t="shared" si="969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1"/>
        <v>46600814.041769907</v>
      </c>
      <c r="AJ3315" s="19">
        <f t="shared" si="972"/>
        <v>5956366.3435927071</v>
      </c>
      <c r="AK3315" s="20">
        <f t="shared" si="978"/>
        <v>0.1278167874546958</v>
      </c>
      <c r="AL3315" s="17"/>
      <c r="AM3315" s="17"/>
      <c r="AN3315" s="17"/>
      <c r="AO3315" s="17"/>
      <c r="AP3315" s="28" t="str">
        <f t="shared" si="979"/>
        <v>20224</v>
      </c>
      <c r="AQ3315" s="28" t="str">
        <f t="shared" si="980"/>
        <v>20224JPY</v>
      </c>
      <c r="AR3315" s="206" t="str">
        <f t="shared" si="981"/>
        <v>YAMAHA_Mounter</v>
      </c>
      <c r="AS3315" s="22">
        <f t="shared" si="982"/>
        <v>4</v>
      </c>
      <c r="AT3315" s="24" t="str">
        <f t="shared" si="983"/>
        <v>4-6 months</v>
      </c>
      <c r="AU3315" s="22" t="s">
        <v>3745</v>
      </c>
    </row>
    <row r="3316" spans="1:47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54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2048</v>
      </c>
      <c r="K3316" s="155" t="s">
        <v>660</v>
      </c>
      <c r="L3316" s="17" t="s">
        <v>92</v>
      </c>
      <c r="M3316" s="13" t="s">
        <v>60</v>
      </c>
      <c r="N3316" s="13">
        <v>1</v>
      </c>
      <c r="O3316" s="13"/>
      <c r="P3316" s="33" t="str">
        <f t="shared" si="986"/>
        <v>MAIN UNIT</v>
      </c>
      <c r="Q3316" s="13" t="s">
        <v>61</v>
      </c>
      <c r="R3316" s="13" t="s">
        <v>62</v>
      </c>
      <c r="S3316" s="13" t="s">
        <v>49</v>
      </c>
      <c r="T3316" s="13" t="s">
        <v>78</v>
      </c>
      <c r="U3316" s="13" t="s">
        <v>79</v>
      </c>
      <c r="V3316" s="13" t="s">
        <v>121</v>
      </c>
      <c r="W3316" s="13" t="s">
        <v>109</v>
      </c>
      <c r="X3316" s="135">
        <v>14500000</v>
      </c>
      <c r="Y3316" s="157" t="str">
        <f t="shared" si="988"/>
        <v>1</v>
      </c>
      <c r="Z3316" s="18">
        <f t="shared" si="987"/>
        <v>14500000</v>
      </c>
      <c r="AA3316" s="13">
        <v>5.7799999999999997E-2</v>
      </c>
      <c r="AB3316" s="21">
        <f t="shared" si="969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1"/>
        <v>15948576.102654871</v>
      </c>
      <c r="AJ3316" s="19">
        <f t="shared" si="972"/>
        <v>2739848.7004853105</v>
      </c>
      <c r="AK3316" s="20">
        <f t="shared" si="978"/>
        <v>0.17179268436567344</v>
      </c>
      <c r="AL3316" s="17"/>
      <c r="AM3316" s="17"/>
      <c r="AN3316" s="17"/>
      <c r="AO3316" s="17"/>
      <c r="AP3316" s="28" t="str">
        <f t="shared" si="979"/>
        <v>20229</v>
      </c>
      <c r="AQ3316" s="28" t="str">
        <f t="shared" si="980"/>
        <v>20229JPY</v>
      </c>
      <c r="AR3316" s="206" t="str">
        <f t="shared" si="981"/>
        <v>YAMAHA_Mounter</v>
      </c>
      <c r="AS3316" s="22">
        <f t="shared" si="982"/>
        <v>9</v>
      </c>
      <c r="AT3316" s="24" t="str">
        <f t="shared" si="983"/>
        <v>&gt; 6 months</v>
      </c>
      <c r="AU3316" s="22" t="s">
        <v>3745</v>
      </c>
    </row>
    <row r="3317" spans="1:47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54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2048</v>
      </c>
      <c r="K3317" s="155" t="s">
        <v>660</v>
      </c>
      <c r="L3317" s="17" t="s">
        <v>92</v>
      </c>
      <c r="M3317" s="13" t="s">
        <v>60</v>
      </c>
      <c r="N3317" s="13">
        <v>1</v>
      </c>
      <c r="O3317" s="13"/>
      <c r="P3317" s="33" t="str">
        <f t="shared" si="986"/>
        <v>MAIN UNIT</v>
      </c>
      <c r="Q3317" s="13" t="s">
        <v>61</v>
      </c>
      <c r="R3317" s="13" t="s">
        <v>62</v>
      </c>
      <c r="S3317" s="13" t="s">
        <v>49</v>
      </c>
      <c r="T3317" s="13" t="s">
        <v>78</v>
      </c>
      <c r="U3317" s="13" t="s">
        <v>79</v>
      </c>
      <c r="V3317" s="13" t="s">
        <v>121</v>
      </c>
      <c r="W3317" s="13" t="s">
        <v>109</v>
      </c>
      <c r="X3317" s="135">
        <v>14500000</v>
      </c>
      <c r="Y3317" s="157" t="str">
        <f t="shared" si="988"/>
        <v>1</v>
      </c>
      <c r="Z3317" s="18">
        <f t="shared" si="987"/>
        <v>14500000</v>
      </c>
      <c r="AA3317" s="13">
        <v>5.7799999999999997E-2</v>
      </c>
      <c r="AB3317" s="21">
        <f t="shared" si="969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1"/>
        <v>15948576.102654871</v>
      </c>
      <c r="AJ3317" s="19">
        <f t="shared" si="972"/>
        <v>2739848.7004853105</v>
      </c>
      <c r="AK3317" s="20">
        <f t="shared" si="978"/>
        <v>0.17179268436567344</v>
      </c>
      <c r="AL3317" s="17"/>
      <c r="AM3317" s="17"/>
      <c r="AN3317" s="17"/>
      <c r="AO3317" s="17"/>
      <c r="AP3317" s="28" t="str">
        <f t="shared" si="979"/>
        <v>20229</v>
      </c>
      <c r="AQ3317" s="28" t="str">
        <f t="shared" si="980"/>
        <v>20229JPY</v>
      </c>
      <c r="AR3317" s="206" t="str">
        <f t="shared" si="981"/>
        <v>YAMAHA_Mounter</v>
      </c>
      <c r="AS3317" s="22">
        <f t="shared" si="982"/>
        <v>9</v>
      </c>
      <c r="AT3317" s="24" t="str">
        <f t="shared" si="983"/>
        <v>&gt; 6 months</v>
      </c>
      <c r="AU3317" s="22" t="s">
        <v>3745</v>
      </c>
    </row>
    <row r="3318" spans="1:47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54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2048</v>
      </c>
      <c r="K3318" s="155" t="s">
        <v>660</v>
      </c>
      <c r="L3318" s="17" t="s">
        <v>67</v>
      </c>
      <c r="M3318" s="13" t="s">
        <v>60</v>
      </c>
      <c r="N3318" s="13">
        <v>1</v>
      </c>
      <c r="O3318" s="13"/>
      <c r="P3318" s="33" t="str">
        <f t="shared" si="986"/>
        <v>MAIN UNIT</v>
      </c>
      <c r="Q3318" s="13" t="s">
        <v>61</v>
      </c>
      <c r="R3318" s="13" t="s">
        <v>62</v>
      </c>
      <c r="S3318" s="13" t="s">
        <v>49</v>
      </c>
      <c r="T3318" s="13" t="s">
        <v>78</v>
      </c>
      <c r="U3318" s="13" t="s">
        <v>79</v>
      </c>
      <c r="V3318" s="13" t="s">
        <v>121</v>
      </c>
      <c r="W3318" s="13" t="s">
        <v>109</v>
      </c>
      <c r="X3318" s="135">
        <v>11000000</v>
      </c>
      <c r="Y3318" s="157" t="str">
        <f t="shared" si="988"/>
        <v>1</v>
      </c>
      <c r="Z3318" s="18">
        <f t="shared" si="987"/>
        <v>11000000</v>
      </c>
      <c r="AA3318" s="13">
        <v>5.7799999999999997E-2</v>
      </c>
      <c r="AB3318" s="21">
        <f t="shared" si="969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1"/>
        <v>15948576.102654871</v>
      </c>
      <c r="AJ3318" s="19">
        <f t="shared" si="972"/>
        <v>2739848.7004853105</v>
      </c>
      <c r="AK3318" s="20">
        <f t="shared" si="978"/>
        <v>0.17179268436567344</v>
      </c>
      <c r="AL3318" s="17"/>
      <c r="AM3318" s="17"/>
      <c r="AN3318" s="17"/>
      <c r="AO3318" s="17"/>
      <c r="AP3318" s="28" t="str">
        <f t="shared" si="979"/>
        <v>20229</v>
      </c>
      <c r="AQ3318" s="28" t="str">
        <f t="shared" si="980"/>
        <v>20229JPY</v>
      </c>
      <c r="AR3318" s="206" t="str">
        <f t="shared" si="981"/>
        <v>YAMAHA_Mounter</v>
      </c>
      <c r="AS3318" s="22">
        <f t="shared" si="982"/>
        <v>9</v>
      </c>
      <c r="AT3318" s="24" t="str">
        <f t="shared" si="983"/>
        <v>&gt; 6 months</v>
      </c>
      <c r="AU3318" s="22" t="s">
        <v>3745</v>
      </c>
    </row>
    <row r="3319" spans="1:47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54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2048</v>
      </c>
      <c r="K3319" s="155" t="s">
        <v>660</v>
      </c>
      <c r="L3319" s="17" t="s">
        <v>67</v>
      </c>
      <c r="M3319" s="13" t="s">
        <v>60</v>
      </c>
      <c r="N3319" s="13">
        <v>1</v>
      </c>
      <c r="O3319" s="13"/>
      <c r="P3319" s="33" t="str">
        <f t="shared" si="986"/>
        <v>MAIN UNIT</v>
      </c>
      <c r="Q3319" s="13" t="s">
        <v>61</v>
      </c>
      <c r="R3319" s="13" t="s">
        <v>62</v>
      </c>
      <c r="S3319" s="13" t="s">
        <v>49</v>
      </c>
      <c r="T3319" s="13" t="s">
        <v>78</v>
      </c>
      <c r="U3319" s="13" t="s">
        <v>79</v>
      </c>
      <c r="V3319" s="13" t="s">
        <v>121</v>
      </c>
      <c r="W3319" s="13" t="s">
        <v>109</v>
      </c>
      <c r="X3319" s="135">
        <v>11000000</v>
      </c>
      <c r="Y3319" s="157" t="str">
        <f t="shared" si="988"/>
        <v>1</v>
      </c>
      <c r="Z3319" s="18">
        <f t="shared" si="987"/>
        <v>11000000</v>
      </c>
      <c r="AA3319" s="13">
        <v>5.7799999999999997E-2</v>
      </c>
      <c r="AB3319" s="21">
        <f t="shared" si="969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1"/>
        <v>15948576.102654871</v>
      </c>
      <c r="AJ3319" s="19">
        <f t="shared" si="972"/>
        <v>2739848.7004853105</v>
      </c>
      <c r="AK3319" s="20">
        <f t="shared" si="978"/>
        <v>0.17179268436567344</v>
      </c>
      <c r="AL3319" s="17"/>
      <c r="AM3319" s="17"/>
      <c r="AN3319" s="17"/>
      <c r="AO3319" s="17"/>
      <c r="AP3319" s="28" t="str">
        <f t="shared" si="979"/>
        <v>20229</v>
      </c>
      <c r="AQ3319" s="28" t="str">
        <f t="shared" si="980"/>
        <v>20229JPY</v>
      </c>
      <c r="AR3319" s="206" t="str">
        <f t="shared" si="981"/>
        <v>YAMAHA_Mounter</v>
      </c>
      <c r="AS3319" s="22">
        <f t="shared" si="982"/>
        <v>9</v>
      </c>
      <c r="AT3319" s="24" t="str">
        <f t="shared" si="983"/>
        <v>&gt; 6 months</v>
      </c>
      <c r="AU3319" s="22" t="s">
        <v>3745</v>
      </c>
    </row>
    <row r="3320" spans="1:47" s="12" customFormat="1">
      <c r="A3320" s="33" t="str">
        <f t="shared" si="973"/>
        <v>cancel</v>
      </c>
      <c r="B3320" s="152"/>
      <c r="C3320" s="152" t="s">
        <v>185</v>
      </c>
      <c r="D3320" s="33" t="str">
        <f t="shared" si="974"/>
        <v/>
      </c>
      <c r="E3320" s="33" t="s">
        <v>185</v>
      </c>
      <c r="F3320" s="13" t="s">
        <v>185</v>
      </c>
      <c r="G3320" s="152" t="s">
        <v>185</v>
      </c>
      <c r="H3320" s="155"/>
      <c r="I3320" s="33" t="str">
        <f t="shared" si="975"/>
        <v>Cancel</v>
      </c>
      <c r="J3320" s="186" t="s">
        <v>2656</v>
      </c>
      <c r="K3320" s="155" t="s">
        <v>660</v>
      </c>
      <c r="L3320" s="17" t="s">
        <v>92</v>
      </c>
      <c r="M3320" s="13" t="s">
        <v>60</v>
      </c>
      <c r="N3320" s="13">
        <v>1</v>
      </c>
      <c r="O3320" s="13"/>
      <c r="P3320" s="33" t="str">
        <f t="shared" si="986"/>
        <v>MAIN UNIT</v>
      </c>
      <c r="Q3320" s="13" t="s">
        <v>68</v>
      </c>
      <c r="R3320" s="13" t="s">
        <v>62</v>
      </c>
      <c r="S3320" s="13" t="s">
        <v>49</v>
      </c>
      <c r="T3320" s="13" t="s">
        <v>78</v>
      </c>
      <c r="U3320" s="13" t="s">
        <v>79</v>
      </c>
      <c r="V3320" s="13" t="s">
        <v>121</v>
      </c>
      <c r="W3320" s="13" t="s">
        <v>109</v>
      </c>
      <c r="X3320" s="135">
        <v>15000000</v>
      </c>
      <c r="Y3320" s="156">
        <v>1</v>
      </c>
      <c r="Z3320" s="18">
        <f t="shared" si="987"/>
        <v>15000000</v>
      </c>
      <c r="AA3320" s="13">
        <v>7.5200000000000003E-2</v>
      </c>
      <c r="AB3320" s="21">
        <f t="shared" si="969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1"/>
        <v>499582152.5142017</v>
      </c>
      <c r="AJ3320" s="19">
        <f t="shared" si="972"/>
        <v>59520528.679470733</v>
      </c>
      <c r="AK3320" s="20">
        <f t="shared" si="978"/>
        <v>0.11914062257814291</v>
      </c>
      <c r="AL3320" s="17"/>
      <c r="AM3320" s="17"/>
      <c r="AN3320" s="17"/>
      <c r="AO3320" s="17"/>
      <c r="AP3320" s="28" t="str">
        <f t="shared" si="979"/>
        <v>CancelCancel</v>
      </c>
      <c r="AQ3320" s="28" t="str">
        <f t="shared" si="980"/>
        <v>CancelCancelJPY</v>
      </c>
      <c r="AR3320" s="206" t="str">
        <f t="shared" si="981"/>
        <v>YAMAHA_Mounter</v>
      </c>
      <c r="AS3320" s="22" t="str">
        <f t="shared" si="982"/>
        <v/>
      </c>
      <c r="AT3320" s="24" t="str">
        <f t="shared" si="983"/>
        <v/>
      </c>
      <c r="AU3320" s="22" t="s">
        <v>3745</v>
      </c>
    </row>
    <row r="3321" spans="1:47" s="12" customFormat="1">
      <c r="A3321" s="33" t="str">
        <f t="shared" si="973"/>
        <v>cancel</v>
      </c>
      <c r="B3321" s="152"/>
      <c r="C3321" s="152" t="s">
        <v>185</v>
      </c>
      <c r="D3321" s="33" t="str">
        <f t="shared" si="974"/>
        <v/>
      </c>
      <c r="E3321" s="33" t="s">
        <v>185</v>
      </c>
      <c r="F3321" s="13" t="s">
        <v>185</v>
      </c>
      <c r="G3321" s="152" t="s">
        <v>185</v>
      </c>
      <c r="H3321" s="155"/>
      <c r="I3321" s="33" t="str">
        <f t="shared" si="975"/>
        <v>Cancel</v>
      </c>
      <c r="J3321" s="186" t="s">
        <v>2656</v>
      </c>
      <c r="K3321" s="155" t="s">
        <v>660</v>
      </c>
      <c r="L3321" s="17" t="s">
        <v>92</v>
      </c>
      <c r="M3321" s="13" t="s">
        <v>60</v>
      </c>
      <c r="N3321" s="13">
        <v>1</v>
      </c>
      <c r="O3321" s="13"/>
      <c r="P3321" s="33" t="str">
        <f t="shared" si="986"/>
        <v>MAIN UNIT</v>
      </c>
      <c r="Q3321" s="13" t="s">
        <v>68</v>
      </c>
      <c r="R3321" s="13" t="s">
        <v>62</v>
      </c>
      <c r="S3321" s="13" t="s">
        <v>49</v>
      </c>
      <c r="T3321" s="13" t="s">
        <v>78</v>
      </c>
      <c r="U3321" s="13" t="s">
        <v>79</v>
      </c>
      <c r="V3321" s="13" t="s">
        <v>121</v>
      </c>
      <c r="W3321" s="13" t="s">
        <v>109</v>
      </c>
      <c r="X3321" s="135">
        <v>15000000</v>
      </c>
      <c r="Y3321" s="156">
        <v>1</v>
      </c>
      <c r="Z3321" s="18">
        <f t="shared" si="987"/>
        <v>15000000</v>
      </c>
      <c r="AA3321" s="13">
        <v>7.3999999999999996E-2</v>
      </c>
      <c r="AB3321" s="21">
        <f t="shared" si="969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1"/>
        <v>499582152.5142017</v>
      </c>
      <c r="AJ3321" s="19">
        <f t="shared" si="972"/>
        <v>59520528.679470733</v>
      </c>
      <c r="AK3321" s="20">
        <f t="shared" si="978"/>
        <v>0.11914062257814291</v>
      </c>
      <c r="AL3321" s="17"/>
      <c r="AM3321" s="17"/>
      <c r="AN3321" s="17"/>
      <c r="AO3321" s="17"/>
      <c r="AP3321" s="28" t="str">
        <f t="shared" si="979"/>
        <v>CancelCancel</v>
      </c>
      <c r="AQ3321" s="28" t="str">
        <f t="shared" si="980"/>
        <v>CancelCancelJPY</v>
      </c>
      <c r="AR3321" s="206" t="str">
        <f t="shared" si="981"/>
        <v>YAMAHA_Mounter</v>
      </c>
      <c r="AS3321" s="22" t="str">
        <f t="shared" si="982"/>
        <v/>
      </c>
      <c r="AT3321" s="24" t="str">
        <f t="shared" si="983"/>
        <v/>
      </c>
      <c r="AU3321" s="22" t="s">
        <v>3745</v>
      </c>
    </row>
    <row r="3322" spans="1:47" s="12" customFormat="1">
      <c r="A3322" s="33" t="str">
        <f t="shared" si="973"/>
        <v>cancel</v>
      </c>
      <c r="B3322" s="152"/>
      <c r="C3322" s="152" t="s">
        <v>185</v>
      </c>
      <c r="D3322" s="33" t="str">
        <f t="shared" si="974"/>
        <v/>
      </c>
      <c r="E3322" s="33" t="s">
        <v>185</v>
      </c>
      <c r="F3322" s="13" t="s">
        <v>185</v>
      </c>
      <c r="G3322" s="152" t="s">
        <v>185</v>
      </c>
      <c r="H3322" s="155"/>
      <c r="I3322" s="33" t="str">
        <f t="shared" si="975"/>
        <v>Cancel</v>
      </c>
      <c r="J3322" s="186" t="s">
        <v>2656</v>
      </c>
      <c r="K3322" s="155" t="s">
        <v>660</v>
      </c>
      <c r="L3322" s="17" t="s">
        <v>92</v>
      </c>
      <c r="M3322" s="13" t="s">
        <v>60</v>
      </c>
      <c r="N3322" s="13">
        <v>1</v>
      </c>
      <c r="O3322" s="13"/>
      <c r="P3322" s="33" t="str">
        <f t="shared" si="986"/>
        <v>MAIN UNIT</v>
      </c>
      <c r="Q3322" s="13" t="s">
        <v>68</v>
      </c>
      <c r="R3322" s="13" t="s">
        <v>62</v>
      </c>
      <c r="S3322" s="13" t="s">
        <v>49</v>
      </c>
      <c r="T3322" s="13" t="s">
        <v>78</v>
      </c>
      <c r="U3322" s="13" t="s">
        <v>79</v>
      </c>
      <c r="V3322" s="13" t="s">
        <v>121</v>
      </c>
      <c r="W3322" s="13" t="s">
        <v>109</v>
      </c>
      <c r="X3322" s="135">
        <v>15000000</v>
      </c>
      <c r="Y3322" s="156">
        <v>1</v>
      </c>
      <c r="Z3322" s="18">
        <f t="shared" si="987"/>
        <v>15000000</v>
      </c>
      <c r="AA3322" s="13">
        <v>7.3999999999999996E-2</v>
      </c>
      <c r="AB3322" s="21">
        <f t="shared" si="969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1"/>
        <v>499582152.5142017</v>
      </c>
      <c r="AJ3322" s="19">
        <f t="shared" si="972"/>
        <v>59520528.679470733</v>
      </c>
      <c r="AK3322" s="20">
        <f t="shared" si="978"/>
        <v>0.11914062257814291</v>
      </c>
      <c r="AL3322" s="17"/>
      <c r="AM3322" s="17"/>
      <c r="AN3322" s="17"/>
      <c r="AO3322" s="17"/>
      <c r="AP3322" s="28" t="str">
        <f t="shared" si="979"/>
        <v>CancelCancel</v>
      </c>
      <c r="AQ3322" s="28" t="str">
        <f t="shared" si="980"/>
        <v>CancelCancelJPY</v>
      </c>
      <c r="AR3322" s="206" t="str">
        <f t="shared" si="981"/>
        <v>YAMAHA_Mounter</v>
      </c>
      <c r="AS3322" s="22" t="str">
        <f t="shared" si="982"/>
        <v/>
      </c>
      <c r="AT3322" s="24" t="str">
        <f t="shared" si="983"/>
        <v/>
      </c>
      <c r="AU3322" s="22" t="s">
        <v>3745</v>
      </c>
    </row>
    <row r="3323" spans="1:47" s="12" customFormat="1">
      <c r="A3323" s="33" t="str">
        <f t="shared" si="973"/>
        <v>cancel</v>
      </c>
      <c r="B3323" s="152"/>
      <c r="C3323" s="152" t="s">
        <v>185</v>
      </c>
      <c r="D3323" s="33" t="str">
        <f t="shared" si="974"/>
        <v/>
      </c>
      <c r="E3323" s="33" t="s">
        <v>185</v>
      </c>
      <c r="F3323" s="13" t="s">
        <v>185</v>
      </c>
      <c r="G3323" s="152" t="s">
        <v>185</v>
      </c>
      <c r="H3323" s="155"/>
      <c r="I3323" s="33" t="str">
        <f t="shared" si="975"/>
        <v>Cancel</v>
      </c>
      <c r="J3323" s="186" t="s">
        <v>2656</v>
      </c>
      <c r="K3323" s="155" t="s">
        <v>660</v>
      </c>
      <c r="L3323" s="17" t="s">
        <v>67</v>
      </c>
      <c r="M3323" s="13" t="s">
        <v>60</v>
      </c>
      <c r="N3323" s="13">
        <v>1</v>
      </c>
      <c r="O3323" s="13"/>
      <c r="P3323" s="33" t="str">
        <f t="shared" si="986"/>
        <v>MAIN UNIT</v>
      </c>
      <c r="Q3323" s="13" t="s">
        <v>68</v>
      </c>
      <c r="R3323" s="13" t="s">
        <v>62</v>
      </c>
      <c r="S3323" s="13" t="s">
        <v>49</v>
      </c>
      <c r="T3323" s="13" t="s">
        <v>78</v>
      </c>
      <c r="U3323" s="13" t="s">
        <v>79</v>
      </c>
      <c r="V3323" s="13" t="s">
        <v>121</v>
      </c>
      <c r="W3323" s="13" t="s">
        <v>109</v>
      </c>
      <c r="X3323" s="135">
        <v>12000000</v>
      </c>
      <c r="Y3323" s="156">
        <v>1</v>
      </c>
      <c r="Z3323" s="18">
        <f t="shared" si="987"/>
        <v>12000000</v>
      </c>
      <c r="AA3323" s="13">
        <v>7.3999999999999996E-2</v>
      </c>
      <c r="AB3323" s="21">
        <f t="shared" si="969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1"/>
        <v>499582152.5142017</v>
      </c>
      <c r="AJ3323" s="19">
        <f t="shared" si="972"/>
        <v>59520528.679470733</v>
      </c>
      <c r="AK3323" s="20">
        <f t="shared" si="978"/>
        <v>0.11914062257814291</v>
      </c>
      <c r="AL3323" s="17"/>
      <c r="AM3323" s="17"/>
      <c r="AN3323" s="17"/>
      <c r="AO3323" s="17"/>
      <c r="AP3323" s="28" t="str">
        <f t="shared" si="979"/>
        <v>CancelCancel</v>
      </c>
      <c r="AQ3323" s="28" t="str">
        <f t="shared" si="980"/>
        <v>CancelCancelJPY</v>
      </c>
      <c r="AR3323" s="206" t="str">
        <f t="shared" si="981"/>
        <v>YAMAHA_Mounter</v>
      </c>
      <c r="AS3323" s="22" t="str">
        <f t="shared" si="982"/>
        <v/>
      </c>
      <c r="AT3323" s="24" t="str">
        <f t="shared" si="983"/>
        <v/>
      </c>
      <c r="AU3323" s="22" t="s">
        <v>3745</v>
      </c>
    </row>
    <row r="3324" spans="1:47" s="12" customFormat="1">
      <c r="A3324" s="33" t="str">
        <f t="shared" si="973"/>
        <v>cancel</v>
      </c>
      <c r="B3324" s="152"/>
      <c r="C3324" s="152" t="s">
        <v>185</v>
      </c>
      <c r="D3324" s="33" t="str">
        <f t="shared" si="974"/>
        <v/>
      </c>
      <c r="E3324" s="33" t="s">
        <v>185</v>
      </c>
      <c r="F3324" s="13" t="s">
        <v>185</v>
      </c>
      <c r="G3324" s="152" t="s">
        <v>185</v>
      </c>
      <c r="H3324" s="155"/>
      <c r="I3324" s="33" t="str">
        <f t="shared" si="975"/>
        <v>Cancel</v>
      </c>
      <c r="J3324" s="186" t="s">
        <v>2656</v>
      </c>
      <c r="K3324" s="155" t="s">
        <v>660</v>
      </c>
      <c r="L3324" s="17" t="s">
        <v>67</v>
      </c>
      <c r="M3324" s="13" t="s">
        <v>60</v>
      </c>
      <c r="N3324" s="13">
        <v>1</v>
      </c>
      <c r="O3324" s="13"/>
      <c r="P3324" s="33" t="str">
        <f t="shared" si="986"/>
        <v>MAIN UNIT</v>
      </c>
      <c r="Q3324" s="13" t="s">
        <v>68</v>
      </c>
      <c r="R3324" s="13" t="s">
        <v>62</v>
      </c>
      <c r="S3324" s="13" t="s">
        <v>49</v>
      </c>
      <c r="T3324" s="13" t="s">
        <v>78</v>
      </c>
      <c r="U3324" s="13" t="s">
        <v>79</v>
      </c>
      <c r="V3324" s="13" t="s">
        <v>121</v>
      </c>
      <c r="W3324" s="13" t="s">
        <v>109</v>
      </c>
      <c r="X3324" s="135">
        <v>12000000</v>
      </c>
      <c r="Y3324" s="156">
        <v>1</v>
      </c>
      <c r="Z3324" s="18">
        <f t="shared" si="987"/>
        <v>12000000</v>
      </c>
      <c r="AA3324" s="13">
        <v>7.3999999999999996E-2</v>
      </c>
      <c r="AB3324" s="21">
        <f t="shared" ref="AB3324:AB3345" si="989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1"/>
        <v>499582152.5142017</v>
      </c>
      <c r="AJ3324" s="19">
        <f t="shared" si="972"/>
        <v>59520528.679470733</v>
      </c>
      <c r="AK3324" s="20">
        <f t="shared" si="978"/>
        <v>0.11914062257814291</v>
      </c>
      <c r="AL3324" s="17"/>
      <c r="AM3324" s="17"/>
      <c r="AN3324" s="17"/>
      <c r="AO3324" s="17"/>
      <c r="AP3324" s="28" t="str">
        <f t="shared" si="979"/>
        <v>CancelCancel</v>
      </c>
      <c r="AQ3324" s="28" t="str">
        <f t="shared" si="980"/>
        <v>CancelCancelJPY</v>
      </c>
      <c r="AR3324" s="206" t="str">
        <f t="shared" si="981"/>
        <v>YAMAHA_Mounter</v>
      </c>
      <c r="AS3324" s="22" t="str">
        <f t="shared" si="982"/>
        <v/>
      </c>
      <c r="AT3324" s="24" t="str">
        <f t="shared" si="983"/>
        <v/>
      </c>
      <c r="AU3324" s="22" t="s">
        <v>3745</v>
      </c>
    </row>
    <row r="3325" spans="1:47" s="12" customFormat="1">
      <c r="A3325" s="33" t="str">
        <f t="shared" si="973"/>
        <v>cancel</v>
      </c>
      <c r="B3325" s="152"/>
      <c r="C3325" s="152" t="s">
        <v>185</v>
      </c>
      <c r="D3325" s="33" t="str">
        <f t="shared" si="974"/>
        <v/>
      </c>
      <c r="E3325" s="33" t="s">
        <v>185</v>
      </c>
      <c r="F3325" s="13" t="s">
        <v>185</v>
      </c>
      <c r="G3325" s="152" t="s">
        <v>185</v>
      </c>
      <c r="H3325" s="155"/>
      <c r="I3325" s="33" t="str">
        <f t="shared" si="975"/>
        <v>Cancel</v>
      </c>
      <c r="J3325" s="186" t="s">
        <v>2656</v>
      </c>
      <c r="K3325" s="155" t="s">
        <v>660</v>
      </c>
      <c r="L3325" s="17" t="s">
        <v>67</v>
      </c>
      <c r="M3325" s="13" t="s">
        <v>60</v>
      </c>
      <c r="N3325" s="13">
        <v>1</v>
      </c>
      <c r="O3325" s="13"/>
      <c r="P3325" s="33" t="str">
        <f t="shared" si="986"/>
        <v>MAIN UNIT</v>
      </c>
      <c r="Q3325" s="13" t="s">
        <v>68</v>
      </c>
      <c r="R3325" s="13" t="s">
        <v>62</v>
      </c>
      <c r="S3325" s="13" t="s">
        <v>49</v>
      </c>
      <c r="T3325" s="13" t="s">
        <v>78</v>
      </c>
      <c r="U3325" s="13" t="s">
        <v>79</v>
      </c>
      <c r="V3325" s="13" t="s">
        <v>121</v>
      </c>
      <c r="W3325" s="13" t="s">
        <v>109</v>
      </c>
      <c r="X3325" s="135">
        <v>12000000</v>
      </c>
      <c r="Y3325" s="156">
        <v>1</v>
      </c>
      <c r="Z3325" s="18">
        <f t="shared" si="987"/>
        <v>12000000</v>
      </c>
      <c r="AA3325" s="13">
        <v>7.3999999999999996E-2</v>
      </c>
      <c r="AB3325" s="21">
        <f t="shared" si="989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1"/>
        <v>499582152.5142017</v>
      </c>
      <c r="AJ3325" s="19">
        <f t="shared" si="972"/>
        <v>59520528.679470733</v>
      </c>
      <c r="AK3325" s="20">
        <f t="shared" si="978"/>
        <v>0.11914062257814291</v>
      </c>
      <c r="AL3325" s="17"/>
      <c r="AM3325" s="17"/>
      <c r="AN3325" s="17"/>
      <c r="AO3325" s="17"/>
      <c r="AP3325" s="28" t="str">
        <f t="shared" si="979"/>
        <v>CancelCancel</v>
      </c>
      <c r="AQ3325" s="28" t="str">
        <f t="shared" si="980"/>
        <v>CancelCancelJPY</v>
      </c>
      <c r="AR3325" s="206" t="str">
        <f t="shared" si="981"/>
        <v>YAMAHA_Mounter</v>
      </c>
      <c r="AS3325" s="22" t="str">
        <f t="shared" si="982"/>
        <v/>
      </c>
      <c r="AT3325" s="24" t="str">
        <f t="shared" si="983"/>
        <v/>
      </c>
      <c r="AU3325" s="22" t="s">
        <v>3745</v>
      </c>
    </row>
    <row r="3326" spans="1:47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54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1990</v>
      </c>
      <c r="K3326" s="155" t="s">
        <v>1991</v>
      </c>
      <c r="L3326" s="17" t="s">
        <v>92</v>
      </c>
      <c r="M3326" s="13" t="s">
        <v>60</v>
      </c>
      <c r="N3326" s="13">
        <v>1</v>
      </c>
      <c r="O3326" s="13"/>
      <c r="P3326" s="33" t="str">
        <f t="shared" si="986"/>
        <v>MAIN UNIT</v>
      </c>
      <c r="Q3326" s="13" t="s">
        <v>61</v>
      </c>
      <c r="R3326" s="13" t="s">
        <v>62</v>
      </c>
      <c r="S3326" s="13" t="s">
        <v>49</v>
      </c>
      <c r="T3326" s="13" t="s">
        <v>78</v>
      </c>
      <c r="U3326" s="13" t="s">
        <v>79</v>
      </c>
      <c r="V3326" s="13" t="s">
        <v>1992</v>
      </c>
      <c r="W3326" s="13" t="s">
        <v>1341</v>
      </c>
      <c r="X3326" s="135">
        <v>13750000</v>
      </c>
      <c r="Y3326" s="157" t="str">
        <f t="shared" ref="Y3326:Y3334" si="990">IF(W3326="RMB","1.13", "1")</f>
        <v>1</v>
      </c>
      <c r="Z3326" s="18">
        <f t="shared" si="987"/>
        <v>13750000</v>
      </c>
      <c r="AA3326" s="13">
        <v>6.54E-2</v>
      </c>
      <c r="AB3326" s="21">
        <f t="shared" si="989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1"/>
        <v>46600814.041769907</v>
      </c>
      <c r="AJ3326" s="19">
        <f t="shared" si="972"/>
        <v>5956366.3435927071</v>
      </c>
      <c r="AK3326" s="20">
        <f t="shared" si="978"/>
        <v>0.1278167874546958</v>
      </c>
      <c r="AL3326" s="17"/>
      <c r="AM3326" s="17"/>
      <c r="AN3326" s="17"/>
      <c r="AO3326" s="17"/>
      <c r="AP3326" s="28" t="str">
        <f t="shared" si="979"/>
        <v>20224</v>
      </c>
      <c r="AQ3326" s="28" t="str">
        <f t="shared" si="980"/>
        <v>20224JPY</v>
      </c>
      <c r="AR3326" s="206" t="str">
        <f t="shared" si="981"/>
        <v>YAMAHA_Mounter</v>
      </c>
      <c r="AS3326" s="22">
        <f t="shared" si="982"/>
        <v>13</v>
      </c>
      <c r="AT3326" s="24" t="str">
        <f t="shared" si="983"/>
        <v>&gt; 6 months</v>
      </c>
      <c r="AU3326" s="22" t="s">
        <v>3745</v>
      </c>
    </row>
    <row r="3327" spans="1:47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54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1990</v>
      </c>
      <c r="K3327" s="155" t="s">
        <v>1991</v>
      </c>
      <c r="L3327" s="17" t="s">
        <v>92</v>
      </c>
      <c r="M3327" s="13" t="s">
        <v>60</v>
      </c>
      <c r="N3327" s="13">
        <v>1</v>
      </c>
      <c r="O3327" s="13"/>
      <c r="P3327" s="33" t="str">
        <f t="shared" si="986"/>
        <v>MAIN UNIT</v>
      </c>
      <c r="Q3327" s="13" t="s">
        <v>61</v>
      </c>
      <c r="R3327" s="13" t="s">
        <v>62</v>
      </c>
      <c r="S3327" s="13" t="s">
        <v>49</v>
      </c>
      <c r="T3327" s="13" t="s">
        <v>78</v>
      </c>
      <c r="U3327" s="13" t="s">
        <v>79</v>
      </c>
      <c r="V3327" s="13" t="s">
        <v>1992</v>
      </c>
      <c r="W3327" s="13" t="s">
        <v>1341</v>
      </c>
      <c r="X3327" s="135">
        <v>13750000</v>
      </c>
      <c r="Y3327" s="157" t="str">
        <f t="shared" si="990"/>
        <v>1</v>
      </c>
      <c r="Z3327" s="18">
        <f t="shared" si="987"/>
        <v>13750000</v>
      </c>
      <c r="AA3327" s="13">
        <v>6.54E-2</v>
      </c>
      <c r="AB3327" s="21">
        <f t="shared" si="989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1"/>
        <v>46600814.041769907</v>
      </c>
      <c r="AJ3327" s="19">
        <f t="shared" si="972"/>
        <v>5956366.3435927071</v>
      </c>
      <c r="AK3327" s="20">
        <f t="shared" si="978"/>
        <v>0.1278167874546958</v>
      </c>
      <c r="AL3327" s="17"/>
      <c r="AM3327" s="17"/>
      <c r="AN3327" s="17"/>
      <c r="AO3327" s="17"/>
      <c r="AP3327" s="28" t="str">
        <f t="shared" si="979"/>
        <v>20224</v>
      </c>
      <c r="AQ3327" s="28" t="str">
        <f t="shared" si="980"/>
        <v>20224JPY</v>
      </c>
      <c r="AR3327" s="206" t="str">
        <f t="shared" si="981"/>
        <v>YAMAHA_Mounter</v>
      </c>
      <c r="AS3327" s="22">
        <f t="shared" si="982"/>
        <v>13</v>
      </c>
      <c r="AT3327" s="24" t="str">
        <f t="shared" si="983"/>
        <v>&gt; 6 months</v>
      </c>
      <c r="AU3327" s="22" t="s">
        <v>3745</v>
      </c>
    </row>
    <row r="3328" spans="1:47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54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1990</v>
      </c>
      <c r="K3328" s="155" t="s">
        <v>1991</v>
      </c>
      <c r="L3328" s="17" t="s">
        <v>92</v>
      </c>
      <c r="M3328" s="13" t="s">
        <v>60</v>
      </c>
      <c r="N3328" s="13">
        <v>1</v>
      </c>
      <c r="O3328" s="13"/>
      <c r="P3328" s="33" t="str">
        <f t="shared" si="986"/>
        <v>MAIN UNIT</v>
      </c>
      <c r="Q3328" s="13" t="s">
        <v>61</v>
      </c>
      <c r="R3328" s="13" t="s">
        <v>62</v>
      </c>
      <c r="S3328" s="13" t="s">
        <v>49</v>
      </c>
      <c r="T3328" s="13" t="s">
        <v>78</v>
      </c>
      <c r="U3328" s="13" t="s">
        <v>79</v>
      </c>
      <c r="V3328" s="13" t="s">
        <v>1992</v>
      </c>
      <c r="W3328" s="13" t="s">
        <v>1341</v>
      </c>
      <c r="X3328" s="135">
        <v>13750000</v>
      </c>
      <c r="Y3328" s="157" t="str">
        <f t="shared" si="990"/>
        <v>1</v>
      </c>
      <c r="Z3328" s="18">
        <f t="shared" si="987"/>
        <v>13750000</v>
      </c>
      <c r="AA3328" s="13">
        <v>6.54E-2</v>
      </c>
      <c r="AB3328" s="21">
        <f t="shared" si="989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1"/>
        <v>46600814.041769907</v>
      </c>
      <c r="AJ3328" s="19">
        <f t="shared" si="972"/>
        <v>5956366.3435927071</v>
      </c>
      <c r="AK3328" s="20">
        <f t="shared" si="978"/>
        <v>0.1278167874546958</v>
      </c>
      <c r="AL3328" s="17"/>
      <c r="AM3328" s="17"/>
      <c r="AN3328" s="17"/>
      <c r="AO3328" s="17"/>
      <c r="AP3328" s="28" t="str">
        <f t="shared" si="979"/>
        <v>20224</v>
      </c>
      <c r="AQ3328" s="28" t="str">
        <f t="shared" si="980"/>
        <v>20224JPY</v>
      </c>
      <c r="AR3328" s="206" t="str">
        <f t="shared" si="981"/>
        <v>YAMAHA_Mounter</v>
      </c>
      <c r="AS3328" s="22">
        <f t="shared" si="982"/>
        <v>13</v>
      </c>
      <c r="AT3328" s="24" t="str">
        <f t="shared" si="983"/>
        <v>&gt; 6 months</v>
      </c>
      <c r="AU3328" s="22" t="s">
        <v>3745</v>
      </c>
    </row>
    <row r="3329" spans="1:47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54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1990</v>
      </c>
      <c r="K3329" s="155" t="s">
        <v>1991</v>
      </c>
      <c r="L3329" s="17" t="s">
        <v>92</v>
      </c>
      <c r="M3329" s="13" t="s">
        <v>60</v>
      </c>
      <c r="N3329" s="13">
        <v>1</v>
      </c>
      <c r="O3329" s="13"/>
      <c r="P3329" s="33" t="str">
        <f t="shared" si="986"/>
        <v>MAIN UNIT</v>
      </c>
      <c r="Q3329" s="13" t="s">
        <v>61</v>
      </c>
      <c r="R3329" s="13" t="s">
        <v>62</v>
      </c>
      <c r="S3329" s="13" t="s">
        <v>49</v>
      </c>
      <c r="T3329" s="13" t="s">
        <v>78</v>
      </c>
      <c r="U3329" s="13" t="s">
        <v>79</v>
      </c>
      <c r="V3329" s="13" t="s">
        <v>1992</v>
      </c>
      <c r="W3329" s="13" t="s">
        <v>1341</v>
      </c>
      <c r="X3329" s="135">
        <v>13750000</v>
      </c>
      <c r="Y3329" s="157" t="str">
        <f t="shared" si="990"/>
        <v>1</v>
      </c>
      <c r="Z3329" s="18">
        <f t="shared" si="987"/>
        <v>13750000</v>
      </c>
      <c r="AA3329" s="13">
        <v>6.54E-2</v>
      </c>
      <c r="AB3329" s="21">
        <f t="shared" si="989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1"/>
        <v>46600814.041769907</v>
      </c>
      <c r="AJ3329" s="19">
        <f t="shared" si="972"/>
        <v>5956366.3435927071</v>
      </c>
      <c r="AK3329" s="20">
        <f t="shared" si="978"/>
        <v>0.1278167874546958</v>
      </c>
      <c r="AL3329" s="17"/>
      <c r="AM3329" s="17"/>
      <c r="AN3329" s="17"/>
      <c r="AO3329" s="17"/>
      <c r="AP3329" s="28" t="str">
        <f t="shared" si="979"/>
        <v>20224</v>
      </c>
      <c r="AQ3329" s="28" t="str">
        <f t="shared" si="980"/>
        <v>20224JPY</v>
      </c>
      <c r="AR3329" s="206" t="str">
        <f t="shared" si="981"/>
        <v>YAMAHA_Mounter</v>
      </c>
      <c r="AS3329" s="22">
        <f t="shared" si="982"/>
        <v>13</v>
      </c>
      <c r="AT3329" s="24" t="str">
        <f t="shared" si="983"/>
        <v>&gt; 6 months</v>
      </c>
      <c r="AU3329" s="22" t="s">
        <v>3745</v>
      </c>
    </row>
    <row r="3330" spans="1:47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48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1519</v>
      </c>
      <c r="K3330" s="155" t="s">
        <v>1520</v>
      </c>
      <c r="L3330" s="17" t="s">
        <v>92</v>
      </c>
      <c r="M3330" s="13" t="s">
        <v>60</v>
      </c>
      <c r="N3330" s="13">
        <v>1</v>
      </c>
      <c r="O3330" s="13"/>
      <c r="P3330" s="33" t="str">
        <f t="shared" si="986"/>
        <v>MAIN UNIT</v>
      </c>
      <c r="Q3330" s="13" t="s">
        <v>61</v>
      </c>
      <c r="R3330" s="13" t="s">
        <v>62</v>
      </c>
      <c r="S3330" s="13" t="s">
        <v>49</v>
      </c>
      <c r="T3330" s="13" t="s">
        <v>78</v>
      </c>
      <c r="U3330" s="13" t="s">
        <v>79</v>
      </c>
      <c r="V3330" s="13" t="s">
        <v>112</v>
      </c>
      <c r="W3330" s="13" t="s">
        <v>109</v>
      </c>
      <c r="X3330" s="135">
        <v>15000000</v>
      </c>
      <c r="Y3330" s="157" t="str">
        <f t="shared" si="990"/>
        <v>1</v>
      </c>
      <c r="Z3330" s="18">
        <f t="shared" si="987"/>
        <v>15000000</v>
      </c>
      <c r="AA3330" s="13">
        <v>7.6799999999999993E-2</v>
      </c>
      <c r="AB3330" s="21">
        <f t="shared" si="989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ref="AI3330:AI3393" si="991">IF(P3330="C66 SERVICE","",SUMIFS(AB:AB,F:F,F3330,G:G,G3330,E:E,E3330))</f>
        <v>45803245.025628321</v>
      </c>
      <c r="AJ3330" s="19">
        <f t="shared" ref="AJ3330:AJ3393" si="992">IF(P3330="C66 SERVICE","",SUMIFS(AC:AC,F:F,F3330,G:G,G3330,E:E,E3330))</f>
        <v>5664636.2584379362</v>
      </c>
      <c r="AK3330" s="20">
        <f t="shared" si="978"/>
        <v>0.12367325186825515</v>
      </c>
      <c r="AL3330" s="17"/>
      <c r="AM3330" s="17"/>
      <c r="AN3330" s="17"/>
      <c r="AO3330" s="17" t="s">
        <v>1440</v>
      </c>
      <c r="AP3330" s="28" t="str">
        <f t="shared" si="979"/>
        <v>20211</v>
      </c>
      <c r="AQ3330" s="28" t="str">
        <f t="shared" si="980"/>
        <v>20211JPY</v>
      </c>
      <c r="AR3330" s="206" t="str">
        <f t="shared" si="981"/>
        <v>YAMAHA_Mounter</v>
      </c>
      <c r="AS3330" s="22">
        <f t="shared" si="982"/>
        <v>2</v>
      </c>
      <c r="AT3330" s="24" t="str">
        <f t="shared" si="983"/>
        <v>0-3 months</v>
      </c>
      <c r="AU3330" s="22" t="s">
        <v>3745</v>
      </c>
    </row>
    <row r="3331" spans="1:47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48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1519</v>
      </c>
      <c r="K3331" s="155" t="s">
        <v>1520</v>
      </c>
      <c r="L3331" s="17" t="s">
        <v>67</v>
      </c>
      <c r="M3331" s="13" t="s">
        <v>60</v>
      </c>
      <c r="N3331" s="13">
        <v>1</v>
      </c>
      <c r="O3331" s="13"/>
      <c r="P3331" s="33" t="str">
        <f t="shared" si="986"/>
        <v>MAIN UNIT</v>
      </c>
      <c r="Q3331" s="13" t="s">
        <v>61</v>
      </c>
      <c r="R3331" s="13" t="s">
        <v>62</v>
      </c>
      <c r="S3331" s="13" t="s">
        <v>49</v>
      </c>
      <c r="T3331" s="13" t="s">
        <v>78</v>
      </c>
      <c r="U3331" s="13" t="s">
        <v>79</v>
      </c>
      <c r="V3331" s="13" t="s">
        <v>112</v>
      </c>
      <c r="W3331" s="13" t="s">
        <v>109</v>
      </c>
      <c r="X3331" s="135">
        <v>10290000</v>
      </c>
      <c r="Y3331" s="157" t="str">
        <f t="shared" si="990"/>
        <v>1</v>
      </c>
      <c r="Z3331" s="18">
        <f t="shared" si="987"/>
        <v>10290000</v>
      </c>
      <c r="AA3331" s="13">
        <v>7.6799999999999993E-2</v>
      </c>
      <c r="AB3331" s="21">
        <f t="shared" si="989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91"/>
        <v>45803245.025628321</v>
      </c>
      <c r="AJ3331" s="19">
        <f t="shared" si="992"/>
        <v>5664636.2584379362</v>
      </c>
      <c r="AK3331" s="20">
        <f t="shared" si="978"/>
        <v>0.12367325186825515</v>
      </c>
      <c r="AL3331" s="17"/>
      <c r="AM3331" s="17"/>
      <c r="AN3331" s="17"/>
      <c r="AO3331" s="17" t="s">
        <v>1512</v>
      </c>
      <c r="AP3331" s="28" t="str">
        <f t="shared" si="979"/>
        <v>20211</v>
      </c>
      <c r="AQ3331" s="28" t="str">
        <f t="shared" si="980"/>
        <v>20211JPY</v>
      </c>
      <c r="AR3331" s="206" t="str">
        <f t="shared" si="981"/>
        <v>YAMAHA_Mounter</v>
      </c>
      <c r="AS3331" s="22">
        <f t="shared" si="982"/>
        <v>2</v>
      </c>
      <c r="AT3331" s="24" t="str">
        <f t="shared" si="983"/>
        <v>0-3 months</v>
      </c>
      <c r="AU3331" s="22" t="s">
        <v>3745</v>
      </c>
    </row>
    <row r="3332" spans="1:47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55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2517</v>
      </c>
      <c r="K3332" s="155" t="s">
        <v>1520</v>
      </c>
      <c r="L3332" s="17" t="s">
        <v>92</v>
      </c>
      <c r="M3332" s="13" t="s">
        <v>60</v>
      </c>
      <c r="N3332" s="13">
        <v>1</v>
      </c>
      <c r="O3332" s="13"/>
      <c r="P3332" s="33" t="str">
        <f t="shared" si="986"/>
        <v>MAIN UNIT</v>
      </c>
      <c r="Q3332" s="13" t="s">
        <v>61</v>
      </c>
      <c r="R3332" s="13" t="s">
        <v>62</v>
      </c>
      <c r="S3332" s="13" t="s">
        <v>49</v>
      </c>
      <c r="T3332" s="13" t="s">
        <v>78</v>
      </c>
      <c r="U3332" s="13" t="s">
        <v>79</v>
      </c>
      <c r="V3332" s="13" t="s">
        <v>112</v>
      </c>
      <c r="W3332" s="13" t="s">
        <v>109</v>
      </c>
      <c r="X3332" s="135">
        <v>11880000</v>
      </c>
      <c r="Y3332" s="157" t="str">
        <f t="shared" si="990"/>
        <v>1</v>
      </c>
      <c r="Z3332" s="18">
        <f t="shared" si="987"/>
        <v>11880000</v>
      </c>
      <c r="AA3332" s="13">
        <v>5.7099999999999998E-2</v>
      </c>
      <c r="AB3332" s="21">
        <f t="shared" si="989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91"/>
        <v>13640480.497522123</v>
      </c>
      <c r="AJ3332" s="19">
        <f t="shared" si="992"/>
        <v>1928605.8020906283</v>
      </c>
      <c r="AK3332" s="20">
        <f t="shared" si="978"/>
        <v>0.1413884065477731</v>
      </c>
      <c r="AL3332" s="17"/>
      <c r="AM3332" s="17"/>
      <c r="AN3332" s="17"/>
      <c r="AO3332" s="17"/>
      <c r="AP3332" s="28" t="str">
        <f t="shared" si="979"/>
        <v>20236</v>
      </c>
      <c r="AQ3332" s="28" t="str">
        <f t="shared" si="980"/>
        <v>20236JPY</v>
      </c>
      <c r="AR3332" s="206" t="str">
        <f t="shared" si="981"/>
        <v>YAMAHA_Mounter</v>
      </c>
      <c r="AS3332" s="22">
        <f t="shared" si="982"/>
        <v>2</v>
      </c>
      <c r="AT3332" s="24" t="str">
        <f t="shared" si="983"/>
        <v>0-3 months</v>
      </c>
      <c r="AU3332" s="22" t="s">
        <v>3745</v>
      </c>
    </row>
    <row r="3333" spans="1:47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54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2280</v>
      </c>
      <c r="K3333" s="155" t="s">
        <v>2281</v>
      </c>
      <c r="L3333" s="17" t="s">
        <v>67</v>
      </c>
      <c r="M3333" s="13" t="s">
        <v>60</v>
      </c>
      <c r="N3333" s="13">
        <v>1</v>
      </c>
      <c r="O3333" s="13"/>
      <c r="P3333" s="33" t="str">
        <f t="shared" si="986"/>
        <v>MAIN UNIT</v>
      </c>
      <c r="Q3333" s="13" t="s">
        <v>68</v>
      </c>
      <c r="R3333" s="13" t="s">
        <v>62</v>
      </c>
      <c r="S3333" s="13" t="s">
        <v>51</v>
      </c>
      <c r="T3333" s="13" t="s">
        <v>1043</v>
      </c>
      <c r="U3333" s="13" t="s">
        <v>149</v>
      </c>
      <c r="V3333" s="13" t="s">
        <v>954</v>
      </c>
      <c r="W3333" s="13" t="s">
        <v>64</v>
      </c>
      <c r="X3333" s="135">
        <v>600000</v>
      </c>
      <c r="Y3333" s="157" t="str">
        <f t="shared" si="990"/>
        <v>1.13</v>
      </c>
      <c r="Z3333" s="18">
        <f t="shared" si="987"/>
        <v>600000</v>
      </c>
      <c r="AA3333" s="13">
        <v>1.135</v>
      </c>
      <c r="AB3333" s="21">
        <f t="shared" si="989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91"/>
        <v>15948576.102654871</v>
      </c>
      <c r="AJ3333" s="19">
        <f t="shared" si="992"/>
        <v>2739848.7004853105</v>
      </c>
      <c r="AK3333" s="20">
        <f t="shared" si="978"/>
        <v>0.17179268436567344</v>
      </c>
      <c r="AL3333" s="17"/>
      <c r="AM3333" s="17"/>
      <c r="AN3333" s="17"/>
      <c r="AO3333" s="17"/>
      <c r="AP3333" s="28" t="str">
        <f t="shared" si="979"/>
        <v>20229</v>
      </c>
      <c r="AQ3333" s="28" t="str">
        <f t="shared" si="980"/>
        <v>20229RMB</v>
      </c>
      <c r="AR3333" s="206" t="str">
        <f t="shared" si="981"/>
        <v>YAMAHA_Mounter</v>
      </c>
      <c r="AS3333" s="22">
        <f t="shared" si="982"/>
        <v>0</v>
      </c>
      <c r="AT3333" s="24" t="str">
        <f t="shared" si="983"/>
        <v>0-3 months</v>
      </c>
      <c r="AU3333" s="22" t="s">
        <v>3240</v>
      </c>
    </row>
    <row r="3334" spans="1:47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54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2198</v>
      </c>
      <c r="K3334" s="155" t="s">
        <v>2199</v>
      </c>
      <c r="L3334" s="17" t="s">
        <v>67</v>
      </c>
      <c r="M3334" s="13" t="s">
        <v>60</v>
      </c>
      <c r="N3334" s="13">
        <v>1</v>
      </c>
      <c r="O3334" s="13"/>
      <c r="P3334" s="33" t="str">
        <f t="shared" si="986"/>
        <v>MAIN UNIT</v>
      </c>
      <c r="Q3334" s="13" t="s">
        <v>61</v>
      </c>
      <c r="R3334" s="13" t="s">
        <v>62</v>
      </c>
      <c r="S3334" s="13" t="s">
        <v>49</v>
      </c>
      <c r="T3334" s="13" t="s">
        <v>78</v>
      </c>
      <c r="U3334" s="13" t="s">
        <v>79</v>
      </c>
      <c r="V3334" s="13" t="s">
        <v>1407</v>
      </c>
      <c r="W3334" s="13" t="s">
        <v>109</v>
      </c>
      <c r="X3334" s="135">
        <v>10500000</v>
      </c>
      <c r="Y3334" s="157" t="str">
        <f t="shared" si="990"/>
        <v>1</v>
      </c>
      <c r="Z3334" s="18">
        <f t="shared" si="987"/>
        <v>10500000</v>
      </c>
      <c r="AA3334" s="13">
        <v>6.25E-2</v>
      </c>
      <c r="AB3334" s="21">
        <f t="shared" si="989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si="991"/>
        <v>35682787.057522126</v>
      </c>
      <c r="AJ3334" s="19">
        <f t="shared" si="992"/>
        <v>5833368.3789623892</v>
      </c>
      <c r="AK3334" s="20">
        <f t="shared" ref="AK3334:AK3397" si="998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999">IF(F3334="","",F3334&amp;G3334)</f>
        <v>20226</v>
      </c>
      <c r="AQ3334" s="28" t="str">
        <f t="shared" ref="AQ3334:AQ3397" si="1000">IF(W3334="","",F3334&amp;G3334&amp;W3334)</f>
        <v>20226JPY</v>
      </c>
      <c r="AR3334" s="206" t="str">
        <f t="shared" ref="AR3334:AR3397" si="1001">IFERROR(IF(AND(M3334="YAMAHA", R3334="C28"), "YAMAHA_Non_Mounter", IF(AND(M3334="YAMAHA", R3334="C49"), "YAMAHA_Mounter", M3334)),"")</f>
        <v>YAMAHA_Mounter</v>
      </c>
      <c r="AS3334" s="22">
        <f t="shared" ref="AS3334:AS3397" si="1002">IFERROR(IF(OR(G3334="TBA", G3334=""), "", DATEDIF(DATE(B3334, C3334, 1), DATE(F3334, G3334, 1), "M")),"")</f>
        <v>1</v>
      </c>
      <c r="AT3334" s="24" t="str">
        <f t="shared" ref="AT3334:AT3397" si="1003">IF(ISNUMBER(AS3334), IF(AS3334&gt;=0, IF(AS3334&lt;=3, "0-3 months", IF(AS3334&lt;=6, "4-6 months", "&gt; 6 months"))), "")</f>
        <v>0-3 months</v>
      </c>
      <c r="AU3334" s="22" t="s">
        <v>3745</v>
      </c>
    </row>
    <row r="3335" spans="1:47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48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1173</v>
      </c>
      <c r="K3335" s="155" t="s">
        <v>1174</v>
      </c>
      <c r="L3335" s="17" t="s">
        <v>92</v>
      </c>
      <c r="M3335" s="13" t="s">
        <v>60</v>
      </c>
      <c r="N3335" s="13">
        <v>1</v>
      </c>
      <c r="O3335" s="13"/>
      <c r="P3335" s="33" t="str">
        <f t="shared" si="986"/>
        <v>MAIN UNIT</v>
      </c>
      <c r="Q3335" s="13" t="s">
        <v>61</v>
      </c>
      <c r="R3335" s="13" t="s">
        <v>62</v>
      </c>
      <c r="S3335" s="13" t="s">
        <v>49</v>
      </c>
      <c r="T3335" s="13" t="s">
        <v>78</v>
      </c>
      <c r="U3335" s="13" t="s">
        <v>79</v>
      </c>
      <c r="V3335" s="13" t="s">
        <v>1140</v>
      </c>
      <c r="W3335" s="13" t="s">
        <v>1101</v>
      </c>
      <c r="X3335" s="135">
        <v>848000</v>
      </c>
      <c r="Y3335" s="156">
        <v>1.1299999999999999</v>
      </c>
      <c r="Z3335" s="18">
        <f t="shared" si="987"/>
        <v>848000</v>
      </c>
      <c r="AA3335" s="13">
        <v>1.095</v>
      </c>
      <c r="AB3335" s="21">
        <f t="shared" si="989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1"/>
        <v>35384300.169380538</v>
      </c>
      <c r="AJ3335" s="19">
        <f t="shared" si="992"/>
        <v>5044538.8896988509</v>
      </c>
      <c r="AK3335" s="20">
        <f t="shared" si="998"/>
        <v>0.14256432557804533</v>
      </c>
      <c r="AL3335" s="17"/>
      <c r="AM3335" s="17"/>
      <c r="AN3335" s="17"/>
      <c r="AO3335" s="17"/>
      <c r="AP3335" s="28" t="str">
        <f t="shared" si="999"/>
        <v>20207</v>
      </c>
      <c r="AQ3335" s="28" t="str">
        <f t="shared" si="1000"/>
        <v>20207RMB</v>
      </c>
      <c r="AR3335" s="206" t="str">
        <f t="shared" si="1001"/>
        <v>YAMAHA_Mounter</v>
      </c>
      <c r="AS3335" s="22">
        <f t="shared" si="1002"/>
        <v>1</v>
      </c>
      <c r="AT3335" s="24" t="str">
        <f t="shared" si="1003"/>
        <v>0-3 months</v>
      </c>
      <c r="AU3335" s="22" t="s">
        <v>3744</v>
      </c>
    </row>
    <row r="3336" spans="1:47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48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1173</v>
      </c>
      <c r="K3336" s="155" t="s">
        <v>1174</v>
      </c>
      <c r="L3336" s="17" t="s">
        <v>67</v>
      </c>
      <c r="M3336" s="13" t="s">
        <v>60</v>
      </c>
      <c r="N3336" s="13">
        <v>1</v>
      </c>
      <c r="O3336" s="13"/>
      <c r="P3336" s="33" t="str">
        <f t="shared" si="986"/>
        <v>MAIN UNIT</v>
      </c>
      <c r="Q3336" s="13" t="s">
        <v>61</v>
      </c>
      <c r="R3336" s="13" t="s">
        <v>62</v>
      </c>
      <c r="S3336" s="13" t="s">
        <v>49</v>
      </c>
      <c r="T3336" s="13" t="s">
        <v>78</v>
      </c>
      <c r="U3336" s="13" t="s">
        <v>79</v>
      </c>
      <c r="V3336" s="13" t="s">
        <v>1140</v>
      </c>
      <c r="W3336" s="13" t="s">
        <v>1101</v>
      </c>
      <c r="X3336" s="135">
        <v>580000</v>
      </c>
      <c r="Y3336" s="156">
        <v>1.1299999999999999</v>
      </c>
      <c r="Z3336" s="18">
        <f t="shared" si="987"/>
        <v>580000</v>
      </c>
      <c r="AA3336" s="13">
        <v>1.095</v>
      </c>
      <c r="AB3336" s="21">
        <f t="shared" si="989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1"/>
        <v>35384300.169380538</v>
      </c>
      <c r="AJ3336" s="19">
        <f t="shared" si="992"/>
        <v>5044538.8896988509</v>
      </c>
      <c r="AK3336" s="20">
        <f t="shared" si="998"/>
        <v>0.14256432557804533</v>
      </c>
      <c r="AL3336" s="17"/>
      <c r="AM3336" s="17"/>
      <c r="AN3336" s="17"/>
      <c r="AO3336" s="17"/>
      <c r="AP3336" s="28" t="str">
        <f t="shared" si="999"/>
        <v>20207</v>
      </c>
      <c r="AQ3336" s="28" t="str">
        <f t="shared" si="1000"/>
        <v>20207RMB</v>
      </c>
      <c r="AR3336" s="206" t="str">
        <f t="shared" si="1001"/>
        <v>YAMAHA_Mounter</v>
      </c>
      <c r="AS3336" s="22">
        <f t="shared" si="1002"/>
        <v>1</v>
      </c>
      <c r="AT3336" s="24" t="str">
        <f t="shared" si="1003"/>
        <v>0-3 months</v>
      </c>
      <c r="AU3336" s="22" t="s">
        <v>3744</v>
      </c>
    </row>
    <row r="3337" spans="1:47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48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1173</v>
      </c>
      <c r="K3337" s="155" t="s">
        <v>1174</v>
      </c>
      <c r="L3337" s="17" t="s">
        <v>67</v>
      </c>
      <c r="M3337" s="13" t="s">
        <v>60</v>
      </c>
      <c r="N3337" s="13">
        <v>1</v>
      </c>
      <c r="O3337" s="13"/>
      <c r="P3337" s="33" t="str">
        <f t="shared" si="986"/>
        <v>MAIN UNIT</v>
      </c>
      <c r="Q3337" s="13" t="s">
        <v>61</v>
      </c>
      <c r="R3337" s="13" t="s">
        <v>62</v>
      </c>
      <c r="S3337" s="13" t="s">
        <v>49</v>
      </c>
      <c r="T3337" s="13" t="s">
        <v>78</v>
      </c>
      <c r="U3337" s="13" t="s">
        <v>79</v>
      </c>
      <c r="V3337" s="13" t="s">
        <v>1140</v>
      </c>
      <c r="W3337" s="13" t="s">
        <v>1101</v>
      </c>
      <c r="X3337" s="135">
        <v>580000</v>
      </c>
      <c r="Y3337" s="156">
        <v>1.1299999999999999</v>
      </c>
      <c r="Z3337" s="18">
        <f t="shared" si="987"/>
        <v>580000</v>
      </c>
      <c r="AA3337" s="13">
        <v>1.095</v>
      </c>
      <c r="AB3337" s="21">
        <f t="shared" si="989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1"/>
        <v>35384300.169380538</v>
      </c>
      <c r="AJ3337" s="19">
        <f t="shared" si="992"/>
        <v>5044538.8896988509</v>
      </c>
      <c r="AK3337" s="20">
        <f t="shared" si="998"/>
        <v>0.14256432557804533</v>
      </c>
      <c r="AL3337" s="17"/>
      <c r="AM3337" s="17"/>
      <c r="AN3337" s="17"/>
      <c r="AO3337" s="17"/>
      <c r="AP3337" s="28" t="str">
        <f t="shared" si="999"/>
        <v>20207</v>
      </c>
      <c r="AQ3337" s="28" t="str">
        <f t="shared" si="1000"/>
        <v>20207RMB</v>
      </c>
      <c r="AR3337" s="206" t="str">
        <f t="shared" si="1001"/>
        <v>YAMAHA_Mounter</v>
      </c>
      <c r="AS3337" s="22">
        <f t="shared" si="1002"/>
        <v>1</v>
      </c>
      <c r="AT3337" s="24" t="str">
        <f t="shared" si="1003"/>
        <v>0-3 months</v>
      </c>
      <c r="AU3337" s="22" t="s">
        <v>3744</v>
      </c>
    </row>
    <row r="3338" spans="1:47" s="12" customFormat="1">
      <c r="A3338" s="33" t="str">
        <f t="shared" si="993"/>
        <v>cancel</v>
      </c>
      <c r="B3338" s="152"/>
      <c r="C3338" s="152" t="s">
        <v>185</v>
      </c>
      <c r="D3338" s="33" t="str">
        <f t="shared" si="994"/>
        <v/>
      </c>
      <c r="E3338" s="33" t="s">
        <v>185</v>
      </c>
      <c r="F3338" s="13" t="s">
        <v>185</v>
      </c>
      <c r="G3338" s="152" t="s">
        <v>185</v>
      </c>
      <c r="H3338" s="155"/>
      <c r="I3338" s="33" t="str">
        <f t="shared" si="995"/>
        <v>Cancel</v>
      </c>
      <c r="J3338" s="186" t="s">
        <v>2687</v>
      </c>
      <c r="K3338" s="155" t="s">
        <v>2688</v>
      </c>
      <c r="L3338" s="17" t="s">
        <v>92</v>
      </c>
      <c r="M3338" s="13" t="s">
        <v>60</v>
      </c>
      <c r="N3338" s="13">
        <v>1</v>
      </c>
      <c r="O3338" s="13"/>
      <c r="P3338" s="33" t="str">
        <f t="shared" si="986"/>
        <v>MAIN UNIT</v>
      </c>
      <c r="Q3338" s="13" t="s">
        <v>61</v>
      </c>
      <c r="R3338" s="13" t="s">
        <v>62</v>
      </c>
      <c r="S3338" s="13" t="s">
        <v>49</v>
      </c>
      <c r="T3338" s="13" t="s">
        <v>78</v>
      </c>
      <c r="U3338" s="13" t="s">
        <v>79</v>
      </c>
      <c r="V3338" s="13" t="s">
        <v>80</v>
      </c>
      <c r="W3338" s="13" t="s">
        <v>64</v>
      </c>
      <c r="X3338" s="135">
        <v>910000</v>
      </c>
      <c r="Y3338" s="156">
        <v>1.1299999999999999</v>
      </c>
      <c r="Z3338" s="18">
        <f t="shared" si="987"/>
        <v>910000</v>
      </c>
      <c r="AA3338" s="13">
        <v>1.095</v>
      </c>
      <c r="AB3338" s="21">
        <f t="shared" si="989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1"/>
        <v>499582152.5142017</v>
      </c>
      <c r="AJ3338" s="19">
        <f t="shared" si="992"/>
        <v>59520528.679470733</v>
      </c>
      <c r="AK3338" s="20">
        <f t="shared" si="998"/>
        <v>0.11914062257814291</v>
      </c>
      <c r="AL3338" s="17"/>
      <c r="AM3338" s="17"/>
      <c r="AN3338" s="17"/>
      <c r="AO3338" s="17"/>
      <c r="AP3338" s="28" t="str">
        <f t="shared" si="999"/>
        <v>CancelCancel</v>
      </c>
      <c r="AQ3338" s="28" t="str">
        <f t="shared" si="1000"/>
        <v>CancelCancelRMB</v>
      </c>
      <c r="AR3338" s="206" t="str">
        <f t="shared" si="1001"/>
        <v>YAMAHA_Mounter</v>
      </c>
      <c r="AS3338" s="22" t="str">
        <f t="shared" si="1002"/>
        <v/>
      </c>
      <c r="AT3338" s="24" t="str">
        <f t="shared" si="1003"/>
        <v/>
      </c>
      <c r="AU3338" s="22" t="s">
        <v>3744</v>
      </c>
    </row>
    <row r="3339" spans="1:47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53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1839</v>
      </c>
      <c r="K3339" s="155" t="s">
        <v>1840</v>
      </c>
      <c r="L3339" s="17" t="s">
        <v>92</v>
      </c>
      <c r="M3339" s="13" t="s">
        <v>60</v>
      </c>
      <c r="N3339" s="13">
        <v>1</v>
      </c>
      <c r="O3339" s="13"/>
      <c r="P3339" s="33" t="str">
        <f t="shared" si="986"/>
        <v>MAIN UNIT</v>
      </c>
      <c r="Q3339" s="13" t="s">
        <v>68</v>
      </c>
      <c r="R3339" s="13" t="s">
        <v>62</v>
      </c>
      <c r="S3339" s="13" t="s">
        <v>49</v>
      </c>
      <c r="T3339" s="13" t="s">
        <v>78</v>
      </c>
      <c r="U3339" s="13" t="s">
        <v>79</v>
      </c>
      <c r="V3339" s="13" t="s">
        <v>1841</v>
      </c>
      <c r="W3339" s="13" t="s">
        <v>109</v>
      </c>
      <c r="X3339" s="135">
        <v>17150000</v>
      </c>
      <c r="Y3339" s="157" t="str">
        <f>IF(W3339="RMB","1.13", "1")</f>
        <v>1</v>
      </c>
      <c r="Z3339" s="18">
        <f t="shared" si="987"/>
        <v>17150000</v>
      </c>
      <c r="AA3339" s="13">
        <v>7.17E-2</v>
      </c>
      <c r="AB3339" s="21">
        <f t="shared" si="989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1"/>
        <v>41443303.53761062</v>
      </c>
      <c r="AJ3339" s="19">
        <f t="shared" si="992"/>
        <v>6194988.76643031</v>
      </c>
      <c r="AK3339" s="20">
        <f t="shared" si="998"/>
        <v>0.1494810557466355</v>
      </c>
      <c r="AL3339" s="17"/>
      <c r="AM3339" s="17"/>
      <c r="AN3339" s="17"/>
      <c r="AO3339" s="17"/>
      <c r="AP3339" s="28" t="str">
        <f t="shared" si="999"/>
        <v>20217</v>
      </c>
      <c r="AQ3339" s="28" t="str">
        <f t="shared" si="1000"/>
        <v>20217JPY</v>
      </c>
      <c r="AR3339" s="206" t="str">
        <f t="shared" si="1001"/>
        <v>YAMAHA_Mounter</v>
      </c>
      <c r="AS3339" s="22">
        <f t="shared" si="1002"/>
        <v>2</v>
      </c>
      <c r="AT3339" s="24" t="str">
        <f t="shared" si="1003"/>
        <v>0-3 months</v>
      </c>
      <c r="AU3339" s="22" t="s">
        <v>3745</v>
      </c>
    </row>
    <row r="3340" spans="1:47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53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1839</v>
      </c>
      <c r="K3340" s="155" t="s">
        <v>1840</v>
      </c>
      <c r="L3340" s="17" t="s">
        <v>67</v>
      </c>
      <c r="M3340" s="13" t="s">
        <v>60</v>
      </c>
      <c r="N3340" s="13">
        <v>1</v>
      </c>
      <c r="O3340" s="13"/>
      <c r="P3340" s="33" t="str">
        <f t="shared" si="986"/>
        <v>MAIN UNIT</v>
      </c>
      <c r="Q3340" s="13" t="s">
        <v>68</v>
      </c>
      <c r="R3340" s="13" t="s">
        <v>62</v>
      </c>
      <c r="S3340" s="13" t="s">
        <v>49</v>
      </c>
      <c r="T3340" s="13" t="s">
        <v>78</v>
      </c>
      <c r="U3340" s="13" t="s">
        <v>79</v>
      </c>
      <c r="V3340" s="13" t="s">
        <v>1841</v>
      </c>
      <c r="W3340" s="13" t="s">
        <v>109</v>
      </c>
      <c r="X3340" s="135">
        <v>9500000</v>
      </c>
      <c r="Y3340" s="157" t="str">
        <f>IF(W3340="RMB","1.13", "1")</f>
        <v>1</v>
      </c>
      <c r="Z3340" s="18">
        <f t="shared" si="987"/>
        <v>9500000</v>
      </c>
      <c r="AA3340" s="13">
        <v>7.17E-2</v>
      </c>
      <c r="AB3340" s="21">
        <f t="shared" si="989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1"/>
        <v>41443303.53761062</v>
      </c>
      <c r="AJ3340" s="19">
        <f t="shared" si="992"/>
        <v>6194988.76643031</v>
      </c>
      <c r="AK3340" s="20">
        <f t="shared" si="998"/>
        <v>0.1494810557466355</v>
      </c>
      <c r="AL3340" s="17"/>
      <c r="AM3340" s="17"/>
      <c r="AN3340" s="17"/>
      <c r="AO3340" s="17"/>
      <c r="AP3340" s="28" t="str">
        <f t="shared" si="999"/>
        <v>20217</v>
      </c>
      <c r="AQ3340" s="28" t="str">
        <f t="shared" si="1000"/>
        <v>20217JPY</v>
      </c>
      <c r="AR3340" s="206" t="str">
        <f t="shared" si="1001"/>
        <v>YAMAHA_Mounter</v>
      </c>
      <c r="AS3340" s="22">
        <f t="shared" si="1002"/>
        <v>2</v>
      </c>
      <c r="AT3340" s="24" t="str">
        <f t="shared" si="1003"/>
        <v>0-3 months</v>
      </c>
      <c r="AU3340" s="22" t="s">
        <v>3745</v>
      </c>
    </row>
    <row r="3341" spans="1:47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53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1839</v>
      </c>
      <c r="K3341" s="155" t="s">
        <v>1840</v>
      </c>
      <c r="L3341" s="17" t="s">
        <v>67</v>
      </c>
      <c r="M3341" s="13" t="s">
        <v>60</v>
      </c>
      <c r="N3341" s="13">
        <v>1</v>
      </c>
      <c r="O3341" s="13"/>
      <c r="P3341" s="33" t="str">
        <f t="shared" si="986"/>
        <v>MAIN UNIT</v>
      </c>
      <c r="Q3341" s="13" t="s">
        <v>68</v>
      </c>
      <c r="R3341" s="13" t="s">
        <v>62</v>
      </c>
      <c r="S3341" s="13" t="s">
        <v>49</v>
      </c>
      <c r="T3341" s="13" t="s">
        <v>78</v>
      </c>
      <c r="U3341" s="13" t="s">
        <v>79</v>
      </c>
      <c r="V3341" s="13" t="s">
        <v>1841</v>
      </c>
      <c r="W3341" s="13" t="s">
        <v>109</v>
      </c>
      <c r="X3341" s="135">
        <v>9500000</v>
      </c>
      <c r="Y3341" s="157" t="str">
        <f>IF(W3341="RMB","1.13", "1")</f>
        <v>1</v>
      </c>
      <c r="Z3341" s="18">
        <f t="shared" si="987"/>
        <v>9500000</v>
      </c>
      <c r="AA3341" s="13">
        <v>6.9199999999999998E-2</v>
      </c>
      <c r="AB3341" s="21">
        <f t="shared" si="989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1"/>
        <v>26407088.359292038</v>
      </c>
      <c r="AJ3341" s="19">
        <f t="shared" si="992"/>
        <v>3424510.6998470789</v>
      </c>
      <c r="AK3341" s="20">
        <f t="shared" si="998"/>
        <v>0.12968149510667554</v>
      </c>
      <c r="AL3341" s="17"/>
      <c r="AM3341" s="17"/>
      <c r="AN3341" s="17"/>
      <c r="AO3341" s="17"/>
      <c r="AP3341" s="28" t="str">
        <f t="shared" si="999"/>
        <v>20221</v>
      </c>
      <c r="AQ3341" s="28" t="str">
        <f t="shared" si="1000"/>
        <v>20221JPY</v>
      </c>
      <c r="AR3341" s="206" t="str">
        <f t="shared" si="1001"/>
        <v>YAMAHA_Mounter</v>
      </c>
      <c r="AS3341" s="22">
        <f t="shared" si="1002"/>
        <v>8</v>
      </c>
      <c r="AT3341" s="24" t="str">
        <f t="shared" si="1003"/>
        <v>&gt; 6 months</v>
      </c>
      <c r="AU3341" s="22" t="s">
        <v>3745</v>
      </c>
    </row>
    <row r="3342" spans="1:47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53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1600</v>
      </c>
      <c r="K3342" s="155" t="s">
        <v>1601</v>
      </c>
      <c r="L3342" s="17" t="s">
        <v>92</v>
      </c>
      <c r="M3342" s="13" t="s">
        <v>60</v>
      </c>
      <c r="N3342" s="13">
        <v>1</v>
      </c>
      <c r="O3342" s="13"/>
      <c r="P3342" s="33" t="str">
        <f t="shared" si="986"/>
        <v>MAIN UNIT</v>
      </c>
      <c r="Q3342" s="13" t="s">
        <v>68</v>
      </c>
      <c r="R3342" s="13" t="s">
        <v>62</v>
      </c>
      <c r="S3342" s="13" t="s">
        <v>49</v>
      </c>
      <c r="T3342" s="13" t="s">
        <v>78</v>
      </c>
      <c r="U3342" s="13" t="s">
        <v>79</v>
      </c>
      <c r="V3342" s="13" t="s">
        <v>121</v>
      </c>
      <c r="W3342" s="13" t="s">
        <v>109</v>
      </c>
      <c r="X3342" s="135">
        <v>12800000</v>
      </c>
      <c r="Y3342" s="157" t="str">
        <f>IF(W3342="RMB","1.13", "1")</f>
        <v>1</v>
      </c>
      <c r="Z3342" s="18">
        <f t="shared" si="987"/>
        <v>12800000</v>
      </c>
      <c r="AA3342" s="13">
        <v>7.17E-2</v>
      </c>
      <c r="AB3342" s="21">
        <f t="shared" si="989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1"/>
        <v>43684091.636631854</v>
      </c>
      <c r="AJ3342" s="19">
        <f t="shared" si="992"/>
        <v>6483951.8242071122</v>
      </c>
      <c r="AK3342" s="20">
        <f t="shared" si="998"/>
        <v>0.14842821680123736</v>
      </c>
      <c r="AL3342" s="17"/>
      <c r="AM3342" s="17"/>
      <c r="AN3342" s="17"/>
      <c r="AO3342" s="17"/>
      <c r="AP3342" s="28" t="str">
        <f t="shared" si="999"/>
        <v>20214</v>
      </c>
      <c r="AQ3342" s="28" t="str">
        <f t="shared" si="1000"/>
        <v>20214JPY</v>
      </c>
      <c r="AR3342" s="206" t="str">
        <f t="shared" si="1001"/>
        <v>YAMAHA_Mounter</v>
      </c>
      <c r="AS3342" s="22">
        <f t="shared" si="1002"/>
        <v>4</v>
      </c>
      <c r="AT3342" s="24" t="str">
        <f t="shared" si="1003"/>
        <v>4-6 months</v>
      </c>
      <c r="AU3342" s="22" t="s">
        <v>3745</v>
      </c>
    </row>
    <row r="3343" spans="1:47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185</v>
      </c>
      <c r="G3343" s="23" t="s">
        <v>185</v>
      </c>
      <c r="H3343" s="29"/>
      <c r="I3343" s="33" t="str">
        <f t="shared" si="995"/>
        <v>Cancel</v>
      </c>
      <c r="J3343" s="188" t="s">
        <v>3420</v>
      </c>
      <c r="K3343" s="29" t="s">
        <v>1796</v>
      </c>
      <c r="L3343" s="17" t="s">
        <v>67</v>
      </c>
      <c r="M3343" s="22" t="s">
        <v>60</v>
      </c>
      <c r="N3343" s="22">
        <v>1</v>
      </c>
      <c r="O3343" s="22"/>
      <c r="P3343" s="33" t="str">
        <f t="shared" si="986"/>
        <v>MAIN UNIT</v>
      </c>
      <c r="Q3343" s="13" t="s">
        <v>61</v>
      </c>
      <c r="R3343" s="22" t="s">
        <v>62</v>
      </c>
      <c r="S3343" s="22" t="s">
        <v>51</v>
      </c>
      <c r="T3343" s="22" t="s">
        <v>349</v>
      </c>
      <c r="U3343" s="22" t="s">
        <v>149</v>
      </c>
      <c r="V3343" s="22" t="s">
        <v>954</v>
      </c>
      <c r="W3343" s="22" t="s">
        <v>64</v>
      </c>
      <c r="X3343" s="94">
        <v>640000</v>
      </c>
      <c r="Y3343" s="195" t="str">
        <f>IF(W3343="","",IF(W3343="RMB","1.13", "1"))</f>
        <v>1.13</v>
      </c>
      <c r="Z3343" s="196">
        <f t="shared" si="987"/>
        <v>640000</v>
      </c>
      <c r="AA3343" s="22">
        <v>1.073</v>
      </c>
      <c r="AB3343" s="197">
        <f t="shared" si="989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1"/>
        <v>499582152.5142017</v>
      </c>
      <c r="AJ3343" s="200">
        <f t="shared" si="992"/>
        <v>59520528.679470733</v>
      </c>
      <c r="AK3343" s="201">
        <f t="shared" si="998"/>
        <v>0.11914062257814291</v>
      </c>
      <c r="AL3343" s="24"/>
      <c r="AM3343" s="24"/>
      <c r="AN3343" s="24"/>
      <c r="AO3343" s="24"/>
      <c r="AP3343" s="28" t="str">
        <f t="shared" si="999"/>
        <v>CancelCancel</v>
      </c>
      <c r="AQ3343" s="208" t="str">
        <f t="shared" si="1000"/>
        <v>CancelCancelRMB</v>
      </c>
      <c r="AR3343" s="206" t="str">
        <f t="shared" si="1001"/>
        <v>YAMAHA_Mounter</v>
      </c>
      <c r="AS3343" s="22" t="str">
        <f t="shared" si="1002"/>
        <v/>
      </c>
      <c r="AT3343" s="24" t="str">
        <f t="shared" si="1003"/>
        <v/>
      </c>
      <c r="AU3343" s="22" t="s">
        <v>3240</v>
      </c>
    </row>
    <row r="3344" spans="1:47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41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384</v>
      </c>
      <c r="K3344" s="155" t="s">
        <v>385</v>
      </c>
      <c r="L3344" s="17" t="s">
        <v>67</v>
      </c>
      <c r="M3344" s="13" t="s">
        <v>60</v>
      </c>
      <c r="N3344" s="13">
        <v>1</v>
      </c>
      <c r="O3344" s="13"/>
      <c r="P3344" s="33" t="str">
        <f t="shared" si="986"/>
        <v>MAIN UNIT</v>
      </c>
      <c r="Q3344" s="13" t="s">
        <v>68</v>
      </c>
      <c r="R3344" s="13" t="s">
        <v>62</v>
      </c>
      <c r="S3344" s="13" t="s">
        <v>49</v>
      </c>
      <c r="T3344" s="13" t="s">
        <v>78</v>
      </c>
      <c r="U3344" s="13" t="s">
        <v>79</v>
      </c>
      <c r="V3344" s="13" t="s">
        <v>126</v>
      </c>
      <c r="W3344" s="13" t="s">
        <v>109</v>
      </c>
      <c r="X3344" s="135">
        <v>9600000</v>
      </c>
      <c r="Y3344" s="156">
        <v>1</v>
      </c>
      <c r="Z3344" s="18">
        <f t="shared" si="987"/>
        <v>9600000</v>
      </c>
      <c r="AA3344" s="13">
        <v>7.2099999999999997E-2</v>
      </c>
      <c r="AB3344" s="21">
        <f t="shared" si="989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1"/>
        <v>26492741.106427077</v>
      </c>
      <c r="AJ3344" s="19">
        <f t="shared" si="992"/>
        <v>3348032.1325698122</v>
      </c>
      <c r="AK3344" s="20">
        <f t="shared" si="998"/>
        <v>0.12637545201985867</v>
      </c>
      <c r="AL3344" s="17"/>
      <c r="AM3344" s="17"/>
      <c r="AN3344" s="17"/>
      <c r="AO3344" s="17"/>
      <c r="AP3344" s="28" t="str">
        <f t="shared" si="999"/>
        <v>20189</v>
      </c>
      <c r="AQ3344" s="28" t="str">
        <f t="shared" si="1000"/>
        <v>20189JPY</v>
      </c>
      <c r="AR3344" s="206" t="str">
        <f t="shared" si="1001"/>
        <v>YAMAHA_Mounter</v>
      </c>
      <c r="AS3344" s="22">
        <f t="shared" si="1002"/>
        <v>2</v>
      </c>
      <c r="AT3344" s="24" t="str">
        <f t="shared" si="1003"/>
        <v>0-3 months</v>
      </c>
      <c r="AU3344" s="22" t="s">
        <v>3745</v>
      </c>
    </row>
    <row r="3345" spans="1:47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53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2943</v>
      </c>
      <c r="K3345" s="155" t="s">
        <v>2944</v>
      </c>
      <c r="L3345" s="17" t="s">
        <v>2620</v>
      </c>
      <c r="M3345" s="13" t="s">
        <v>60</v>
      </c>
      <c r="N3345" s="13">
        <v>1</v>
      </c>
      <c r="O3345" s="13"/>
      <c r="P3345" s="33" t="str">
        <f t="shared" si="986"/>
        <v>MAIN UNIT</v>
      </c>
      <c r="Q3345" s="13" t="s">
        <v>61</v>
      </c>
      <c r="R3345" s="13" t="s">
        <v>2055</v>
      </c>
      <c r="S3345" s="13" t="s">
        <v>49</v>
      </c>
      <c r="T3345" s="13" t="s">
        <v>78</v>
      </c>
      <c r="U3345" s="13" t="s">
        <v>79</v>
      </c>
      <c r="V3345" s="13" t="s">
        <v>2856</v>
      </c>
      <c r="W3345" s="13" t="s">
        <v>109</v>
      </c>
      <c r="X3345" s="135">
        <v>7771400</v>
      </c>
      <c r="Y3345" s="157" t="str">
        <f>IF(W3345="RMB","1.13", "1")</f>
        <v>1</v>
      </c>
      <c r="Z3345" s="18">
        <f t="shared" si="987"/>
        <v>7771400</v>
      </c>
      <c r="AA3345" s="13">
        <v>7.2099999999999997E-2</v>
      </c>
      <c r="AB3345" s="21">
        <f t="shared" si="989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1"/>
        <v>54700260.692079648</v>
      </c>
      <c r="AJ3345" s="19">
        <f t="shared" si="992"/>
        <v>7482899.5749188727</v>
      </c>
      <c r="AK3345" s="20">
        <f t="shared" si="998"/>
        <v>0.13679824337660537</v>
      </c>
      <c r="AL3345" s="17"/>
      <c r="AM3345" s="17"/>
      <c r="AN3345" s="17"/>
      <c r="AO3345" s="17"/>
      <c r="AP3345" s="28" t="str">
        <f t="shared" si="999"/>
        <v>20216</v>
      </c>
      <c r="AQ3345" s="28" t="str">
        <f t="shared" si="1000"/>
        <v>20216JPY</v>
      </c>
      <c r="AR3345" s="206" t="str">
        <f t="shared" si="1001"/>
        <v>YAMAHA_Non_Mounter</v>
      </c>
      <c r="AS3345" s="22">
        <f t="shared" si="1002"/>
        <v>9</v>
      </c>
      <c r="AT3345" s="24" t="str">
        <f t="shared" si="1003"/>
        <v>&gt; 6 months</v>
      </c>
      <c r="AU3345" s="22" t="s">
        <v>3240</v>
      </c>
    </row>
    <row r="3346" spans="1:47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41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42</v>
      </c>
      <c r="M3346" s="13" t="s">
        <v>43</v>
      </c>
      <c r="N3346" s="13">
        <v>0</v>
      </c>
      <c r="O3346" s="125"/>
      <c r="P3346" s="33" t="str">
        <f t="shared" si="986"/>
        <v>C66 SERVICE/OTHERS</v>
      </c>
      <c r="Q3346" s="152" t="s">
        <v>44</v>
      </c>
      <c r="R3346" s="13" t="s">
        <v>45</v>
      </c>
      <c r="S3346" s="13" t="s">
        <v>46</v>
      </c>
      <c r="T3346" s="14"/>
      <c r="U3346" s="14"/>
      <c r="V3346" s="51"/>
      <c r="W3346" s="14"/>
      <c r="X3346" s="126"/>
      <c r="Y3346" s="127"/>
      <c r="Z3346" s="18" t="str">
        <f t="shared" si="987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1"/>
        <v>29840797.698275864</v>
      </c>
      <c r="AJ3346" s="19">
        <f t="shared" si="992"/>
        <v>3940167.6555448272</v>
      </c>
      <c r="AK3346" s="20">
        <f t="shared" si="998"/>
        <v>0.13203962224416277</v>
      </c>
      <c r="AL3346" s="55"/>
      <c r="AM3346" s="55"/>
      <c r="AN3346" s="55"/>
      <c r="AO3346" s="55"/>
      <c r="AP3346" s="28" t="str">
        <f t="shared" si="999"/>
        <v>201812</v>
      </c>
      <c r="AQ3346" s="28" t="str">
        <f t="shared" si="1000"/>
        <v/>
      </c>
      <c r="AR3346" s="206" t="str">
        <f t="shared" si="1001"/>
        <v>C66 SERVICE</v>
      </c>
      <c r="AS3346" s="22" t="str">
        <f t="shared" si="1002"/>
        <v/>
      </c>
      <c r="AT3346" s="24" t="str">
        <f t="shared" si="1003"/>
        <v/>
      </c>
      <c r="AU3346" s="22">
        <v>0</v>
      </c>
    </row>
    <row r="3347" spans="1:47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41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42</v>
      </c>
      <c r="M3347" s="13" t="s">
        <v>43</v>
      </c>
      <c r="N3347" s="13">
        <v>0</v>
      </c>
      <c r="O3347" s="125"/>
      <c r="P3347" s="33" t="str">
        <f t="shared" si="986"/>
        <v>C66 SERVICE/OTHERS</v>
      </c>
      <c r="Q3347" s="152" t="s">
        <v>44</v>
      </c>
      <c r="R3347" s="13" t="s">
        <v>45</v>
      </c>
      <c r="S3347" s="13" t="s">
        <v>46</v>
      </c>
      <c r="T3347" s="14"/>
      <c r="U3347" s="14"/>
      <c r="V3347" s="51"/>
      <c r="W3347" s="14"/>
      <c r="X3347" s="126"/>
      <c r="Y3347" s="127"/>
      <c r="Z3347" s="18" t="str">
        <f t="shared" si="987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1"/>
        <v>10785027.603448275</v>
      </c>
      <c r="AJ3347" s="19">
        <f t="shared" si="992"/>
        <v>1540894.1297982759</v>
      </c>
      <c r="AK3347" s="20">
        <f t="shared" si="998"/>
        <v>0.1428734525728621</v>
      </c>
      <c r="AL3347" s="55"/>
      <c r="AM3347" s="55"/>
      <c r="AN3347" s="55"/>
      <c r="AO3347" s="55"/>
      <c r="AP3347" s="28" t="str">
        <f t="shared" si="999"/>
        <v>201811</v>
      </c>
      <c r="AQ3347" s="28" t="str">
        <f t="shared" si="1000"/>
        <v/>
      </c>
      <c r="AR3347" s="206" t="str">
        <f t="shared" si="1001"/>
        <v>C66 SERVICE</v>
      </c>
      <c r="AS3347" s="22" t="str">
        <f t="shared" si="1002"/>
        <v/>
      </c>
      <c r="AT3347" s="24" t="str">
        <f t="shared" si="1003"/>
        <v/>
      </c>
      <c r="AU3347" s="22">
        <v>0</v>
      </c>
    </row>
    <row r="3348" spans="1:47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41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42</v>
      </c>
      <c r="M3348" s="13" t="s">
        <v>43</v>
      </c>
      <c r="N3348" s="13">
        <v>0</v>
      </c>
      <c r="O3348" s="125"/>
      <c r="P3348" s="33" t="str">
        <f t="shared" si="986"/>
        <v>C66 SERVICE/OTHERS</v>
      </c>
      <c r="Q3348" s="152" t="s">
        <v>44</v>
      </c>
      <c r="R3348" s="13" t="s">
        <v>45</v>
      </c>
      <c r="S3348" s="13" t="s">
        <v>46</v>
      </c>
      <c r="T3348" s="14"/>
      <c r="U3348" s="14"/>
      <c r="V3348" s="51"/>
      <c r="W3348" s="14"/>
      <c r="X3348" s="126"/>
      <c r="Y3348" s="127"/>
      <c r="Z3348" s="18" t="str">
        <f t="shared" si="987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1"/>
        <v>10786543.370020689</v>
      </c>
      <c r="AJ3348" s="19">
        <f t="shared" si="992"/>
        <v>1330367.5841569281</v>
      </c>
      <c r="AK3348" s="20">
        <f t="shared" si="998"/>
        <v>0.123335858255987</v>
      </c>
      <c r="AL3348" s="55"/>
      <c r="AM3348" s="55"/>
      <c r="AN3348" s="55"/>
      <c r="AO3348" s="55"/>
      <c r="AP3348" s="28" t="str">
        <f t="shared" si="999"/>
        <v>201810</v>
      </c>
      <c r="AQ3348" s="28" t="str">
        <f t="shared" si="1000"/>
        <v/>
      </c>
      <c r="AR3348" s="206" t="str">
        <f t="shared" si="1001"/>
        <v>C66 SERVICE</v>
      </c>
      <c r="AS3348" s="22" t="str">
        <f t="shared" si="1002"/>
        <v/>
      </c>
      <c r="AT3348" s="24" t="str">
        <f t="shared" si="1003"/>
        <v/>
      </c>
      <c r="AU3348" s="22">
        <v>0</v>
      </c>
    </row>
    <row r="3349" spans="1:47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41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42</v>
      </c>
      <c r="M3349" s="13" t="s">
        <v>43</v>
      </c>
      <c r="N3349" s="13">
        <v>0</v>
      </c>
      <c r="O3349" s="125"/>
      <c r="P3349" s="33" t="str">
        <f t="shared" si="986"/>
        <v>C66 SERVICE/OTHERS</v>
      </c>
      <c r="Q3349" s="152" t="s">
        <v>44</v>
      </c>
      <c r="R3349" s="13" t="s">
        <v>45</v>
      </c>
      <c r="S3349" s="13" t="s">
        <v>46</v>
      </c>
      <c r="T3349" s="14"/>
      <c r="U3349" s="14"/>
      <c r="V3349" s="51"/>
      <c r="W3349" s="14"/>
      <c r="X3349" s="126"/>
      <c r="Y3349" s="127"/>
      <c r="Z3349" s="18" t="str">
        <f t="shared" si="987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1"/>
        <v>26492741.106427077</v>
      </c>
      <c r="AJ3349" s="19">
        <f t="shared" si="992"/>
        <v>3348032.1325698122</v>
      </c>
      <c r="AK3349" s="20">
        <f t="shared" si="998"/>
        <v>0.12637545201985867</v>
      </c>
      <c r="AL3349" s="55"/>
      <c r="AM3349" s="55"/>
      <c r="AN3349" s="55"/>
      <c r="AO3349" s="55"/>
      <c r="AP3349" s="28" t="str">
        <f t="shared" si="999"/>
        <v>20189</v>
      </c>
      <c r="AQ3349" s="28" t="str">
        <f t="shared" si="1000"/>
        <v/>
      </c>
      <c r="AR3349" s="206" t="str">
        <f t="shared" si="1001"/>
        <v>C66 SERVICE</v>
      </c>
      <c r="AS3349" s="22" t="str">
        <f t="shared" si="1002"/>
        <v/>
      </c>
      <c r="AT3349" s="24" t="str">
        <f t="shared" si="1003"/>
        <v/>
      </c>
      <c r="AU3349" s="22">
        <v>0</v>
      </c>
    </row>
    <row r="3350" spans="1:47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41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42</v>
      </c>
      <c r="M3350" s="13" t="s">
        <v>43</v>
      </c>
      <c r="N3350" s="13">
        <v>0</v>
      </c>
      <c r="O3350" s="125"/>
      <c r="P3350" s="33" t="str">
        <f t="shared" ref="P3350:P3413" si="1004">IF(M3350="","",IF(AND(N3350&gt;0,L3350&lt;&gt;""),"MAIN UNIT",IF(AND(O3350&gt;0,L3350&lt;&gt;""),"SERVICE/ PARTS","C66 SERVICE/OTHERS")))</f>
        <v>C66 SERVICE/OTHERS</v>
      </c>
      <c r="Q3350" s="152" t="s">
        <v>44</v>
      </c>
      <c r="R3350" s="13" t="s">
        <v>45</v>
      </c>
      <c r="S3350" s="13" t="s">
        <v>46</v>
      </c>
      <c r="T3350" s="14"/>
      <c r="U3350" s="14"/>
      <c r="V3350" s="51"/>
      <c r="W3350" s="14"/>
      <c r="X3350" s="126"/>
      <c r="Y3350" s="127"/>
      <c r="Z3350" s="18" t="str">
        <f t="shared" si="987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1"/>
        <v>26754147.763010349</v>
      </c>
      <c r="AJ3350" s="19">
        <f t="shared" si="992"/>
        <v>3429137.9965357962</v>
      </c>
      <c r="AK3350" s="20">
        <f t="shared" si="998"/>
        <v>0.12817220069617921</v>
      </c>
      <c r="AL3350" s="55"/>
      <c r="AM3350" s="55"/>
      <c r="AN3350" s="55"/>
      <c r="AO3350" s="55"/>
      <c r="AP3350" s="28" t="str">
        <f t="shared" si="999"/>
        <v>20188</v>
      </c>
      <c r="AQ3350" s="28" t="str">
        <f t="shared" si="1000"/>
        <v/>
      </c>
      <c r="AR3350" s="206" t="str">
        <f t="shared" si="1001"/>
        <v>C66 SERVICE</v>
      </c>
      <c r="AS3350" s="22" t="str">
        <f t="shared" si="1002"/>
        <v/>
      </c>
      <c r="AT3350" s="24" t="str">
        <f t="shared" si="1003"/>
        <v/>
      </c>
      <c r="AU3350" s="22">
        <v>0</v>
      </c>
    </row>
    <row r="3351" spans="1:47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41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42</v>
      </c>
      <c r="M3351" s="13" t="s">
        <v>43</v>
      </c>
      <c r="N3351" s="13">
        <v>0</v>
      </c>
      <c r="O3351" s="125"/>
      <c r="P3351" s="33" t="str">
        <f t="shared" si="1004"/>
        <v>C66 SERVICE/OTHERS</v>
      </c>
      <c r="Q3351" s="152" t="s">
        <v>44</v>
      </c>
      <c r="R3351" s="13" t="s">
        <v>45</v>
      </c>
      <c r="S3351" s="13" t="s">
        <v>46</v>
      </c>
      <c r="T3351" s="14"/>
      <c r="U3351" s="14"/>
      <c r="V3351" s="51"/>
      <c r="W3351" s="14"/>
      <c r="X3351" s="126"/>
      <c r="Y3351" s="127"/>
      <c r="Z3351" s="18" t="str">
        <f t="shared" si="987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1"/>
        <v>29946107.503386207</v>
      </c>
      <c r="AJ3351" s="19">
        <f t="shared" si="992"/>
        <v>3987206.4954923098</v>
      </c>
      <c r="AK3351" s="20">
        <f t="shared" si="998"/>
        <v>0.13314606898547499</v>
      </c>
      <c r="AL3351" s="55"/>
      <c r="AM3351" s="55"/>
      <c r="AN3351" s="55"/>
      <c r="AO3351" s="55"/>
      <c r="AP3351" s="28" t="str">
        <f t="shared" si="999"/>
        <v>20187</v>
      </c>
      <c r="AQ3351" s="28" t="str">
        <f t="shared" si="1000"/>
        <v/>
      </c>
      <c r="AR3351" s="206" t="str">
        <f t="shared" si="1001"/>
        <v>C66 SERVICE</v>
      </c>
      <c r="AS3351" s="22" t="str">
        <f t="shared" si="1002"/>
        <v/>
      </c>
      <c r="AT3351" s="24" t="str">
        <f t="shared" si="1003"/>
        <v/>
      </c>
      <c r="AU3351" s="22">
        <v>0</v>
      </c>
    </row>
    <row r="3352" spans="1:47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41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42</v>
      </c>
      <c r="M3352" s="13" t="s">
        <v>43</v>
      </c>
      <c r="N3352" s="13">
        <v>0</v>
      </c>
      <c r="O3352" s="125"/>
      <c r="P3352" s="33" t="str">
        <f t="shared" si="1004"/>
        <v>C66 SERVICE/OTHERS</v>
      </c>
      <c r="Q3352" s="152" t="s">
        <v>44</v>
      </c>
      <c r="R3352" s="13" t="s">
        <v>45</v>
      </c>
      <c r="S3352" s="13" t="s">
        <v>46</v>
      </c>
      <c r="T3352" s="14"/>
      <c r="U3352" s="14"/>
      <c r="V3352" s="51"/>
      <c r="W3352" s="14"/>
      <c r="X3352" s="126"/>
      <c r="Y3352" s="127"/>
      <c r="Z3352" s="18" t="str">
        <f t="shared" si="987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1"/>
        <v>24398045.86045352</v>
      </c>
      <c r="AJ3352" s="19">
        <f t="shared" si="992"/>
        <v>3478417.4064663448</v>
      </c>
      <c r="AK3352" s="20">
        <f t="shared" si="998"/>
        <v>0.14256950849102498</v>
      </c>
      <c r="AL3352" s="55"/>
      <c r="AM3352" s="55"/>
      <c r="AN3352" s="55"/>
      <c r="AO3352" s="55"/>
      <c r="AP3352" s="28" t="str">
        <f t="shared" si="999"/>
        <v>20186</v>
      </c>
      <c r="AQ3352" s="28" t="str">
        <f t="shared" si="1000"/>
        <v/>
      </c>
      <c r="AR3352" s="206" t="str">
        <f t="shared" si="1001"/>
        <v>C66 SERVICE</v>
      </c>
      <c r="AS3352" s="22" t="str">
        <f t="shared" si="1002"/>
        <v/>
      </c>
      <c r="AT3352" s="24" t="str">
        <f t="shared" si="1003"/>
        <v/>
      </c>
      <c r="AU3352" s="22">
        <v>0</v>
      </c>
    </row>
    <row r="3353" spans="1:47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41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42</v>
      </c>
      <c r="M3353" s="13" t="s">
        <v>43</v>
      </c>
      <c r="N3353" s="13">
        <v>0</v>
      </c>
      <c r="O3353" s="125"/>
      <c r="P3353" s="33" t="str">
        <f t="shared" si="1004"/>
        <v>C66 SERVICE/OTHERS</v>
      </c>
      <c r="Q3353" s="152" t="s">
        <v>44</v>
      </c>
      <c r="R3353" s="13" t="s">
        <v>45</v>
      </c>
      <c r="S3353" s="13" t="s">
        <v>46</v>
      </c>
      <c r="T3353" s="14"/>
      <c r="U3353" s="14"/>
      <c r="V3353" s="51"/>
      <c r="W3353" s="14"/>
      <c r="X3353" s="126"/>
      <c r="Y3353" s="127"/>
      <c r="Z3353" s="18" t="str">
        <f t="shared" si="987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1"/>
        <v>34109166.105589926</v>
      </c>
      <c r="AJ3353" s="19">
        <f t="shared" si="992"/>
        <v>4642032.7199573703</v>
      </c>
      <c r="AK3353" s="20">
        <f t="shared" si="998"/>
        <v>0.13609340977692849</v>
      </c>
      <c r="AL3353" s="55"/>
      <c r="AM3353" s="55"/>
      <c r="AN3353" s="55"/>
      <c r="AO3353" s="55"/>
      <c r="AP3353" s="28" t="str">
        <f t="shared" si="999"/>
        <v>20185</v>
      </c>
      <c r="AQ3353" s="28" t="str">
        <f t="shared" si="1000"/>
        <v/>
      </c>
      <c r="AR3353" s="206" t="str">
        <f t="shared" si="1001"/>
        <v>C66 SERVICE</v>
      </c>
      <c r="AS3353" s="22" t="str">
        <f t="shared" si="1002"/>
        <v/>
      </c>
      <c r="AT3353" s="24" t="str">
        <f t="shared" si="1003"/>
        <v/>
      </c>
      <c r="AU3353" s="22">
        <v>0</v>
      </c>
    </row>
    <row r="3354" spans="1:47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41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42</v>
      </c>
      <c r="M3354" s="13" t="s">
        <v>43</v>
      </c>
      <c r="N3354" s="13">
        <v>0</v>
      </c>
      <c r="O3354" s="125"/>
      <c r="P3354" s="33" t="str">
        <f t="shared" si="1004"/>
        <v>C66 SERVICE/OTHERS</v>
      </c>
      <c r="Q3354" s="152" t="s">
        <v>44</v>
      </c>
      <c r="R3354" s="13" t="s">
        <v>45</v>
      </c>
      <c r="S3354" s="13" t="s">
        <v>46</v>
      </c>
      <c r="T3354" s="14"/>
      <c r="U3354" s="14"/>
      <c r="V3354" s="51"/>
      <c r="W3354" s="14"/>
      <c r="X3354" s="126"/>
      <c r="Y3354" s="127"/>
      <c r="Z3354" s="18" t="str">
        <f t="shared" si="987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1"/>
        <v>29288201.603076916</v>
      </c>
      <c r="AJ3354" s="19">
        <f t="shared" si="992"/>
        <v>3870159.1769246152</v>
      </c>
      <c r="AK3354" s="20">
        <f t="shared" si="998"/>
        <v>0.13214055370740244</v>
      </c>
      <c r="AL3354" s="55"/>
      <c r="AM3354" s="55"/>
      <c r="AN3354" s="55"/>
      <c r="AO3354" s="55"/>
      <c r="AP3354" s="28" t="str">
        <f t="shared" si="999"/>
        <v>20184</v>
      </c>
      <c r="AQ3354" s="28" t="str">
        <f t="shared" si="1000"/>
        <v/>
      </c>
      <c r="AR3354" s="206" t="str">
        <f t="shared" si="1001"/>
        <v>C66 SERVICE</v>
      </c>
      <c r="AS3354" s="22" t="str">
        <f t="shared" si="1002"/>
        <v/>
      </c>
      <c r="AT3354" s="24" t="str">
        <f t="shared" si="1003"/>
        <v/>
      </c>
      <c r="AU3354" s="22">
        <v>0</v>
      </c>
    </row>
    <row r="3355" spans="1:47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47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42</v>
      </c>
      <c r="M3355" s="13" t="s">
        <v>43</v>
      </c>
      <c r="N3355" s="13">
        <v>0</v>
      </c>
      <c r="O3355" s="125"/>
      <c r="P3355" s="33" t="str">
        <f t="shared" si="1004"/>
        <v>C66 SERVICE/OTHERS</v>
      </c>
      <c r="Q3355" s="152" t="s">
        <v>44</v>
      </c>
      <c r="R3355" s="13" t="s">
        <v>45</v>
      </c>
      <c r="S3355" s="13" t="s">
        <v>46</v>
      </c>
      <c r="T3355" s="14"/>
      <c r="U3355" s="14"/>
      <c r="V3355" s="51"/>
      <c r="W3355" s="14"/>
      <c r="X3355" s="126"/>
      <c r="Y3355" s="127"/>
      <c r="Z3355" s="18" t="str">
        <f t="shared" si="987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1"/>
        <v>27318180.088495575</v>
      </c>
      <c r="AJ3355" s="19">
        <f t="shared" si="992"/>
        <v>3014099.212353982</v>
      </c>
      <c r="AK3355" s="20">
        <f t="shared" si="998"/>
        <v>0.11033308963444827</v>
      </c>
      <c r="AL3355" s="55"/>
      <c r="AM3355" s="55"/>
      <c r="AN3355" s="55"/>
      <c r="AO3355" s="55"/>
      <c r="AP3355" s="28" t="str">
        <f t="shared" si="999"/>
        <v>201912</v>
      </c>
      <c r="AQ3355" s="28" t="str">
        <f t="shared" si="1000"/>
        <v/>
      </c>
      <c r="AR3355" s="206" t="str">
        <f t="shared" si="1001"/>
        <v>C66 SERVICE</v>
      </c>
      <c r="AS3355" s="22" t="str">
        <f t="shared" si="1002"/>
        <v/>
      </c>
      <c r="AT3355" s="24" t="str">
        <f t="shared" si="1003"/>
        <v/>
      </c>
      <c r="AU3355" s="22">
        <v>0</v>
      </c>
    </row>
    <row r="3356" spans="1:47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47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42</v>
      </c>
      <c r="M3356" s="13" t="s">
        <v>43</v>
      </c>
      <c r="N3356" s="13">
        <v>0</v>
      </c>
      <c r="O3356" s="125"/>
      <c r="P3356" s="33" t="str">
        <f t="shared" si="1004"/>
        <v>C66 SERVICE/OTHERS</v>
      </c>
      <c r="Q3356" s="152" t="s">
        <v>44</v>
      </c>
      <c r="R3356" s="13" t="s">
        <v>45</v>
      </c>
      <c r="S3356" s="13" t="s">
        <v>46</v>
      </c>
      <c r="T3356" s="14"/>
      <c r="U3356" s="14"/>
      <c r="V3356" s="51"/>
      <c r="W3356" s="14"/>
      <c r="X3356" s="126"/>
      <c r="Y3356" s="127"/>
      <c r="Z3356" s="18" t="str">
        <f t="shared" si="987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1"/>
        <v>26147030.909862842</v>
      </c>
      <c r="AJ3356" s="19">
        <f t="shared" si="992"/>
        <v>2743862.8630715334</v>
      </c>
      <c r="AK3356" s="20">
        <f t="shared" si="998"/>
        <v>0.10493974908778378</v>
      </c>
      <c r="AL3356" s="55"/>
      <c r="AM3356" s="55"/>
      <c r="AN3356" s="55"/>
      <c r="AO3356" s="55"/>
      <c r="AP3356" s="28" t="str">
        <f t="shared" si="999"/>
        <v>201911</v>
      </c>
      <c r="AQ3356" s="28" t="str">
        <f t="shared" si="1000"/>
        <v/>
      </c>
      <c r="AR3356" s="206" t="str">
        <f t="shared" si="1001"/>
        <v>C66 SERVICE</v>
      </c>
      <c r="AS3356" s="22" t="str">
        <f t="shared" si="1002"/>
        <v/>
      </c>
      <c r="AT3356" s="24" t="str">
        <f t="shared" si="1003"/>
        <v/>
      </c>
      <c r="AU3356" s="22">
        <v>0</v>
      </c>
    </row>
    <row r="3357" spans="1:47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47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42</v>
      </c>
      <c r="M3357" s="13" t="s">
        <v>43</v>
      </c>
      <c r="N3357" s="13">
        <v>0</v>
      </c>
      <c r="O3357" s="125"/>
      <c r="P3357" s="33" t="str">
        <f t="shared" si="1004"/>
        <v>C66 SERVICE/OTHERS</v>
      </c>
      <c r="Q3357" s="152" t="s">
        <v>44</v>
      </c>
      <c r="R3357" s="13" t="s">
        <v>45</v>
      </c>
      <c r="S3357" s="13" t="s">
        <v>46</v>
      </c>
      <c r="T3357" s="14"/>
      <c r="U3357" s="14"/>
      <c r="V3357" s="51"/>
      <c r="W3357" s="14"/>
      <c r="X3357" s="126"/>
      <c r="Y3357" s="127"/>
      <c r="Z3357" s="18" t="str">
        <f t="shared" si="987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1"/>
        <v>28647263.974455759</v>
      </c>
      <c r="AJ3357" s="19">
        <f t="shared" si="992"/>
        <v>3219855.6912513468</v>
      </c>
      <c r="AK3357" s="20">
        <f t="shared" si="998"/>
        <v>0.11239662168514358</v>
      </c>
      <c r="AL3357" s="55"/>
      <c r="AM3357" s="55"/>
      <c r="AN3357" s="55"/>
      <c r="AO3357" s="55"/>
      <c r="AP3357" s="28" t="str">
        <f t="shared" si="999"/>
        <v>201910</v>
      </c>
      <c r="AQ3357" s="28" t="str">
        <f t="shared" si="1000"/>
        <v/>
      </c>
      <c r="AR3357" s="206" t="str">
        <f t="shared" si="1001"/>
        <v>C66 SERVICE</v>
      </c>
      <c r="AS3357" s="22" t="str">
        <f t="shared" si="1002"/>
        <v/>
      </c>
      <c r="AT3357" s="24" t="str">
        <f t="shared" si="1003"/>
        <v/>
      </c>
      <c r="AU3357" s="22">
        <v>0</v>
      </c>
    </row>
    <row r="3358" spans="1:47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47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42</v>
      </c>
      <c r="M3358" s="13" t="s">
        <v>43</v>
      </c>
      <c r="N3358" s="13">
        <v>0</v>
      </c>
      <c r="O3358" s="125"/>
      <c r="P3358" s="33" t="str">
        <f t="shared" si="1004"/>
        <v>C66 SERVICE/OTHERS</v>
      </c>
      <c r="Q3358" s="152" t="s">
        <v>44</v>
      </c>
      <c r="R3358" s="13" t="s">
        <v>45</v>
      </c>
      <c r="S3358" s="13" t="s">
        <v>46</v>
      </c>
      <c r="T3358" s="14"/>
      <c r="U3358" s="14"/>
      <c r="V3358" s="51"/>
      <c r="W3358" s="14"/>
      <c r="X3358" s="126"/>
      <c r="Y3358" s="127"/>
      <c r="Z3358" s="18" t="str">
        <f t="shared" ref="Z3358:Z3421" si="1005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1"/>
        <v>37599388.802345134</v>
      </c>
      <c r="AJ3358" s="19">
        <f t="shared" si="992"/>
        <v>4866784.3630338367</v>
      </c>
      <c r="AK3358" s="20">
        <f t="shared" si="998"/>
        <v>0.12943785838163113</v>
      </c>
      <c r="AL3358" s="55"/>
      <c r="AM3358" s="55"/>
      <c r="AN3358" s="55"/>
      <c r="AO3358" s="55"/>
      <c r="AP3358" s="28" t="str">
        <f t="shared" si="999"/>
        <v>20199</v>
      </c>
      <c r="AQ3358" s="28" t="str">
        <f t="shared" si="1000"/>
        <v/>
      </c>
      <c r="AR3358" s="206" t="str">
        <f t="shared" si="1001"/>
        <v>C66 SERVICE</v>
      </c>
      <c r="AS3358" s="22" t="str">
        <f t="shared" si="1002"/>
        <v/>
      </c>
      <c r="AT3358" s="24" t="str">
        <f t="shared" si="1003"/>
        <v/>
      </c>
      <c r="AU3358" s="22">
        <v>0</v>
      </c>
    </row>
    <row r="3359" spans="1:47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47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42</v>
      </c>
      <c r="M3359" s="13" t="s">
        <v>43</v>
      </c>
      <c r="N3359" s="13">
        <v>0</v>
      </c>
      <c r="O3359" s="125"/>
      <c r="P3359" s="33" t="str">
        <f t="shared" si="1004"/>
        <v>C66 SERVICE/OTHERS</v>
      </c>
      <c r="Q3359" s="152" t="s">
        <v>44</v>
      </c>
      <c r="R3359" s="13" t="s">
        <v>45</v>
      </c>
      <c r="S3359" s="13" t="s">
        <v>46</v>
      </c>
      <c r="T3359" s="14"/>
      <c r="U3359" s="14"/>
      <c r="V3359" s="51"/>
      <c r="W3359" s="14"/>
      <c r="X3359" s="126"/>
      <c r="Y3359" s="127"/>
      <c r="Z3359" s="18" t="str">
        <f t="shared" si="1005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1"/>
        <v>21386017.707964607</v>
      </c>
      <c r="AJ3359" s="19">
        <f t="shared" si="992"/>
        <v>2238764.3265707968</v>
      </c>
      <c r="AK3359" s="20">
        <f t="shared" si="998"/>
        <v>0.10468355339185161</v>
      </c>
      <c r="AL3359" s="55"/>
      <c r="AM3359" s="55"/>
      <c r="AN3359" s="55"/>
      <c r="AO3359" s="55"/>
      <c r="AP3359" s="28" t="str">
        <f t="shared" si="999"/>
        <v>20198</v>
      </c>
      <c r="AQ3359" s="28" t="str">
        <f t="shared" si="1000"/>
        <v/>
      </c>
      <c r="AR3359" s="206" t="str">
        <f t="shared" si="1001"/>
        <v>C66 SERVICE</v>
      </c>
      <c r="AS3359" s="22" t="str">
        <f t="shared" si="1002"/>
        <v/>
      </c>
      <c r="AT3359" s="24" t="str">
        <f t="shared" si="1003"/>
        <v/>
      </c>
      <c r="AU3359" s="22">
        <v>0</v>
      </c>
    </row>
    <row r="3360" spans="1:47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47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42</v>
      </c>
      <c r="M3360" s="13" t="s">
        <v>43</v>
      </c>
      <c r="N3360" s="13">
        <v>0</v>
      </c>
      <c r="O3360" s="125"/>
      <c r="P3360" s="33" t="str">
        <f t="shared" si="1004"/>
        <v>C66 SERVICE/OTHERS</v>
      </c>
      <c r="Q3360" s="152" t="s">
        <v>44</v>
      </c>
      <c r="R3360" s="13" t="s">
        <v>45</v>
      </c>
      <c r="S3360" s="13" t="s">
        <v>46</v>
      </c>
      <c r="T3360" s="14"/>
      <c r="U3360" s="14"/>
      <c r="V3360" s="51"/>
      <c r="W3360" s="14"/>
      <c r="X3360" s="126"/>
      <c r="Y3360" s="127"/>
      <c r="Z3360" s="18" t="str">
        <f t="shared" si="1005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1"/>
        <v>34015877.71150443</v>
      </c>
      <c r="AJ3360" s="19">
        <f t="shared" si="992"/>
        <v>4446292.375441948</v>
      </c>
      <c r="AK3360" s="20">
        <f t="shared" si="998"/>
        <v>0.13071226364205143</v>
      </c>
      <c r="AL3360" s="55"/>
      <c r="AM3360" s="55"/>
      <c r="AN3360" s="55"/>
      <c r="AO3360" s="55"/>
      <c r="AP3360" s="28" t="str">
        <f t="shared" si="999"/>
        <v>20197</v>
      </c>
      <c r="AQ3360" s="28" t="str">
        <f t="shared" si="1000"/>
        <v/>
      </c>
      <c r="AR3360" s="206" t="str">
        <f t="shared" si="1001"/>
        <v>C66 SERVICE</v>
      </c>
      <c r="AS3360" s="22" t="str">
        <f t="shared" si="1002"/>
        <v/>
      </c>
      <c r="AT3360" s="24" t="str">
        <f t="shared" si="1003"/>
        <v/>
      </c>
      <c r="AU3360" s="22">
        <v>0</v>
      </c>
    </row>
    <row r="3361" spans="1:47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47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42</v>
      </c>
      <c r="M3361" s="13" t="s">
        <v>43</v>
      </c>
      <c r="N3361" s="13">
        <v>0</v>
      </c>
      <c r="O3361" s="125"/>
      <c r="P3361" s="33" t="str">
        <f t="shared" si="1004"/>
        <v>C66 SERVICE/OTHERS</v>
      </c>
      <c r="Q3361" s="152" t="s">
        <v>44</v>
      </c>
      <c r="R3361" s="13" t="s">
        <v>45</v>
      </c>
      <c r="S3361" s="13" t="s">
        <v>46</v>
      </c>
      <c r="T3361" s="14"/>
      <c r="U3361" s="14"/>
      <c r="V3361" s="51"/>
      <c r="W3361" s="14"/>
      <c r="X3361" s="126"/>
      <c r="Y3361" s="127"/>
      <c r="Z3361" s="18" t="str">
        <f t="shared" si="1005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1"/>
        <v>31296887.037898075</v>
      </c>
      <c r="AJ3361" s="19">
        <f t="shared" si="992"/>
        <v>3588873.9502021763</v>
      </c>
      <c r="AK3361" s="20">
        <f t="shared" si="998"/>
        <v>0.11467191436184473</v>
      </c>
      <c r="AL3361" s="55"/>
      <c r="AM3361" s="55"/>
      <c r="AN3361" s="55"/>
      <c r="AO3361" s="55"/>
      <c r="AP3361" s="28" t="str">
        <f t="shared" si="999"/>
        <v>20196</v>
      </c>
      <c r="AQ3361" s="28" t="str">
        <f t="shared" si="1000"/>
        <v/>
      </c>
      <c r="AR3361" s="206" t="str">
        <f t="shared" si="1001"/>
        <v>C66 SERVICE</v>
      </c>
      <c r="AS3361" s="22" t="str">
        <f t="shared" si="1002"/>
        <v/>
      </c>
      <c r="AT3361" s="24" t="str">
        <f t="shared" si="1003"/>
        <v/>
      </c>
      <c r="AU3361" s="22">
        <v>0</v>
      </c>
    </row>
    <row r="3362" spans="1:47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47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42</v>
      </c>
      <c r="M3362" s="13" t="s">
        <v>43</v>
      </c>
      <c r="N3362" s="13">
        <v>0</v>
      </c>
      <c r="O3362" s="125"/>
      <c r="P3362" s="33" t="str">
        <f t="shared" si="1004"/>
        <v>C66 SERVICE/OTHERS</v>
      </c>
      <c r="Q3362" s="152" t="s">
        <v>44</v>
      </c>
      <c r="R3362" s="13" t="s">
        <v>45</v>
      </c>
      <c r="S3362" s="13" t="s">
        <v>46</v>
      </c>
      <c r="T3362" s="14"/>
      <c r="U3362" s="14"/>
      <c r="V3362" s="51"/>
      <c r="W3362" s="14"/>
      <c r="X3362" s="126"/>
      <c r="Y3362" s="127"/>
      <c r="Z3362" s="18" t="str">
        <f t="shared" si="1005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1"/>
        <v>14593788.187146019</v>
      </c>
      <c r="AJ3362" s="19">
        <f t="shared" si="992"/>
        <v>1868647.7321969916</v>
      </c>
      <c r="AK3362" s="20">
        <f t="shared" si="998"/>
        <v>0.12804404916900652</v>
      </c>
      <c r="AL3362" s="55"/>
      <c r="AM3362" s="55"/>
      <c r="AN3362" s="55"/>
      <c r="AO3362" s="55"/>
      <c r="AP3362" s="28" t="str">
        <f t="shared" si="999"/>
        <v>20195</v>
      </c>
      <c r="AQ3362" s="28" t="str">
        <f t="shared" si="1000"/>
        <v/>
      </c>
      <c r="AR3362" s="206" t="str">
        <f t="shared" si="1001"/>
        <v>C66 SERVICE</v>
      </c>
      <c r="AS3362" s="22" t="str">
        <f t="shared" si="1002"/>
        <v/>
      </c>
      <c r="AT3362" s="24" t="str">
        <f t="shared" si="1003"/>
        <v/>
      </c>
      <c r="AU3362" s="22">
        <v>0</v>
      </c>
    </row>
    <row r="3363" spans="1:47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47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42</v>
      </c>
      <c r="M3363" s="13" t="s">
        <v>43</v>
      </c>
      <c r="N3363" s="13">
        <v>0</v>
      </c>
      <c r="O3363" s="125"/>
      <c r="P3363" s="33" t="str">
        <f t="shared" si="1004"/>
        <v>C66 SERVICE/OTHERS</v>
      </c>
      <c r="Q3363" s="152" t="s">
        <v>44</v>
      </c>
      <c r="R3363" s="13" t="s">
        <v>45</v>
      </c>
      <c r="S3363" s="13" t="s">
        <v>46</v>
      </c>
      <c r="T3363" s="14"/>
      <c r="U3363" s="14"/>
      <c r="V3363" s="51"/>
      <c r="W3363" s="14"/>
      <c r="X3363" s="126"/>
      <c r="Y3363" s="127"/>
      <c r="Z3363" s="18" t="str">
        <f t="shared" si="1005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1"/>
        <v>32843736.557277881</v>
      </c>
      <c r="AJ3363" s="19">
        <f t="shared" si="992"/>
        <v>3921470.6822663117</v>
      </c>
      <c r="AK3363" s="20">
        <f t="shared" si="998"/>
        <v>0.11939782416131177</v>
      </c>
      <c r="AL3363" s="55"/>
      <c r="AM3363" s="55"/>
      <c r="AN3363" s="55"/>
      <c r="AO3363" s="55"/>
      <c r="AP3363" s="28" t="str">
        <f t="shared" si="999"/>
        <v>20194</v>
      </c>
      <c r="AQ3363" s="28" t="str">
        <f t="shared" si="1000"/>
        <v/>
      </c>
      <c r="AR3363" s="206" t="str">
        <f t="shared" si="1001"/>
        <v>C66 SERVICE</v>
      </c>
      <c r="AS3363" s="22" t="str">
        <f t="shared" si="1002"/>
        <v/>
      </c>
      <c r="AT3363" s="24" t="str">
        <f t="shared" si="1003"/>
        <v/>
      </c>
      <c r="AU3363" s="22">
        <v>0</v>
      </c>
    </row>
    <row r="3364" spans="1:47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41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42</v>
      </c>
      <c r="M3364" s="13" t="s">
        <v>43</v>
      </c>
      <c r="N3364" s="13">
        <v>0</v>
      </c>
      <c r="O3364" s="125"/>
      <c r="P3364" s="33" t="str">
        <f t="shared" si="1004"/>
        <v>C66 SERVICE/OTHERS</v>
      </c>
      <c r="Q3364" s="152" t="s">
        <v>44</v>
      </c>
      <c r="R3364" s="13" t="s">
        <v>45</v>
      </c>
      <c r="S3364" s="13" t="s">
        <v>46</v>
      </c>
      <c r="T3364" s="14"/>
      <c r="U3364" s="14"/>
      <c r="V3364" s="51"/>
      <c r="W3364" s="14"/>
      <c r="X3364" s="126"/>
      <c r="Y3364" s="127"/>
      <c r="Z3364" s="18" t="str">
        <f t="shared" si="1005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1"/>
        <v>47416008.333399981</v>
      </c>
      <c r="AJ3364" s="19">
        <f t="shared" si="992"/>
        <v>6981738.4465290187</v>
      </c>
      <c r="AK3364" s="20">
        <f t="shared" si="998"/>
        <v>0.14724433143839863</v>
      </c>
      <c r="AL3364" s="55"/>
      <c r="AM3364" s="55"/>
      <c r="AN3364" s="55"/>
      <c r="AO3364" s="55"/>
      <c r="AP3364" s="28" t="str">
        <f t="shared" si="999"/>
        <v>20193</v>
      </c>
      <c r="AQ3364" s="28" t="str">
        <f t="shared" si="1000"/>
        <v/>
      </c>
      <c r="AR3364" s="206" t="str">
        <f t="shared" si="1001"/>
        <v>C66 SERVICE</v>
      </c>
      <c r="AS3364" s="22" t="str">
        <f t="shared" si="1002"/>
        <v/>
      </c>
      <c r="AT3364" s="24" t="str">
        <f t="shared" si="1003"/>
        <v/>
      </c>
      <c r="AU3364" s="22">
        <v>0</v>
      </c>
    </row>
    <row r="3365" spans="1:47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41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42</v>
      </c>
      <c r="M3365" s="13" t="s">
        <v>43</v>
      </c>
      <c r="N3365" s="13">
        <v>0</v>
      </c>
      <c r="O3365" s="125"/>
      <c r="P3365" s="33" t="str">
        <f t="shared" si="1004"/>
        <v>C66 SERVICE/OTHERS</v>
      </c>
      <c r="Q3365" s="152" t="s">
        <v>44</v>
      </c>
      <c r="R3365" s="13" t="s">
        <v>45</v>
      </c>
      <c r="S3365" s="13" t="s">
        <v>46</v>
      </c>
      <c r="T3365" s="14"/>
      <c r="U3365" s="14"/>
      <c r="V3365" s="51"/>
      <c r="W3365" s="14"/>
      <c r="X3365" s="126"/>
      <c r="Y3365" s="127"/>
      <c r="Z3365" s="18" t="str">
        <f t="shared" si="1005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1"/>
        <v>16455710.386637932</v>
      </c>
      <c r="AJ3365" s="19">
        <f t="shared" si="992"/>
        <v>2150644.6466930606</v>
      </c>
      <c r="AK3365" s="20">
        <f t="shared" si="998"/>
        <v>0.13069290818580451</v>
      </c>
      <c r="AL3365" s="55"/>
      <c r="AM3365" s="55"/>
      <c r="AN3365" s="55"/>
      <c r="AO3365" s="55"/>
      <c r="AP3365" s="28" t="str">
        <f t="shared" si="999"/>
        <v>20192</v>
      </c>
      <c r="AQ3365" s="28" t="str">
        <f t="shared" si="1000"/>
        <v/>
      </c>
      <c r="AR3365" s="206" t="str">
        <f t="shared" si="1001"/>
        <v>C66 SERVICE</v>
      </c>
      <c r="AS3365" s="22" t="str">
        <f t="shared" si="1002"/>
        <v/>
      </c>
      <c r="AT3365" s="24" t="str">
        <f t="shared" si="1003"/>
        <v/>
      </c>
      <c r="AU3365" s="22">
        <v>0</v>
      </c>
    </row>
    <row r="3366" spans="1:47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41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42</v>
      </c>
      <c r="M3366" s="13" t="s">
        <v>43</v>
      </c>
      <c r="N3366" s="13">
        <v>0</v>
      </c>
      <c r="O3366" s="125"/>
      <c r="P3366" s="33" t="str">
        <f t="shared" si="1004"/>
        <v>C66 SERVICE/OTHERS</v>
      </c>
      <c r="Q3366" s="152" t="s">
        <v>44</v>
      </c>
      <c r="R3366" s="13" t="s">
        <v>45</v>
      </c>
      <c r="S3366" s="13" t="s">
        <v>46</v>
      </c>
      <c r="T3366" s="14"/>
      <c r="U3366" s="14"/>
      <c r="V3366" s="51"/>
      <c r="W3366" s="14"/>
      <c r="X3366" s="126"/>
      <c r="Y3366" s="127"/>
      <c r="Z3366" s="18" t="str">
        <f t="shared" si="1005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1"/>
        <v>23237072.69172414</v>
      </c>
      <c r="AJ3366" s="19">
        <f t="shared" si="992"/>
        <v>2402195.7372206897</v>
      </c>
      <c r="AK3366" s="20">
        <f t="shared" si="998"/>
        <v>0.10337772614862238</v>
      </c>
      <c r="AL3366" s="55"/>
      <c r="AM3366" s="55"/>
      <c r="AN3366" s="55"/>
      <c r="AO3366" s="55"/>
      <c r="AP3366" s="28" t="str">
        <f t="shared" si="999"/>
        <v>20191</v>
      </c>
      <c r="AQ3366" s="28" t="str">
        <f t="shared" si="1000"/>
        <v/>
      </c>
      <c r="AR3366" s="206" t="str">
        <f t="shared" si="1001"/>
        <v>C66 SERVICE</v>
      </c>
      <c r="AS3366" s="22" t="str">
        <f t="shared" si="1002"/>
        <v/>
      </c>
      <c r="AT3366" s="24" t="str">
        <f t="shared" si="1003"/>
        <v/>
      </c>
      <c r="AU3366" s="22">
        <v>0</v>
      </c>
    </row>
    <row r="3367" spans="1:47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48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42</v>
      </c>
      <c r="M3367" s="13" t="s">
        <v>43</v>
      </c>
      <c r="N3367" s="13">
        <v>0</v>
      </c>
      <c r="O3367" s="125"/>
      <c r="P3367" s="33" t="str">
        <f t="shared" si="1004"/>
        <v>C66 SERVICE/OTHERS</v>
      </c>
      <c r="Q3367" s="152" t="s">
        <v>44</v>
      </c>
      <c r="R3367" s="13" t="s">
        <v>45</v>
      </c>
      <c r="S3367" s="13" t="s">
        <v>49</v>
      </c>
      <c r="T3367" s="14"/>
      <c r="U3367" s="14"/>
      <c r="V3367" s="51"/>
      <c r="W3367" s="14"/>
      <c r="X3367" s="126"/>
      <c r="Y3367" s="127"/>
      <c r="Z3367" s="18" t="str">
        <f t="shared" si="1005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1"/>
        <v>48763143.537654862</v>
      </c>
      <c r="AJ3367" s="19">
        <f t="shared" si="992"/>
        <v>5924029.9702154724</v>
      </c>
      <c r="AK3367" s="20">
        <f t="shared" si="998"/>
        <v>0.1214858095774925</v>
      </c>
      <c r="AL3367" s="55"/>
      <c r="AM3367" s="55"/>
      <c r="AN3367" s="55"/>
      <c r="AO3367" s="55"/>
      <c r="AP3367" s="28" t="str">
        <f t="shared" si="999"/>
        <v>202012</v>
      </c>
      <c r="AQ3367" s="28" t="str">
        <f t="shared" si="1000"/>
        <v/>
      </c>
      <c r="AR3367" s="206" t="str">
        <f t="shared" si="1001"/>
        <v>C66 SERVICE</v>
      </c>
      <c r="AS3367" s="22" t="str">
        <f t="shared" si="1002"/>
        <v/>
      </c>
      <c r="AT3367" s="24" t="str">
        <f t="shared" si="1003"/>
        <v/>
      </c>
      <c r="AU3367" s="22">
        <v>0</v>
      </c>
    </row>
    <row r="3368" spans="1:47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48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42</v>
      </c>
      <c r="M3368" s="13" t="s">
        <v>43</v>
      </c>
      <c r="N3368" s="13">
        <v>0</v>
      </c>
      <c r="O3368" s="125"/>
      <c r="P3368" s="33" t="str">
        <f t="shared" si="1004"/>
        <v>C66 SERVICE/OTHERS</v>
      </c>
      <c r="Q3368" s="152" t="s">
        <v>44</v>
      </c>
      <c r="R3368" s="13" t="s">
        <v>45</v>
      </c>
      <c r="S3368" s="13" t="s">
        <v>50</v>
      </c>
      <c r="T3368" s="14"/>
      <c r="U3368" s="14"/>
      <c r="V3368" s="51"/>
      <c r="W3368" s="14"/>
      <c r="X3368" s="126"/>
      <c r="Y3368" s="127"/>
      <c r="Z3368" s="18" t="str">
        <f t="shared" si="1005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1"/>
        <v>48763143.537654862</v>
      </c>
      <c r="AJ3368" s="19">
        <f t="shared" si="992"/>
        <v>5924029.9702154724</v>
      </c>
      <c r="AK3368" s="20">
        <f t="shared" si="998"/>
        <v>0.1214858095774925</v>
      </c>
      <c r="AL3368" s="55"/>
      <c r="AM3368" s="55"/>
      <c r="AN3368" s="55"/>
      <c r="AO3368" s="55"/>
      <c r="AP3368" s="28" t="str">
        <f t="shared" si="999"/>
        <v>202012</v>
      </c>
      <c r="AQ3368" s="28" t="str">
        <f t="shared" si="1000"/>
        <v/>
      </c>
      <c r="AR3368" s="206" t="str">
        <f t="shared" si="1001"/>
        <v>C66 SERVICE</v>
      </c>
      <c r="AS3368" s="22" t="str">
        <f t="shared" si="1002"/>
        <v/>
      </c>
      <c r="AT3368" s="24" t="str">
        <f t="shared" si="1003"/>
        <v/>
      </c>
      <c r="AU3368" s="22">
        <v>0</v>
      </c>
    </row>
    <row r="3369" spans="1:47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48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42</v>
      </c>
      <c r="M3369" s="13" t="s">
        <v>43</v>
      </c>
      <c r="N3369" s="13">
        <v>0</v>
      </c>
      <c r="O3369" s="125"/>
      <c r="P3369" s="33" t="str">
        <f t="shared" si="1004"/>
        <v>C66 SERVICE/OTHERS</v>
      </c>
      <c r="Q3369" s="152" t="s">
        <v>44</v>
      </c>
      <c r="R3369" s="13" t="s">
        <v>45</v>
      </c>
      <c r="S3369" s="13" t="s">
        <v>51</v>
      </c>
      <c r="T3369" s="14"/>
      <c r="U3369" s="14"/>
      <c r="V3369" s="51"/>
      <c r="W3369" s="14"/>
      <c r="X3369" s="126"/>
      <c r="Y3369" s="127"/>
      <c r="Z3369" s="18" t="str">
        <f t="shared" si="1005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1"/>
        <v>48763143.537654862</v>
      </c>
      <c r="AJ3369" s="19">
        <f t="shared" si="992"/>
        <v>5924029.9702154724</v>
      </c>
      <c r="AK3369" s="20">
        <f t="shared" si="998"/>
        <v>0.1214858095774925</v>
      </c>
      <c r="AL3369" s="55"/>
      <c r="AM3369" s="55"/>
      <c r="AN3369" s="55"/>
      <c r="AO3369" s="55"/>
      <c r="AP3369" s="28" t="str">
        <f t="shared" si="999"/>
        <v>202012</v>
      </c>
      <c r="AQ3369" s="28" t="str">
        <f t="shared" si="1000"/>
        <v/>
      </c>
      <c r="AR3369" s="206" t="str">
        <f t="shared" si="1001"/>
        <v>C66 SERVICE</v>
      </c>
      <c r="AS3369" s="22" t="str">
        <f t="shared" si="1002"/>
        <v/>
      </c>
      <c r="AT3369" s="24" t="str">
        <f t="shared" si="1003"/>
        <v/>
      </c>
      <c r="AU3369" s="22">
        <v>0</v>
      </c>
    </row>
    <row r="3370" spans="1:47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48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42</v>
      </c>
      <c r="M3370" s="13" t="s">
        <v>43</v>
      </c>
      <c r="N3370" s="13">
        <v>0</v>
      </c>
      <c r="O3370" s="125"/>
      <c r="P3370" s="33" t="str">
        <f t="shared" si="1004"/>
        <v>C66 SERVICE/OTHERS</v>
      </c>
      <c r="Q3370" s="152" t="s">
        <v>44</v>
      </c>
      <c r="R3370" s="13" t="s">
        <v>45</v>
      </c>
      <c r="S3370" s="13" t="s">
        <v>52</v>
      </c>
      <c r="T3370" s="14"/>
      <c r="U3370" s="14"/>
      <c r="V3370" s="51"/>
      <c r="W3370" s="14"/>
      <c r="X3370" s="126"/>
      <c r="Y3370" s="127"/>
      <c r="Z3370" s="18" t="str">
        <f t="shared" si="1005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1"/>
        <v>48763143.537654862</v>
      </c>
      <c r="AJ3370" s="19">
        <f t="shared" si="992"/>
        <v>5924029.9702154724</v>
      </c>
      <c r="AK3370" s="20">
        <f t="shared" si="998"/>
        <v>0.1214858095774925</v>
      </c>
      <c r="AL3370" s="55"/>
      <c r="AM3370" s="55"/>
      <c r="AN3370" s="55"/>
      <c r="AO3370" s="55"/>
      <c r="AP3370" s="28" t="str">
        <f t="shared" si="999"/>
        <v>202012</v>
      </c>
      <c r="AQ3370" s="28" t="str">
        <f t="shared" si="1000"/>
        <v/>
      </c>
      <c r="AR3370" s="206" t="str">
        <f t="shared" si="1001"/>
        <v>C66 SERVICE</v>
      </c>
      <c r="AS3370" s="22" t="str">
        <f t="shared" si="1002"/>
        <v/>
      </c>
      <c r="AT3370" s="24" t="str">
        <f t="shared" si="1003"/>
        <v/>
      </c>
      <c r="AU3370" s="22">
        <v>0</v>
      </c>
    </row>
    <row r="3371" spans="1:47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48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42</v>
      </c>
      <c r="M3371" s="13" t="s">
        <v>43</v>
      </c>
      <c r="N3371" s="13">
        <v>0</v>
      </c>
      <c r="O3371" s="125"/>
      <c r="P3371" s="33" t="str">
        <f t="shared" si="1004"/>
        <v>C66 SERVICE/OTHERS</v>
      </c>
      <c r="Q3371" s="152" t="s">
        <v>44</v>
      </c>
      <c r="R3371" s="13" t="s">
        <v>45</v>
      </c>
      <c r="S3371" s="13" t="s">
        <v>49</v>
      </c>
      <c r="T3371" s="14"/>
      <c r="U3371" s="14"/>
      <c r="V3371" s="51"/>
      <c r="W3371" s="14"/>
      <c r="X3371" s="126"/>
      <c r="Y3371" s="127"/>
      <c r="Z3371" s="18" t="str">
        <f t="shared" si="1005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1"/>
        <v>44078731.611185849</v>
      </c>
      <c r="AJ3371" s="19">
        <f t="shared" si="992"/>
        <v>5508173.2163771465</v>
      </c>
      <c r="AK3371" s="20">
        <f t="shared" si="998"/>
        <v>0.12496215328889679</v>
      </c>
      <c r="AL3371" s="55"/>
      <c r="AM3371" s="55"/>
      <c r="AN3371" s="55"/>
      <c r="AO3371" s="55"/>
      <c r="AP3371" s="28" t="str">
        <f t="shared" si="999"/>
        <v>202011</v>
      </c>
      <c r="AQ3371" s="28" t="str">
        <f t="shared" si="1000"/>
        <v/>
      </c>
      <c r="AR3371" s="206" t="str">
        <f t="shared" si="1001"/>
        <v>C66 SERVICE</v>
      </c>
      <c r="AS3371" s="22" t="str">
        <f t="shared" si="1002"/>
        <v/>
      </c>
      <c r="AT3371" s="24" t="str">
        <f t="shared" si="1003"/>
        <v/>
      </c>
      <c r="AU3371" s="22">
        <v>0</v>
      </c>
    </row>
    <row r="3372" spans="1:47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48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42</v>
      </c>
      <c r="M3372" s="13" t="s">
        <v>43</v>
      </c>
      <c r="N3372" s="13">
        <v>0</v>
      </c>
      <c r="O3372" s="125"/>
      <c r="P3372" s="33" t="str">
        <f t="shared" si="1004"/>
        <v>C66 SERVICE/OTHERS</v>
      </c>
      <c r="Q3372" s="152" t="s">
        <v>44</v>
      </c>
      <c r="R3372" s="13" t="s">
        <v>45</v>
      </c>
      <c r="S3372" s="13" t="s">
        <v>50</v>
      </c>
      <c r="T3372" s="14"/>
      <c r="U3372" s="14"/>
      <c r="V3372" s="51"/>
      <c r="W3372" s="14"/>
      <c r="X3372" s="126"/>
      <c r="Y3372" s="127"/>
      <c r="Z3372" s="18" t="str">
        <f t="shared" si="1005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1"/>
        <v>44078731.611185849</v>
      </c>
      <c r="AJ3372" s="19">
        <f t="shared" si="992"/>
        <v>5508173.2163771465</v>
      </c>
      <c r="AK3372" s="20">
        <f t="shared" si="998"/>
        <v>0.12496215328889679</v>
      </c>
      <c r="AL3372" s="55"/>
      <c r="AM3372" s="55"/>
      <c r="AN3372" s="55"/>
      <c r="AO3372" s="55"/>
      <c r="AP3372" s="28" t="str">
        <f t="shared" si="999"/>
        <v>202011</v>
      </c>
      <c r="AQ3372" s="28" t="str">
        <f t="shared" si="1000"/>
        <v/>
      </c>
      <c r="AR3372" s="206" t="str">
        <f t="shared" si="1001"/>
        <v>C66 SERVICE</v>
      </c>
      <c r="AS3372" s="22" t="str">
        <f t="shared" si="1002"/>
        <v/>
      </c>
      <c r="AT3372" s="24" t="str">
        <f t="shared" si="1003"/>
        <v/>
      </c>
      <c r="AU3372" s="22">
        <v>0</v>
      </c>
    </row>
    <row r="3373" spans="1:47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48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42</v>
      </c>
      <c r="M3373" s="13" t="s">
        <v>43</v>
      </c>
      <c r="N3373" s="13">
        <v>0</v>
      </c>
      <c r="O3373" s="125"/>
      <c r="P3373" s="33" t="str">
        <f t="shared" si="1004"/>
        <v>C66 SERVICE/OTHERS</v>
      </c>
      <c r="Q3373" s="152" t="s">
        <v>44</v>
      </c>
      <c r="R3373" s="13" t="s">
        <v>45</v>
      </c>
      <c r="S3373" s="13" t="s">
        <v>51</v>
      </c>
      <c r="T3373" s="14"/>
      <c r="U3373" s="14"/>
      <c r="V3373" s="51"/>
      <c r="W3373" s="14"/>
      <c r="X3373" s="126"/>
      <c r="Y3373" s="127"/>
      <c r="Z3373" s="18" t="str">
        <f t="shared" si="1005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1"/>
        <v>44078731.611185849</v>
      </c>
      <c r="AJ3373" s="19">
        <f t="shared" si="992"/>
        <v>5508173.2163771465</v>
      </c>
      <c r="AK3373" s="20">
        <f t="shared" si="998"/>
        <v>0.12496215328889679</v>
      </c>
      <c r="AL3373" s="55"/>
      <c r="AM3373" s="55"/>
      <c r="AN3373" s="55"/>
      <c r="AO3373" s="55"/>
      <c r="AP3373" s="28" t="str">
        <f t="shared" si="999"/>
        <v>202011</v>
      </c>
      <c r="AQ3373" s="28" t="str">
        <f t="shared" si="1000"/>
        <v/>
      </c>
      <c r="AR3373" s="206" t="str">
        <f t="shared" si="1001"/>
        <v>C66 SERVICE</v>
      </c>
      <c r="AS3373" s="22" t="str">
        <f t="shared" si="1002"/>
        <v/>
      </c>
      <c r="AT3373" s="24" t="str">
        <f t="shared" si="1003"/>
        <v/>
      </c>
      <c r="AU3373" s="22">
        <v>0</v>
      </c>
    </row>
    <row r="3374" spans="1:47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48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42</v>
      </c>
      <c r="M3374" s="13" t="s">
        <v>43</v>
      </c>
      <c r="N3374" s="13">
        <v>0</v>
      </c>
      <c r="O3374" s="125"/>
      <c r="P3374" s="33" t="str">
        <f t="shared" si="1004"/>
        <v>C66 SERVICE/OTHERS</v>
      </c>
      <c r="Q3374" s="152" t="s">
        <v>44</v>
      </c>
      <c r="R3374" s="13" t="s">
        <v>45</v>
      </c>
      <c r="S3374" s="13" t="s">
        <v>52</v>
      </c>
      <c r="T3374" s="14"/>
      <c r="U3374" s="14"/>
      <c r="V3374" s="51"/>
      <c r="W3374" s="14"/>
      <c r="X3374" s="126"/>
      <c r="Y3374" s="127"/>
      <c r="Z3374" s="18" t="str">
        <f t="shared" si="1005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1"/>
        <v>44078731.611185849</v>
      </c>
      <c r="AJ3374" s="19">
        <f t="shared" si="992"/>
        <v>5508173.2163771465</v>
      </c>
      <c r="AK3374" s="20">
        <f t="shared" si="998"/>
        <v>0.12496215328889679</v>
      </c>
      <c r="AL3374" s="55"/>
      <c r="AM3374" s="55"/>
      <c r="AN3374" s="55"/>
      <c r="AO3374" s="55"/>
      <c r="AP3374" s="28" t="str">
        <f t="shared" si="999"/>
        <v>202011</v>
      </c>
      <c r="AQ3374" s="28" t="str">
        <f t="shared" si="1000"/>
        <v/>
      </c>
      <c r="AR3374" s="206" t="str">
        <f t="shared" si="1001"/>
        <v>C66 SERVICE</v>
      </c>
      <c r="AS3374" s="22" t="str">
        <f t="shared" si="1002"/>
        <v/>
      </c>
      <c r="AT3374" s="24" t="str">
        <f t="shared" si="1003"/>
        <v/>
      </c>
      <c r="AU3374" s="22">
        <v>0</v>
      </c>
    </row>
    <row r="3375" spans="1:47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48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42</v>
      </c>
      <c r="M3375" s="13" t="s">
        <v>43</v>
      </c>
      <c r="N3375" s="13">
        <v>0</v>
      </c>
      <c r="O3375" s="125"/>
      <c r="P3375" s="33" t="str">
        <f t="shared" si="1004"/>
        <v>C66 SERVICE/OTHERS</v>
      </c>
      <c r="Q3375" s="152" t="s">
        <v>44</v>
      </c>
      <c r="R3375" s="13" t="s">
        <v>45</v>
      </c>
      <c r="S3375" s="13" t="s">
        <v>49</v>
      </c>
      <c r="T3375" s="14"/>
      <c r="U3375" s="14"/>
      <c r="V3375" s="51"/>
      <c r="W3375" s="14"/>
      <c r="X3375" s="126"/>
      <c r="Y3375" s="127"/>
      <c r="Z3375" s="18" t="str">
        <f t="shared" si="1005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1"/>
        <v>28011162.254106201</v>
      </c>
      <c r="AJ3375" s="19">
        <f t="shared" si="992"/>
        <v>3401347.1124888416</v>
      </c>
      <c r="AK3375" s="20">
        <f t="shared" si="998"/>
        <v>0.12142827497242578</v>
      </c>
      <c r="AL3375" s="55"/>
      <c r="AM3375" s="55"/>
      <c r="AN3375" s="55"/>
      <c r="AO3375" s="55"/>
      <c r="AP3375" s="28" t="str">
        <f t="shared" si="999"/>
        <v>202010</v>
      </c>
      <c r="AQ3375" s="28" t="str">
        <f t="shared" si="1000"/>
        <v/>
      </c>
      <c r="AR3375" s="206" t="str">
        <f t="shared" si="1001"/>
        <v>C66 SERVICE</v>
      </c>
      <c r="AS3375" s="22" t="str">
        <f t="shared" si="1002"/>
        <v/>
      </c>
      <c r="AT3375" s="24" t="str">
        <f t="shared" si="1003"/>
        <v/>
      </c>
      <c r="AU3375" s="22">
        <v>0</v>
      </c>
    </row>
    <row r="3376" spans="1:47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48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42</v>
      </c>
      <c r="M3376" s="13" t="s">
        <v>43</v>
      </c>
      <c r="N3376" s="13">
        <v>0</v>
      </c>
      <c r="O3376" s="125"/>
      <c r="P3376" s="33" t="str">
        <f t="shared" si="1004"/>
        <v>C66 SERVICE/OTHERS</v>
      </c>
      <c r="Q3376" s="152" t="s">
        <v>44</v>
      </c>
      <c r="R3376" s="13" t="s">
        <v>45</v>
      </c>
      <c r="S3376" s="13" t="s">
        <v>50</v>
      </c>
      <c r="T3376" s="14"/>
      <c r="U3376" s="14"/>
      <c r="V3376" s="51"/>
      <c r="W3376" s="14"/>
      <c r="X3376" s="126"/>
      <c r="Y3376" s="127"/>
      <c r="Z3376" s="18" t="str">
        <f t="shared" si="1005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1"/>
        <v>28011162.254106201</v>
      </c>
      <c r="AJ3376" s="19">
        <f t="shared" si="992"/>
        <v>3401347.1124888416</v>
      </c>
      <c r="AK3376" s="20">
        <f t="shared" si="998"/>
        <v>0.12142827497242578</v>
      </c>
      <c r="AL3376" s="55"/>
      <c r="AM3376" s="55"/>
      <c r="AN3376" s="55"/>
      <c r="AO3376" s="55"/>
      <c r="AP3376" s="28" t="str">
        <f t="shared" si="999"/>
        <v>202010</v>
      </c>
      <c r="AQ3376" s="28" t="str">
        <f t="shared" si="1000"/>
        <v/>
      </c>
      <c r="AR3376" s="206" t="str">
        <f t="shared" si="1001"/>
        <v>C66 SERVICE</v>
      </c>
      <c r="AS3376" s="22" t="str">
        <f t="shared" si="1002"/>
        <v/>
      </c>
      <c r="AT3376" s="24" t="str">
        <f t="shared" si="1003"/>
        <v/>
      </c>
      <c r="AU3376" s="22">
        <v>0</v>
      </c>
    </row>
    <row r="3377" spans="1:47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48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42</v>
      </c>
      <c r="M3377" s="13" t="s">
        <v>43</v>
      </c>
      <c r="N3377" s="13">
        <v>0</v>
      </c>
      <c r="O3377" s="125"/>
      <c r="P3377" s="33" t="str">
        <f t="shared" si="1004"/>
        <v>C66 SERVICE/OTHERS</v>
      </c>
      <c r="Q3377" s="152" t="s">
        <v>44</v>
      </c>
      <c r="R3377" s="13" t="s">
        <v>45</v>
      </c>
      <c r="S3377" s="13" t="s">
        <v>51</v>
      </c>
      <c r="T3377" s="14"/>
      <c r="U3377" s="14"/>
      <c r="V3377" s="51"/>
      <c r="W3377" s="14"/>
      <c r="X3377" s="126"/>
      <c r="Y3377" s="127"/>
      <c r="Z3377" s="18" t="str">
        <f t="shared" si="1005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1"/>
        <v>28011162.254106201</v>
      </c>
      <c r="AJ3377" s="19">
        <f t="shared" si="992"/>
        <v>3401347.1124888416</v>
      </c>
      <c r="AK3377" s="20">
        <f t="shared" si="998"/>
        <v>0.12142827497242578</v>
      </c>
      <c r="AL3377" s="55"/>
      <c r="AM3377" s="55"/>
      <c r="AN3377" s="55"/>
      <c r="AO3377" s="55"/>
      <c r="AP3377" s="28" t="str">
        <f t="shared" si="999"/>
        <v>202010</v>
      </c>
      <c r="AQ3377" s="28" t="str">
        <f t="shared" si="1000"/>
        <v/>
      </c>
      <c r="AR3377" s="206" t="str">
        <f t="shared" si="1001"/>
        <v>C66 SERVICE</v>
      </c>
      <c r="AS3377" s="22" t="str">
        <f t="shared" si="1002"/>
        <v/>
      </c>
      <c r="AT3377" s="24" t="str">
        <f t="shared" si="1003"/>
        <v/>
      </c>
      <c r="AU3377" s="22">
        <v>0</v>
      </c>
    </row>
    <row r="3378" spans="1:47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48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42</v>
      </c>
      <c r="M3378" s="13" t="s">
        <v>43</v>
      </c>
      <c r="N3378" s="13">
        <v>0</v>
      </c>
      <c r="O3378" s="125"/>
      <c r="P3378" s="33" t="str">
        <f t="shared" si="1004"/>
        <v>C66 SERVICE/OTHERS</v>
      </c>
      <c r="Q3378" s="152" t="s">
        <v>44</v>
      </c>
      <c r="R3378" s="13" t="s">
        <v>45</v>
      </c>
      <c r="S3378" s="13" t="s">
        <v>52</v>
      </c>
      <c r="T3378" s="14"/>
      <c r="U3378" s="14"/>
      <c r="V3378" s="51"/>
      <c r="W3378" s="14"/>
      <c r="X3378" s="126"/>
      <c r="Y3378" s="127"/>
      <c r="Z3378" s="18" t="str">
        <f t="shared" si="1005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1"/>
        <v>28011162.254106201</v>
      </c>
      <c r="AJ3378" s="19">
        <f t="shared" si="992"/>
        <v>3401347.1124888416</v>
      </c>
      <c r="AK3378" s="20">
        <f t="shared" si="998"/>
        <v>0.12142827497242578</v>
      </c>
      <c r="AL3378" s="55"/>
      <c r="AM3378" s="55"/>
      <c r="AN3378" s="55"/>
      <c r="AO3378" s="55"/>
      <c r="AP3378" s="28" t="str">
        <f t="shared" si="999"/>
        <v>202010</v>
      </c>
      <c r="AQ3378" s="28" t="str">
        <f t="shared" si="1000"/>
        <v/>
      </c>
      <c r="AR3378" s="206" t="str">
        <f t="shared" si="1001"/>
        <v>C66 SERVICE</v>
      </c>
      <c r="AS3378" s="22" t="str">
        <f t="shared" si="1002"/>
        <v/>
      </c>
      <c r="AT3378" s="24" t="str">
        <f t="shared" si="1003"/>
        <v/>
      </c>
      <c r="AU3378" s="22">
        <v>0</v>
      </c>
    </row>
    <row r="3379" spans="1:47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48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42</v>
      </c>
      <c r="M3379" s="13" t="s">
        <v>43</v>
      </c>
      <c r="N3379" s="13">
        <v>0</v>
      </c>
      <c r="O3379" s="125"/>
      <c r="P3379" s="33" t="str">
        <f t="shared" si="1004"/>
        <v>C66 SERVICE/OTHERS</v>
      </c>
      <c r="Q3379" s="152" t="s">
        <v>44</v>
      </c>
      <c r="R3379" s="13" t="s">
        <v>45</v>
      </c>
      <c r="S3379" s="13" t="s">
        <v>49</v>
      </c>
      <c r="T3379" s="14"/>
      <c r="U3379" s="14"/>
      <c r="V3379" s="51"/>
      <c r="W3379" s="14"/>
      <c r="X3379" s="126"/>
      <c r="Y3379" s="127"/>
      <c r="Z3379" s="18" t="str">
        <f t="shared" si="1005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1"/>
        <v>47907808.356810622</v>
      </c>
      <c r="AJ3379" s="19">
        <f t="shared" si="992"/>
        <v>6027384.8806384448</v>
      </c>
      <c r="AK3379" s="20">
        <f t="shared" si="998"/>
        <v>0.12581216063459488</v>
      </c>
      <c r="AL3379" s="55"/>
      <c r="AM3379" s="55"/>
      <c r="AN3379" s="55"/>
      <c r="AO3379" s="55"/>
      <c r="AP3379" s="28" t="str">
        <f t="shared" si="999"/>
        <v>20209</v>
      </c>
      <c r="AQ3379" s="28" t="str">
        <f t="shared" si="1000"/>
        <v/>
      </c>
      <c r="AR3379" s="206" t="str">
        <f t="shared" si="1001"/>
        <v>C66 SERVICE</v>
      </c>
      <c r="AS3379" s="22" t="str">
        <f t="shared" si="1002"/>
        <v/>
      </c>
      <c r="AT3379" s="24" t="str">
        <f t="shared" si="1003"/>
        <v/>
      </c>
      <c r="AU3379" s="22">
        <v>0</v>
      </c>
    </row>
    <row r="3380" spans="1:47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48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42</v>
      </c>
      <c r="M3380" s="13" t="s">
        <v>43</v>
      </c>
      <c r="N3380" s="13">
        <v>0</v>
      </c>
      <c r="O3380" s="125"/>
      <c r="P3380" s="33" t="str">
        <f t="shared" si="1004"/>
        <v>C66 SERVICE/OTHERS</v>
      </c>
      <c r="Q3380" s="152" t="s">
        <v>44</v>
      </c>
      <c r="R3380" s="13" t="s">
        <v>45</v>
      </c>
      <c r="S3380" s="13" t="s">
        <v>50</v>
      </c>
      <c r="T3380" s="14"/>
      <c r="U3380" s="14"/>
      <c r="V3380" s="51"/>
      <c r="W3380" s="14"/>
      <c r="X3380" s="126"/>
      <c r="Y3380" s="127"/>
      <c r="Z3380" s="18" t="str">
        <f t="shared" si="1005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1"/>
        <v>47907808.356810622</v>
      </c>
      <c r="AJ3380" s="19">
        <f t="shared" si="992"/>
        <v>6027384.8806384448</v>
      </c>
      <c r="AK3380" s="20">
        <f t="shared" si="998"/>
        <v>0.12581216063459488</v>
      </c>
      <c r="AL3380" s="55"/>
      <c r="AM3380" s="55"/>
      <c r="AN3380" s="55"/>
      <c r="AO3380" s="55"/>
      <c r="AP3380" s="28" t="str">
        <f t="shared" si="999"/>
        <v>20209</v>
      </c>
      <c r="AQ3380" s="28" t="str">
        <f t="shared" si="1000"/>
        <v/>
      </c>
      <c r="AR3380" s="206" t="str">
        <f t="shared" si="1001"/>
        <v>C66 SERVICE</v>
      </c>
      <c r="AS3380" s="22" t="str">
        <f t="shared" si="1002"/>
        <v/>
      </c>
      <c r="AT3380" s="24" t="str">
        <f t="shared" si="1003"/>
        <v/>
      </c>
      <c r="AU3380" s="22">
        <v>0</v>
      </c>
    </row>
    <row r="3381" spans="1:47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48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42</v>
      </c>
      <c r="M3381" s="13" t="s">
        <v>43</v>
      </c>
      <c r="N3381" s="13">
        <v>0</v>
      </c>
      <c r="O3381" s="125"/>
      <c r="P3381" s="33" t="str">
        <f t="shared" si="1004"/>
        <v>C66 SERVICE/OTHERS</v>
      </c>
      <c r="Q3381" s="152" t="s">
        <v>44</v>
      </c>
      <c r="R3381" s="13" t="s">
        <v>45</v>
      </c>
      <c r="S3381" s="13" t="s">
        <v>51</v>
      </c>
      <c r="T3381" s="14"/>
      <c r="U3381" s="14"/>
      <c r="V3381" s="51"/>
      <c r="W3381" s="14"/>
      <c r="X3381" s="126"/>
      <c r="Y3381" s="127"/>
      <c r="Z3381" s="18" t="str">
        <f t="shared" si="1005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1"/>
        <v>47907808.356810622</v>
      </c>
      <c r="AJ3381" s="19">
        <f t="shared" si="992"/>
        <v>6027384.8806384448</v>
      </c>
      <c r="AK3381" s="20">
        <f t="shared" si="998"/>
        <v>0.12581216063459488</v>
      </c>
      <c r="AL3381" s="55"/>
      <c r="AM3381" s="55"/>
      <c r="AN3381" s="55"/>
      <c r="AO3381" s="55"/>
      <c r="AP3381" s="28" t="str">
        <f t="shared" si="999"/>
        <v>20209</v>
      </c>
      <c r="AQ3381" s="28" t="str">
        <f t="shared" si="1000"/>
        <v/>
      </c>
      <c r="AR3381" s="206" t="str">
        <f t="shared" si="1001"/>
        <v>C66 SERVICE</v>
      </c>
      <c r="AS3381" s="22" t="str">
        <f t="shared" si="1002"/>
        <v/>
      </c>
      <c r="AT3381" s="24" t="str">
        <f t="shared" si="1003"/>
        <v/>
      </c>
      <c r="AU3381" s="22">
        <v>0</v>
      </c>
    </row>
    <row r="3382" spans="1:47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48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42</v>
      </c>
      <c r="M3382" s="13" t="s">
        <v>43</v>
      </c>
      <c r="N3382" s="13">
        <v>0</v>
      </c>
      <c r="O3382" s="125"/>
      <c r="P3382" s="33" t="str">
        <f t="shared" si="1004"/>
        <v>C66 SERVICE/OTHERS</v>
      </c>
      <c r="Q3382" s="152" t="s">
        <v>44</v>
      </c>
      <c r="R3382" s="13" t="s">
        <v>45</v>
      </c>
      <c r="S3382" s="13" t="s">
        <v>52</v>
      </c>
      <c r="T3382" s="14"/>
      <c r="U3382" s="14"/>
      <c r="V3382" s="51"/>
      <c r="W3382" s="14"/>
      <c r="X3382" s="126"/>
      <c r="Y3382" s="127"/>
      <c r="Z3382" s="18" t="str">
        <f t="shared" si="1005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1"/>
        <v>47907808.356810622</v>
      </c>
      <c r="AJ3382" s="19">
        <f t="shared" si="992"/>
        <v>6027384.8806384448</v>
      </c>
      <c r="AK3382" s="20">
        <f t="shared" si="998"/>
        <v>0.12581216063459488</v>
      </c>
      <c r="AL3382" s="55"/>
      <c r="AM3382" s="55"/>
      <c r="AN3382" s="55"/>
      <c r="AO3382" s="55"/>
      <c r="AP3382" s="28" t="str">
        <f t="shared" si="999"/>
        <v>20209</v>
      </c>
      <c r="AQ3382" s="28" t="str">
        <f t="shared" si="1000"/>
        <v/>
      </c>
      <c r="AR3382" s="206" t="str">
        <f t="shared" si="1001"/>
        <v>C66 SERVICE</v>
      </c>
      <c r="AS3382" s="22" t="str">
        <f t="shared" si="1002"/>
        <v/>
      </c>
      <c r="AT3382" s="24" t="str">
        <f t="shared" si="1003"/>
        <v/>
      </c>
      <c r="AU3382" s="22">
        <v>0</v>
      </c>
    </row>
    <row r="3383" spans="1:47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48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42</v>
      </c>
      <c r="M3383" s="13" t="s">
        <v>43</v>
      </c>
      <c r="N3383" s="13">
        <v>0</v>
      </c>
      <c r="O3383" s="125"/>
      <c r="P3383" s="33" t="str">
        <f t="shared" si="1004"/>
        <v>C66 SERVICE/OTHERS</v>
      </c>
      <c r="Q3383" s="152" t="s">
        <v>44</v>
      </c>
      <c r="R3383" s="13" t="s">
        <v>45</v>
      </c>
      <c r="S3383" s="13" t="s">
        <v>49</v>
      </c>
      <c r="T3383" s="14"/>
      <c r="U3383" s="14"/>
      <c r="V3383" s="51"/>
      <c r="W3383" s="14"/>
      <c r="X3383" s="126"/>
      <c r="Y3383" s="127"/>
      <c r="Z3383" s="18" t="str">
        <f t="shared" si="1005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1"/>
        <v>37969334.083628319</v>
      </c>
      <c r="AJ3383" s="19">
        <f t="shared" si="992"/>
        <v>5097226.4551657084</v>
      </c>
      <c r="AK3383" s="20">
        <f t="shared" si="998"/>
        <v>0.13424587441904964</v>
      </c>
      <c r="AL3383" s="55"/>
      <c r="AM3383" s="55"/>
      <c r="AN3383" s="55"/>
      <c r="AO3383" s="55"/>
      <c r="AP3383" s="28" t="str">
        <f t="shared" si="999"/>
        <v>20208</v>
      </c>
      <c r="AQ3383" s="28" t="str">
        <f t="shared" si="1000"/>
        <v/>
      </c>
      <c r="AR3383" s="206" t="str">
        <f t="shared" si="1001"/>
        <v>C66 SERVICE</v>
      </c>
      <c r="AS3383" s="22" t="str">
        <f t="shared" si="1002"/>
        <v/>
      </c>
      <c r="AT3383" s="24" t="str">
        <f t="shared" si="1003"/>
        <v/>
      </c>
      <c r="AU3383" s="22">
        <v>0</v>
      </c>
    </row>
    <row r="3384" spans="1:47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48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42</v>
      </c>
      <c r="M3384" s="13" t="s">
        <v>43</v>
      </c>
      <c r="N3384" s="13">
        <v>0</v>
      </c>
      <c r="O3384" s="125"/>
      <c r="P3384" s="33" t="str">
        <f t="shared" si="1004"/>
        <v>C66 SERVICE/OTHERS</v>
      </c>
      <c r="Q3384" s="152" t="s">
        <v>44</v>
      </c>
      <c r="R3384" s="13" t="s">
        <v>45</v>
      </c>
      <c r="S3384" s="13" t="s">
        <v>50</v>
      </c>
      <c r="T3384" s="14"/>
      <c r="U3384" s="14"/>
      <c r="V3384" s="51"/>
      <c r="W3384" s="14"/>
      <c r="X3384" s="126"/>
      <c r="Y3384" s="127"/>
      <c r="Z3384" s="18" t="str">
        <f t="shared" si="1005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1"/>
        <v>37969334.083628319</v>
      </c>
      <c r="AJ3384" s="19">
        <f t="shared" si="992"/>
        <v>5097226.4551657084</v>
      </c>
      <c r="AK3384" s="20">
        <f t="shared" si="998"/>
        <v>0.13424587441904964</v>
      </c>
      <c r="AL3384" s="55"/>
      <c r="AM3384" s="55"/>
      <c r="AN3384" s="55"/>
      <c r="AO3384" s="55"/>
      <c r="AP3384" s="28" t="str">
        <f t="shared" si="999"/>
        <v>20208</v>
      </c>
      <c r="AQ3384" s="28" t="str">
        <f t="shared" si="1000"/>
        <v/>
      </c>
      <c r="AR3384" s="206" t="str">
        <f t="shared" si="1001"/>
        <v>C66 SERVICE</v>
      </c>
      <c r="AS3384" s="22" t="str">
        <f t="shared" si="1002"/>
        <v/>
      </c>
      <c r="AT3384" s="24" t="str">
        <f t="shared" si="1003"/>
        <v/>
      </c>
      <c r="AU3384" s="22">
        <v>0</v>
      </c>
    </row>
    <row r="3385" spans="1:47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48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42</v>
      </c>
      <c r="M3385" s="13" t="s">
        <v>43</v>
      </c>
      <c r="N3385" s="13">
        <v>0</v>
      </c>
      <c r="O3385" s="125"/>
      <c r="P3385" s="33" t="str">
        <f t="shared" si="1004"/>
        <v>C66 SERVICE/OTHERS</v>
      </c>
      <c r="Q3385" s="152" t="s">
        <v>44</v>
      </c>
      <c r="R3385" s="13" t="s">
        <v>45</v>
      </c>
      <c r="S3385" s="13" t="s">
        <v>51</v>
      </c>
      <c r="T3385" s="14"/>
      <c r="U3385" s="14"/>
      <c r="V3385" s="51"/>
      <c r="W3385" s="14"/>
      <c r="X3385" s="126"/>
      <c r="Y3385" s="127"/>
      <c r="Z3385" s="18" t="str">
        <f t="shared" si="1005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1"/>
        <v>37969334.083628319</v>
      </c>
      <c r="AJ3385" s="19">
        <f t="shared" si="992"/>
        <v>5097226.4551657084</v>
      </c>
      <c r="AK3385" s="20">
        <f t="shared" si="998"/>
        <v>0.13424587441904964</v>
      </c>
      <c r="AL3385" s="55"/>
      <c r="AM3385" s="55"/>
      <c r="AN3385" s="55"/>
      <c r="AO3385" s="55"/>
      <c r="AP3385" s="28" t="str">
        <f t="shared" si="999"/>
        <v>20208</v>
      </c>
      <c r="AQ3385" s="28" t="str">
        <f t="shared" si="1000"/>
        <v/>
      </c>
      <c r="AR3385" s="206" t="str">
        <f t="shared" si="1001"/>
        <v>C66 SERVICE</v>
      </c>
      <c r="AS3385" s="22" t="str">
        <f t="shared" si="1002"/>
        <v/>
      </c>
      <c r="AT3385" s="24" t="str">
        <f t="shared" si="1003"/>
        <v/>
      </c>
      <c r="AU3385" s="22">
        <v>0</v>
      </c>
    </row>
    <row r="3386" spans="1:47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48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42</v>
      </c>
      <c r="M3386" s="13" t="s">
        <v>43</v>
      </c>
      <c r="N3386" s="13">
        <v>0</v>
      </c>
      <c r="O3386" s="125"/>
      <c r="P3386" s="33" t="str">
        <f t="shared" si="1004"/>
        <v>C66 SERVICE/OTHERS</v>
      </c>
      <c r="Q3386" s="152" t="s">
        <v>44</v>
      </c>
      <c r="R3386" s="13" t="s">
        <v>45</v>
      </c>
      <c r="S3386" s="13" t="s">
        <v>52</v>
      </c>
      <c r="T3386" s="14"/>
      <c r="U3386" s="14"/>
      <c r="V3386" s="51"/>
      <c r="W3386" s="14"/>
      <c r="X3386" s="126"/>
      <c r="Y3386" s="127"/>
      <c r="Z3386" s="18" t="str">
        <f t="shared" si="1005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1"/>
        <v>37969334.083628319</v>
      </c>
      <c r="AJ3386" s="19">
        <f t="shared" si="992"/>
        <v>5097226.4551657084</v>
      </c>
      <c r="AK3386" s="20">
        <f t="shared" si="998"/>
        <v>0.13424587441904964</v>
      </c>
      <c r="AL3386" s="55"/>
      <c r="AM3386" s="55"/>
      <c r="AN3386" s="55"/>
      <c r="AO3386" s="55"/>
      <c r="AP3386" s="28" t="str">
        <f t="shared" si="999"/>
        <v>20208</v>
      </c>
      <c r="AQ3386" s="28" t="str">
        <f t="shared" si="1000"/>
        <v/>
      </c>
      <c r="AR3386" s="206" t="str">
        <f t="shared" si="1001"/>
        <v>C66 SERVICE</v>
      </c>
      <c r="AS3386" s="22" t="str">
        <f t="shared" si="1002"/>
        <v/>
      </c>
      <c r="AT3386" s="24" t="str">
        <f t="shared" si="1003"/>
        <v/>
      </c>
      <c r="AU3386" s="22">
        <v>0</v>
      </c>
    </row>
    <row r="3387" spans="1:47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48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42</v>
      </c>
      <c r="M3387" s="13" t="s">
        <v>43</v>
      </c>
      <c r="N3387" s="13">
        <v>0</v>
      </c>
      <c r="O3387" s="125"/>
      <c r="P3387" s="33" t="str">
        <f t="shared" si="1004"/>
        <v>C66 SERVICE/OTHERS</v>
      </c>
      <c r="Q3387" s="152" t="s">
        <v>44</v>
      </c>
      <c r="R3387" s="13" t="s">
        <v>45</v>
      </c>
      <c r="S3387" s="13" t="s">
        <v>49</v>
      </c>
      <c r="T3387" s="14"/>
      <c r="U3387" s="14"/>
      <c r="V3387" s="51"/>
      <c r="W3387" s="14"/>
      <c r="X3387" s="126"/>
      <c r="Y3387" s="127"/>
      <c r="Z3387" s="18" t="str">
        <f t="shared" si="1005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1"/>
        <v>35384300.169380538</v>
      </c>
      <c r="AJ3387" s="19">
        <f t="shared" si="992"/>
        <v>5044538.8896988509</v>
      </c>
      <c r="AK3387" s="20">
        <f t="shared" si="998"/>
        <v>0.14256432557804533</v>
      </c>
      <c r="AL3387" s="55"/>
      <c r="AM3387" s="55"/>
      <c r="AN3387" s="55"/>
      <c r="AO3387" s="55"/>
      <c r="AP3387" s="28" t="str">
        <f t="shared" si="999"/>
        <v>20207</v>
      </c>
      <c r="AQ3387" s="28" t="str">
        <f t="shared" si="1000"/>
        <v/>
      </c>
      <c r="AR3387" s="206" t="str">
        <f t="shared" si="1001"/>
        <v>C66 SERVICE</v>
      </c>
      <c r="AS3387" s="22" t="str">
        <f t="shared" si="1002"/>
        <v/>
      </c>
      <c r="AT3387" s="24" t="str">
        <f t="shared" si="1003"/>
        <v/>
      </c>
      <c r="AU3387" s="22">
        <v>0</v>
      </c>
    </row>
    <row r="3388" spans="1:47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48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42</v>
      </c>
      <c r="M3388" s="13" t="s">
        <v>43</v>
      </c>
      <c r="N3388" s="13">
        <v>0</v>
      </c>
      <c r="O3388" s="125"/>
      <c r="P3388" s="33" t="str">
        <f t="shared" si="1004"/>
        <v>C66 SERVICE/OTHERS</v>
      </c>
      <c r="Q3388" s="152" t="s">
        <v>44</v>
      </c>
      <c r="R3388" s="13" t="s">
        <v>45</v>
      </c>
      <c r="S3388" s="13" t="s">
        <v>50</v>
      </c>
      <c r="T3388" s="14"/>
      <c r="U3388" s="14"/>
      <c r="V3388" s="51"/>
      <c r="W3388" s="14"/>
      <c r="X3388" s="126"/>
      <c r="Y3388" s="127"/>
      <c r="Z3388" s="18" t="str">
        <f t="shared" si="1005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1"/>
        <v>35384300.169380538</v>
      </c>
      <c r="AJ3388" s="19">
        <f t="shared" si="992"/>
        <v>5044538.8896988509</v>
      </c>
      <c r="AK3388" s="20">
        <f t="shared" si="998"/>
        <v>0.14256432557804533</v>
      </c>
      <c r="AL3388" s="55"/>
      <c r="AM3388" s="55"/>
      <c r="AN3388" s="55"/>
      <c r="AO3388" s="55"/>
      <c r="AP3388" s="28" t="str">
        <f t="shared" si="999"/>
        <v>20207</v>
      </c>
      <c r="AQ3388" s="28" t="str">
        <f t="shared" si="1000"/>
        <v/>
      </c>
      <c r="AR3388" s="206" t="str">
        <f t="shared" si="1001"/>
        <v>C66 SERVICE</v>
      </c>
      <c r="AS3388" s="22" t="str">
        <f t="shared" si="1002"/>
        <v/>
      </c>
      <c r="AT3388" s="24" t="str">
        <f t="shared" si="1003"/>
        <v/>
      </c>
      <c r="AU3388" s="22">
        <v>0</v>
      </c>
    </row>
    <row r="3389" spans="1:47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48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42</v>
      </c>
      <c r="M3389" s="13" t="s">
        <v>43</v>
      </c>
      <c r="N3389" s="13">
        <v>0</v>
      </c>
      <c r="O3389" s="125"/>
      <c r="P3389" s="33" t="str">
        <f t="shared" si="1004"/>
        <v>C66 SERVICE/OTHERS</v>
      </c>
      <c r="Q3389" s="152" t="s">
        <v>44</v>
      </c>
      <c r="R3389" s="13" t="s">
        <v>45</v>
      </c>
      <c r="S3389" s="13" t="s">
        <v>51</v>
      </c>
      <c r="T3389" s="14"/>
      <c r="U3389" s="14"/>
      <c r="V3389" s="51"/>
      <c r="W3389" s="14"/>
      <c r="X3389" s="126"/>
      <c r="Y3389" s="127"/>
      <c r="Z3389" s="18" t="str">
        <f t="shared" si="1005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1"/>
        <v>35384300.169380538</v>
      </c>
      <c r="AJ3389" s="19">
        <f t="shared" si="992"/>
        <v>5044538.8896988509</v>
      </c>
      <c r="AK3389" s="20">
        <f t="shared" si="998"/>
        <v>0.14256432557804533</v>
      </c>
      <c r="AL3389" s="55"/>
      <c r="AM3389" s="55"/>
      <c r="AN3389" s="55"/>
      <c r="AO3389" s="55"/>
      <c r="AP3389" s="28" t="str">
        <f t="shared" si="999"/>
        <v>20207</v>
      </c>
      <c r="AQ3389" s="28" t="str">
        <f t="shared" si="1000"/>
        <v/>
      </c>
      <c r="AR3389" s="206" t="str">
        <f t="shared" si="1001"/>
        <v>C66 SERVICE</v>
      </c>
      <c r="AS3389" s="22" t="str">
        <f t="shared" si="1002"/>
        <v/>
      </c>
      <c r="AT3389" s="24" t="str">
        <f t="shared" si="1003"/>
        <v/>
      </c>
      <c r="AU3389" s="22">
        <v>0</v>
      </c>
    </row>
    <row r="3390" spans="1:47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48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42</v>
      </c>
      <c r="M3390" s="13" t="s">
        <v>43</v>
      </c>
      <c r="N3390" s="13">
        <v>0</v>
      </c>
      <c r="O3390" s="125"/>
      <c r="P3390" s="33" t="str">
        <f t="shared" si="1004"/>
        <v>C66 SERVICE/OTHERS</v>
      </c>
      <c r="Q3390" s="152" t="s">
        <v>44</v>
      </c>
      <c r="R3390" s="13" t="s">
        <v>45</v>
      </c>
      <c r="S3390" s="13" t="s">
        <v>52</v>
      </c>
      <c r="T3390" s="14"/>
      <c r="U3390" s="14"/>
      <c r="V3390" s="51"/>
      <c r="W3390" s="14"/>
      <c r="X3390" s="126"/>
      <c r="Y3390" s="127"/>
      <c r="Z3390" s="18" t="str">
        <f t="shared" si="1005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1"/>
        <v>35384300.169380538</v>
      </c>
      <c r="AJ3390" s="19">
        <f t="shared" si="992"/>
        <v>5044538.8896988509</v>
      </c>
      <c r="AK3390" s="20">
        <f t="shared" si="998"/>
        <v>0.14256432557804533</v>
      </c>
      <c r="AL3390" s="55"/>
      <c r="AM3390" s="55"/>
      <c r="AN3390" s="55"/>
      <c r="AO3390" s="55"/>
      <c r="AP3390" s="28" t="str">
        <f t="shared" si="999"/>
        <v>20207</v>
      </c>
      <c r="AQ3390" s="28" t="str">
        <f t="shared" si="1000"/>
        <v/>
      </c>
      <c r="AR3390" s="206" t="str">
        <f t="shared" si="1001"/>
        <v>C66 SERVICE</v>
      </c>
      <c r="AS3390" s="22" t="str">
        <f t="shared" si="1002"/>
        <v/>
      </c>
      <c r="AT3390" s="24" t="str">
        <f t="shared" si="1003"/>
        <v/>
      </c>
      <c r="AU3390" s="22">
        <v>0</v>
      </c>
    </row>
    <row r="3391" spans="1:47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48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42</v>
      </c>
      <c r="M3391" s="13" t="s">
        <v>43</v>
      </c>
      <c r="N3391" s="13">
        <v>0</v>
      </c>
      <c r="O3391" s="125"/>
      <c r="P3391" s="33" t="str">
        <f t="shared" si="1004"/>
        <v>C66 SERVICE/OTHERS</v>
      </c>
      <c r="Q3391" s="152" t="s">
        <v>44</v>
      </c>
      <c r="R3391" s="13" t="s">
        <v>45</v>
      </c>
      <c r="S3391" s="13" t="s">
        <v>49</v>
      </c>
      <c r="T3391" s="14"/>
      <c r="U3391" s="14"/>
      <c r="V3391" s="51"/>
      <c r="W3391" s="14"/>
      <c r="X3391" s="126"/>
      <c r="Y3391" s="127"/>
      <c r="Z3391" s="18" t="str">
        <f t="shared" si="1005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1"/>
        <v>29183109.05575221</v>
      </c>
      <c r="AJ3391" s="19">
        <f t="shared" si="992"/>
        <v>3741266.5648721238</v>
      </c>
      <c r="AK3391" s="20">
        <f t="shared" si="998"/>
        <v>0.12819972531798121</v>
      </c>
      <c r="AL3391" s="55"/>
      <c r="AM3391" s="55"/>
      <c r="AN3391" s="55"/>
      <c r="AO3391" s="55"/>
      <c r="AP3391" s="28" t="str">
        <f t="shared" si="999"/>
        <v>20206</v>
      </c>
      <c r="AQ3391" s="28" t="str">
        <f t="shared" si="1000"/>
        <v/>
      </c>
      <c r="AR3391" s="206" t="str">
        <f t="shared" si="1001"/>
        <v>C66 SERVICE</v>
      </c>
      <c r="AS3391" s="22" t="str">
        <f t="shared" si="1002"/>
        <v/>
      </c>
      <c r="AT3391" s="24" t="str">
        <f t="shared" si="1003"/>
        <v/>
      </c>
      <c r="AU3391" s="22">
        <v>0</v>
      </c>
    </row>
    <row r="3392" spans="1:47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48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42</v>
      </c>
      <c r="M3392" s="13" t="s">
        <v>43</v>
      </c>
      <c r="N3392" s="13">
        <v>0</v>
      </c>
      <c r="O3392" s="125"/>
      <c r="P3392" s="33" t="str">
        <f t="shared" si="1004"/>
        <v>C66 SERVICE/OTHERS</v>
      </c>
      <c r="Q3392" s="152" t="s">
        <v>44</v>
      </c>
      <c r="R3392" s="13" t="s">
        <v>45</v>
      </c>
      <c r="S3392" s="13" t="s">
        <v>50</v>
      </c>
      <c r="T3392" s="14"/>
      <c r="U3392" s="14"/>
      <c r="V3392" s="51"/>
      <c r="W3392" s="14"/>
      <c r="X3392" s="126"/>
      <c r="Y3392" s="127"/>
      <c r="Z3392" s="18" t="str">
        <f t="shared" si="1005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1"/>
        <v>29183109.05575221</v>
      </c>
      <c r="AJ3392" s="19">
        <f t="shared" si="992"/>
        <v>3741266.5648721238</v>
      </c>
      <c r="AK3392" s="20">
        <f t="shared" si="998"/>
        <v>0.12819972531798121</v>
      </c>
      <c r="AL3392" s="55"/>
      <c r="AM3392" s="55"/>
      <c r="AN3392" s="55"/>
      <c r="AO3392" s="55"/>
      <c r="AP3392" s="28" t="str">
        <f t="shared" si="999"/>
        <v>20206</v>
      </c>
      <c r="AQ3392" s="28" t="str">
        <f t="shared" si="1000"/>
        <v/>
      </c>
      <c r="AR3392" s="206" t="str">
        <f t="shared" si="1001"/>
        <v>C66 SERVICE</v>
      </c>
      <c r="AS3392" s="22" t="str">
        <f t="shared" si="1002"/>
        <v/>
      </c>
      <c r="AT3392" s="24" t="str">
        <f t="shared" si="1003"/>
        <v/>
      </c>
      <c r="AU3392" s="22">
        <v>0</v>
      </c>
    </row>
    <row r="3393" spans="1:47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48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42</v>
      </c>
      <c r="M3393" s="13" t="s">
        <v>43</v>
      </c>
      <c r="N3393" s="13">
        <v>0</v>
      </c>
      <c r="O3393" s="125"/>
      <c r="P3393" s="33" t="str">
        <f t="shared" si="1004"/>
        <v>C66 SERVICE/OTHERS</v>
      </c>
      <c r="Q3393" s="152" t="s">
        <v>44</v>
      </c>
      <c r="R3393" s="13" t="s">
        <v>45</v>
      </c>
      <c r="S3393" s="13" t="s">
        <v>51</v>
      </c>
      <c r="T3393" s="14"/>
      <c r="U3393" s="14"/>
      <c r="V3393" s="51"/>
      <c r="W3393" s="14"/>
      <c r="X3393" s="126"/>
      <c r="Y3393" s="127"/>
      <c r="Z3393" s="18" t="str">
        <f t="shared" si="1005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1"/>
        <v>29183109.05575221</v>
      </c>
      <c r="AJ3393" s="19">
        <f t="shared" si="992"/>
        <v>3741266.5648721238</v>
      </c>
      <c r="AK3393" s="20">
        <f t="shared" si="998"/>
        <v>0.12819972531798121</v>
      </c>
      <c r="AL3393" s="55"/>
      <c r="AM3393" s="55"/>
      <c r="AN3393" s="55"/>
      <c r="AO3393" s="55"/>
      <c r="AP3393" s="28" t="str">
        <f t="shared" si="999"/>
        <v>20206</v>
      </c>
      <c r="AQ3393" s="28" t="str">
        <f t="shared" si="1000"/>
        <v/>
      </c>
      <c r="AR3393" s="206" t="str">
        <f t="shared" si="1001"/>
        <v>C66 SERVICE</v>
      </c>
      <c r="AS3393" s="22" t="str">
        <f t="shared" si="1002"/>
        <v/>
      </c>
      <c r="AT3393" s="24" t="str">
        <f t="shared" si="1003"/>
        <v/>
      </c>
      <c r="AU3393" s="22">
        <v>0</v>
      </c>
    </row>
    <row r="3394" spans="1:47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48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42</v>
      </c>
      <c r="M3394" s="13" t="s">
        <v>43</v>
      </c>
      <c r="N3394" s="13">
        <v>0</v>
      </c>
      <c r="O3394" s="125"/>
      <c r="P3394" s="33" t="str">
        <f t="shared" si="1004"/>
        <v>C66 SERVICE/OTHERS</v>
      </c>
      <c r="Q3394" s="152" t="s">
        <v>44</v>
      </c>
      <c r="R3394" s="13" t="s">
        <v>45</v>
      </c>
      <c r="S3394" s="13" t="s">
        <v>52</v>
      </c>
      <c r="T3394" s="14"/>
      <c r="U3394" s="14"/>
      <c r="V3394" s="51"/>
      <c r="W3394" s="14"/>
      <c r="X3394" s="126"/>
      <c r="Y3394" s="127"/>
      <c r="Z3394" s="18" t="str">
        <f t="shared" si="1005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ref="AI3394:AI3457" si="1006">IF(P3394="C66 SERVICE","",SUMIFS(AB:AB,F:F,F3394,G:G,G3394,E:E,E3394))</f>
        <v>29183109.05575221</v>
      </c>
      <c r="AJ3394" s="19">
        <f t="shared" ref="AJ3394:AJ3457" si="1007">IF(P3394="C66 SERVICE","",SUMIFS(AC:AC,F:F,F3394,G:G,G3394,E:E,E3394))</f>
        <v>3741266.5648721238</v>
      </c>
      <c r="AK3394" s="20">
        <f t="shared" si="998"/>
        <v>0.12819972531798121</v>
      </c>
      <c r="AL3394" s="55"/>
      <c r="AM3394" s="55"/>
      <c r="AN3394" s="55"/>
      <c r="AO3394" s="55"/>
      <c r="AP3394" s="28" t="str">
        <f t="shared" si="999"/>
        <v>20206</v>
      </c>
      <c r="AQ3394" s="28" t="str">
        <f t="shared" si="1000"/>
        <v/>
      </c>
      <c r="AR3394" s="206" t="str">
        <f t="shared" si="1001"/>
        <v>C66 SERVICE</v>
      </c>
      <c r="AS3394" s="22" t="str">
        <f t="shared" si="1002"/>
        <v/>
      </c>
      <c r="AT3394" s="24" t="str">
        <f t="shared" si="1003"/>
        <v/>
      </c>
      <c r="AU3394" s="22">
        <v>0</v>
      </c>
    </row>
    <row r="3395" spans="1:47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48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42</v>
      </c>
      <c r="M3395" s="13" t="s">
        <v>43</v>
      </c>
      <c r="N3395" s="13">
        <v>0</v>
      </c>
      <c r="O3395" s="125"/>
      <c r="P3395" s="33" t="str">
        <f t="shared" si="1004"/>
        <v>C66 SERVICE/OTHERS</v>
      </c>
      <c r="Q3395" s="152" t="s">
        <v>44</v>
      </c>
      <c r="R3395" s="13" t="s">
        <v>45</v>
      </c>
      <c r="S3395" s="13" t="s">
        <v>49</v>
      </c>
      <c r="T3395" s="14"/>
      <c r="U3395" s="14"/>
      <c r="V3395" s="51"/>
      <c r="W3395" s="14"/>
      <c r="X3395" s="126"/>
      <c r="Y3395" s="127"/>
      <c r="Z3395" s="18" t="str">
        <f t="shared" si="1005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1006"/>
        <v>28065694.408805311</v>
      </c>
      <c r="AJ3395" s="19">
        <f t="shared" si="1007"/>
        <v>4157433.2906989697</v>
      </c>
      <c r="AK3395" s="20">
        <f t="shared" si="998"/>
        <v>0.14813220831602228</v>
      </c>
      <c r="AL3395" s="55"/>
      <c r="AM3395" s="55"/>
      <c r="AN3395" s="55"/>
      <c r="AO3395" s="55"/>
      <c r="AP3395" s="28" t="str">
        <f t="shared" si="999"/>
        <v>20205</v>
      </c>
      <c r="AQ3395" s="28" t="str">
        <f t="shared" si="1000"/>
        <v/>
      </c>
      <c r="AR3395" s="206" t="str">
        <f t="shared" si="1001"/>
        <v>C66 SERVICE</v>
      </c>
      <c r="AS3395" s="22" t="str">
        <f t="shared" si="1002"/>
        <v/>
      </c>
      <c r="AT3395" s="24" t="str">
        <f t="shared" si="1003"/>
        <v/>
      </c>
      <c r="AU3395" s="22">
        <v>0</v>
      </c>
    </row>
    <row r="3396" spans="1:47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48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42</v>
      </c>
      <c r="M3396" s="13" t="s">
        <v>43</v>
      </c>
      <c r="N3396" s="13">
        <v>0</v>
      </c>
      <c r="O3396" s="125"/>
      <c r="P3396" s="33" t="str">
        <f t="shared" si="1004"/>
        <v>C66 SERVICE/OTHERS</v>
      </c>
      <c r="Q3396" s="152" t="s">
        <v>44</v>
      </c>
      <c r="R3396" s="13" t="s">
        <v>45</v>
      </c>
      <c r="S3396" s="13" t="s">
        <v>50</v>
      </c>
      <c r="T3396" s="14"/>
      <c r="U3396" s="14"/>
      <c r="V3396" s="51"/>
      <c r="W3396" s="14"/>
      <c r="X3396" s="126"/>
      <c r="Y3396" s="127"/>
      <c r="Z3396" s="18" t="str">
        <f t="shared" si="1005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1006"/>
        <v>28065694.408805311</v>
      </c>
      <c r="AJ3396" s="19">
        <f t="shared" si="1007"/>
        <v>4157433.2906989697</v>
      </c>
      <c r="AK3396" s="20">
        <f t="shared" si="998"/>
        <v>0.14813220831602228</v>
      </c>
      <c r="AL3396" s="55"/>
      <c r="AM3396" s="55"/>
      <c r="AN3396" s="55"/>
      <c r="AO3396" s="55"/>
      <c r="AP3396" s="28" t="str">
        <f t="shared" si="999"/>
        <v>20205</v>
      </c>
      <c r="AQ3396" s="28" t="str">
        <f t="shared" si="1000"/>
        <v/>
      </c>
      <c r="AR3396" s="206" t="str">
        <f t="shared" si="1001"/>
        <v>C66 SERVICE</v>
      </c>
      <c r="AS3396" s="22" t="str">
        <f t="shared" si="1002"/>
        <v/>
      </c>
      <c r="AT3396" s="24" t="str">
        <f t="shared" si="1003"/>
        <v/>
      </c>
      <c r="AU3396" s="22">
        <v>0</v>
      </c>
    </row>
    <row r="3397" spans="1:47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48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42</v>
      </c>
      <c r="M3397" s="13" t="s">
        <v>43</v>
      </c>
      <c r="N3397" s="13">
        <v>0</v>
      </c>
      <c r="O3397" s="125"/>
      <c r="P3397" s="33" t="str">
        <f t="shared" si="1004"/>
        <v>C66 SERVICE/OTHERS</v>
      </c>
      <c r="Q3397" s="152" t="s">
        <v>44</v>
      </c>
      <c r="R3397" s="13" t="s">
        <v>45</v>
      </c>
      <c r="S3397" s="13" t="s">
        <v>51</v>
      </c>
      <c r="T3397" s="14"/>
      <c r="U3397" s="14"/>
      <c r="V3397" s="51"/>
      <c r="W3397" s="14"/>
      <c r="X3397" s="126"/>
      <c r="Y3397" s="127"/>
      <c r="Z3397" s="18" t="str">
        <f t="shared" si="1005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1006"/>
        <v>28065694.408805311</v>
      </c>
      <c r="AJ3397" s="19">
        <f t="shared" si="1007"/>
        <v>4157433.2906989697</v>
      </c>
      <c r="AK3397" s="20">
        <f t="shared" si="998"/>
        <v>0.14813220831602228</v>
      </c>
      <c r="AL3397" s="55"/>
      <c r="AM3397" s="55"/>
      <c r="AN3397" s="55"/>
      <c r="AO3397" s="55"/>
      <c r="AP3397" s="28" t="str">
        <f t="shared" si="999"/>
        <v>20205</v>
      </c>
      <c r="AQ3397" s="28" t="str">
        <f t="shared" si="1000"/>
        <v/>
      </c>
      <c r="AR3397" s="206" t="str">
        <f t="shared" si="1001"/>
        <v>C66 SERVICE</v>
      </c>
      <c r="AS3397" s="22" t="str">
        <f t="shared" si="1002"/>
        <v/>
      </c>
      <c r="AT3397" s="24" t="str">
        <f t="shared" si="1003"/>
        <v/>
      </c>
      <c r="AU3397" s="22">
        <v>0</v>
      </c>
    </row>
    <row r="3398" spans="1:47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48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42</v>
      </c>
      <c r="M3398" s="13" t="s">
        <v>43</v>
      </c>
      <c r="N3398" s="13">
        <v>0</v>
      </c>
      <c r="O3398" s="125"/>
      <c r="P3398" s="33" t="str">
        <f t="shared" si="1004"/>
        <v>C66 SERVICE/OTHERS</v>
      </c>
      <c r="Q3398" s="152" t="s">
        <v>44</v>
      </c>
      <c r="R3398" s="13" t="s">
        <v>45</v>
      </c>
      <c r="S3398" s="13" t="s">
        <v>52</v>
      </c>
      <c r="T3398" s="14"/>
      <c r="U3398" s="14"/>
      <c r="V3398" s="51"/>
      <c r="W3398" s="14"/>
      <c r="X3398" s="126"/>
      <c r="Y3398" s="127"/>
      <c r="Z3398" s="18" t="str">
        <f t="shared" si="1005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si="1006"/>
        <v>28065694.408805311</v>
      </c>
      <c r="AJ3398" s="19">
        <f t="shared" si="1007"/>
        <v>4157433.2906989697</v>
      </c>
      <c r="AK3398" s="20">
        <f t="shared" ref="AK3398:AK3461" si="1013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4">IF(F3398="","",F3398&amp;G3398)</f>
        <v>20205</v>
      </c>
      <c r="AQ3398" s="28" t="str">
        <f t="shared" ref="AQ3398:AQ3461" si="1015">IF(W3398="","",F3398&amp;G3398&amp;W3398)</f>
        <v/>
      </c>
      <c r="AR3398" s="206" t="str">
        <f t="shared" ref="AR3398:AR3461" si="1016">IFERROR(IF(AND(M3398="YAMAHA", R3398="C28"), "YAMAHA_Non_Mounter", IF(AND(M3398="YAMAHA", R3398="C49"), "YAMAHA_Mounter", M3398)),"")</f>
        <v>C66 SERVICE</v>
      </c>
      <c r="AS3398" s="22" t="str">
        <f t="shared" ref="AS3398:AS3461" si="1017">IFERROR(IF(OR(G3398="TBA", G3398=""), "", DATEDIF(DATE(B3398, C3398, 1), DATE(F3398, G3398, 1), "M")),"")</f>
        <v/>
      </c>
      <c r="AT3398" s="24" t="str">
        <f t="shared" ref="AT3398:AT3461" si="1018">IF(ISNUMBER(AS3398), IF(AS3398&gt;=0, IF(AS3398&lt;=3, "0-3 months", IF(AS3398&lt;=6, "4-6 months", "&gt; 6 months"))), "")</f>
        <v/>
      </c>
      <c r="AU3398" s="22">
        <v>0</v>
      </c>
    </row>
    <row r="3399" spans="1:47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48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42</v>
      </c>
      <c r="M3399" s="13" t="s">
        <v>43</v>
      </c>
      <c r="N3399" s="13">
        <v>0</v>
      </c>
      <c r="O3399" s="125"/>
      <c r="P3399" s="33" t="str">
        <f t="shared" si="1004"/>
        <v>C66 SERVICE/OTHERS</v>
      </c>
      <c r="Q3399" s="152" t="s">
        <v>44</v>
      </c>
      <c r="R3399" s="13" t="s">
        <v>45</v>
      </c>
      <c r="S3399" s="13" t="s">
        <v>49</v>
      </c>
      <c r="T3399" s="14"/>
      <c r="U3399" s="14"/>
      <c r="V3399" s="51"/>
      <c r="W3399" s="14"/>
      <c r="X3399" s="126"/>
      <c r="Y3399" s="127"/>
      <c r="Z3399" s="18" t="str">
        <f t="shared" si="1005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06"/>
        <v>33477255.428389374</v>
      </c>
      <c r="AJ3399" s="19">
        <f t="shared" si="1007"/>
        <v>4578663.362915583</v>
      </c>
      <c r="AK3399" s="20">
        <f t="shared" si="1013"/>
        <v>0.13676937682988152</v>
      </c>
      <c r="AL3399" s="55"/>
      <c r="AM3399" s="55"/>
      <c r="AN3399" s="55"/>
      <c r="AO3399" s="55"/>
      <c r="AP3399" s="28" t="str">
        <f t="shared" si="1014"/>
        <v>20204</v>
      </c>
      <c r="AQ3399" s="28" t="str">
        <f t="shared" si="1015"/>
        <v/>
      </c>
      <c r="AR3399" s="206" t="str">
        <f t="shared" si="1016"/>
        <v>C66 SERVICE</v>
      </c>
      <c r="AS3399" s="22" t="str">
        <f t="shared" si="1017"/>
        <v/>
      </c>
      <c r="AT3399" s="24" t="str">
        <f t="shared" si="1018"/>
        <v/>
      </c>
      <c r="AU3399" s="22">
        <v>0</v>
      </c>
    </row>
    <row r="3400" spans="1:47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48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42</v>
      </c>
      <c r="M3400" s="13" t="s">
        <v>43</v>
      </c>
      <c r="N3400" s="13">
        <v>0</v>
      </c>
      <c r="O3400" s="125"/>
      <c r="P3400" s="33" t="str">
        <f t="shared" si="1004"/>
        <v>C66 SERVICE/OTHERS</v>
      </c>
      <c r="Q3400" s="152" t="s">
        <v>44</v>
      </c>
      <c r="R3400" s="13" t="s">
        <v>45</v>
      </c>
      <c r="S3400" s="13" t="s">
        <v>50</v>
      </c>
      <c r="T3400" s="14"/>
      <c r="U3400" s="14"/>
      <c r="V3400" s="51"/>
      <c r="W3400" s="14"/>
      <c r="X3400" s="126"/>
      <c r="Y3400" s="127"/>
      <c r="Z3400" s="18" t="str">
        <f t="shared" si="1005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06"/>
        <v>33477255.428389374</v>
      </c>
      <c r="AJ3400" s="19">
        <f t="shared" si="1007"/>
        <v>4578663.362915583</v>
      </c>
      <c r="AK3400" s="20">
        <f t="shared" si="1013"/>
        <v>0.13676937682988152</v>
      </c>
      <c r="AL3400" s="55"/>
      <c r="AM3400" s="55"/>
      <c r="AN3400" s="55"/>
      <c r="AO3400" s="55"/>
      <c r="AP3400" s="28" t="str">
        <f t="shared" si="1014"/>
        <v>20204</v>
      </c>
      <c r="AQ3400" s="28" t="str">
        <f t="shared" si="1015"/>
        <v/>
      </c>
      <c r="AR3400" s="206" t="str">
        <f t="shared" si="1016"/>
        <v>C66 SERVICE</v>
      </c>
      <c r="AS3400" s="22" t="str">
        <f t="shared" si="1017"/>
        <v/>
      </c>
      <c r="AT3400" s="24" t="str">
        <f t="shared" si="1018"/>
        <v/>
      </c>
      <c r="AU3400" s="22">
        <v>0</v>
      </c>
    </row>
    <row r="3401" spans="1:47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48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42</v>
      </c>
      <c r="M3401" s="13" t="s">
        <v>43</v>
      </c>
      <c r="N3401" s="13">
        <v>0</v>
      </c>
      <c r="O3401" s="125"/>
      <c r="P3401" s="33" t="str">
        <f t="shared" si="1004"/>
        <v>C66 SERVICE/OTHERS</v>
      </c>
      <c r="Q3401" s="152" t="s">
        <v>44</v>
      </c>
      <c r="R3401" s="13" t="s">
        <v>45</v>
      </c>
      <c r="S3401" s="13" t="s">
        <v>51</v>
      </c>
      <c r="T3401" s="14"/>
      <c r="U3401" s="14"/>
      <c r="V3401" s="51"/>
      <c r="W3401" s="14"/>
      <c r="X3401" s="126"/>
      <c r="Y3401" s="127"/>
      <c r="Z3401" s="18" t="str">
        <f t="shared" si="1005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06"/>
        <v>33477255.428389374</v>
      </c>
      <c r="AJ3401" s="19">
        <f t="shared" si="1007"/>
        <v>4578663.362915583</v>
      </c>
      <c r="AK3401" s="20">
        <f t="shared" si="1013"/>
        <v>0.13676937682988152</v>
      </c>
      <c r="AL3401" s="55"/>
      <c r="AM3401" s="55"/>
      <c r="AN3401" s="55"/>
      <c r="AO3401" s="55"/>
      <c r="AP3401" s="28" t="str">
        <f t="shared" si="1014"/>
        <v>20204</v>
      </c>
      <c r="AQ3401" s="28" t="str">
        <f t="shared" si="1015"/>
        <v/>
      </c>
      <c r="AR3401" s="206" t="str">
        <f t="shared" si="1016"/>
        <v>C66 SERVICE</v>
      </c>
      <c r="AS3401" s="22" t="str">
        <f t="shared" si="1017"/>
        <v/>
      </c>
      <c r="AT3401" s="24" t="str">
        <f t="shared" si="1018"/>
        <v/>
      </c>
      <c r="AU3401" s="22">
        <v>0</v>
      </c>
    </row>
    <row r="3402" spans="1:47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48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42</v>
      </c>
      <c r="M3402" s="13" t="s">
        <v>43</v>
      </c>
      <c r="N3402" s="13">
        <v>0</v>
      </c>
      <c r="O3402" s="125"/>
      <c r="P3402" s="33" t="str">
        <f t="shared" si="1004"/>
        <v>C66 SERVICE/OTHERS</v>
      </c>
      <c r="Q3402" s="152" t="s">
        <v>44</v>
      </c>
      <c r="R3402" s="13" t="s">
        <v>45</v>
      </c>
      <c r="S3402" s="13" t="s">
        <v>52</v>
      </c>
      <c r="T3402" s="14"/>
      <c r="U3402" s="14"/>
      <c r="V3402" s="51"/>
      <c r="W3402" s="14"/>
      <c r="X3402" s="126"/>
      <c r="Y3402" s="127"/>
      <c r="Z3402" s="18" t="str">
        <f t="shared" si="1005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06"/>
        <v>33477255.428389374</v>
      </c>
      <c r="AJ3402" s="19">
        <f t="shared" si="1007"/>
        <v>4578663.362915583</v>
      </c>
      <c r="AK3402" s="20">
        <f t="shared" si="1013"/>
        <v>0.13676937682988152</v>
      </c>
      <c r="AL3402" s="55"/>
      <c r="AM3402" s="55"/>
      <c r="AN3402" s="55"/>
      <c r="AO3402" s="55"/>
      <c r="AP3402" s="28" t="str">
        <f t="shared" si="1014"/>
        <v>20204</v>
      </c>
      <c r="AQ3402" s="28" t="str">
        <f t="shared" si="1015"/>
        <v/>
      </c>
      <c r="AR3402" s="206" t="str">
        <f t="shared" si="1016"/>
        <v>C66 SERVICE</v>
      </c>
      <c r="AS3402" s="22" t="str">
        <f t="shared" si="1017"/>
        <v/>
      </c>
      <c r="AT3402" s="24" t="str">
        <f t="shared" si="1018"/>
        <v/>
      </c>
      <c r="AU3402" s="22">
        <v>0</v>
      </c>
    </row>
    <row r="3403" spans="1:47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47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42</v>
      </c>
      <c r="M3403" s="13" t="s">
        <v>43</v>
      </c>
      <c r="N3403" s="13">
        <v>0</v>
      </c>
      <c r="O3403" s="125"/>
      <c r="P3403" s="33" t="str">
        <f t="shared" si="1004"/>
        <v>C66 SERVICE/OTHERS</v>
      </c>
      <c r="Q3403" s="152" t="s">
        <v>44</v>
      </c>
      <c r="R3403" s="13" t="s">
        <v>45</v>
      </c>
      <c r="S3403" s="13" t="s">
        <v>46</v>
      </c>
      <c r="T3403" s="14"/>
      <c r="U3403" s="14"/>
      <c r="V3403" s="51"/>
      <c r="W3403" s="14"/>
      <c r="X3403" s="126"/>
      <c r="Y3403" s="127"/>
      <c r="Z3403" s="18" t="str">
        <f t="shared" si="1005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06"/>
        <v>23168285.927433632</v>
      </c>
      <c r="AJ3403" s="19">
        <f t="shared" si="1007"/>
        <v>2764878.916878053</v>
      </c>
      <c r="AK3403" s="20">
        <f t="shared" si="1013"/>
        <v>0.11933895004309111</v>
      </c>
      <c r="AL3403" s="55"/>
      <c r="AM3403" s="55"/>
      <c r="AN3403" s="55"/>
      <c r="AO3403" s="55"/>
      <c r="AP3403" s="28" t="str">
        <f t="shared" si="1014"/>
        <v>20203</v>
      </c>
      <c r="AQ3403" s="28" t="str">
        <f t="shared" si="1015"/>
        <v/>
      </c>
      <c r="AR3403" s="206" t="str">
        <f t="shared" si="1016"/>
        <v>C66 SERVICE</v>
      </c>
      <c r="AS3403" s="22" t="str">
        <f t="shared" si="1017"/>
        <v/>
      </c>
      <c r="AT3403" s="24" t="str">
        <f t="shared" si="1018"/>
        <v/>
      </c>
      <c r="AU3403" s="22">
        <v>0</v>
      </c>
    </row>
    <row r="3404" spans="1:47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47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42</v>
      </c>
      <c r="M3404" s="13" t="s">
        <v>43</v>
      </c>
      <c r="N3404" s="13">
        <v>0</v>
      </c>
      <c r="O3404" s="125"/>
      <c r="P3404" s="33" t="str">
        <f t="shared" si="1004"/>
        <v>C66 SERVICE/OTHERS</v>
      </c>
      <c r="Q3404" s="152" t="s">
        <v>44</v>
      </c>
      <c r="R3404" s="13" t="s">
        <v>45</v>
      </c>
      <c r="S3404" s="13" t="s">
        <v>46</v>
      </c>
      <c r="T3404" s="14"/>
      <c r="U3404" s="14"/>
      <c r="V3404" s="51"/>
      <c r="W3404" s="14"/>
      <c r="X3404" s="126"/>
      <c r="Y3404" s="127"/>
      <c r="Z3404" s="18" t="str">
        <f t="shared" si="1005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06"/>
        <v>14005204.685000001</v>
      </c>
      <c r="AJ3404" s="19">
        <f t="shared" si="1007"/>
        <v>1436995.246084</v>
      </c>
      <c r="AK3404" s="20">
        <f t="shared" si="1013"/>
        <v>0.10260437304590525</v>
      </c>
      <c r="AL3404" s="55"/>
      <c r="AM3404" s="55"/>
      <c r="AN3404" s="55"/>
      <c r="AO3404" s="55"/>
      <c r="AP3404" s="28" t="str">
        <f t="shared" si="1014"/>
        <v>20202</v>
      </c>
      <c r="AQ3404" s="28" t="str">
        <f t="shared" si="1015"/>
        <v/>
      </c>
      <c r="AR3404" s="206" t="str">
        <f t="shared" si="1016"/>
        <v>C66 SERVICE</v>
      </c>
      <c r="AS3404" s="22" t="str">
        <f t="shared" si="1017"/>
        <v/>
      </c>
      <c r="AT3404" s="24" t="str">
        <f t="shared" si="1018"/>
        <v/>
      </c>
      <c r="AU3404" s="22">
        <v>0</v>
      </c>
    </row>
    <row r="3405" spans="1:47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47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42</v>
      </c>
      <c r="M3405" s="13" t="s">
        <v>43</v>
      </c>
      <c r="N3405" s="13">
        <v>0</v>
      </c>
      <c r="O3405" s="125"/>
      <c r="P3405" s="33" t="str">
        <f t="shared" si="1004"/>
        <v>C66 SERVICE/OTHERS</v>
      </c>
      <c r="Q3405" s="152" t="s">
        <v>44</v>
      </c>
      <c r="R3405" s="13" t="s">
        <v>45</v>
      </c>
      <c r="S3405" s="13" t="s">
        <v>46</v>
      </c>
      <c r="T3405" s="14"/>
      <c r="U3405" s="14"/>
      <c r="V3405" s="51"/>
      <c r="W3405" s="14"/>
      <c r="X3405" s="126"/>
      <c r="Y3405" s="127"/>
      <c r="Z3405" s="18" t="str">
        <f t="shared" si="1005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06"/>
        <v>11620538.477876106</v>
      </c>
      <c r="AJ3405" s="19">
        <f t="shared" si="1007"/>
        <v>1598596.3145221241</v>
      </c>
      <c r="AK3405" s="20">
        <f t="shared" si="1013"/>
        <v>0.13756645766163331</v>
      </c>
      <c r="AL3405" s="55"/>
      <c r="AM3405" s="55"/>
      <c r="AN3405" s="55"/>
      <c r="AO3405" s="55"/>
      <c r="AP3405" s="28" t="str">
        <f t="shared" si="1014"/>
        <v>20201</v>
      </c>
      <c r="AQ3405" s="28" t="str">
        <f t="shared" si="1015"/>
        <v/>
      </c>
      <c r="AR3405" s="206" t="str">
        <f t="shared" si="1016"/>
        <v>C66 SERVICE</v>
      </c>
      <c r="AS3405" s="22" t="str">
        <f t="shared" si="1017"/>
        <v/>
      </c>
      <c r="AT3405" s="24" t="str">
        <f t="shared" si="1018"/>
        <v/>
      </c>
      <c r="AU3405" s="22">
        <v>0</v>
      </c>
    </row>
    <row r="3406" spans="1:47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48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42</v>
      </c>
      <c r="M3406" s="13" t="s">
        <v>43</v>
      </c>
      <c r="N3406" s="13">
        <v>0</v>
      </c>
      <c r="O3406" s="125"/>
      <c r="P3406" s="33" t="str">
        <f t="shared" si="1004"/>
        <v>C66 SERVICE/OTHERS</v>
      </c>
      <c r="Q3406" s="152" t="s">
        <v>44</v>
      </c>
      <c r="R3406" s="13" t="s">
        <v>45</v>
      </c>
      <c r="S3406" s="13" t="s">
        <v>49</v>
      </c>
      <c r="T3406" s="14"/>
      <c r="U3406" s="14"/>
      <c r="V3406" s="51"/>
      <c r="W3406" s="14"/>
      <c r="X3406" s="126"/>
      <c r="Y3406" s="127"/>
      <c r="Z3406" s="18" t="str">
        <f t="shared" si="1005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06"/>
        <v>57778307.282035396</v>
      </c>
      <c r="AJ3406" s="19">
        <f t="shared" si="1007"/>
        <v>7259860.7225420559</v>
      </c>
      <c r="AK3406" s="20">
        <f t="shared" si="1013"/>
        <v>0.12565028406083667</v>
      </c>
      <c r="AL3406" s="55"/>
      <c r="AM3406" s="55"/>
      <c r="AN3406" s="55"/>
      <c r="AO3406" s="55"/>
      <c r="AP3406" s="28" t="str">
        <f t="shared" si="1014"/>
        <v>20213</v>
      </c>
      <c r="AQ3406" s="28" t="str">
        <f t="shared" si="1015"/>
        <v/>
      </c>
      <c r="AR3406" s="206" t="str">
        <f t="shared" si="1016"/>
        <v>C66 SERVICE</v>
      </c>
      <c r="AS3406" s="22" t="str">
        <f t="shared" si="1017"/>
        <v/>
      </c>
      <c r="AT3406" s="24" t="str">
        <f t="shared" si="1018"/>
        <v/>
      </c>
      <c r="AU3406" s="22">
        <v>0</v>
      </c>
    </row>
    <row r="3407" spans="1:47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48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42</v>
      </c>
      <c r="M3407" s="13" t="s">
        <v>43</v>
      </c>
      <c r="N3407" s="13">
        <v>0</v>
      </c>
      <c r="O3407" s="125"/>
      <c r="P3407" s="33" t="str">
        <f t="shared" si="1004"/>
        <v>C66 SERVICE/OTHERS</v>
      </c>
      <c r="Q3407" s="152" t="s">
        <v>44</v>
      </c>
      <c r="R3407" s="13" t="s">
        <v>45</v>
      </c>
      <c r="S3407" s="13" t="s">
        <v>50</v>
      </c>
      <c r="T3407" s="14"/>
      <c r="U3407" s="14"/>
      <c r="V3407" s="51"/>
      <c r="W3407" s="14"/>
      <c r="X3407" s="126"/>
      <c r="Y3407" s="127"/>
      <c r="Z3407" s="18" t="str">
        <f t="shared" si="1005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06"/>
        <v>57778307.282035396</v>
      </c>
      <c r="AJ3407" s="19">
        <f t="shared" si="1007"/>
        <v>7259860.7225420559</v>
      </c>
      <c r="AK3407" s="20">
        <f t="shared" si="1013"/>
        <v>0.12565028406083667</v>
      </c>
      <c r="AL3407" s="55"/>
      <c r="AM3407" s="55"/>
      <c r="AN3407" s="55"/>
      <c r="AO3407" s="55"/>
      <c r="AP3407" s="28" t="str">
        <f t="shared" si="1014"/>
        <v>20213</v>
      </c>
      <c r="AQ3407" s="28" t="str">
        <f t="shared" si="1015"/>
        <v/>
      </c>
      <c r="AR3407" s="206" t="str">
        <f t="shared" si="1016"/>
        <v>C66 SERVICE</v>
      </c>
      <c r="AS3407" s="22" t="str">
        <f t="shared" si="1017"/>
        <v/>
      </c>
      <c r="AT3407" s="24" t="str">
        <f t="shared" si="1018"/>
        <v/>
      </c>
      <c r="AU3407" s="22">
        <v>0</v>
      </c>
    </row>
    <row r="3408" spans="1:47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48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42</v>
      </c>
      <c r="M3408" s="13" t="s">
        <v>43</v>
      </c>
      <c r="N3408" s="13">
        <v>0</v>
      </c>
      <c r="O3408" s="125"/>
      <c r="P3408" s="33" t="str">
        <f t="shared" si="1004"/>
        <v>C66 SERVICE/OTHERS</v>
      </c>
      <c r="Q3408" s="152" t="s">
        <v>44</v>
      </c>
      <c r="R3408" s="13" t="s">
        <v>45</v>
      </c>
      <c r="S3408" s="13" t="s">
        <v>51</v>
      </c>
      <c r="T3408" s="14"/>
      <c r="U3408" s="14"/>
      <c r="V3408" s="51"/>
      <c r="W3408" s="14"/>
      <c r="X3408" s="126"/>
      <c r="Y3408" s="127"/>
      <c r="Z3408" s="18" t="str">
        <f t="shared" si="1005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06"/>
        <v>57778307.282035396</v>
      </c>
      <c r="AJ3408" s="19">
        <f t="shared" si="1007"/>
        <v>7259860.7225420559</v>
      </c>
      <c r="AK3408" s="20">
        <f t="shared" si="1013"/>
        <v>0.12565028406083667</v>
      </c>
      <c r="AL3408" s="55"/>
      <c r="AM3408" s="55"/>
      <c r="AN3408" s="55"/>
      <c r="AO3408" s="55"/>
      <c r="AP3408" s="28" t="str">
        <f t="shared" si="1014"/>
        <v>20213</v>
      </c>
      <c r="AQ3408" s="28" t="str">
        <f t="shared" si="1015"/>
        <v/>
      </c>
      <c r="AR3408" s="206" t="str">
        <f t="shared" si="1016"/>
        <v>C66 SERVICE</v>
      </c>
      <c r="AS3408" s="22" t="str">
        <f t="shared" si="1017"/>
        <v/>
      </c>
      <c r="AT3408" s="24" t="str">
        <f t="shared" si="1018"/>
        <v/>
      </c>
      <c r="AU3408" s="22">
        <v>0</v>
      </c>
    </row>
    <row r="3409" spans="1:47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48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42</v>
      </c>
      <c r="M3409" s="13" t="s">
        <v>43</v>
      </c>
      <c r="N3409" s="13">
        <v>0</v>
      </c>
      <c r="O3409" s="125"/>
      <c r="P3409" s="33" t="str">
        <f t="shared" si="1004"/>
        <v>C66 SERVICE/OTHERS</v>
      </c>
      <c r="Q3409" s="152" t="s">
        <v>44</v>
      </c>
      <c r="R3409" s="13" t="s">
        <v>45</v>
      </c>
      <c r="S3409" s="13" t="s">
        <v>52</v>
      </c>
      <c r="T3409" s="14"/>
      <c r="U3409" s="14"/>
      <c r="V3409" s="51"/>
      <c r="W3409" s="14"/>
      <c r="X3409" s="126"/>
      <c r="Y3409" s="127"/>
      <c r="Z3409" s="18" t="str">
        <f t="shared" si="1005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06"/>
        <v>57778307.282035396</v>
      </c>
      <c r="AJ3409" s="19">
        <f t="shared" si="1007"/>
        <v>7259860.7225420559</v>
      </c>
      <c r="AK3409" s="20">
        <f t="shared" si="1013"/>
        <v>0.12565028406083667</v>
      </c>
      <c r="AL3409" s="55"/>
      <c r="AM3409" s="55"/>
      <c r="AN3409" s="55"/>
      <c r="AO3409" s="55"/>
      <c r="AP3409" s="28" t="str">
        <f t="shared" si="1014"/>
        <v>20213</v>
      </c>
      <c r="AQ3409" s="28" t="str">
        <f t="shared" si="1015"/>
        <v/>
      </c>
      <c r="AR3409" s="206" t="str">
        <f t="shared" si="1016"/>
        <v>C66 SERVICE</v>
      </c>
      <c r="AS3409" s="22" t="str">
        <f t="shared" si="1017"/>
        <v/>
      </c>
      <c r="AT3409" s="24" t="str">
        <f t="shared" si="1018"/>
        <v/>
      </c>
      <c r="AU3409" s="22">
        <v>0</v>
      </c>
    </row>
    <row r="3410" spans="1:47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48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42</v>
      </c>
      <c r="M3410" s="13" t="s">
        <v>43</v>
      </c>
      <c r="N3410" s="13">
        <v>0</v>
      </c>
      <c r="O3410" s="125"/>
      <c r="P3410" s="33" t="str">
        <f t="shared" si="1004"/>
        <v>C66 SERVICE/OTHERS</v>
      </c>
      <c r="Q3410" s="152" t="s">
        <v>44</v>
      </c>
      <c r="R3410" s="13" t="s">
        <v>45</v>
      </c>
      <c r="S3410" s="13" t="s">
        <v>49</v>
      </c>
      <c r="T3410" s="14"/>
      <c r="U3410" s="14"/>
      <c r="V3410" s="51"/>
      <c r="W3410" s="14"/>
      <c r="X3410" s="126"/>
      <c r="Y3410" s="127"/>
      <c r="Z3410" s="18" t="str">
        <f t="shared" si="1005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06"/>
        <v>31097187.02948761</v>
      </c>
      <c r="AJ3410" s="19">
        <f t="shared" si="1007"/>
        <v>3892353.6644401965</v>
      </c>
      <c r="AK3410" s="20">
        <f t="shared" si="1013"/>
        <v>0.12516738767237401</v>
      </c>
      <c r="AL3410" s="55"/>
      <c r="AM3410" s="55"/>
      <c r="AN3410" s="55"/>
      <c r="AO3410" s="55"/>
      <c r="AP3410" s="28" t="str">
        <f t="shared" si="1014"/>
        <v>20212</v>
      </c>
      <c r="AQ3410" s="28" t="str">
        <f t="shared" si="1015"/>
        <v/>
      </c>
      <c r="AR3410" s="206" t="str">
        <f t="shared" si="1016"/>
        <v>C66 SERVICE</v>
      </c>
      <c r="AS3410" s="22" t="str">
        <f t="shared" si="1017"/>
        <v/>
      </c>
      <c r="AT3410" s="24" t="str">
        <f t="shared" si="1018"/>
        <v/>
      </c>
      <c r="AU3410" s="22">
        <v>0</v>
      </c>
    </row>
    <row r="3411" spans="1:47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48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42</v>
      </c>
      <c r="M3411" s="13" t="s">
        <v>43</v>
      </c>
      <c r="N3411" s="13">
        <v>0</v>
      </c>
      <c r="O3411" s="125"/>
      <c r="P3411" s="33" t="str">
        <f t="shared" si="1004"/>
        <v>C66 SERVICE/OTHERS</v>
      </c>
      <c r="Q3411" s="152" t="s">
        <v>44</v>
      </c>
      <c r="R3411" s="13" t="s">
        <v>45</v>
      </c>
      <c r="S3411" s="13" t="s">
        <v>50</v>
      </c>
      <c r="T3411" s="14"/>
      <c r="U3411" s="14"/>
      <c r="V3411" s="51"/>
      <c r="W3411" s="14"/>
      <c r="X3411" s="126"/>
      <c r="Y3411" s="127"/>
      <c r="Z3411" s="18" t="str">
        <f t="shared" si="1005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06"/>
        <v>31097187.02948761</v>
      </c>
      <c r="AJ3411" s="19">
        <f t="shared" si="1007"/>
        <v>3892353.6644401965</v>
      </c>
      <c r="AK3411" s="20">
        <f t="shared" si="1013"/>
        <v>0.12516738767237401</v>
      </c>
      <c r="AL3411" s="55"/>
      <c r="AM3411" s="55"/>
      <c r="AN3411" s="55"/>
      <c r="AO3411" s="55"/>
      <c r="AP3411" s="28" t="str">
        <f t="shared" si="1014"/>
        <v>20212</v>
      </c>
      <c r="AQ3411" s="28" t="str">
        <f t="shared" si="1015"/>
        <v/>
      </c>
      <c r="AR3411" s="206" t="str">
        <f t="shared" si="1016"/>
        <v>C66 SERVICE</v>
      </c>
      <c r="AS3411" s="22" t="str">
        <f t="shared" si="1017"/>
        <v/>
      </c>
      <c r="AT3411" s="24" t="str">
        <f t="shared" si="1018"/>
        <v/>
      </c>
      <c r="AU3411" s="22">
        <v>0</v>
      </c>
    </row>
    <row r="3412" spans="1:47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48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42</v>
      </c>
      <c r="M3412" s="13" t="s">
        <v>43</v>
      </c>
      <c r="N3412" s="13">
        <v>0</v>
      </c>
      <c r="O3412" s="125"/>
      <c r="P3412" s="33" t="str">
        <f t="shared" si="1004"/>
        <v>C66 SERVICE/OTHERS</v>
      </c>
      <c r="Q3412" s="152" t="s">
        <v>44</v>
      </c>
      <c r="R3412" s="13" t="s">
        <v>45</v>
      </c>
      <c r="S3412" s="13" t="s">
        <v>51</v>
      </c>
      <c r="T3412" s="14"/>
      <c r="U3412" s="14"/>
      <c r="V3412" s="51"/>
      <c r="W3412" s="14"/>
      <c r="X3412" s="126"/>
      <c r="Y3412" s="127"/>
      <c r="Z3412" s="18" t="str">
        <f t="shared" si="1005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06"/>
        <v>31097187.02948761</v>
      </c>
      <c r="AJ3412" s="19">
        <f t="shared" si="1007"/>
        <v>3892353.6644401965</v>
      </c>
      <c r="AK3412" s="20">
        <f t="shared" si="1013"/>
        <v>0.12516738767237401</v>
      </c>
      <c r="AL3412" s="55"/>
      <c r="AM3412" s="55"/>
      <c r="AN3412" s="55"/>
      <c r="AO3412" s="55"/>
      <c r="AP3412" s="28" t="str">
        <f t="shared" si="1014"/>
        <v>20212</v>
      </c>
      <c r="AQ3412" s="28" t="str">
        <f t="shared" si="1015"/>
        <v/>
      </c>
      <c r="AR3412" s="206" t="str">
        <f t="shared" si="1016"/>
        <v>C66 SERVICE</v>
      </c>
      <c r="AS3412" s="22" t="str">
        <f t="shared" si="1017"/>
        <v/>
      </c>
      <c r="AT3412" s="24" t="str">
        <f t="shared" si="1018"/>
        <v/>
      </c>
      <c r="AU3412" s="22">
        <v>0</v>
      </c>
    </row>
    <row r="3413" spans="1:47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48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42</v>
      </c>
      <c r="M3413" s="13" t="s">
        <v>43</v>
      </c>
      <c r="N3413" s="13">
        <v>0</v>
      </c>
      <c r="O3413" s="125"/>
      <c r="P3413" s="33" t="str">
        <f t="shared" si="1004"/>
        <v>C66 SERVICE/OTHERS</v>
      </c>
      <c r="Q3413" s="152" t="s">
        <v>44</v>
      </c>
      <c r="R3413" s="13" t="s">
        <v>45</v>
      </c>
      <c r="S3413" s="13" t="s">
        <v>52</v>
      </c>
      <c r="T3413" s="14"/>
      <c r="U3413" s="14"/>
      <c r="V3413" s="51"/>
      <c r="W3413" s="14"/>
      <c r="X3413" s="126"/>
      <c r="Y3413" s="127"/>
      <c r="Z3413" s="18" t="str">
        <f t="shared" si="1005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06"/>
        <v>31097187.02948761</v>
      </c>
      <c r="AJ3413" s="19">
        <f t="shared" si="1007"/>
        <v>3892353.6644401965</v>
      </c>
      <c r="AK3413" s="20">
        <f t="shared" si="1013"/>
        <v>0.12516738767237401</v>
      </c>
      <c r="AL3413" s="55"/>
      <c r="AM3413" s="55"/>
      <c r="AN3413" s="55"/>
      <c r="AO3413" s="55"/>
      <c r="AP3413" s="28" t="str">
        <f t="shared" si="1014"/>
        <v>20212</v>
      </c>
      <c r="AQ3413" s="28" t="str">
        <f t="shared" si="1015"/>
        <v/>
      </c>
      <c r="AR3413" s="206" t="str">
        <f t="shared" si="1016"/>
        <v>C66 SERVICE</v>
      </c>
      <c r="AS3413" s="22" t="str">
        <f t="shared" si="1017"/>
        <v/>
      </c>
      <c r="AT3413" s="24" t="str">
        <f t="shared" si="1018"/>
        <v/>
      </c>
      <c r="AU3413" s="22">
        <v>0</v>
      </c>
    </row>
    <row r="3414" spans="1:47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48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42</v>
      </c>
      <c r="M3414" s="13" t="s">
        <v>43</v>
      </c>
      <c r="N3414" s="13">
        <v>0</v>
      </c>
      <c r="O3414" s="125"/>
      <c r="P3414" s="33" t="str">
        <f t="shared" ref="P3414:P3477" si="1019">IF(M3414="","",IF(AND(N3414&gt;0,L3414&lt;&gt;""),"MAIN UNIT",IF(AND(O3414&gt;0,L3414&lt;&gt;""),"SERVICE/ PARTS","C66 SERVICE/OTHERS")))</f>
        <v>C66 SERVICE/OTHERS</v>
      </c>
      <c r="Q3414" s="152" t="s">
        <v>44</v>
      </c>
      <c r="R3414" s="13" t="s">
        <v>45</v>
      </c>
      <c r="S3414" s="13" t="s">
        <v>49</v>
      </c>
      <c r="T3414" s="14"/>
      <c r="U3414" s="14"/>
      <c r="V3414" s="51"/>
      <c r="W3414" s="14"/>
      <c r="X3414" s="126"/>
      <c r="Y3414" s="127"/>
      <c r="Z3414" s="18" t="str">
        <f t="shared" si="1005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06"/>
        <v>45803245.025628321</v>
      </c>
      <c r="AJ3414" s="19">
        <f t="shared" si="1007"/>
        <v>5664636.2584379362</v>
      </c>
      <c r="AK3414" s="20">
        <f t="shared" si="1013"/>
        <v>0.12367325186825515</v>
      </c>
      <c r="AL3414" s="55"/>
      <c r="AM3414" s="55"/>
      <c r="AN3414" s="55"/>
      <c r="AO3414" s="55"/>
      <c r="AP3414" s="28" t="str">
        <f t="shared" si="1014"/>
        <v>20211</v>
      </c>
      <c r="AQ3414" s="28" t="str">
        <f t="shared" si="1015"/>
        <v/>
      </c>
      <c r="AR3414" s="206" t="str">
        <f t="shared" si="1016"/>
        <v>C66 SERVICE</v>
      </c>
      <c r="AS3414" s="22" t="str">
        <f t="shared" si="1017"/>
        <v/>
      </c>
      <c r="AT3414" s="24" t="str">
        <f t="shared" si="1018"/>
        <v/>
      </c>
      <c r="AU3414" s="22">
        <v>0</v>
      </c>
    </row>
    <row r="3415" spans="1:47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48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42</v>
      </c>
      <c r="M3415" s="13" t="s">
        <v>43</v>
      </c>
      <c r="N3415" s="13">
        <v>0</v>
      </c>
      <c r="O3415" s="125"/>
      <c r="P3415" s="33" t="str">
        <f t="shared" si="1019"/>
        <v>C66 SERVICE/OTHERS</v>
      </c>
      <c r="Q3415" s="152" t="s">
        <v>44</v>
      </c>
      <c r="R3415" s="13" t="s">
        <v>45</v>
      </c>
      <c r="S3415" s="13" t="s">
        <v>50</v>
      </c>
      <c r="T3415" s="14"/>
      <c r="U3415" s="14"/>
      <c r="V3415" s="51"/>
      <c r="W3415" s="14"/>
      <c r="X3415" s="126"/>
      <c r="Y3415" s="127"/>
      <c r="Z3415" s="18" t="str">
        <f t="shared" si="1005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06"/>
        <v>45803245.025628321</v>
      </c>
      <c r="AJ3415" s="19">
        <f t="shared" si="1007"/>
        <v>5664636.2584379362</v>
      </c>
      <c r="AK3415" s="20">
        <f t="shared" si="1013"/>
        <v>0.12367325186825515</v>
      </c>
      <c r="AL3415" s="55"/>
      <c r="AM3415" s="55"/>
      <c r="AN3415" s="55"/>
      <c r="AO3415" s="55"/>
      <c r="AP3415" s="28" t="str">
        <f t="shared" si="1014"/>
        <v>20211</v>
      </c>
      <c r="AQ3415" s="28" t="str">
        <f t="shared" si="1015"/>
        <v/>
      </c>
      <c r="AR3415" s="206" t="str">
        <f t="shared" si="1016"/>
        <v>C66 SERVICE</v>
      </c>
      <c r="AS3415" s="22" t="str">
        <f t="shared" si="1017"/>
        <v/>
      </c>
      <c r="AT3415" s="24" t="str">
        <f t="shared" si="1018"/>
        <v/>
      </c>
      <c r="AU3415" s="22">
        <v>0</v>
      </c>
    </row>
    <row r="3416" spans="1:47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48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42</v>
      </c>
      <c r="M3416" s="13" t="s">
        <v>43</v>
      </c>
      <c r="N3416" s="13">
        <v>0</v>
      </c>
      <c r="O3416" s="125"/>
      <c r="P3416" s="33" t="str">
        <f t="shared" si="1019"/>
        <v>C66 SERVICE/OTHERS</v>
      </c>
      <c r="Q3416" s="152" t="s">
        <v>44</v>
      </c>
      <c r="R3416" s="13" t="s">
        <v>45</v>
      </c>
      <c r="S3416" s="13" t="s">
        <v>51</v>
      </c>
      <c r="T3416" s="14"/>
      <c r="U3416" s="14"/>
      <c r="V3416" s="51"/>
      <c r="W3416" s="14"/>
      <c r="X3416" s="126"/>
      <c r="Y3416" s="127"/>
      <c r="Z3416" s="18" t="str">
        <f t="shared" si="1005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06"/>
        <v>45803245.025628321</v>
      </c>
      <c r="AJ3416" s="19">
        <f t="shared" si="1007"/>
        <v>5664636.2584379362</v>
      </c>
      <c r="AK3416" s="20">
        <f t="shared" si="1013"/>
        <v>0.12367325186825515</v>
      </c>
      <c r="AL3416" s="55"/>
      <c r="AM3416" s="55"/>
      <c r="AN3416" s="55"/>
      <c r="AO3416" s="55"/>
      <c r="AP3416" s="28" t="str">
        <f t="shared" si="1014"/>
        <v>20211</v>
      </c>
      <c r="AQ3416" s="28" t="str">
        <f t="shared" si="1015"/>
        <v/>
      </c>
      <c r="AR3416" s="206" t="str">
        <f t="shared" si="1016"/>
        <v>C66 SERVICE</v>
      </c>
      <c r="AS3416" s="22" t="str">
        <f t="shared" si="1017"/>
        <v/>
      </c>
      <c r="AT3416" s="24" t="str">
        <f t="shared" si="1018"/>
        <v/>
      </c>
      <c r="AU3416" s="22">
        <v>0</v>
      </c>
    </row>
    <row r="3417" spans="1:47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48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42</v>
      </c>
      <c r="M3417" s="13" t="s">
        <v>43</v>
      </c>
      <c r="N3417" s="13">
        <v>0</v>
      </c>
      <c r="O3417" s="125"/>
      <c r="P3417" s="33" t="str">
        <f t="shared" si="1019"/>
        <v>C66 SERVICE/OTHERS</v>
      </c>
      <c r="Q3417" s="152" t="s">
        <v>44</v>
      </c>
      <c r="R3417" s="13" t="s">
        <v>45</v>
      </c>
      <c r="S3417" s="13" t="s">
        <v>52</v>
      </c>
      <c r="T3417" s="14"/>
      <c r="U3417" s="14"/>
      <c r="V3417" s="51"/>
      <c r="W3417" s="14"/>
      <c r="X3417" s="126"/>
      <c r="Y3417" s="127"/>
      <c r="Z3417" s="18" t="str">
        <f t="shared" si="1005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06"/>
        <v>45803245.025628321</v>
      </c>
      <c r="AJ3417" s="19">
        <f t="shared" si="1007"/>
        <v>5664636.2584379362</v>
      </c>
      <c r="AK3417" s="20">
        <f t="shared" si="1013"/>
        <v>0.12367325186825515</v>
      </c>
      <c r="AL3417" s="55"/>
      <c r="AM3417" s="55"/>
      <c r="AN3417" s="55"/>
      <c r="AO3417" s="55"/>
      <c r="AP3417" s="28" t="str">
        <f t="shared" si="1014"/>
        <v>20211</v>
      </c>
      <c r="AQ3417" s="28" t="str">
        <f t="shared" si="1015"/>
        <v/>
      </c>
      <c r="AR3417" s="206" t="str">
        <f t="shared" si="1016"/>
        <v>C66 SERVICE</v>
      </c>
      <c r="AS3417" s="22" t="str">
        <f t="shared" si="1017"/>
        <v/>
      </c>
      <c r="AT3417" s="24" t="str">
        <f t="shared" si="1018"/>
        <v/>
      </c>
      <c r="AU3417" s="22">
        <v>0</v>
      </c>
    </row>
    <row r="3418" spans="1:47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53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42</v>
      </c>
      <c r="M3418" s="13" t="s">
        <v>43</v>
      </c>
      <c r="N3418" s="13">
        <v>0</v>
      </c>
      <c r="O3418" s="125"/>
      <c r="P3418" s="33" t="str">
        <f t="shared" si="1019"/>
        <v>C66 SERVICE/OTHERS</v>
      </c>
      <c r="Q3418" s="152" t="s">
        <v>44</v>
      </c>
      <c r="R3418" s="13" t="s">
        <v>45</v>
      </c>
      <c r="S3418" s="13" t="s">
        <v>49</v>
      </c>
      <c r="T3418" s="14"/>
      <c r="U3418" s="14"/>
      <c r="V3418" s="51"/>
      <c r="W3418" s="14"/>
      <c r="X3418" s="126"/>
      <c r="Y3418" s="127"/>
      <c r="Z3418" s="18" t="str">
        <f t="shared" si="1005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06"/>
        <v>43684091.636631854</v>
      </c>
      <c r="AJ3418" s="19">
        <f t="shared" si="1007"/>
        <v>6483951.8242071122</v>
      </c>
      <c r="AK3418" s="20">
        <f t="shared" si="1013"/>
        <v>0.14842821680123736</v>
      </c>
      <c r="AL3418" s="55"/>
      <c r="AM3418" s="55"/>
      <c r="AN3418" s="55"/>
      <c r="AO3418" s="55"/>
      <c r="AP3418" s="28" t="str">
        <f t="shared" si="1014"/>
        <v>20214</v>
      </c>
      <c r="AQ3418" s="28" t="str">
        <f t="shared" si="1015"/>
        <v/>
      </c>
      <c r="AR3418" s="206" t="str">
        <f t="shared" si="1016"/>
        <v>C66 SERVICE</v>
      </c>
      <c r="AS3418" s="22" t="str">
        <f t="shared" si="1017"/>
        <v/>
      </c>
      <c r="AT3418" s="24" t="str">
        <f t="shared" si="1018"/>
        <v/>
      </c>
      <c r="AU3418" s="22">
        <v>0</v>
      </c>
    </row>
    <row r="3419" spans="1:47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53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42</v>
      </c>
      <c r="M3419" s="13" t="s">
        <v>43</v>
      </c>
      <c r="N3419" s="13">
        <v>0</v>
      </c>
      <c r="O3419" s="125"/>
      <c r="P3419" s="33" t="str">
        <f t="shared" si="1019"/>
        <v>C66 SERVICE/OTHERS</v>
      </c>
      <c r="Q3419" s="152" t="s">
        <v>44</v>
      </c>
      <c r="R3419" s="13" t="s">
        <v>45</v>
      </c>
      <c r="S3419" s="13" t="s">
        <v>50</v>
      </c>
      <c r="T3419" s="14"/>
      <c r="U3419" s="14"/>
      <c r="V3419" s="51"/>
      <c r="W3419" s="14"/>
      <c r="X3419" s="126"/>
      <c r="Y3419" s="127"/>
      <c r="Z3419" s="18" t="str">
        <f t="shared" si="1005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06"/>
        <v>43684091.636631854</v>
      </c>
      <c r="AJ3419" s="19">
        <f t="shared" si="1007"/>
        <v>6483951.8242071122</v>
      </c>
      <c r="AK3419" s="20">
        <f t="shared" si="1013"/>
        <v>0.14842821680123736</v>
      </c>
      <c r="AL3419" s="55"/>
      <c r="AM3419" s="55"/>
      <c r="AN3419" s="55"/>
      <c r="AO3419" s="55"/>
      <c r="AP3419" s="28" t="str">
        <f t="shared" si="1014"/>
        <v>20214</v>
      </c>
      <c r="AQ3419" s="28" t="str">
        <f t="shared" si="1015"/>
        <v/>
      </c>
      <c r="AR3419" s="206" t="str">
        <f t="shared" si="1016"/>
        <v>C66 SERVICE</v>
      </c>
      <c r="AS3419" s="22" t="str">
        <f t="shared" si="1017"/>
        <v/>
      </c>
      <c r="AT3419" s="24" t="str">
        <f t="shared" si="1018"/>
        <v/>
      </c>
      <c r="AU3419" s="22">
        <v>0</v>
      </c>
    </row>
    <row r="3420" spans="1:47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53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42</v>
      </c>
      <c r="M3420" s="13" t="s">
        <v>43</v>
      </c>
      <c r="N3420" s="13">
        <v>0</v>
      </c>
      <c r="O3420" s="125"/>
      <c r="P3420" s="33" t="str">
        <f t="shared" si="1019"/>
        <v>C66 SERVICE/OTHERS</v>
      </c>
      <c r="Q3420" s="152" t="s">
        <v>44</v>
      </c>
      <c r="R3420" s="13" t="s">
        <v>45</v>
      </c>
      <c r="S3420" s="13" t="s">
        <v>51</v>
      </c>
      <c r="T3420" s="14"/>
      <c r="U3420" s="14"/>
      <c r="V3420" s="51"/>
      <c r="W3420" s="14"/>
      <c r="X3420" s="126"/>
      <c r="Y3420" s="127"/>
      <c r="Z3420" s="18" t="str">
        <f t="shared" si="1005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06"/>
        <v>43684091.636631854</v>
      </c>
      <c r="AJ3420" s="19">
        <f t="shared" si="1007"/>
        <v>6483951.8242071122</v>
      </c>
      <c r="AK3420" s="20">
        <f t="shared" si="1013"/>
        <v>0.14842821680123736</v>
      </c>
      <c r="AL3420" s="55"/>
      <c r="AM3420" s="55"/>
      <c r="AN3420" s="55"/>
      <c r="AO3420" s="55"/>
      <c r="AP3420" s="28" t="str">
        <f t="shared" si="1014"/>
        <v>20214</v>
      </c>
      <c r="AQ3420" s="28" t="str">
        <f t="shared" si="1015"/>
        <v/>
      </c>
      <c r="AR3420" s="206" t="str">
        <f t="shared" si="1016"/>
        <v>C66 SERVICE</v>
      </c>
      <c r="AS3420" s="22" t="str">
        <f t="shared" si="1017"/>
        <v/>
      </c>
      <c r="AT3420" s="24" t="str">
        <f t="shared" si="1018"/>
        <v/>
      </c>
      <c r="AU3420" s="22">
        <v>0</v>
      </c>
    </row>
    <row r="3421" spans="1:47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53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42</v>
      </c>
      <c r="M3421" s="13" t="s">
        <v>43</v>
      </c>
      <c r="N3421" s="13">
        <v>0</v>
      </c>
      <c r="O3421" s="125"/>
      <c r="P3421" s="33" t="str">
        <f t="shared" si="1019"/>
        <v>C66 SERVICE/OTHERS</v>
      </c>
      <c r="Q3421" s="152" t="s">
        <v>44</v>
      </c>
      <c r="R3421" s="13" t="s">
        <v>45</v>
      </c>
      <c r="S3421" s="13" t="s">
        <v>52</v>
      </c>
      <c r="T3421" s="14"/>
      <c r="U3421" s="14"/>
      <c r="V3421" s="51"/>
      <c r="W3421" s="14"/>
      <c r="X3421" s="126"/>
      <c r="Y3421" s="127"/>
      <c r="Z3421" s="18" t="str">
        <f t="shared" si="1005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06"/>
        <v>43684091.636631854</v>
      </c>
      <c r="AJ3421" s="19">
        <f t="shared" si="1007"/>
        <v>6483951.8242071122</v>
      </c>
      <c r="AK3421" s="20">
        <f t="shared" si="1013"/>
        <v>0.14842821680123736</v>
      </c>
      <c r="AL3421" s="55"/>
      <c r="AM3421" s="55"/>
      <c r="AN3421" s="55"/>
      <c r="AO3421" s="55"/>
      <c r="AP3421" s="28" t="str">
        <f t="shared" si="1014"/>
        <v>20214</v>
      </c>
      <c r="AQ3421" s="28" t="str">
        <f t="shared" si="1015"/>
        <v/>
      </c>
      <c r="AR3421" s="206" t="str">
        <f t="shared" si="1016"/>
        <v>C66 SERVICE</v>
      </c>
      <c r="AS3421" s="22" t="str">
        <f t="shared" si="1017"/>
        <v/>
      </c>
      <c r="AT3421" s="24" t="str">
        <f t="shared" si="1018"/>
        <v/>
      </c>
      <c r="AU3421" s="22">
        <v>0</v>
      </c>
    </row>
    <row r="3422" spans="1:47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53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42</v>
      </c>
      <c r="M3422" s="13" t="s">
        <v>43</v>
      </c>
      <c r="N3422" s="13">
        <v>0</v>
      </c>
      <c r="O3422" s="125"/>
      <c r="P3422" s="33" t="str">
        <f t="shared" si="1019"/>
        <v>C66 SERVICE/OTHERS</v>
      </c>
      <c r="Q3422" s="152" t="s">
        <v>44</v>
      </c>
      <c r="R3422" s="13" t="s">
        <v>45</v>
      </c>
      <c r="S3422" s="13" t="s">
        <v>49</v>
      </c>
      <c r="T3422" s="14"/>
      <c r="U3422" s="14"/>
      <c r="V3422" s="51"/>
      <c r="W3422" s="14"/>
      <c r="X3422" s="126"/>
      <c r="Y3422" s="127"/>
      <c r="Z3422" s="18" t="str">
        <f t="shared" ref="Z3422:Z3485" si="1020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06"/>
        <v>63006605.696460173</v>
      </c>
      <c r="AJ3422" s="19">
        <f t="shared" si="1007"/>
        <v>8897485.660753984</v>
      </c>
      <c r="AK3422" s="20">
        <f t="shared" si="1013"/>
        <v>0.141215124388995</v>
      </c>
      <c r="AL3422" s="55"/>
      <c r="AM3422" s="55"/>
      <c r="AN3422" s="55"/>
      <c r="AO3422" s="55"/>
      <c r="AP3422" s="28" t="str">
        <f t="shared" si="1014"/>
        <v>20215</v>
      </c>
      <c r="AQ3422" s="28" t="str">
        <f t="shared" si="1015"/>
        <v/>
      </c>
      <c r="AR3422" s="206" t="str">
        <f t="shared" si="1016"/>
        <v>C66 SERVICE</v>
      </c>
      <c r="AS3422" s="22" t="str">
        <f t="shared" si="1017"/>
        <v/>
      </c>
      <c r="AT3422" s="24" t="str">
        <f t="shared" si="1018"/>
        <v/>
      </c>
      <c r="AU3422" s="22">
        <v>0</v>
      </c>
    </row>
    <row r="3423" spans="1:47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53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42</v>
      </c>
      <c r="M3423" s="13" t="s">
        <v>43</v>
      </c>
      <c r="N3423" s="13">
        <v>0</v>
      </c>
      <c r="O3423" s="125"/>
      <c r="P3423" s="33" t="str">
        <f t="shared" si="1019"/>
        <v>C66 SERVICE/OTHERS</v>
      </c>
      <c r="Q3423" s="152" t="s">
        <v>44</v>
      </c>
      <c r="R3423" s="13" t="s">
        <v>45</v>
      </c>
      <c r="S3423" s="13" t="s">
        <v>50</v>
      </c>
      <c r="T3423" s="14"/>
      <c r="U3423" s="14"/>
      <c r="V3423" s="51"/>
      <c r="W3423" s="14"/>
      <c r="X3423" s="126"/>
      <c r="Y3423" s="127"/>
      <c r="Z3423" s="18" t="str">
        <f t="shared" si="1020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06"/>
        <v>63006605.696460173</v>
      </c>
      <c r="AJ3423" s="19">
        <f t="shared" si="1007"/>
        <v>8897485.660753984</v>
      </c>
      <c r="AK3423" s="20">
        <f t="shared" si="1013"/>
        <v>0.141215124388995</v>
      </c>
      <c r="AL3423" s="55"/>
      <c r="AM3423" s="55"/>
      <c r="AN3423" s="55"/>
      <c r="AO3423" s="55"/>
      <c r="AP3423" s="28" t="str">
        <f t="shared" si="1014"/>
        <v>20215</v>
      </c>
      <c r="AQ3423" s="28" t="str">
        <f t="shared" si="1015"/>
        <v/>
      </c>
      <c r="AR3423" s="206" t="str">
        <f t="shared" si="1016"/>
        <v>C66 SERVICE</v>
      </c>
      <c r="AS3423" s="22" t="str">
        <f t="shared" si="1017"/>
        <v/>
      </c>
      <c r="AT3423" s="24" t="str">
        <f t="shared" si="1018"/>
        <v/>
      </c>
      <c r="AU3423" s="22">
        <v>0</v>
      </c>
    </row>
    <row r="3424" spans="1:47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53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42</v>
      </c>
      <c r="M3424" s="13" t="s">
        <v>43</v>
      </c>
      <c r="N3424" s="13">
        <v>0</v>
      </c>
      <c r="O3424" s="125"/>
      <c r="P3424" s="33" t="str">
        <f t="shared" si="1019"/>
        <v>C66 SERVICE/OTHERS</v>
      </c>
      <c r="Q3424" s="152" t="s">
        <v>44</v>
      </c>
      <c r="R3424" s="13" t="s">
        <v>45</v>
      </c>
      <c r="S3424" s="13" t="s">
        <v>51</v>
      </c>
      <c r="T3424" s="14"/>
      <c r="U3424" s="14"/>
      <c r="V3424" s="51"/>
      <c r="W3424" s="14"/>
      <c r="X3424" s="126"/>
      <c r="Y3424" s="127"/>
      <c r="Z3424" s="18" t="str">
        <f t="shared" si="1020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06"/>
        <v>63006605.696460173</v>
      </c>
      <c r="AJ3424" s="19">
        <f t="shared" si="1007"/>
        <v>8897485.660753984</v>
      </c>
      <c r="AK3424" s="20">
        <f t="shared" si="1013"/>
        <v>0.141215124388995</v>
      </c>
      <c r="AL3424" s="55"/>
      <c r="AM3424" s="55"/>
      <c r="AN3424" s="55"/>
      <c r="AO3424" s="55"/>
      <c r="AP3424" s="28" t="str">
        <f t="shared" si="1014"/>
        <v>20215</v>
      </c>
      <c r="AQ3424" s="28" t="str">
        <f t="shared" si="1015"/>
        <v/>
      </c>
      <c r="AR3424" s="206" t="str">
        <f t="shared" si="1016"/>
        <v>C66 SERVICE</v>
      </c>
      <c r="AS3424" s="22" t="str">
        <f t="shared" si="1017"/>
        <v/>
      </c>
      <c r="AT3424" s="24" t="str">
        <f t="shared" si="1018"/>
        <v/>
      </c>
      <c r="AU3424" s="22">
        <v>0</v>
      </c>
    </row>
    <row r="3425" spans="1:47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53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42</v>
      </c>
      <c r="M3425" s="13" t="s">
        <v>43</v>
      </c>
      <c r="N3425" s="13">
        <v>0</v>
      </c>
      <c r="O3425" s="125"/>
      <c r="P3425" s="33" t="str">
        <f t="shared" si="1019"/>
        <v>C66 SERVICE/OTHERS</v>
      </c>
      <c r="Q3425" s="152" t="s">
        <v>44</v>
      </c>
      <c r="R3425" s="13" t="s">
        <v>45</v>
      </c>
      <c r="S3425" s="13" t="s">
        <v>52</v>
      </c>
      <c r="T3425" s="14"/>
      <c r="U3425" s="14"/>
      <c r="V3425" s="51"/>
      <c r="W3425" s="14"/>
      <c r="X3425" s="126"/>
      <c r="Y3425" s="127"/>
      <c r="Z3425" s="18" t="str">
        <f t="shared" si="1020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06"/>
        <v>63006605.696460173</v>
      </c>
      <c r="AJ3425" s="19">
        <f t="shared" si="1007"/>
        <v>8897485.660753984</v>
      </c>
      <c r="AK3425" s="20">
        <f t="shared" si="1013"/>
        <v>0.141215124388995</v>
      </c>
      <c r="AL3425" s="55"/>
      <c r="AM3425" s="55"/>
      <c r="AN3425" s="55"/>
      <c r="AO3425" s="55"/>
      <c r="AP3425" s="28" t="str">
        <f t="shared" si="1014"/>
        <v>20215</v>
      </c>
      <c r="AQ3425" s="28" t="str">
        <f t="shared" si="1015"/>
        <v/>
      </c>
      <c r="AR3425" s="206" t="str">
        <f t="shared" si="1016"/>
        <v>C66 SERVICE</v>
      </c>
      <c r="AS3425" s="22" t="str">
        <f t="shared" si="1017"/>
        <v/>
      </c>
      <c r="AT3425" s="24" t="str">
        <f t="shared" si="1018"/>
        <v/>
      </c>
      <c r="AU3425" s="22">
        <v>0</v>
      </c>
    </row>
    <row r="3426" spans="1:47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53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42</v>
      </c>
      <c r="M3426" s="13" t="s">
        <v>43</v>
      </c>
      <c r="N3426" s="13">
        <v>0</v>
      </c>
      <c r="O3426" s="125"/>
      <c r="P3426" s="33" t="str">
        <f t="shared" si="1019"/>
        <v>C66 SERVICE/OTHERS</v>
      </c>
      <c r="Q3426" s="152" t="s">
        <v>44</v>
      </c>
      <c r="R3426" s="13" t="s">
        <v>45</v>
      </c>
      <c r="S3426" s="13" t="s">
        <v>49</v>
      </c>
      <c r="T3426" s="14"/>
      <c r="U3426" s="14"/>
      <c r="V3426" s="51"/>
      <c r="W3426" s="14"/>
      <c r="X3426" s="126"/>
      <c r="Y3426" s="127"/>
      <c r="Z3426" s="18" t="str">
        <f t="shared" si="1020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06"/>
        <v>54700260.692079648</v>
      </c>
      <c r="AJ3426" s="19">
        <f t="shared" si="1007"/>
        <v>7482899.5749188727</v>
      </c>
      <c r="AK3426" s="20">
        <f t="shared" si="1013"/>
        <v>0.13679824337660537</v>
      </c>
      <c r="AL3426" s="55"/>
      <c r="AM3426" s="55"/>
      <c r="AN3426" s="55"/>
      <c r="AO3426" s="55"/>
      <c r="AP3426" s="28" t="str">
        <f t="shared" si="1014"/>
        <v>20216</v>
      </c>
      <c r="AQ3426" s="28" t="str">
        <f t="shared" si="1015"/>
        <v/>
      </c>
      <c r="AR3426" s="206" t="str">
        <f t="shared" si="1016"/>
        <v>C66 SERVICE</v>
      </c>
      <c r="AS3426" s="22" t="str">
        <f t="shared" si="1017"/>
        <v/>
      </c>
      <c r="AT3426" s="24" t="str">
        <f t="shared" si="1018"/>
        <v/>
      </c>
      <c r="AU3426" s="22">
        <v>0</v>
      </c>
    </row>
    <row r="3427" spans="1:47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53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42</v>
      </c>
      <c r="M3427" s="13" t="s">
        <v>43</v>
      </c>
      <c r="N3427" s="13">
        <v>0</v>
      </c>
      <c r="O3427" s="125"/>
      <c r="P3427" s="33" t="str">
        <f t="shared" si="1019"/>
        <v>C66 SERVICE/OTHERS</v>
      </c>
      <c r="Q3427" s="152" t="s">
        <v>44</v>
      </c>
      <c r="R3427" s="13" t="s">
        <v>45</v>
      </c>
      <c r="S3427" s="13" t="s">
        <v>50</v>
      </c>
      <c r="T3427" s="14"/>
      <c r="U3427" s="14"/>
      <c r="V3427" s="51"/>
      <c r="W3427" s="14"/>
      <c r="X3427" s="126"/>
      <c r="Y3427" s="127"/>
      <c r="Z3427" s="18" t="str">
        <f t="shared" si="1020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06"/>
        <v>54700260.692079648</v>
      </c>
      <c r="AJ3427" s="19">
        <f t="shared" si="1007"/>
        <v>7482899.5749188727</v>
      </c>
      <c r="AK3427" s="20">
        <f t="shared" si="1013"/>
        <v>0.13679824337660537</v>
      </c>
      <c r="AL3427" s="55"/>
      <c r="AM3427" s="55"/>
      <c r="AN3427" s="55"/>
      <c r="AO3427" s="55"/>
      <c r="AP3427" s="28" t="str">
        <f t="shared" si="1014"/>
        <v>20216</v>
      </c>
      <c r="AQ3427" s="28" t="str">
        <f t="shared" si="1015"/>
        <v/>
      </c>
      <c r="AR3427" s="206" t="str">
        <f t="shared" si="1016"/>
        <v>C66 SERVICE</v>
      </c>
      <c r="AS3427" s="22" t="str">
        <f t="shared" si="1017"/>
        <v/>
      </c>
      <c r="AT3427" s="24" t="str">
        <f t="shared" si="1018"/>
        <v/>
      </c>
      <c r="AU3427" s="22">
        <v>0</v>
      </c>
    </row>
    <row r="3428" spans="1:47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53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42</v>
      </c>
      <c r="M3428" s="13" t="s">
        <v>43</v>
      </c>
      <c r="N3428" s="13">
        <v>0</v>
      </c>
      <c r="O3428" s="125"/>
      <c r="P3428" s="33" t="str">
        <f t="shared" si="1019"/>
        <v>C66 SERVICE/OTHERS</v>
      </c>
      <c r="Q3428" s="152" t="s">
        <v>44</v>
      </c>
      <c r="R3428" s="13" t="s">
        <v>45</v>
      </c>
      <c r="S3428" s="13" t="s">
        <v>51</v>
      </c>
      <c r="T3428" s="14"/>
      <c r="U3428" s="14"/>
      <c r="V3428" s="51"/>
      <c r="W3428" s="14"/>
      <c r="X3428" s="126"/>
      <c r="Y3428" s="127"/>
      <c r="Z3428" s="18" t="str">
        <f t="shared" si="1020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06"/>
        <v>54700260.692079648</v>
      </c>
      <c r="AJ3428" s="19">
        <f t="shared" si="1007"/>
        <v>7482899.5749188727</v>
      </c>
      <c r="AK3428" s="20">
        <f t="shared" si="1013"/>
        <v>0.13679824337660537</v>
      </c>
      <c r="AL3428" s="55"/>
      <c r="AM3428" s="55"/>
      <c r="AN3428" s="55"/>
      <c r="AO3428" s="55"/>
      <c r="AP3428" s="28" t="str">
        <f t="shared" si="1014"/>
        <v>20216</v>
      </c>
      <c r="AQ3428" s="28" t="str">
        <f t="shared" si="1015"/>
        <v/>
      </c>
      <c r="AR3428" s="206" t="str">
        <f t="shared" si="1016"/>
        <v>C66 SERVICE</v>
      </c>
      <c r="AS3428" s="22" t="str">
        <f t="shared" si="1017"/>
        <v/>
      </c>
      <c r="AT3428" s="24" t="str">
        <f t="shared" si="1018"/>
        <v/>
      </c>
      <c r="AU3428" s="22">
        <v>0</v>
      </c>
    </row>
    <row r="3429" spans="1:47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53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42</v>
      </c>
      <c r="M3429" s="13" t="s">
        <v>43</v>
      </c>
      <c r="N3429" s="13">
        <v>0</v>
      </c>
      <c r="O3429" s="125"/>
      <c r="P3429" s="33" t="str">
        <f t="shared" si="1019"/>
        <v>C66 SERVICE/OTHERS</v>
      </c>
      <c r="Q3429" s="152" t="s">
        <v>44</v>
      </c>
      <c r="R3429" s="13" t="s">
        <v>45</v>
      </c>
      <c r="S3429" s="13" t="s">
        <v>52</v>
      </c>
      <c r="T3429" s="14"/>
      <c r="U3429" s="14"/>
      <c r="V3429" s="51"/>
      <c r="W3429" s="14"/>
      <c r="X3429" s="126"/>
      <c r="Y3429" s="127"/>
      <c r="Z3429" s="18" t="str">
        <f t="shared" si="1020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06"/>
        <v>54700260.692079648</v>
      </c>
      <c r="AJ3429" s="19">
        <f t="shared" si="1007"/>
        <v>7482899.5749188727</v>
      </c>
      <c r="AK3429" s="20">
        <f t="shared" si="1013"/>
        <v>0.13679824337660537</v>
      </c>
      <c r="AL3429" s="55"/>
      <c r="AM3429" s="55"/>
      <c r="AN3429" s="55"/>
      <c r="AO3429" s="55"/>
      <c r="AP3429" s="28" t="str">
        <f t="shared" si="1014"/>
        <v>20216</v>
      </c>
      <c r="AQ3429" s="28" t="str">
        <f t="shared" si="1015"/>
        <v/>
      </c>
      <c r="AR3429" s="206" t="str">
        <f t="shared" si="1016"/>
        <v>C66 SERVICE</v>
      </c>
      <c r="AS3429" s="22" t="str">
        <f t="shared" si="1017"/>
        <v/>
      </c>
      <c r="AT3429" s="24" t="str">
        <f t="shared" si="1018"/>
        <v/>
      </c>
      <c r="AU3429" s="22">
        <v>0</v>
      </c>
    </row>
    <row r="3430" spans="1:47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53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42</v>
      </c>
      <c r="M3430" s="13" t="s">
        <v>43</v>
      </c>
      <c r="N3430" s="13">
        <v>0</v>
      </c>
      <c r="O3430" s="125"/>
      <c r="P3430" s="33" t="str">
        <f t="shared" si="1019"/>
        <v>C66 SERVICE/OTHERS</v>
      </c>
      <c r="Q3430" s="152" t="s">
        <v>44</v>
      </c>
      <c r="R3430" s="13" t="s">
        <v>45</v>
      </c>
      <c r="S3430" s="13" t="s">
        <v>49</v>
      </c>
      <c r="T3430" s="14"/>
      <c r="U3430" s="14"/>
      <c r="V3430" s="51"/>
      <c r="W3430" s="14"/>
      <c r="X3430" s="126"/>
      <c r="Y3430" s="127"/>
      <c r="Z3430" s="18" t="str">
        <f t="shared" si="1020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06"/>
        <v>41443303.53761062</v>
      </c>
      <c r="AJ3430" s="19">
        <f t="shared" si="1007"/>
        <v>6194988.76643031</v>
      </c>
      <c r="AK3430" s="20">
        <f t="shared" si="1013"/>
        <v>0.1494810557466355</v>
      </c>
      <c r="AL3430" s="55"/>
      <c r="AM3430" s="55"/>
      <c r="AN3430" s="55"/>
      <c r="AO3430" s="55"/>
      <c r="AP3430" s="28" t="str">
        <f t="shared" si="1014"/>
        <v>20217</v>
      </c>
      <c r="AQ3430" s="28" t="str">
        <f t="shared" si="1015"/>
        <v/>
      </c>
      <c r="AR3430" s="206" t="str">
        <f t="shared" si="1016"/>
        <v>C66 SERVICE</v>
      </c>
      <c r="AS3430" s="22" t="str">
        <f t="shared" si="1017"/>
        <v/>
      </c>
      <c r="AT3430" s="24" t="str">
        <f t="shared" si="1018"/>
        <v/>
      </c>
      <c r="AU3430" s="22">
        <v>0</v>
      </c>
    </row>
    <row r="3431" spans="1:47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53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42</v>
      </c>
      <c r="M3431" s="13" t="s">
        <v>43</v>
      </c>
      <c r="N3431" s="13">
        <v>0</v>
      </c>
      <c r="O3431" s="125"/>
      <c r="P3431" s="33" t="str">
        <f t="shared" si="1019"/>
        <v>C66 SERVICE/OTHERS</v>
      </c>
      <c r="Q3431" s="152" t="s">
        <v>44</v>
      </c>
      <c r="R3431" s="13" t="s">
        <v>45</v>
      </c>
      <c r="S3431" s="13" t="s">
        <v>50</v>
      </c>
      <c r="T3431" s="14"/>
      <c r="U3431" s="14"/>
      <c r="V3431" s="51"/>
      <c r="W3431" s="14"/>
      <c r="X3431" s="126"/>
      <c r="Y3431" s="127"/>
      <c r="Z3431" s="18" t="str">
        <f t="shared" si="1020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06"/>
        <v>41443303.53761062</v>
      </c>
      <c r="AJ3431" s="19">
        <f t="shared" si="1007"/>
        <v>6194988.76643031</v>
      </c>
      <c r="AK3431" s="20">
        <f t="shared" si="1013"/>
        <v>0.1494810557466355</v>
      </c>
      <c r="AL3431" s="55"/>
      <c r="AM3431" s="55"/>
      <c r="AN3431" s="55"/>
      <c r="AO3431" s="55"/>
      <c r="AP3431" s="28" t="str">
        <f t="shared" si="1014"/>
        <v>20217</v>
      </c>
      <c r="AQ3431" s="28" t="str">
        <f t="shared" si="1015"/>
        <v/>
      </c>
      <c r="AR3431" s="206" t="str">
        <f t="shared" si="1016"/>
        <v>C66 SERVICE</v>
      </c>
      <c r="AS3431" s="22" t="str">
        <f t="shared" si="1017"/>
        <v/>
      </c>
      <c r="AT3431" s="24" t="str">
        <f t="shared" si="1018"/>
        <v/>
      </c>
      <c r="AU3431" s="22">
        <v>0</v>
      </c>
    </row>
    <row r="3432" spans="1:47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53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42</v>
      </c>
      <c r="M3432" s="13" t="s">
        <v>43</v>
      </c>
      <c r="N3432" s="13">
        <v>0</v>
      </c>
      <c r="O3432" s="125"/>
      <c r="P3432" s="33" t="str">
        <f t="shared" si="1019"/>
        <v>C66 SERVICE/OTHERS</v>
      </c>
      <c r="Q3432" s="152" t="s">
        <v>44</v>
      </c>
      <c r="R3432" s="13" t="s">
        <v>45</v>
      </c>
      <c r="S3432" s="13" t="s">
        <v>51</v>
      </c>
      <c r="T3432" s="14"/>
      <c r="U3432" s="14"/>
      <c r="V3432" s="51"/>
      <c r="W3432" s="14"/>
      <c r="X3432" s="126"/>
      <c r="Y3432" s="127"/>
      <c r="Z3432" s="18" t="str">
        <f t="shared" si="1020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06"/>
        <v>41443303.53761062</v>
      </c>
      <c r="AJ3432" s="19">
        <f t="shared" si="1007"/>
        <v>6194988.76643031</v>
      </c>
      <c r="AK3432" s="20">
        <f t="shared" si="1013"/>
        <v>0.1494810557466355</v>
      </c>
      <c r="AL3432" s="55"/>
      <c r="AM3432" s="55"/>
      <c r="AN3432" s="55"/>
      <c r="AO3432" s="55"/>
      <c r="AP3432" s="28" t="str">
        <f t="shared" si="1014"/>
        <v>20217</v>
      </c>
      <c r="AQ3432" s="28" t="str">
        <f t="shared" si="1015"/>
        <v/>
      </c>
      <c r="AR3432" s="206" t="str">
        <f t="shared" si="1016"/>
        <v>C66 SERVICE</v>
      </c>
      <c r="AS3432" s="22" t="str">
        <f t="shared" si="1017"/>
        <v/>
      </c>
      <c r="AT3432" s="24" t="str">
        <f t="shared" si="1018"/>
        <v/>
      </c>
      <c r="AU3432" s="22">
        <v>0</v>
      </c>
    </row>
    <row r="3433" spans="1:47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53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42</v>
      </c>
      <c r="M3433" s="13" t="s">
        <v>43</v>
      </c>
      <c r="N3433" s="13">
        <v>0</v>
      </c>
      <c r="O3433" s="125"/>
      <c r="P3433" s="33" t="str">
        <f t="shared" si="1019"/>
        <v>C66 SERVICE/OTHERS</v>
      </c>
      <c r="Q3433" s="152" t="s">
        <v>44</v>
      </c>
      <c r="R3433" s="13" t="s">
        <v>45</v>
      </c>
      <c r="S3433" s="13" t="s">
        <v>52</v>
      </c>
      <c r="T3433" s="14"/>
      <c r="U3433" s="14"/>
      <c r="V3433" s="51"/>
      <c r="W3433" s="14"/>
      <c r="X3433" s="126"/>
      <c r="Y3433" s="127"/>
      <c r="Z3433" s="18" t="str">
        <f t="shared" si="1020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06"/>
        <v>41443303.53761062</v>
      </c>
      <c r="AJ3433" s="19">
        <f t="shared" si="1007"/>
        <v>6194988.76643031</v>
      </c>
      <c r="AK3433" s="20">
        <f t="shared" si="1013"/>
        <v>0.1494810557466355</v>
      </c>
      <c r="AL3433" s="55"/>
      <c r="AM3433" s="55"/>
      <c r="AN3433" s="55"/>
      <c r="AO3433" s="55"/>
      <c r="AP3433" s="28" t="str">
        <f t="shared" si="1014"/>
        <v>20217</v>
      </c>
      <c r="AQ3433" s="28" t="str">
        <f t="shared" si="1015"/>
        <v/>
      </c>
      <c r="AR3433" s="206" t="str">
        <f t="shared" si="1016"/>
        <v>C66 SERVICE</v>
      </c>
      <c r="AS3433" s="22" t="str">
        <f t="shared" si="1017"/>
        <v/>
      </c>
      <c r="AT3433" s="24" t="str">
        <f t="shared" si="1018"/>
        <v/>
      </c>
      <c r="AU3433" s="22">
        <v>0</v>
      </c>
    </row>
    <row r="3434" spans="1:47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53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42</v>
      </c>
      <c r="M3434" s="13" t="s">
        <v>43</v>
      </c>
      <c r="N3434" s="13">
        <v>0</v>
      </c>
      <c r="O3434" s="125"/>
      <c r="P3434" s="33" t="str">
        <f t="shared" si="1019"/>
        <v>C66 SERVICE/OTHERS</v>
      </c>
      <c r="Q3434" s="152" t="s">
        <v>44</v>
      </c>
      <c r="R3434" s="13" t="s">
        <v>45</v>
      </c>
      <c r="S3434" s="13" t="s">
        <v>49</v>
      </c>
      <c r="T3434" s="14"/>
      <c r="U3434" s="14"/>
      <c r="V3434" s="51"/>
      <c r="W3434" s="14"/>
      <c r="X3434" s="126"/>
      <c r="Y3434" s="127"/>
      <c r="Z3434" s="18" t="str">
        <f t="shared" si="1020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06"/>
        <v>47458373.787610628</v>
      </c>
      <c r="AJ3434" s="19">
        <f t="shared" si="1007"/>
        <v>7436880.1411522133</v>
      </c>
      <c r="AK3434" s="20">
        <f t="shared" si="1013"/>
        <v>0.15670322321692506</v>
      </c>
      <c r="AL3434" s="55"/>
      <c r="AM3434" s="55"/>
      <c r="AN3434" s="55"/>
      <c r="AO3434" s="55"/>
      <c r="AP3434" s="28" t="str">
        <f t="shared" si="1014"/>
        <v>20218</v>
      </c>
      <c r="AQ3434" s="28" t="str">
        <f t="shared" si="1015"/>
        <v/>
      </c>
      <c r="AR3434" s="206" t="str">
        <f t="shared" si="1016"/>
        <v>C66 SERVICE</v>
      </c>
      <c r="AS3434" s="22" t="str">
        <f t="shared" si="1017"/>
        <v/>
      </c>
      <c r="AT3434" s="24" t="str">
        <f t="shared" si="1018"/>
        <v/>
      </c>
      <c r="AU3434" s="22">
        <v>0</v>
      </c>
    </row>
    <row r="3435" spans="1:47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53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42</v>
      </c>
      <c r="M3435" s="13" t="s">
        <v>43</v>
      </c>
      <c r="N3435" s="13">
        <v>0</v>
      </c>
      <c r="O3435" s="125"/>
      <c r="P3435" s="33" t="str">
        <f t="shared" si="1019"/>
        <v>C66 SERVICE/OTHERS</v>
      </c>
      <c r="Q3435" s="152" t="s">
        <v>44</v>
      </c>
      <c r="R3435" s="13" t="s">
        <v>45</v>
      </c>
      <c r="S3435" s="13" t="s">
        <v>50</v>
      </c>
      <c r="T3435" s="14"/>
      <c r="U3435" s="14"/>
      <c r="V3435" s="51"/>
      <c r="W3435" s="14"/>
      <c r="X3435" s="126"/>
      <c r="Y3435" s="127"/>
      <c r="Z3435" s="18" t="str">
        <f t="shared" si="1020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06"/>
        <v>47458373.787610628</v>
      </c>
      <c r="AJ3435" s="19">
        <f t="shared" si="1007"/>
        <v>7436880.1411522133</v>
      </c>
      <c r="AK3435" s="20">
        <f t="shared" si="1013"/>
        <v>0.15670322321692506</v>
      </c>
      <c r="AL3435" s="55"/>
      <c r="AM3435" s="55"/>
      <c r="AN3435" s="55"/>
      <c r="AO3435" s="55"/>
      <c r="AP3435" s="28" t="str">
        <f t="shared" si="1014"/>
        <v>20218</v>
      </c>
      <c r="AQ3435" s="28" t="str">
        <f t="shared" si="1015"/>
        <v/>
      </c>
      <c r="AR3435" s="206" t="str">
        <f t="shared" si="1016"/>
        <v>C66 SERVICE</v>
      </c>
      <c r="AS3435" s="22" t="str">
        <f t="shared" si="1017"/>
        <v/>
      </c>
      <c r="AT3435" s="24" t="str">
        <f t="shared" si="1018"/>
        <v/>
      </c>
      <c r="AU3435" s="22">
        <v>0</v>
      </c>
    </row>
    <row r="3436" spans="1:47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53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42</v>
      </c>
      <c r="M3436" s="13" t="s">
        <v>43</v>
      </c>
      <c r="N3436" s="13">
        <v>0</v>
      </c>
      <c r="O3436" s="125"/>
      <c r="P3436" s="33" t="str">
        <f t="shared" si="1019"/>
        <v>C66 SERVICE/OTHERS</v>
      </c>
      <c r="Q3436" s="152" t="s">
        <v>44</v>
      </c>
      <c r="R3436" s="13" t="s">
        <v>45</v>
      </c>
      <c r="S3436" s="13" t="s">
        <v>51</v>
      </c>
      <c r="T3436" s="14"/>
      <c r="U3436" s="14"/>
      <c r="V3436" s="51"/>
      <c r="W3436" s="14"/>
      <c r="X3436" s="126"/>
      <c r="Y3436" s="127"/>
      <c r="Z3436" s="18" t="str">
        <f t="shared" si="1020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06"/>
        <v>47458373.787610628</v>
      </c>
      <c r="AJ3436" s="19">
        <f t="shared" si="1007"/>
        <v>7436880.1411522133</v>
      </c>
      <c r="AK3436" s="20">
        <f t="shared" si="1013"/>
        <v>0.15670322321692506</v>
      </c>
      <c r="AL3436" s="55"/>
      <c r="AM3436" s="55"/>
      <c r="AN3436" s="55"/>
      <c r="AO3436" s="55"/>
      <c r="AP3436" s="28" t="str">
        <f t="shared" si="1014"/>
        <v>20218</v>
      </c>
      <c r="AQ3436" s="28" t="str">
        <f t="shared" si="1015"/>
        <v/>
      </c>
      <c r="AR3436" s="206" t="str">
        <f t="shared" si="1016"/>
        <v>C66 SERVICE</v>
      </c>
      <c r="AS3436" s="22" t="str">
        <f t="shared" si="1017"/>
        <v/>
      </c>
      <c r="AT3436" s="24" t="str">
        <f t="shared" si="1018"/>
        <v/>
      </c>
      <c r="AU3436" s="22">
        <v>0</v>
      </c>
    </row>
    <row r="3437" spans="1:47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53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42</v>
      </c>
      <c r="M3437" s="13" t="s">
        <v>43</v>
      </c>
      <c r="N3437" s="13">
        <v>0</v>
      </c>
      <c r="O3437" s="125"/>
      <c r="P3437" s="33" t="str">
        <f t="shared" si="1019"/>
        <v>C66 SERVICE/OTHERS</v>
      </c>
      <c r="Q3437" s="152" t="s">
        <v>44</v>
      </c>
      <c r="R3437" s="13" t="s">
        <v>45</v>
      </c>
      <c r="S3437" s="13" t="s">
        <v>52</v>
      </c>
      <c r="T3437" s="14"/>
      <c r="U3437" s="14"/>
      <c r="V3437" s="51"/>
      <c r="W3437" s="14"/>
      <c r="X3437" s="126"/>
      <c r="Y3437" s="127"/>
      <c r="Z3437" s="18" t="str">
        <f t="shared" si="1020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06"/>
        <v>47458373.787610628</v>
      </c>
      <c r="AJ3437" s="19">
        <f t="shared" si="1007"/>
        <v>7436880.1411522133</v>
      </c>
      <c r="AK3437" s="20">
        <f t="shared" si="1013"/>
        <v>0.15670322321692506</v>
      </c>
      <c r="AL3437" s="55"/>
      <c r="AM3437" s="55"/>
      <c r="AN3437" s="55"/>
      <c r="AO3437" s="55"/>
      <c r="AP3437" s="28" t="str">
        <f t="shared" si="1014"/>
        <v>20218</v>
      </c>
      <c r="AQ3437" s="28" t="str">
        <f t="shared" si="1015"/>
        <v/>
      </c>
      <c r="AR3437" s="206" t="str">
        <f t="shared" si="1016"/>
        <v>C66 SERVICE</v>
      </c>
      <c r="AS3437" s="22" t="str">
        <f t="shared" si="1017"/>
        <v/>
      </c>
      <c r="AT3437" s="24" t="str">
        <f t="shared" si="1018"/>
        <v/>
      </c>
      <c r="AU3437" s="22">
        <v>0</v>
      </c>
    </row>
    <row r="3438" spans="1:47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53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42</v>
      </c>
      <c r="M3438" s="13" t="s">
        <v>43</v>
      </c>
      <c r="N3438" s="13">
        <v>0</v>
      </c>
      <c r="O3438" s="125"/>
      <c r="P3438" s="33" t="str">
        <f t="shared" si="1019"/>
        <v>C66 SERVICE/OTHERS</v>
      </c>
      <c r="Q3438" s="152" t="s">
        <v>44</v>
      </c>
      <c r="R3438" s="13" t="s">
        <v>45</v>
      </c>
      <c r="S3438" s="13" t="s">
        <v>49</v>
      </c>
      <c r="T3438" s="14"/>
      <c r="U3438" s="14"/>
      <c r="V3438" s="51"/>
      <c r="W3438" s="14"/>
      <c r="X3438" s="126"/>
      <c r="Y3438" s="127"/>
      <c r="Z3438" s="18" t="str">
        <f t="shared" si="1020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06"/>
        <v>10844605.840707963</v>
      </c>
      <c r="AJ3438" s="19">
        <f t="shared" si="1007"/>
        <v>1523130.9860707966</v>
      </c>
      <c r="AK3438" s="20">
        <f t="shared" si="1013"/>
        <v>0.14045056209911663</v>
      </c>
      <c r="AL3438" s="55"/>
      <c r="AM3438" s="55"/>
      <c r="AN3438" s="55"/>
      <c r="AO3438" s="55"/>
      <c r="AP3438" s="28" t="str">
        <f t="shared" si="1014"/>
        <v>20219</v>
      </c>
      <c r="AQ3438" s="28" t="str">
        <f t="shared" si="1015"/>
        <v/>
      </c>
      <c r="AR3438" s="206" t="str">
        <f t="shared" si="1016"/>
        <v>C66 SERVICE</v>
      </c>
      <c r="AS3438" s="22" t="str">
        <f t="shared" si="1017"/>
        <v/>
      </c>
      <c r="AT3438" s="24" t="str">
        <f t="shared" si="1018"/>
        <v/>
      </c>
      <c r="AU3438" s="22">
        <v>0</v>
      </c>
    </row>
    <row r="3439" spans="1:47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53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42</v>
      </c>
      <c r="M3439" s="13" t="s">
        <v>43</v>
      </c>
      <c r="N3439" s="13">
        <v>0</v>
      </c>
      <c r="O3439" s="125"/>
      <c r="P3439" s="33" t="str">
        <f t="shared" si="1019"/>
        <v>C66 SERVICE/OTHERS</v>
      </c>
      <c r="Q3439" s="152" t="s">
        <v>44</v>
      </c>
      <c r="R3439" s="13" t="s">
        <v>45</v>
      </c>
      <c r="S3439" s="13" t="s">
        <v>50</v>
      </c>
      <c r="T3439" s="14"/>
      <c r="U3439" s="14"/>
      <c r="V3439" s="51"/>
      <c r="W3439" s="14"/>
      <c r="X3439" s="126"/>
      <c r="Y3439" s="127"/>
      <c r="Z3439" s="18" t="str">
        <f t="shared" si="1020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06"/>
        <v>10844605.840707963</v>
      </c>
      <c r="AJ3439" s="19">
        <f t="shared" si="1007"/>
        <v>1523130.9860707966</v>
      </c>
      <c r="AK3439" s="20">
        <f t="shared" si="1013"/>
        <v>0.14045056209911663</v>
      </c>
      <c r="AL3439" s="55"/>
      <c r="AM3439" s="55"/>
      <c r="AN3439" s="55"/>
      <c r="AO3439" s="55"/>
      <c r="AP3439" s="28" t="str">
        <f t="shared" si="1014"/>
        <v>20219</v>
      </c>
      <c r="AQ3439" s="28" t="str">
        <f t="shared" si="1015"/>
        <v/>
      </c>
      <c r="AR3439" s="206" t="str">
        <f t="shared" si="1016"/>
        <v>C66 SERVICE</v>
      </c>
      <c r="AS3439" s="22" t="str">
        <f t="shared" si="1017"/>
        <v/>
      </c>
      <c r="AT3439" s="24" t="str">
        <f t="shared" si="1018"/>
        <v/>
      </c>
      <c r="AU3439" s="22">
        <v>0</v>
      </c>
    </row>
    <row r="3440" spans="1:47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53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42</v>
      </c>
      <c r="M3440" s="13" t="s">
        <v>43</v>
      </c>
      <c r="N3440" s="13">
        <v>0</v>
      </c>
      <c r="O3440" s="125"/>
      <c r="P3440" s="33" t="str">
        <f t="shared" si="1019"/>
        <v>C66 SERVICE/OTHERS</v>
      </c>
      <c r="Q3440" s="152" t="s">
        <v>44</v>
      </c>
      <c r="R3440" s="13" t="s">
        <v>45</v>
      </c>
      <c r="S3440" s="13" t="s">
        <v>51</v>
      </c>
      <c r="T3440" s="14"/>
      <c r="U3440" s="14"/>
      <c r="V3440" s="51"/>
      <c r="W3440" s="14"/>
      <c r="X3440" s="126"/>
      <c r="Y3440" s="127"/>
      <c r="Z3440" s="18" t="str">
        <f t="shared" si="1020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06"/>
        <v>10844605.840707963</v>
      </c>
      <c r="AJ3440" s="19">
        <f t="shared" si="1007"/>
        <v>1523130.9860707966</v>
      </c>
      <c r="AK3440" s="20">
        <f t="shared" si="1013"/>
        <v>0.14045056209911663</v>
      </c>
      <c r="AL3440" s="55"/>
      <c r="AM3440" s="55"/>
      <c r="AN3440" s="55"/>
      <c r="AO3440" s="55"/>
      <c r="AP3440" s="28" t="str">
        <f t="shared" si="1014"/>
        <v>20219</v>
      </c>
      <c r="AQ3440" s="28" t="str">
        <f t="shared" si="1015"/>
        <v/>
      </c>
      <c r="AR3440" s="206" t="str">
        <f t="shared" si="1016"/>
        <v>C66 SERVICE</v>
      </c>
      <c r="AS3440" s="22" t="str">
        <f t="shared" si="1017"/>
        <v/>
      </c>
      <c r="AT3440" s="24" t="str">
        <f t="shared" si="1018"/>
        <v/>
      </c>
      <c r="AU3440" s="22">
        <v>0</v>
      </c>
    </row>
    <row r="3441" spans="1:47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53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42</v>
      </c>
      <c r="M3441" s="13" t="s">
        <v>43</v>
      </c>
      <c r="N3441" s="13">
        <v>0</v>
      </c>
      <c r="O3441" s="125"/>
      <c r="P3441" s="33" t="str">
        <f t="shared" si="1019"/>
        <v>C66 SERVICE/OTHERS</v>
      </c>
      <c r="Q3441" s="152" t="s">
        <v>44</v>
      </c>
      <c r="R3441" s="13" t="s">
        <v>45</v>
      </c>
      <c r="S3441" s="13" t="s">
        <v>52</v>
      </c>
      <c r="T3441" s="14"/>
      <c r="U3441" s="14"/>
      <c r="V3441" s="51"/>
      <c r="W3441" s="14"/>
      <c r="X3441" s="126"/>
      <c r="Y3441" s="127"/>
      <c r="Z3441" s="18" t="str">
        <f t="shared" si="1020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06"/>
        <v>10844605.840707963</v>
      </c>
      <c r="AJ3441" s="19">
        <f t="shared" si="1007"/>
        <v>1523130.9860707966</v>
      </c>
      <c r="AK3441" s="20">
        <f t="shared" si="1013"/>
        <v>0.14045056209911663</v>
      </c>
      <c r="AL3441" s="55"/>
      <c r="AM3441" s="55"/>
      <c r="AN3441" s="55"/>
      <c r="AO3441" s="55"/>
      <c r="AP3441" s="28" t="str">
        <f t="shared" si="1014"/>
        <v>20219</v>
      </c>
      <c r="AQ3441" s="28" t="str">
        <f t="shared" si="1015"/>
        <v/>
      </c>
      <c r="AR3441" s="206" t="str">
        <f t="shared" si="1016"/>
        <v>C66 SERVICE</v>
      </c>
      <c r="AS3441" s="22" t="str">
        <f t="shared" si="1017"/>
        <v/>
      </c>
      <c r="AT3441" s="24" t="str">
        <f t="shared" si="1018"/>
        <v/>
      </c>
      <c r="AU3441" s="22">
        <v>0</v>
      </c>
    </row>
    <row r="3442" spans="1:47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53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42</v>
      </c>
      <c r="M3442" s="13" t="s">
        <v>43</v>
      </c>
      <c r="N3442" s="13">
        <v>0</v>
      </c>
      <c r="O3442" s="125"/>
      <c r="P3442" s="33" t="str">
        <f t="shared" si="1019"/>
        <v>C66 SERVICE/OTHERS</v>
      </c>
      <c r="Q3442" s="152" t="s">
        <v>44</v>
      </c>
      <c r="R3442" s="13" t="s">
        <v>45</v>
      </c>
      <c r="S3442" s="13" t="s">
        <v>49</v>
      </c>
      <c r="T3442" s="14"/>
      <c r="U3442" s="14"/>
      <c r="V3442" s="51"/>
      <c r="W3442" s="14"/>
      <c r="X3442" s="126"/>
      <c r="Y3442" s="127"/>
      <c r="Z3442" s="18" t="str">
        <f t="shared" si="1020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06"/>
        <v>15533177.71460177</v>
      </c>
      <c r="AJ3442" s="19">
        <f t="shared" si="1007"/>
        <v>1819298.5437526547</v>
      </c>
      <c r="AK3442" s="20">
        <f t="shared" si="1013"/>
        <v>0.11712339723265033</v>
      </c>
      <c r="AL3442" s="55"/>
      <c r="AM3442" s="55"/>
      <c r="AN3442" s="55"/>
      <c r="AO3442" s="55"/>
      <c r="AP3442" s="28" t="str">
        <f t="shared" si="1014"/>
        <v>202110</v>
      </c>
      <c r="AQ3442" s="28" t="str">
        <f t="shared" si="1015"/>
        <v/>
      </c>
      <c r="AR3442" s="206" t="str">
        <f t="shared" si="1016"/>
        <v>C66 SERVICE</v>
      </c>
      <c r="AS3442" s="22" t="str">
        <f t="shared" si="1017"/>
        <v/>
      </c>
      <c r="AT3442" s="24" t="str">
        <f t="shared" si="1018"/>
        <v/>
      </c>
      <c r="AU3442" s="22">
        <v>0</v>
      </c>
    </row>
    <row r="3443" spans="1:47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53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42</v>
      </c>
      <c r="M3443" s="13" t="s">
        <v>43</v>
      </c>
      <c r="N3443" s="13">
        <v>0</v>
      </c>
      <c r="O3443" s="125"/>
      <c r="P3443" s="33" t="str">
        <f t="shared" si="1019"/>
        <v>C66 SERVICE/OTHERS</v>
      </c>
      <c r="Q3443" s="152" t="s">
        <v>44</v>
      </c>
      <c r="R3443" s="13" t="s">
        <v>45</v>
      </c>
      <c r="S3443" s="13" t="s">
        <v>50</v>
      </c>
      <c r="T3443" s="14"/>
      <c r="U3443" s="14"/>
      <c r="V3443" s="51"/>
      <c r="W3443" s="14"/>
      <c r="X3443" s="126"/>
      <c r="Y3443" s="127"/>
      <c r="Z3443" s="18" t="str">
        <f t="shared" si="1020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06"/>
        <v>15533177.71460177</v>
      </c>
      <c r="AJ3443" s="19">
        <f t="shared" si="1007"/>
        <v>1819298.5437526547</v>
      </c>
      <c r="AK3443" s="20">
        <f t="shared" si="1013"/>
        <v>0.11712339723265033</v>
      </c>
      <c r="AL3443" s="55"/>
      <c r="AM3443" s="55"/>
      <c r="AN3443" s="55"/>
      <c r="AO3443" s="55"/>
      <c r="AP3443" s="28" t="str">
        <f t="shared" si="1014"/>
        <v>202110</v>
      </c>
      <c r="AQ3443" s="28" t="str">
        <f t="shared" si="1015"/>
        <v/>
      </c>
      <c r="AR3443" s="206" t="str">
        <f t="shared" si="1016"/>
        <v>C66 SERVICE</v>
      </c>
      <c r="AS3443" s="22" t="str">
        <f t="shared" si="1017"/>
        <v/>
      </c>
      <c r="AT3443" s="24" t="str">
        <f t="shared" si="1018"/>
        <v/>
      </c>
      <c r="AU3443" s="22">
        <v>0</v>
      </c>
    </row>
    <row r="3444" spans="1:47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53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42</v>
      </c>
      <c r="M3444" s="13" t="s">
        <v>43</v>
      </c>
      <c r="N3444" s="13">
        <v>0</v>
      </c>
      <c r="O3444" s="125"/>
      <c r="P3444" s="33" t="str">
        <f t="shared" si="1019"/>
        <v>C66 SERVICE/OTHERS</v>
      </c>
      <c r="Q3444" s="152" t="s">
        <v>44</v>
      </c>
      <c r="R3444" s="13" t="s">
        <v>45</v>
      </c>
      <c r="S3444" s="13" t="s">
        <v>51</v>
      </c>
      <c r="T3444" s="14"/>
      <c r="U3444" s="14"/>
      <c r="V3444" s="51"/>
      <c r="W3444" s="14"/>
      <c r="X3444" s="126"/>
      <c r="Y3444" s="127"/>
      <c r="Z3444" s="18" t="str">
        <f t="shared" si="1020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06"/>
        <v>15533177.71460177</v>
      </c>
      <c r="AJ3444" s="19">
        <f t="shared" si="1007"/>
        <v>1819298.5437526547</v>
      </c>
      <c r="AK3444" s="20">
        <f t="shared" si="1013"/>
        <v>0.11712339723265033</v>
      </c>
      <c r="AL3444" s="55"/>
      <c r="AM3444" s="55"/>
      <c r="AN3444" s="55"/>
      <c r="AO3444" s="55"/>
      <c r="AP3444" s="28" t="str">
        <f t="shared" si="1014"/>
        <v>202110</v>
      </c>
      <c r="AQ3444" s="28" t="str">
        <f t="shared" si="1015"/>
        <v/>
      </c>
      <c r="AR3444" s="206" t="str">
        <f t="shared" si="1016"/>
        <v>C66 SERVICE</v>
      </c>
      <c r="AS3444" s="22" t="str">
        <f t="shared" si="1017"/>
        <v/>
      </c>
      <c r="AT3444" s="24" t="str">
        <f t="shared" si="1018"/>
        <v/>
      </c>
      <c r="AU3444" s="22">
        <v>0</v>
      </c>
    </row>
    <row r="3445" spans="1:47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53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42</v>
      </c>
      <c r="M3445" s="13" t="s">
        <v>43</v>
      </c>
      <c r="N3445" s="13">
        <v>0</v>
      </c>
      <c r="O3445" s="125"/>
      <c r="P3445" s="33" t="str">
        <f t="shared" si="1019"/>
        <v>C66 SERVICE/OTHERS</v>
      </c>
      <c r="Q3445" s="152" t="s">
        <v>44</v>
      </c>
      <c r="R3445" s="13" t="s">
        <v>45</v>
      </c>
      <c r="S3445" s="13" t="s">
        <v>52</v>
      </c>
      <c r="T3445" s="14"/>
      <c r="U3445" s="14"/>
      <c r="V3445" s="51"/>
      <c r="W3445" s="14"/>
      <c r="X3445" s="126"/>
      <c r="Y3445" s="127"/>
      <c r="Z3445" s="18" t="str">
        <f t="shared" si="1020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06"/>
        <v>15533177.71460177</v>
      </c>
      <c r="AJ3445" s="19">
        <f t="shared" si="1007"/>
        <v>1819298.5437526547</v>
      </c>
      <c r="AK3445" s="20">
        <f t="shared" si="1013"/>
        <v>0.11712339723265033</v>
      </c>
      <c r="AL3445" s="55"/>
      <c r="AM3445" s="55"/>
      <c r="AN3445" s="55"/>
      <c r="AO3445" s="55"/>
      <c r="AP3445" s="28" t="str">
        <f t="shared" si="1014"/>
        <v>202110</v>
      </c>
      <c r="AQ3445" s="28" t="str">
        <f t="shared" si="1015"/>
        <v/>
      </c>
      <c r="AR3445" s="206" t="str">
        <f t="shared" si="1016"/>
        <v>C66 SERVICE</v>
      </c>
      <c r="AS3445" s="22" t="str">
        <f t="shared" si="1017"/>
        <v/>
      </c>
      <c r="AT3445" s="24" t="str">
        <f t="shared" si="1018"/>
        <v/>
      </c>
      <c r="AU3445" s="22">
        <v>0</v>
      </c>
    </row>
    <row r="3446" spans="1:47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53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42</v>
      </c>
      <c r="M3446" s="13" t="s">
        <v>43</v>
      </c>
      <c r="N3446" s="13">
        <v>0</v>
      </c>
      <c r="O3446" s="125"/>
      <c r="P3446" s="33" t="str">
        <f t="shared" si="1019"/>
        <v>C66 SERVICE/OTHERS</v>
      </c>
      <c r="Q3446" s="152" t="s">
        <v>44</v>
      </c>
      <c r="R3446" s="13" t="s">
        <v>45</v>
      </c>
      <c r="S3446" s="13" t="s">
        <v>49</v>
      </c>
      <c r="T3446" s="14"/>
      <c r="U3446" s="14"/>
      <c r="V3446" s="51"/>
      <c r="W3446" s="14"/>
      <c r="X3446" s="126"/>
      <c r="Y3446" s="127"/>
      <c r="Z3446" s="18" t="str">
        <f t="shared" si="1020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06"/>
        <v>29500529.005044252</v>
      </c>
      <c r="AJ3446" s="19">
        <f t="shared" si="1007"/>
        <v>3253064.846231177</v>
      </c>
      <c r="AK3446" s="20">
        <f t="shared" si="1013"/>
        <v>0.11027140718984871</v>
      </c>
      <c r="AL3446" s="55"/>
      <c r="AM3446" s="55"/>
      <c r="AN3446" s="55"/>
      <c r="AO3446" s="55"/>
      <c r="AP3446" s="28" t="str">
        <f t="shared" si="1014"/>
        <v>202111</v>
      </c>
      <c r="AQ3446" s="28" t="str">
        <f t="shared" si="1015"/>
        <v/>
      </c>
      <c r="AR3446" s="206" t="str">
        <f t="shared" si="1016"/>
        <v>C66 SERVICE</v>
      </c>
      <c r="AS3446" s="22" t="str">
        <f t="shared" si="1017"/>
        <v/>
      </c>
      <c r="AT3446" s="24" t="str">
        <f t="shared" si="1018"/>
        <v/>
      </c>
      <c r="AU3446" s="22">
        <v>0</v>
      </c>
    </row>
    <row r="3447" spans="1:47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53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42</v>
      </c>
      <c r="M3447" s="13" t="s">
        <v>43</v>
      </c>
      <c r="N3447" s="13">
        <v>0</v>
      </c>
      <c r="O3447" s="125"/>
      <c r="P3447" s="33" t="str">
        <f t="shared" si="1019"/>
        <v>C66 SERVICE/OTHERS</v>
      </c>
      <c r="Q3447" s="152" t="s">
        <v>44</v>
      </c>
      <c r="R3447" s="13" t="s">
        <v>45</v>
      </c>
      <c r="S3447" s="13" t="s">
        <v>50</v>
      </c>
      <c r="T3447" s="14"/>
      <c r="U3447" s="14"/>
      <c r="V3447" s="51"/>
      <c r="W3447" s="14"/>
      <c r="X3447" s="126"/>
      <c r="Y3447" s="127"/>
      <c r="Z3447" s="18" t="str">
        <f t="shared" si="1020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06"/>
        <v>29500529.005044252</v>
      </c>
      <c r="AJ3447" s="19">
        <f t="shared" si="1007"/>
        <v>3253064.846231177</v>
      </c>
      <c r="AK3447" s="20">
        <f t="shared" si="1013"/>
        <v>0.11027140718984871</v>
      </c>
      <c r="AL3447" s="55"/>
      <c r="AM3447" s="55"/>
      <c r="AN3447" s="55"/>
      <c r="AO3447" s="55"/>
      <c r="AP3447" s="28" t="str">
        <f t="shared" si="1014"/>
        <v>202111</v>
      </c>
      <c r="AQ3447" s="28" t="str">
        <f t="shared" si="1015"/>
        <v/>
      </c>
      <c r="AR3447" s="206" t="str">
        <f t="shared" si="1016"/>
        <v>C66 SERVICE</v>
      </c>
      <c r="AS3447" s="22" t="str">
        <f t="shared" si="1017"/>
        <v/>
      </c>
      <c r="AT3447" s="24" t="str">
        <f t="shared" si="1018"/>
        <v/>
      </c>
      <c r="AU3447" s="22">
        <v>0</v>
      </c>
    </row>
    <row r="3448" spans="1:47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53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42</v>
      </c>
      <c r="M3448" s="13" t="s">
        <v>43</v>
      </c>
      <c r="N3448" s="13">
        <v>0</v>
      </c>
      <c r="O3448" s="125"/>
      <c r="P3448" s="33" t="str">
        <f t="shared" si="1019"/>
        <v>C66 SERVICE/OTHERS</v>
      </c>
      <c r="Q3448" s="152" t="s">
        <v>44</v>
      </c>
      <c r="R3448" s="13" t="s">
        <v>45</v>
      </c>
      <c r="S3448" s="13" t="s">
        <v>51</v>
      </c>
      <c r="T3448" s="14"/>
      <c r="U3448" s="14"/>
      <c r="V3448" s="51"/>
      <c r="W3448" s="14"/>
      <c r="X3448" s="126"/>
      <c r="Y3448" s="127"/>
      <c r="Z3448" s="18" t="str">
        <f t="shared" si="1020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06"/>
        <v>29500529.005044252</v>
      </c>
      <c r="AJ3448" s="19">
        <f t="shared" si="1007"/>
        <v>3253064.846231177</v>
      </c>
      <c r="AK3448" s="20">
        <f t="shared" si="1013"/>
        <v>0.11027140718984871</v>
      </c>
      <c r="AL3448" s="55"/>
      <c r="AM3448" s="55"/>
      <c r="AN3448" s="55"/>
      <c r="AO3448" s="55"/>
      <c r="AP3448" s="28" t="str">
        <f t="shared" si="1014"/>
        <v>202111</v>
      </c>
      <c r="AQ3448" s="28" t="str">
        <f t="shared" si="1015"/>
        <v/>
      </c>
      <c r="AR3448" s="206" t="str">
        <f t="shared" si="1016"/>
        <v>C66 SERVICE</v>
      </c>
      <c r="AS3448" s="22" t="str">
        <f t="shared" si="1017"/>
        <v/>
      </c>
      <c r="AT3448" s="24" t="str">
        <f t="shared" si="1018"/>
        <v/>
      </c>
      <c r="AU3448" s="22">
        <v>0</v>
      </c>
    </row>
    <row r="3449" spans="1:47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53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42</v>
      </c>
      <c r="M3449" s="13" t="s">
        <v>43</v>
      </c>
      <c r="N3449" s="13">
        <v>0</v>
      </c>
      <c r="O3449" s="125"/>
      <c r="P3449" s="33" t="str">
        <f t="shared" si="1019"/>
        <v>C66 SERVICE/OTHERS</v>
      </c>
      <c r="Q3449" s="152" t="s">
        <v>44</v>
      </c>
      <c r="R3449" s="13" t="s">
        <v>45</v>
      </c>
      <c r="S3449" s="13" t="s">
        <v>52</v>
      </c>
      <c r="T3449" s="14"/>
      <c r="U3449" s="14"/>
      <c r="V3449" s="51"/>
      <c r="W3449" s="14"/>
      <c r="X3449" s="126"/>
      <c r="Y3449" s="127"/>
      <c r="Z3449" s="18" t="str">
        <f t="shared" si="1020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06"/>
        <v>29500529.005044252</v>
      </c>
      <c r="AJ3449" s="19">
        <f t="shared" si="1007"/>
        <v>3253064.846231177</v>
      </c>
      <c r="AK3449" s="20">
        <f t="shared" si="1013"/>
        <v>0.11027140718984871</v>
      </c>
      <c r="AL3449" s="55"/>
      <c r="AM3449" s="55"/>
      <c r="AN3449" s="55"/>
      <c r="AO3449" s="55"/>
      <c r="AP3449" s="28" t="str">
        <f t="shared" si="1014"/>
        <v>202111</v>
      </c>
      <c r="AQ3449" s="28" t="str">
        <f t="shared" si="1015"/>
        <v/>
      </c>
      <c r="AR3449" s="206" t="str">
        <f t="shared" si="1016"/>
        <v>C66 SERVICE</v>
      </c>
      <c r="AS3449" s="22" t="str">
        <f t="shared" si="1017"/>
        <v/>
      </c>
      <c r="AT3449" s="24" t="str">
        <f t="shared" si="1018"/>
        <v/>
      </c>
      <c r="AU3449" s="22">
        <v>0</v>
      </c>
    </row>
    <row r="3450" spans="1:47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53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42</v>
      </c>
      <c r="M3450" s="13" t="s">
        <v>43</v>
      </c>
      <c r="N3450" s="13">
        <v>0</v>
      </c>
      <c r="O3450" s="125"/>
      <c r="P3450" s="33" t="str">
        <f t="shared" si="1019"/>
        <v>C66 SERVICE/OTHERS</v>
      </c>
      <c r="Q3450" s="152" t="s">
        <v>44</v>
      </c>
      <c r="R3450" s="13" t="s">
        <v>45</v>
      </c>
      <c r="S3450" s="13" t="s">
        <v>49</v>
      </c>
      <c r="T3450" s="14"/>
      <c r="U3450" s="14"/>
      <c r="V3450" s="51"/>
      <c r="W3450" s="14"/>
      <c r="X3450" s="126"/>
      <c r="Y3450" s="127"/>
      <c r="Z3450" s="18" t="str">
        <f t="shared" si="1020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06"/>
        <v>25380121.402654871</v>
      </c>
      <c r="AJ3450" s="19">
        <f t="shared" si="1007"/>
        <v>3850343.1237796471</v>
      </c>
      <c r="AK3450" s="20">
        <f t="shared" si="1013"/>
        <v>0.1517070412191521</v>
      </c>
      <c r="AL3450" s="55"/>
      <c r="AM3450" s="55"/>
      <c r="AN3450" s="55"/>
      <c r="AO3450" s="55"/>
      <c r="AP3450" s="28" t="str">
        <f t="shared" si="1014"/>
        <v>202112</v>
      </c>
      <c r="AQ3450" s="28" t="str">
        <f t="shared" si="1015"/>
        <v/>
      </c>
      <c r="AR3450" s="206" t="str">
        <f t="shared" si="1016"/>
        <v>C66 SERVICE</v>
      </c>
      <c r="AS3450" s="22" t="str">
        <f t="shared" si="1017"/>
        <v/>
      </c>
      <c r="AT3450" s="24" t="str">
        <f t="shared" si="1018"/>
        <v/>
      </c>
      <c r="AU3450" s="22">
        <v>0</v>
      </c>
    </row>
    <row r="3451" spans="1:47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53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42</v>
      </c>
      <c r="M3451" s="13" t="s">
        <v>43</v>
      </c>
      <c r="N3451" s="13">
        <v>0</v>
      </c>
      <c r="O3451" s="125"/>
      <c r="P3451" s="33" t="str">
        <f t="shared" si="1019"/>
        <v>C66 SERVICE/OTHERS</v>
      </c>
      <c r="Q3451" s="152" t="s">
        <v>44</v>
      </c>
      <c r="R3451" s="13" t="s">
        <v>45</v>
      </c>
      <c r="S3451" s="13" t="s">
        <v>50</v>
      </c>
      <c r="T3451" s="14"/>
      <c r="U3451" s="14"/>
      <c r="V3451" s="51"/>
      <c r="W3451" s="14"/>
      <c r="X3451" s="126"/>
      <c r="Y3451" s="127"/>
      <c r="Z3451" s="18" t="str">
        <f t="shared" si="1020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06"/>
        <v>25380121.402654871</v>
      </c>
      <c r="AJ3451" s="19">
        <f t="shared" si="1007"/>
        <v>3850343.1237796471</v>
      </c>
      <c r="AK3451" s="20">
        <f t="shared" si="1013"/>
        <v>0.1517070412191521</v>
      </c>
      <c r="AL3451" s="55"/>
      <c r="AM3451" s="55"/>
      <c r="AN3451" s="55"/>
      <c r="AO3451" s="55"/>
      <c r="AP3451" s="28" t="str">
        <f t="shared" si="1014"/>
        <v>202112</v>
      </c>
      <c r="AQ3451" s="28" t="str">
        <f t="shared" si="1015"/>
        <v/>
      </c>
      <c r="AR3451" s="206" t="str">
        <f t="shared" si="1016"/>
        <v>C66 SERVICE</v>
      </c>
      <c r="AS3451" s="22" t="str">
        <f t="shared" si="1017"/>
        <v/>
      </c>
      <c r="AT3451" s="24" t="str">
        <f t="shared" si="1018"/>
        <v/>
      </c>
      <c r="AU3451" s="22">
        <v>0</v>
      </c>
    </row>
    <row r="3452" spans="1:47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53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42</v>
      </c>
      <c r="M3452" s="13" t="s">
        <v>43</v>
      </c>
      <c r="N3452" s="13">
        <v>0</v>
      </c>
      <c r="O3452" s="125"/>
      <c r="P3452" s="33" t="str">
        <f t="shared" si="1019"/>
        <v>C66 SERVICE/OTHERS</v>
      </c>
      <c r="Q3452" s="152" t="s">
        <v>44</v>
      </c>
      <c r="R3452" s="13" t="s">
        <v>45</v>
      </c>
      <c r="S3452" s="13" t="s">
        <v>51</v>
      </c>
      <c r="T3452" s="14"/>
      <c r="U3452" s="14"/>
      <c r="V3452" s="51"/>
      <c r="W3452" s="14"/>
      <c r="X3452" s="126"/>
      <c r="Y3452" s="127"/>
      <c r="Z3452" s="18" t="str">
        <f t="shared" si="1020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06"/>
        <v>25380121.402654871</v>
      </c>
      <c r="AJ3452" s="19">
        <f t="shared" si="1007"/>
        <v>3850343.1237796471</v>
      </c>
      <c r="AK3452" s="20">
        <f t="shared" si="1013"/>
        <v>0.1517070412191521</v>
      </c>
      <c r="AL3452" s="55"/>
      <c r="AM3452" s="55"/>
      <c r="AN3452" s="55"/>
      <c r="AO3452" s="55"/>
      <c r="AP3452" s="28" t="str">
        <f t="shared" si="1014"/>
        <v>202112</v>
      </c>
      <c r="AQ3452" s="28" t="str">
        <f t="shared" si="1015"/>
        <v/>
      </c>
      <c r="AR3452" s="206" t="str">
        <f t="shared" si="1016"/>
        <v>C66 SERVICE</v>
      </c>
      <c r="AS3452" s="22" t="str">
        <f t="shared" si="1017"/>
        <v/>
      </c>
      <c r="AT3452" s="24" t="str">
        <f t="shared" si="1018"/>
        <v/>
      </c>
      <c r="AU3452" s="22">
        <v>0</v>
      </c>
    </row>
    <row r="3453" spans="1:47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53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42</v>
      </c>
      <c r="M3453" s="13" t="s">
        <v>43</v>
      </c>
      <c r="N3453" s="13">
        <v>0</v>
      </c>
      <c r="O3453" s="125"/>
      <c r="P3453" s="33" t="str">
        <f t="shared" si="1019"/>
        <v>C66 SERVICE/OTHERS</v>
      </c>
      <c r="Q3453" s="152" t="s">
        <v>44</v>
      </c>
      <c r="R3453" s="13" t="s">
        <v>45</v>
      </c>
      <c r="S3453" s="13" t="s">
        <v>52</v>
      </c>
      <c r="T3453" s="14"/>
      <c r="U3453" s="14"/>
      <c r="V3453" s="51"/>
      <c r="W3453" s="14"/>
      <c r="X3453" s="126"/>
      <c r="Y3453" s="127"/>
      <c r="Z3453" s="18" t="str">
        <f t="shared" si="1020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06"/>
        <v>25380121.402654871</v>
      </c>
      <c r="AJ3453" s="19">
        <f t="shared" si="1007"/>
        <v>3850343.1237796471</v>
      </c>
      <c r="AK3453" s="20">
        <f t="shared" si="1013"/>
        <v>0.1517070412191521</v>
      </c>
      <c r="AL3453" s="55"/>
      <c r="AM3453" s="55"/>
      <c r="AN3453" s="55"/>
      <c r="AO3453" s="55"/>
      <c r="AP3453" s="28" t="str">
        <f t="shared" si="1014"/>
        <v>202112</v>
      </c>
      <c r="AQ3453" s="28" t="str">
        <f t="shared" si="1015"/>
        <v/>
      </c>
      <c r="AR3453" s="206" t="str">
        <f t="shared" si="1016"/>
        <v>C66 SERVICE</v>
      </c>
      <c r="AS3453" s="22" t="str">
        <f t="shared" si="1017"/>
        <v/>
      </c>
      <c r="AT3453" s="24" t="str">
        <f t="shared" si="1018"/>
        <v/>
      </c>
      <c r="AU3453" s="22">
        <v>0</v>
      </c>
    </row>
    <row r="3454" spans="1:47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53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42</v>
      </c>
      <c r="M3454" s="13" t="s">
        <v>43</v>
      </c>
      <c r="N3454" s="13">
        <v>0</v>
      </c>
      <c r="O3454" s="125"/>
      <c r="P3454" s="33" t="str">
        <f t="shared" si="1019"/>
        <v>C66 SERVICE/OTHERS</v>
      </c>
      <c r="Q3454" s="152" t="s">
        <v>44</v>
      </c>
      <c r="R3454" s="13" t="s">
        <v>45</v>
      </c>
      <c r="S3454" s="13" t="s">
        <v>49</v>
      </c>
      <c r="T3454" s="14"/>
      <c r="U3454" s="14"/>
      <c r="V3454" s="51"/>
      <c r="W3454" s="14"/>
      <c r="X3454" s="126"/>
      <c r="Y3454" s="127"/>
      <c r="Z3454" s="18" t="str">
        <f t="shared" si="1020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06"/>
        <v>26407088.359292038</v>
      </c>
      <c r="AJ3454" s="19">
        <f t="shared" si="1007"/>
        <v>3424510.6998470789</v>
      </c>
      <c r="AK3454" s="20">
        <f t="shared" si="1013"/>
        <v>0.12968149510667554</v>
      </c>
      <c r="AL3454" s="55"/>
      <c r="AM3454" s="55"/>
      <c r="AN3454" s="55"/>
      <c r="AO3454" s="55"/>
      <c r="AP3454" s="28" t="str">
        <f t="shared" si="1014"/>
        <v>20221</v>
      </c>
      <c r="AQ3454" s="28" t="str">
        <f t="shared" si="1015"/>
        <v/>
      </c>
      <c r="AR3454" s="206" t="str">
        <f t="shared" si="1016"/>
        <v>C66 SERVICE</v>
      </c>
      <c r="AS3454" s="22" t="str">
        <f t="shared" si="1017"/>
        <v/>
      </c>
      <c r="AT3454" s="24" t="str">
        <f t="shared" si="1018"/>
        <v/>
      </c>
      <c r="AU3454" s="22">
        <v>0</v>
      </c>
    </row>
    <row r="3455" spans="1:47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53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42</v>
      </c>
      <c r="M3455" s="13" t="s">
        <v>43</v>
      </c>
      <c r="N3455" s="13">
        <v>0</v>
      </c>
      <c r="O3455" s="125"/>
      <c r="P3455" s="33" t="str">
        <f t="shared" si="1019"/>
        <v>C66 SERVICE/OTHERS</v>
      </c>
      <c r="Q3455" s="152" t="s">
        <v>44</v>
      </c>
      <c r="R3455" s="13" t="s">
        <v>45</v>
      </c>
      <c r="S3455" s="13" t="s">
        <v>50</v>
      </c>
      <c r="T3455" s="14"/>
      <c r="U3455" s="14"/>
      <c r="V3455" s="51"/>
      <c r="W3455" s="14"/>
      <c r="X3455" s="126"/>
      <c r="Y3455" s="127"/>
      <c r="Z3455" s="18" t="str">
        <f t="shared" si="1020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06"/>
        <v>26407088.359292038</v>
      </c>
      <c r="AJ3455" s="19">
        <f t="shared" si="1007"/>
        <v>3424510.6998470789</v>
      </c>
      <c r="AK3455" s="20">
        <f t="shared" si="1013"/>
        <v>0.12968149510667554</v>
      </c>
      <c r="AL3455" s="55"/>
      <c r="AM3455" s="55"/>
      <c r="AN3455" s="55"/>
      <c r="AO3455" s="55"/>
      <c r="AP3455" s="28" t="str">
        <f t="shared" si="1014"/>
        <v>20221</v>
      </c>
      <c r="AQ3455" s="28" t="str">
        <f t="shared" si="1015"/>
        <v/>
      </c>
      <c r="AR3455" s="206" t="str">
        <f t="shared" si="1016"/>
        <v>C66 SERVICE</v>
      </c>
      <c r="AS3455" s="22" t="str">
        <f t="shared" si="1017"/>
        <v/>
      </c>
      <c r="AT3455" s="24" t="str">
        <f t="shared" si="1018"/>
        <v/>
      </c>
      <c r="AU3455" s="22">
        <v>0</v>
      </c>
    </row>
    <row r="3456" spans="1:47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53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42</v>
      </c>
      <c r="M3456" s="13" t="s">
        <v>43</v>
      </c>
      <c r="N3456" s="13">
        <v>0</v>
      </c>
      <c r="O3456" s="125"/>
      <c r="P3456" s="33" t="str">
        <f t="shared" si="1019"/>
        <v>C66 SERVICE/OTHERS</v>
      </c>
      <c r="Q3456" s="152" t="s">
        <v>44</v>
      </c>
      <c r="R3456" s="13" t="s">
        <v>45</v>
      </c>
      <c r="S3456" s="13" t="s">
        <v>51</v>
      </c>
      <c r="T3456" s="14"/>
      <c r="U3456" s="14"/>
      <c r="V3456" s="51"/>
      <c r="W3456" s="14"/>
      <c r="X3456" s="126"/>
      <c r="Y3456" s="127"/>
      <c r="Z3456" s="18" t="str">
        <f t="shared" si="1020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06"/>
        <v>26407088.359292038</v>
      </c>
      <c r="AJ3456" s="19">
        <f t="shared" si="1007"/>
        <v>3424510.6998470789</v>
      </c>
      <c r="AK3456" s="20">
        <f t="shared" si="1013"/>
        <v>0.12968149510667554</v>
      </c>
      <c r="AL3456" s="55"/>
      <c r="AM3456" s="55"/>
      <c r="AN3456" s="55"/>
      <c r="AO3456" s="55"/>
      <c r="AP3456" s="28" t="str">
        <f t="shared" si="1014"/>
        <v>20221</v>
      </c>
      <c r="AQ3456" s="28" t="str">
        <f t="shared" si="1015"/>
        <v/>
      </c>
      <c r="AR3456" s="206" t="str">
        <f t="shared" si="1016"/>
        <v>C66 SERVICE</v>
      </c>
      <c r="AS3456" s="22" t="str">
        <f t="shared" si="1017"/>
        <v/>
      </c>
      <c r="AT3456" s="24" t="str">
        <f t="shared" si="1018"/>
        <v/>
      </c>
      <c r="AU3456" s="22">
        <v>0</v>
      </c>
    </row>
    <row r="3457" spans="1:47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53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42</v>
      </c>
      <c r="M3457" s="13" t="s">
        <v>43</v>
      </c>
      <c r="N3457" s="13">
        <v>0</v>
      </c>
      <c r="O3457" s="125"/>
      <c r="P3457" s="33" t="str">
        <f t="shared" si="1019"/>
        <v>C66 SERVICE/OTHERS</v>
      </c>
      <c r="Q3457" s="152" t="s">
        <v>44</v>
      </c>
      <c r="R3457" s="13" t="s">
        <v>45</v>
      </c>
      <c r="S3457" s="13" t="s">
        <v>52</v>
      </c>
      <c r="T3457" s="14"/>
      <c r="U3457" s="14"/>
      <c r="V3457" s="51"/>
      <c r="W3457" s="14"/>
      <c r="X3457" s="126"/>
      <c r="Y3457" s="127"/>
      <c r="Z3457" s="18" t="str">
        <f t="shared" si="1020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06"/>
        <v>26407088.359292038</v>
      </c>
      <c r="AJ3457" s="19">
        <f t="shared" si="1007"/>
        <v>3424510.6998470789</v>
      </c>
      <c r="AK3457" s="20">
        <f t="shared" si="1013"/>
        <v>0.12968149510667554</v>
      </c>
      <c r="AL3457" s="55"/>
      <c r="AM3457" s="55"/>
      <c r="AN3457" s="55"/>
      <c r="AO3457" s="55"/>
      <c r="AP3457" s="28" t="str">
        <f t="shared" si="1014"/>
        <v>20221</v>
      </c>
      <c r="AQ3457" s="28" t="str">
        <f t="shared" si="1015"/>
        <v/>
      </c>
      <c r="AR3457" s="206" t="str">
        <f t="shared" si="1016"/>
        <v>C66 SERVICE</v>
      </c>
      <c r="AS3457" s="22" t="str">
        <f t="shared" si="1017"/>
        <v/>
      </c>
      <c r="AT3457" s="24" t="str">
        <f t="shared" si="1018"/>
        <v/>
      </c>
      <c r="AU3457" s="22">
        <v>0</v>
      </c>
    </row>
    <row r="3458" spans="1:47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53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42</v>
      </c>
      <c r="M3458" s="13" t="s">
        <v>43</v>
      </c>
      <c r="N3458" s="13">
        <v>0</v>
      </c>
      <c r="O3458" s="125"/>
      <c r="P3458" s="33" t="str">
        <f t="shared" si="1019"/>
        <v>C66 SERVICE/OTHERS</v>
      </c>
      <c r="Q3458" s="152" t="s">
        <v>44</v>
      </c>
      <c r="R3458" s="13" t="s">
        <v>45</v>
      </c>
      <c r="S3458" s="13" t="s">
        <v>49</v>
      </c>
      <c r="T3458" s="14"/>
      <c r="U3458" s="14"/>
      <c r="V3458" s="51"/>
      <c r="W3458" s="14"/>
      <c r="X3458" s="126"/>
      <c r="Y3458" s="127"/>
      <c r="Z3458" s="18" t="str">
        <f t="shared" si="1020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ref="AI3458:AI3521" si="1021">IF(P3458="C66 SERVICE","",SUMIFS(AB:AB,F:F,F3458,G:G,G3458,E:E,E3458))</f>
        <v>31750699.113741599</v>
      </c>
      <c r="AJ3458" s="19">
        <f t="shared" ref="AJ3458:AJ3521" si="1022">IF(P3458="C66 SERVICE","",SUMIFS(AC:AC,F:F,F3458,G:G,G3458,E:E,E3458))</f>
        <v>4396077.3195289988</v>
      </c>
      <c r="AK3458" s="20">
        <f t="shared" si="1013"/>
        <v>0.13845607946397598</v>
      </c>
      <c r="AL3458" s="55"/>
      <c r="AM3458" s="55"/>
      <c r="AN3458" s="55"/>
      <c r="AO3458" s="55"/>
      <c r="AP3458" s="28" t="str">
        <f t="shared" si="1014"/>
        <v>20222</v>
      </c>
      <c r="AQ3458" s="28" t="str">
        <f t="shared" si="1015"/>
        <v/>
      </c>
      <c r="AR3458" s="206" t="str">
        <f t="shared" si="1016"/>
        <v>C66 SERVICE</v>
      </c>
      <c r="AS3458" s="22" t="str">
        <f t="shared" si="1017"/>
        <v/>
      </c>
      <c r="AT3458" s="24" t="str">
        <f t="shared" si="1018"/>
        <v/>
      </c>
      <c r="AU3458" s="22">
        <v>0</v>
      </c>
    </row>
    <row r="3459" spans="1:47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53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42</v>
      </c>
      <c r="M3459" s="13" t="s">
        <v>43</v>
      </c>
      <c r="N3459" s="13">
        <v>0</v>
      </c>
      <c r="O3459" s="125"/>
      <c r="P3459" s="33" t="str">
        <f t="shared" si="1019"/>
        <v>C66 SERVICE/OTHERS</v>
      </c>
      <c r="Q3459" s="152" t="s">
        <v>44</v>
      </c>
      <c r="R3459" s="13" t="s">
        <v>45</v>
      </c>
      <c r="S3459" s="13" t="s">
        <v>50</v>
      </c>
      <c r="T3459" s="14"/>
      <c r="U3459" s="14"/>
      <c r="V3459" s="51"/>
      <c r="W3459" s="14"/>
      <c r="X3459" s="126"/>
      <c r="Y3459" s="127"/>
      <c r="Z3459" s="18" t="str">
        <f t="shared" si="1020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21"/>
        <v>31750699.113741599</v>
      </c>
      <c r="AJ3459" s="19">
        <f t="shared" si="1022"/>
        <v>4396077.3195289988</v>
      </c>
      <c r="AK3459" s="20">
        <f t="shared" si="1013"/>
        <v>0.13845607946397598</v>
      </c>
      <c r="AL3459" s="55"/>
      <c r="AM3459" s="55"/>
      <c r="AN3459" s="55"/>
      <c r="AO3459" s="55"/>
      <c r="AP3459" s="28" t="str">
        <f t="shared" si="1014"/>
        <v>20222</v>
      </c>
      <c r="AQ3459" s="28" t="str">
        <f t="shared" si="1015"/>
        <v/>
      </c>
      <c r="AR3459" s="206" t="str">
        <f t="shared" si="1016"/>
        <v>C66 SERVICE</v>
      </c>
      <c r="AS3459" s="22" t="str">
        <f t="shared" si="1017"/>
        <v/>
      </c>
      <c r="AT3459" s="24" t="str">
        <f t="shared" si="1018"/>
        <v/>
      </c>
      <c r="AU3459" s="22">
        <v>0</v>
      </c>
    </row>
    <row r="3460" spans="1:47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53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42</v>
      </c>
      <c r="M3460" s="13" t="s">
        <v>43</v>
      </c>
      <c r="N3460" s="13">
        <v>0</v>
      </c>
      <c r="O3460" s="125"/>
      <c r="P3460" s="33" t="str">
        <f t="shared" si="1019"/>
        <v>C66 SERVICE/OTHERS</v>
      </c>
      <c r="Q3460" s="152" t="s">
        <v>44</v>
      </c>
      <c r="R3460" s="13" t="s">
        <v>45</v>
      </c>
      <c r="S3460" s="13" t="s">
        <v>51</v>
      </c>
      <c r="T3460" s="14"/>
      <c r="U3460" s="14"/>
      <c r="V3460" s="51"/>
      <c r="W3460" s="14"/>
      <c r="X3460" s="126"/>
      <c r="Y3460" s="127"/>
      <c r="Z3460" s="18" t="str">
        <f t="shared" si="1020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21"/>
        <v>31750699.113741599</v>
      </c>
      <c r="AJ3460" s="19">
        <f t="shared" si="1022"/>
        <v>4396077.3195289988</v>
      </c>
      <c r="AK3460" s="20">
        <f t="shared" si="1013"/>
        <v>0.13845607946397598</v>
      </c>
      <c r="AL3460" s="55"/>
      <c r="AM3460" s="55"/>
      <c r="AN3460" s="55"/>
      <c r="AO3460" s="55"/>
      <c r="AP3460" s="28" t="str">
        <f t="shared" si="1014"/>
        <v>20222</v>
      </c>
      <c r="AQ3460" s="28" t="str">
        <f t="shared" si="1015"/>
        <v/>
      </c>
      <c r="AR3460" s="206" t="str">
        <f t="shared" si="1016"/>
        <v>C66 SERVICE</v>
      </c>
      <c r="AS3460" s="22" t="str">
        <f t="shared" si="1017"/>
        <v/>
      </c>
      <c r="AT3460" s="24" t="str">
        <f t="shared" si="1018"/>
        <v/>
      </c>
      <c r="AU3460" s="22">
        <v>0</v>
      </c>
    </row>
    <row r="3461" spans="1:47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53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42</v>
      </c>
      <c r="M3461" s="13" t="s">
        <v>43</v>
      </c>
      <c r="N3461" s="13">
        <v>0</v>
      </c>
      <c r="O3461" s="125"/>
      <c r="P3461" s="33" t="str">
        <f t="shared" si="1019"/>
        <v>C66 SERVICE/OTHERS</v>
      </c>
      <c r="Q3461" s="152" t="s">
        <v>44</v>
      </c>
      <c r="R3461" s="13" t="s">
        <v>45</v>
      </c>
      <c r="S3461" s="13" t="s">
        <v>52</v>
      </c>
      <c r="T3461" s="14"/>
      <c r="U3461" s="14"/>
      <c r="V3461" s="51"/>
      <c r="W3461" s="14"/>
      <c r="X3461" s="126"/>
      <c r="Y3461" s="127"/>
      <c r="Z3461" s="18" t="str">
        <f t="shared" si="1020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21"/>
        <v>31750699.113741599</v>
      </c>
      <c r="AJ3461" s="19">
        <f t="shared" si="1022"/>
        <v>4396077.3195289988</v>
      </c>
      <c r="AK3461" s="20">
        <f t="shared" si="1013"/>
        <v>0.13845607946397598</v>
      </c>
      <c r="AL3461" s="55"/>
      <c r="AM3461" s="55"/>
      <c r="AN3461" s="55"/>
      <c r="AO3461" s="55"/>
      <c r="AP3461" s="28" t="str">
        <f t="shared" si="1014"/>
        <v>20222</v>
      </c>
      <c r="AQ3461" s="28" t="str">
        <f t="shared" si="1015"/>
        <v/>
      </c>
      <c r="AR3461" s="206" t="str">
        <f t="shared" si="1016"/>
        <v>C66 SERVICE</v>
      </c>
      <c r="AS3461" s="22" t="str">
        <f t="shared" si="1017"/>
        <v/>
      </c>
      <c r="AT3461" s="24" t="str">
        <f t="shared" si="1018"/>
        <v/>
      </c>
      <c r="AU3461" s="22">
        <v>0</v>
      </c>
    </row>
    <row r="3462" spans="1:47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53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42</v>
      </c>
      <c r="M3462" s="13" t="s">
        <v>43</v>
      </c>
      <c r="N3462" s="13">
        <v>0</v>
      </c>
      <c r="O3462" s="125"/>
      <c r="P3462" s="33" t="str">
        <f t="shared" si="1019"/>
        <v>C66 SERVICE/OTHERS</v>
      </c>
      <c r="Q3462" s="152" t="s">
        <v>44</v>
      </c>
      <c r="R3462" s="13" t="s">
        <v>45</v>
      </c>
      <c r="S3462" s="13" t="s">
        <v>49</v>
      </c>
      <c r="T3462" s="14"/>
      <c r="U3462" s="14"/>
      <c r="V3462" s="51"/>
      <c r="W3462" s="14"/>
      <c r="X3462" s="126"/>
      <c r="Y3462" s="127"/>
      <c r="Z3462" s="18" t="str">
        <f t="shared" si="1020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si="1021"/>
        <v>28726768.133805312</v>
      </c>
      <c r="AJ3462" s="19">
        <f t="shared" si="1022"/>
        <v>3853638.1988864429</v>
      </c>
      <c r="AK3462" s="20">
        <f t="shared" ref="AK3462:AK3525" si="1028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29">IF(F3462="","",F3462&amp;G3462)</f>
        <v>20223</v>
      </c>
      <c r="AQ3462" s="28" t="str">
        <f t="shared" ref="AQ3462:AQ3525" si="1030">IF(W3462="","",F3462&amp;G3462&amp;W3462)</f>
        <v/>
      </c>
      <c r="AR3462" s="206" t="str">
        <f t="shared" ref="AR3462:AR3525" si="1031">IFERROR(IF(AND(M3462="YAMAHA", R3462="C28"), "YAMAHA_Non_Mounter", IF(AND(M3462="YAMAHA", R3462="C49"), "YAMAHA_Mounter", M3462)),"")</f>
        <v>C66 SERVICE</v>
      </c>
      <c r="AS3462" s="22" t="str">
        <f t="shared" ref="AS3462:AS3525" si="1032">IFERROR(IF(OR(G3462="TBA", G3462=""), "", DATEDIF(DATE(B3462, C3462, 1), DATE(F3462, G3462, 1), "M")),"")</f>
        <v/>
      </c>
      <c r="AT3462" s="24" t="str">
        <f t="shared" ref="AT3462:AT3525" si="1033">IF(ISNUMBER(AS3462), IF(AS3462&gt;=0, IF(AS3462&lt;=3, "0-3 months", IF(AS3462&lt;=6, "4-6 months", "&gt; 6 months"))), "")</f>
        <v/>
      </c>
      <c r="AU3462" s="22">
        <v>0</v>
      </c>
    </row>
    <row r="3463" spans="1:47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53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42</v>
      </c>
      <c r="M3463" s="13" t="s">
        <v>43</v>
      </c>
      <c r="N3463" s="13">
        <v>0</v>
      </c>
      <c r="O3463" s="125"/>
      <c r="P3463" s="33" t="str">
        <f t="shared" si="1019"/>
        <v>C66 SERVICE/OTHERS</v>
      </c>
      <c r="Q3463" s="152" t="s">
        <v>44</v>
      </c>
      <c r="R3463" s="13" t="s">
        <v>45</v>
      </c>
      <c r="S3463" s="13" t="s">
        <v>50</v>
      </c>
      <c r="T3463" s="14"/>
      <c r="U3463" s="14"/>
      <c r="V3463" s="51"/>
      <c r="W3463" s="14"/>
      <c r="X3463" s="126"/>
      <c r="Y3463" s="127"/>
      <c r="Z3463" s="18" t="str">
        <f t="shared" si="1020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1"/>
        <v>28726768.133805312</v>
      </c>
      <c r="AJ3463" s="19">
        <f t="shared" si="1022"/>
        <v>3853638.1988864429</v>
      </c>
      <c r="AK3463" s="20">
        <f t="shared" si="1028"/>
        <v>0.1341479898099476</v>
      </c>
      <c r="AL3463" s="55"/>
      <c r="AM3463" s="55"/>
      <c r="AN3463" s="55"/>
      <c r="AO3463" s="55"/>
      <c r="AP3463" s="28" t="str">
        <f t="shared" si="1029"/>
        <v>20223</v>
      </c>
      <c r="AQ3463" s="28" t="str">
        <f t="shared" si="1030"/>
        <v/>
      </c>
      <c r="AR3463" s="206" t="str">
        <f t="shared" si="1031"/>
        <v>C66 SERVICE</v>
      </c>
      <c r="AS3463" s="22" t="str">
        <f t="shared" si="1032"/>
        <v/>
      </c>
      <c r="AT3463" s="24" t="str">
        <f t="shared" si="1033"/>
        <v/>
      </c>
      <c r="AU3463" s="22">
        <v>0</v>
      </c>
    </row>
    <row r="3464" spans="1:47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53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42</v>
      </c>
      <c r="M3464" s="13" t="s">
        <v>43</v>
      </c>
      <c r="N3464" s="13">
        <v>0</v>
      </c>
      <c r="O3464" s="125"/>
      <c r="P3464" s="33" t="str">
        <f t="shared" si="1019"/>
        <v>C66 SERVICE/OTHERS</v>
      </c>
      <c r="Q3464" s="152" t="s">
        <v>44</v>
      </c>
      <c r="R3464" s="13" t="s">
        <v>45</v>
      </c>
      <c r="S3464" s="13" t="s">
        <v>51</v>
      </c>
      <c r="T3464" s="14"/>
      <c r="U3464" s="14"/>
      <c r="V3464" s="51"/>
      <c r="W3464" s="14"/>
      <c r="X3464" s="126"/>
      <c r="Y3464" s="127"/>
      <c r="Z3464" s="18" t="str">
        <f t="shared" si="1020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1"/>
        <v>28726768.133805312</v>
      </c>
      <c r="AJ3464" s="19">
        <f t="shared" si="1022"/>
        <v>3853638.1988864429</v>
      </c>
      <c r="AK3464" s="20">
        <f t="shared" si="1028"/>
        <v>0.1341479898099476</v>
      </c>
      <c r="AL3464" s="55"/>
      <c r="AM3464" s="55"/>
      <c r="AN3464" s="55"/>
      <c r="AO3464" s="55"/>
      <c r="AP3464" s="28" t="str">
        <f t="shared" si="1029"/>
        <v>20223</v>
      </c>
      <c r="AQ3464" s="28" t="str">
        <f t="shared" si="1030"/>
        <v/>
      </c>
      <c r="AR3464" s="206" t="str">
        <f t="shared" si="1031"/>
        <v>C66 SERVICE</v>
      </c>
      <c r="AS3464" s="22" t="str">
        <f t="shared" si="1032"/>
        <v/>
      </c>
      <c r="AT3464" s="24" t="str">
        <f t="shared" si="1033"/>
        <v/>
      </c>
      <c r="AU3464" s="22">
        <v>0</v>
      </c>
    </row>
    <row r="3465" spans="1:47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53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42</v>
      </c>
      <c r="M3465" s="13" t="s">
        <v>43</v>
      </c>
      <c r="N3465" s="13">
        <v>0</v>
      </c>
      <c r="O3465" s="125"/>
      <c r="P3465" s="33" t="str">
        <f t="shared" si="1019"/>
        <v>C66 SERVICE/OTHERS</v>
      </c>
      <c r="Q3465" s="152" t="s">
        <v>44</v>
      </c>
      <c r="R3465" s="13" t="s">
        <v>45</v>
      </c>
      <c r="S3465" s="13" t="s">
        <v>52</v>
      </c>
      <c r="T3465" s="14"/>
      <c r="U3465" s="14"/>
      <c r="V3465" s="51"/>
      <c r="W3465" s="14"/>
      <c r="X3465" s="126"/>
      <c r="Y3465" s="127"/>
      <c r="Z3465" s="18" t="str">
        <f t="shared" si="1020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1"/>
        <v>28726768.133805312</v>
      </c>
      <c r="AJ3465" s="19">
        <f t="shared" si="1022"/>
        <v>3853638.1988864429</v>
      </c>
      <c r="AK3465" s="20">
        <f t="shared" si="1028"/>
        <v>0.1341479898099476</v>
      </c>
      <c r="AL3465" s="55"/>
      <c r="AM3465" s="55"/>
      <c r="AN3465" s="55"/>
      <c r="AO3465" s="55"/>
      <c r="AP3465" s="28" t="str">
        <f t="shared" si="1029"/>
        <v>20223</v>
      </c>
      <c r="AQ3465" s="28" t="str">
        <f t="shared" si="1030"/>
        <v/>
      </c>
      <c r="AR3465" s="206" t="str">
        <f t="shared" si="1031"/>
        <v>C66 SERVICE</v>
      </c>
      <c r="AS3465" s="22" t="str">
        <f t="shared" si="1032"/>
        <v/>
      </c>
      <c r="AT3465" s="24" t="str">
        <f t="shared" si="1033"/>
        <v/>
      </c>
      <c r="AU3465" s="22">
        <v>0</v>
      </c>
    </row>
    <row r="3466" spans="1:47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54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42</v>
      </c>
      <c r="M3466" s="13" t="s">
        <v>43</v>
      </c>
      <c r="N3466" s="13">
        <v>0</v>
      </c>
      <c r="O3466" s="125"/>
      <c r="P3466" s="33" t="str">
        <f t="shared" si="1019"/>
        <v>C66 SERVICE/OTHERS</v>
      </c>
      <c r="Q3466" s="152" t="s">
        <v>44</v>
      </c>
      <c r="R3466" s="13" t="s">
        <v>45</v>
      </c>
      <c r="S3466" s="13" t="s">
        <v>49</v>
      </c>
      <c r="T3466" s="14"/>
      <c r="U3466" s="14"/>
      <c r="V3466" s="51"/>
      <c r="W3466" s="14"/>
      <c r="X3466" s="126"/>
      <c r="Y3466" s="127"/>
      <c r="Z3466" s="18" t="str">
        <f t="shared" si="1020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1"/>
        <v>7502645.9971681423</v>
      </c>
      <c r="AJ3466" s="19">
        <f t="shared" si="1022"/>
        <v>664841.72044240718</v>
      </c>
      <c r="AK3466" s="20">
        <f t="shared" si="1028"/>
        <v>8.861429963420242E-2</v>
      </c>
      <c r="AL3466" s="55"/>
      <c r="AM3466" s="55"/>
      <c r="AN3466" s="55"/>
      <c r="AO3466" s="55"/>
      <c r="AP3466" s="28" t="str">
        <f t="shared" si="1029"/>
        <v>20231</v>
      </c>
      <c r="AQ3466" s="28" t="str">
        <f t="shared" si="1030"/>
        <v/>
      </c>
      <c r="AR3466" s="206" t="str">
        <f t="shared" si="1031"/>
        <v>C66 SERVICE</v>
      </c>
      <c r="AS3466" s="22" t="str">
        <f t="shared" si="1032"/>
        <v/>
      </c>
      <c r="AT3466" s="24" t="str">
        <f t="shared" si="1033"/>
        <v/>
      </c>
      <c r="AU3466" s="22">
        <v>0</v>
      </c>
    </row>
    <row r="3467" spans="1:47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54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42</v>
      </c>
      <c r="M3467" s="13" t="s">
        <v>43</v>
      </c>
      <c r="N3467" s="13">
        <v>0</v>
      </c>
      <c r="O3467" s="125"/>
      <c r="P3467" s="33" t="str">
        <f t="shared" si="1019"/>
        <v>C66 SERVICE/OTHERS</v>
      </c>
      <c r="Q3467" s="152" t="s">
        <v>44</v>
      </c>
      <c r="R3467" s="13" t="s">
        <v>45</v>
      </c>
      <c r="S3467" s="13" t="s">
        <v>50</v>
      </c>
      <c r="T3467" s="14"/>
      <c r="U3467" s="14"/>
      <c r="V3467" s="51"/>
      <c r="W3467" s="14"/>
      <c r="X3467" s="126"/>
      <c r="Y3467" s="127"/>
      <c r="Z3467" s="18" t="str">
        <f t="shared" si="1020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1"/>
        <v>7502645.9971681423</v>
      </c>
      <c r="AJ3467" s="19">
        <f t="shared" si="1022"/>
        <v>664841.72044240718</v>
      </c>
      <c r="AK3467" s="20">
        <f t="shared" si="1028"/>
        <v>8.861429963420242E-2</v>
      </c>
      <c r="AL3467" s="55"/>
      <c r="AM3467" s="55"/>
      <c r="AN3467" s="55"/>
      <c r="AO3467" s="55"/>
      <c r="AP3467" s="28" t="str">
        <f t="shared" si="1029"/>
        <v>20231</v>
      </c>
      <c r="AQ3467" s="28" t="str">
        <f t="shared" si="1030"/>
        <v/>
      </c>
      <c r="AR3467" s="206" t="str">
        <f t="shared" si="1031"/>
        <v>C66 SERVICE</v>
      </c>
      <c r="AS3467" s="22" t="str">
        <f t="shared" si="1032"/>
        <v/>
      </c>
      <c r="AT3467" s="24" t="str">
        <f t="shared" si="1033"/>
        <v/>
      </c>
      <c r="AU3467" s="22">
        <v>0</v>
      </c>
    </row>
    <row r="3468" spans="1:47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54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42</v>
      </c>
      <c r="M3468" s="13" t="s">
        <v>43</v>
      </c>
      <c r="N3468" s="13">
        <v>0</v>
      </c>
      <c r="O3468" s="125"/>
      <c r="P3468" s="33" t="str">
        <f t="shared" si="1019"/>
        <v>C66 SERVICE/OTHERS</v>
      </c>
      <c r="Q3468" s="152" t="s">
        <v>44</v>
      </c>
      <c r="R3468" s="13" t="s">
        <v>45</v>
      </c>
      <c r="S3468" s="13" t="s">
        <v>51</v>
      </c>
      <c r="T3468" s="14"/>
      <c r="U3468" s="14"/>
      <c r="V3468" s="51"/>
      <c r="W3468" s="14"/>
      <c r="X3468" s="126"/>
      <c r="Y3468" s="127"/>
      <c r="Z3468" s="18" t="str">
        <f t="shared" si="1020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1"/>
        <v>7502645.9971681423</v>
      </c>
      <c r="AJ3468" s="19">
        <f t="shared" si="1022"/>
        <v>664841.72044240718</v>
      </c>
      <c r="AK3468" s="20">
        <f t="shared" si="1028"/>
        <v>8.861429963420242E-2</v>
      </c>
      <c r="AL3468" s="55"/>
      <c r="AM3468" s="55"/>
      <c r="AN3468" s="55"/>
      <c r="AO3468" s="55"/>
      <c r="AP3468" s="28" t="str">
        <f t="shared" si="1029"/>
        <v>20231</v>
      </c>
      <c r="AQ3468" s="28" t="str">
        <f t="shared" si="1030"/>
        <v/>
      </c>
      <c r="AR3468" s="206" t="str">
        <f t="shared" si="1031"/>
        <v>C66 SERVICE</v>
      </c>
      <c r="AS3468" s="22" t="str">
        <f t="shared" si="1032"/>
        <v/>
      </c>
      <c r="AT3468" s="24" t="str">
        <f t="shared" si="1033"/>
        <v/>
      </c>
      <c r="AU3468" s="22">
        <v>0</v>
      </c>
    </row>
    <row r="3469" spans="1:47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54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42</v>
      </c>
      <c r="M3469" s="13" t="s">
        <v>43</v>
      </c>
      <c r="N3469" s="13">
        <v>0</v>
      </c>
      <c r="O3469" s="125"/>
      <c r="P3469" s="33" t="str">
        <f t="shared" si="1019"/>
        <v>C66 SERVICE/OTHERS</v>
      </c>
      <c r="Q3469" s="152" t="s">
        <v>44</v>
      </c>
      <c r="R3469" s="13" t="s">
        <v>45</v>
      </c>
      <c r="S3469" s="13" t="s">
        <v>52</v>
      </c>
      <c r="T3469" s="14"/>
      <c r="U3469" s="14"/>
      <c r="V3469" s="51"/>
      <c r="W3469" s="14"/>
      <c r="X3469" s="126"/>
      <c r="Y3469" s="127"/>
      <c r="Z3469" s="18" t="str">
        <f t="shared" si="1020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1"/>
        <v>7502645.9971681423</v>
      </c>
      <c r="AJ3469" s="19">
        <f t="shared" si="1022"/>
        <v>664841.72044240718</v>
      </c>
      <c r="AK3469" s="20">
        <f t="shared" si="1028"/>
        <v>8.861429963420242E-2</v>
      </c>
      <c r="AL3469" s="55"/>
      <c r="AM3469" s="55"/>
      <c r="AN3469" s="55"/>
      <c r="AO3469" s="55"/>
      <c r="AP3469" s="28" t="str">
        <f t="shared" si="1029"/>
        <v>20231</v>
      </c>
      <c r="AQ3469" s="28" t="str">
        <f t="shared" si="1030"/>
        <v/>
      </c>
      <c r="AR3469" s="206" t="str">
        <f t="shared" si="1031"/>
        <v>C66 SERVICE</v>
      </c>
      <c r="AS3469" s="22" t="str">
        <f t="shared" si="1032"/>
        <v/>
      </c>
      <c r="AT3469" s="24" t="str">
        <f t="shared" si="1033"/>
        <v/>
      </c>
      <c r="AU3469" s="22">
        <v>0</v>
      </c>
    </row>
    <row r="3470" spans="1:47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54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42</v>
      </c>
      <c r="M3470" s="13" t="s">
        <v>43</v>
      </c>
      <c r="N3470" s="13">
        <v>0</v>
      </c>
      <c r="O3470" s="125"/>
      <c r="P3470" s="33" t="str">
        <f t="shared" si="1019"/>
        <v>C66 SERVICE/OTHERS</v>
      </c>
      <c r="Q3470" s="152" t="s">
        <v>44</v>
      </c>
      <c r="R3470" s="13" t="s">
        <v>45</v>
      </c>
      <c r="S3470" s="13" t="s">
        <v>49</v>
      </c>
      <c r="T3470" s="14"/>
      <c r="U3470" s="14"/>
      <c r="V3470" s="51"/>
      <c r="W3470" s="14"/>
      <c r="X3470" s="126"/>
      <c r="Y3470" s="127"/>
      <c r="Z3470" s="18" t="str">
        <f t="shared" si="1020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1"/>
        <v>21045012.884955753</v>
      </c>
      <c r="AJ3470" s="19">
        <f t="shared" si="1022"/>
        <v>2650260.9603327443</v>
      </c>
      <c r="AK3470" s="20">
        <f t="shared" si="1028"/>
        <v>0.12593296924172048</v>
      </c>
      <c r="AL3470" s="55"/>
      <c r="AM3470" s="55"/>
      <c r="AN3470" s="55"/>
      <c r="AO3470" s="55"/>
      <c r="AP3470" s="28" t="str">
        <f t="shared" si="1029"/>
        <v>20232</v>
      </c>
      <c r="AQ3470" s="28" t="str">
        <f t="shared" si="1030"/>
        <v/>
      </c>
      <c r="AR3470" s="206" t="str">
        <f t="shared" si="1031"/>
        <v>C66 SERVICE</v>
      </c>
      <c r="AS3470" s="22" t="str">
        <f t="shared" si="1032"/>
        <v/>
      </c>
      <c r="AT3470" s="24" t="str">
        <f t="shared" si="1033"/>
        <v/>
      </c>
      <c r="AU3470" s="22">
        <v>0</v>
      </c>
    </row>
    <row r="3471" spans="1:47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54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42</v>
      </c>
      <c r="M3471" s="13" t="s">
        <v>43</v>
      </c>
      <c r="N3471" s="13">
        <v>0</v>
      </c>
      <c r="O3471" s="125"/>
      <c r="P3471" s="33" t="str">
        <f t="shared" si="1019"/>
        <v>C66 SERVICE/OTHERS</v>
      </c>
      <c r="Q3471" s="152" t="s">
        <v>44</v>
      </c>
      <c r="R3471" s="13" t="s">
        <v>45</v>
      </c>
      <c r="S3471" s="13" t="s">
        <v>50</v>
      </c>
      <c r="T3471" s="14"/>
      <c r="U3471" s="14"/>
      <c r="V3471" s="51"/>
      <c r="W3471" s="14"/>
      <c r="X3471" s="126"/>
      <c r="Y3471" s="127"/>
      <c r="Z3471" s="18" t="str">
        <f t="shared" si="1020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1"/>
        <v>21045012.884955753</v>
      </c>
      <c r="AJ3471" s="19">
        <f t="shared" si="1022"/>
        <v>2650260.9603327443</v>
      </c>
      <c r="AK3471" s="20">
        <f t="shared" si="1028"/>
        <v>0.12593296924172048</v>
      </c>
      <c r="AL3471" s="55"/>
      <c r="AM3471" s="55"/>
      <c r="AN3471" s="55"/>
      <c r="AO3471" s="55"/>
      <c r="AP3471" s="28" t="str">
        <f t="shared" si="1029"/>
        <v>20232</v>
      </c>
      <c r="AQ3471" s="28" t="str">
        <f t="shared" si="1030"/>
        <v/>
      </c>
      <c r="AR3471" s="206" t="str">
        <f t="shared" si="1031"/>
        <v>C66 SERVICE</v>
      </c>
      <c r="AS3471" s="22" t="str">
        <f t="shared" si="1032"/>
        <v/>
      </c>
      <c r="AT3471" s="24" t="str">
        <f t="shared" si="1033"/>
        <v/>
      </c>
      <c r="AU3471" s="22">
        <v>0</v>
      </c>
    </row>
    <row r="3472" spans="1:47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54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42</v>
      </c>
      <c r="M3472" s="13" t="s">
        <v>43</v>
      </c>
      <c r="N3472" s="13">
        <v>0</v>
      </c>
      <c r="O3472" s="125"/>
      <c r="P3472" s="33" t="str">
        <f t="shared" si="1019"/>
        <v>C66 SERVICE/OTHERS</v>
      </c>
      <c r="Q3472" s="152" t="s">
        <v>44</v>
      </c>
      <c r="R3472" s="13" t="s">
        <v>45</v>
      </c>
      <c r="S3472" s="13" t="s">
        <v>51</v>
      </c>
      <c r="T3472" s="14"/>
      <c r="U3472" s="14"/>
      <c r="V3472" s="51"/>
      <c r="W3472" s="14"/>
      <c r="X3472" s="126"/>
      <c r="Y3472" s="127"/>
      <c r="Z3472" s="18" t="str">
        <f t="shared" si="1020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1"/>
        <v>21045012.884955753</v>
      </c>
      <c r="AJ3472" s="19">
        <f t="shared" si="1022"/>
        <v>2650260.9603327443</v>
      </c>
      <c r="AK3472" s="20">
        <f t="shared" si="1028"/>
        <v>0.12593296924172048</v>
      </c>
      <c r="AL3472" s="55"/>
      <c r="AM3472" s="55"/>
      <c r="AN3472" s="55"/>
      <c r="AO3472" s="55"/>
      <c r="AP3472" s="28" t="str">
        <f t="shared" si="1029"/>
        <v>20232</v>
      </c>
      <c r="AQ3472" s="28" t="str">
        <f t="shared" si="1030"/>
        <v/>
      </c>
      <c r="AR3472" s="206" t="str">
        <f t="shared" si="1031"/>
        <v>C66 SERVICE</v>
      </c>
      <c r="AS3472" s="22" t="str">
        <f t="shared" si="1032"/>
        <v/>
      </c>
      <c r="AT3472" s="24" t="str">
        <f t="shared" si="1033"/>
        <v/>
      </c>
      <c r="AU3472" s="22">
        <v>0</v>
      </c>
    </row>
    <row r="3473" spans="1:47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54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42</v>
      </c>
      <c r="M3473" s="13" t="s">
        <v>43</v>
      </c>
      <c r="N3473" s="13">
        <v>0</v>
      </c>
      <c r="O3473" s="125"/>
      <c r="P3473" s="33" t="str">
        <f t="shared" si="1019"/>
        <v>C66 SERVICE/OTHERS</v>
      </c>
      <c r="Q3473" s="152" t="s">
        <v>44</v>
      </c>
      <c r="R3473" s="13" t="s">
        <v>45</v>
      </c>
      <c r="S3473" s="13" t="s">
        <v>52</v>
      </c>
      <c r="T3473" s="14"/>
      <c r="U3473" s="14"/>
      <c r="V3473" s="51"/>
      <c r="W3473" s="14"/>
      <c r="X3473" s="126"/>
      <c r="Y3473" s="127"/>
      <c r="Z3473" s="18" t="str">
        <f t="shared" si="1020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1"/>
        <v>21045012.884955753</v>
      </c>
      <c r="AJ3473" s="19">
        <f t="shared" si="1022"/>
        <v>2650260.9603327443</v>
      </c>
      <c r="AK3473" s="20">
        <f t="shared" si="1028"/>
        <v>0.12593296924172048</v>
      </c>
      <c r="AL3473" s="55"/>
      <c r="AM3473" s="55"/>
      <c r="AN3473" s="55"/>
      <c r="AO3473" s="55"/>
      <c r="AP3473" s="28" t="str">
        <f t="shared" si="1029"/>
        <v>20232</v>
      </c>
      <c r="AQ3473" s="28" t="str">
        <f t="shared" si="1030"/>
        <v/>
      </c>
      <c r="AR3473" s="206" t="str">
        <f t="shared" si="1031"/>
        <v>C66 SERVICE</v>
      </c>
      <c r="AS3473" s="22" t="str">
        <f t="shared" si="1032"/>
        <v/>
      </c>
      <c r="AT3473" s="24" t="str">
        <f t="shared" si="1033"/>
        <v/>
      </c>
      <c r="AU3473" s="22">
        <v>0</v>
      </c>
    </row>
    <row r="3474" spans="1:47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55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42</v>
      </c>
      <c r="M3474" s="13" t="s">
        <v>43</v>
      </c>
      <c r="N3474" s="13">
        <v>0</v>
      </c>
      <c r="O3474" s="125"/>
      <c r="P3474" s="33" t="str">
        <f t="shared" si="1019"/>
        <v>C66 SERVICE/OTHERS</v>
      </c>
      <c r="Q3474" s="152" t="s">
        <v>44</v>
      </c>
      <c r="R3474" s="13" t="s">
        <v>45</v>
      </c>
      <c r="S3474" s="13" t="s">
        <v>49</v>
      </c>
      <c r="T3474" s="14"/>
      <c r="U3474" s="14"/>
      <c r="V3474" s="51"/>
      <c r="W3474" s="14"/>
      <c r="X3474" s="126"/>
      <c r="Y3474" s="127"/>
      <c r="Z3474" s="18" t="str">
        <f t="shared" si="1020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1"/>
        <v>30573205.452778768</v>
      </c>
      <c r="AJ3474" s="19">
        <f t="shared" si="1022"/>
        <v>3790930.1683151261</v>
      </c>
      <c r="AK3474" s="20">
        <f t="shared" si="1028"/>
        <v>0.12399518179964254</v>
      </c>
      <c r="AL3474" s="55"/>
      <c r="AM3474" s="55"/>
      <c r="AN3474" s="55"/>
      <c r="AO3474" s="55"/>
      <c r="AP3474" s="28" t="str">
        <f t="shared" si="1029"/>
        <v>20234</v>
      </c>
      <c r="AQ3474" s="28" t="str">
        <f t="shared" si="1030"/>
        <v/>
      </c>
      <c r="AR3474" s="206" t="str">
        <f t="shared" si="1031"/>
        <v>C66 SERVICE</v>
      </c>
      <c r="AS3474" s="22" t="str">
        <f t="shared" si="1032"/>
        <v/>
      </c>
      <c r="AT3474" s="24" t="str">
        <f t="shared" si="1033"/>
        <v/>
      </c>
      <c r="AU3474" s="22">
        <v>0</v>
      </c>
    </row>
    <row r="3475" spans="1:47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55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42</v>
      </c>
      <c r="M3475" s="13" t="s">
        <v>43</v>
      </c>
      <c r="N3475" s="13">
        <v>0</v>
      </c>
      <c r="O3475" s="125"/>
      <c r="P3475" s="33" t="str">
        <f t="shared" si="1019"/>
        <v>C66 SERVICE/OTHERS</v>
      </c>
      <c r="Q3475" s="152" t="s">
        <v>44</v>
      </c>
      <c r="R3475" s="13" t="s">
        <v>45</v>
      </c>
      <c r="S3475" s="13" t="s">
        <v>50</v>
      </c>
      <c r="T3475" s="14"/>
      <c r="U3475" s="14"/>
      <c r="V3475" s="51"/>
      <c r="W3475" s="14"/>
      <c r="X3475" s="126"/>
      <c r="Y3475" s="127"/>
      <c r="Z3475" s="18" t="str">
        <f t="shared" si="1020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1"/>
        <v>30573205.452778768</v>
      </c>
      <c r="AJ3475" s="19">
        <f t="shared" si="1022"/>
        <v>3790930.1683151261</v>
      </c>
      <c r="AK3475" s="20">
        <f t="shared" si="1028"/>
        <v>0.12399518179964254</v>
      </c>
      <c r="AL3475" s="55"/>
      <c r="AM3475" s="55"/>
      <c r="AN3475" s="55"/>
      <c r="AO3475" s="55"/>
      <c r="AP3475" s="28" t="str">
        <f t="shared" si="1029"/>
        <v>20234</v>
      </c>
      <c r="AQ3475" s="28" t="str">
        <f t="shared" si="1030"/>
        <v/>
      </c>
      <c r="AR3475" s="206" t="str">
        <f t="shared" si="1031"/>
        <v>C66 SERVICE</v>
      </c>
      <c r="AS3475" s="22" t="str">
        <f t="shared" si="1032"/>
        <v/>
      </c>
      <c r="AT3475" s="24" t="str">
        <f t="shared" si="1033"/>
        <v/>
      </c>
      <c r="AU3475" s="22">
        <v>0</v>
      </c>
    </row>
    <row r="3476" spans="1:47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55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42</v>
      </c>
      <c r="M3476" s="13" t="s">
        <v>43</v>
      </c>
      <c r="N3476" s="13">
        <v>0</v>
      </c>
      <c r="O3476" s="125"/>
      <c r="P3476" s="33" t="str">
        <f t="shared" si="1019"/>
        <v>C66 SERVICE/OTHERS</v>
      </c>
      <c r="Q3476" s="152" t="s">
        <v>44</v>
      </c>
      <c r="R3476" s="13" t="s">
        <v>45</v>
      </c>
      <c r="S3476" s="13" t="s">
        <v>51</v>
      </c>
      <c r="T3476" s="14"/>
      <c r="U3476" s="14"/>
      <c r="V3476" s="51"/>
      <c r="W3476" s="14"/>
      <c r="X3476" s="126"/>
      <c r="Y3476" s="127"/>
      <c r="Z3476" s="18" t="str">
        <f t="shared" si="1020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1"/>
        <v>30573205.452778768</v>
      </c>
      <c r="AJ3476" s="19">
        <f t="shared" si="1022"/>
        <v>3790930.1683151261</v>
      </c>
      <c r="AK3476" s="20">
        <f t="shared" si="1028"/>
        <v>0.12399518179964254</v>
      </c>
      <c r="AL3476" s="55"/>
      <c r="AM3476" s="55"/>
      <c r="AN3476" s="55"/>
      <c r="AO3476" s="55"/>
      <c r="AP3476" s="28" t="str">
        <f t="shared" si="1029"/>
        <v>20234</v>
      </c>
      <c r="AQ3476" s="28" t="str">
        <f t="shared" si="1030"/>
        <v/>
      </c>
      <c r="AR3476" s="206" t="str">
        <f t="shared" si="1031"/>
        <v>C66 SERVICE</v>
      </c>
      <c r="AS3476" s="22" t="str">
        <f t="shared" si="1032"/>
        <v/>
      </c>
      <c r="AT3476" s="24" t="str">
        <f t="shared" si="1033"/>
        <v/>
      </c>
      <c r="AU3476" s="22">
        <v>0</v>
      </c>
    </row>
    <row r="3477" spans="1:47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55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42</v>
      </c>
      <c r="M3477" s="13" t="s">
        <v>43</v>
      </c>
      <c r="N3477" s="13">
        <v>0</v>
      </c>
      <c r="O3477" s="125"/>
      <c r="P3477" s="33" t="str">
        <f t="shared" si="1019"/>
        <v>C66 SERVICE/OTHERS</v>
      </c>
      <c r="Q3477" s="152" t="s">
        <v>44</v>
      </c>
      <c r="R3477" s="13" t="s">
        <v>45</v>
      </c>
      <c r="S3477" s="13" t="s">
        <v>52</v>
      </c>
      <c r="T3477" s="14"/>
      <c r="U3477" s="14"/>
      <c r="V3477" s="51"/>
      <c r="W3477" s="14"/>
      <c r="X3477" s="126"/>
      <c r="Y3477" s="127"/>
      <c r="Z3477" s="18" t="str">
        <f t="shared" si="1020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1"/>
        <v>30573205.452778768</v>
      </c>
      <c r="AJ3477" s="19">
        <f t="shared" si="1022"/>
        <v>3790930.1683151261</v>
      </c>
      <c r="AK3477" s="20">
        <f t="shared" si="1028"/>
        <v>0.12399518179964254</v>
      </c>
      <c r="AL3477" s="55"/>
      <c r="AM3477" s="55"/>
      <c r="AN3477" s="55"/>
      <c r="AO3477" s="55"/>
      <c r="AP3477" s="28" t="str">
        <f t="shared" si="1029"/>
        <v>20234</v>
      </c>
      <c r="AQ3477" s="28" t="str">
        <f t="shared" si="1030"/>
        <v/>
      </c>
      <c r="AR3477" s="206" t="str">
        <f t="shared" si="1031"/>
        <v>C66 SERVICE</v>
      </c>
      <c r="AS3477" s="22" t="str">
        <f t="shared" si="1032"/>
        <v/>
      </c>
      <c r="AT3477" s="24" t="str">
        <f t="shared" si="1033"/>
        <v/>
      </c>
      <c r="AU3477" s="22">
        <v>0</v>
      </c>
    </row>
    <row r="3478" spans="1:47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55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42</v>
      </c>
      <c r="M3478" s="13" t="s">
        <v>43</v>
      </c>
      <c r="N3478" s="13">
        <v>0</v>
      </c>
      <c r="O3478" s="125"/>
      <c r="P3478" s="33" t="str">
        <f t="shared" ref="P3478:P3541" si="1034">IF(M3478="","",IF(AND(N3478&gt;0,L3478&lt;&gt;""),"MAIN UNIT",IF(AND(O3478&gt;0,L3478&lt;&gt;""),"SERVICE/ PARTS","C66 SERVICE/OTHERS")))</f>
        <v>C66 SERVICE/OTHERS</v>
      </c>
      <c r="Q3478" s="152" t="s">
        <v>44</v>
      </c>
      <c r="R3478" s="13" t="s">
        <v>45</v>
      </c>
      <c r="S3478" s="13" t="s">
        <v>49</v>
      </c>
      <c r="T3478" s="14"/>
      <c r="U3478" s="14"/>
      <c r="V3478" s="51"/>
      <c r="W3478" s="14"/>
      <c r="X3478" s="126"/>
      <c r="Y3478" s="127"/>
      <c r="Z3478" s="18" t="str">
        <f t="shared" si="1020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1"/>
        <v>28177779.013274338</v>
      </c>
      <c r="AJ3478" s="19">
        <f t="shared" si="1022"/>
        <v>4727216.6376190251</v>
      </c>
      <c r="AK3478" s="20">
        <f t="shared" si="1028"/>
        <v>0.1677639900359808</v>
      </c>
      <c r="AL3478" s="55"/>
      <c r="AM3478" s="55"/>
      <c r="AN3478" s="55"/>
      <c r="AO3478" s="55"/>
      <c r="AP3478" s="28" t="str">
        <f t="shared" si="1029"/>
        <v>20235</v>
      </c>
      <c r="AQ3478" s="28" t="str">
        <f t="shared" si="1030"/>
        <v/>
      </c>
      <c r="AR3478" s="206" t="str">
        <f t="shared" si="1031"/>
        <v>C66 SERVICE</v>
      </c>
      <c r="AS3478" s="22" t="str">
        <f t="shared" si="1032"/>
        <v/>
      </c>
      <c r="AT3478" s="24" t="str">
        <f t="shared" si="1033"/>
        <v/>
      </c>
      <c r="AU3478" s="22">
        <v>0</v>
      </c>
    </row>
    <row r="3479" spans="1:47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55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42</v>
      </c>
      <c r="M3479" s="13" t="s">
        <v>43</v>
      </c>
      <c r="N3479" s="13">
        <v>0</v>
      </c>
      <c r="O3479" s="125"/>
      <c r="P3479" s="33" t="str">
        <f t="shared" si="1034"/>
        <v>C66 SERVICE/OTHERS</v>
      </c>
      <c r="Q3479" s="152" t="s">
        <v>44</v>
      </c>
      <c r="R3479" s="13" t="s">
        <v>45</v>
      </c>
      <c r="S3479" s="13" t="s">
        <v>50</v>
      </c>
      <c r="T3479" s="14"/>
      <c r="U3479" s="14"/>
      <c r="V3479" s="51"/>
      <c r="W3479" s="14"/>
      <c r="X3479" s="126"/>
      <c r="Y3479" s="127"/>
      <c r="Z3479" s="18" t="str">
        <f t="shared" si="1020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1"/>
        <v>28177779.013274338</v>
      </c>
      <c r="AJ3479" s="19">
        <f t="shared" si="1022"/>
        <v>4727216.6376190251</v>
      </c>
      <c r="AK3479" s="20">
        <f t="shared" si="1028"/>
        <v>0.1677639900359808</v>
      </c>
      <c r="AL3479" s="55"/>
      <c r="AM3479" s="55"/>
      <c r="AN3479" s="55"/>
      <c r="AO3479" s="55"/>
      <c r="AP3479" s="28" t="str">
        <f t="shared" si="1029"/>
        <v>20235</v>
      </c>
      <c r="AQ3479" s="28" t="str">
        <f t="shared" si="1030"/>
        <v/>
      </c>
      <c r="AR3479" s="206" t="str">
        <f t="shared" si="1031"/>
        <v>C66 SERVICE</v>
      </c>
      <c r="AS3479" s="22" t="str">
        <f t="shared" si="1032"/>
        <v/>
      </c>
      <c r="AT3479" s="24" t="str">
        <f t="shared" si="1033"/>
        <v/>
      </c>
      <c r="AU3479" s="22">
        <v>0</v>
      </c>
    </row>
    <row r="3480" spans="1:47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55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42</v>
      </c>
      <c r="M3480" s="13" t="s">
        <v>43</v>
      </c>
      <c r="N3480" s="13">
        <v>0</v>
      </c>
      <c r="O3480" s="125"/>
      <c r="P3480" s="33" t="str">
        <f t="shared" si="1034"/>
        <v>C66 SERVICE/OTHERS</v>
      </c>
      <c r="Q3480" s="152" t="s">
        <v>44</v>
      </c>
      <c r="R3480" s="13" t="s">
        <v>45</v>
      </c>
      <c r="S3480" s="13" t="s">
        <v>51</v>
      </c>
      <c r="T3480" s="14"/>
      <c r="U3480" s="14"/>
      <c r="V3480" s="51"/>
      <c r="W3480" s="14"/>
      <c r="X3480" s="126"/>
      <c r="Y3480" s="127"/>
      <c r="Z3480" s="18" t="str">
        <f t="shared" si="1020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1"/>
        <v>28177779.013274338</v>
      </c>
      <c r="AJ3480" s="19">
        <f t="shared" si="1022"/>
        <v>4727216.6376190251</v>
      </c>
      <c r="AK3480" s="20">
        <f t="shared" si="1028"/>
        <v>0.1677639900359808</v>
      </c>
      <c r="AL3480" s="55"/>
      <c r="AM3480" s="55"/>
      <c r="AN3480" s="55"/>
      <c r="AO3480" s="55"/>
      <c r="AP3480" s="28" t="str">
        <f t="shared" si="1029"/>
        <v>20235</v>
      </c>
      <c r="AQ3480" s="28" t="str">
        <f t="shared" si="1030"/>
        <v/>
      </c>
      <c r="AR3480" s="206" t="str">
        <f t="shared" si="1031"/>
        <v>C66 SERVICE</v>
      </c>
      <c r="AS3480" s="22" t="str">
        <f t="shared" si="1032"/>
        <v/>
      </c>
      <c r="AT3480" s="24" t="str">
        <f t="shared" si="1033"/>
        <v/>
      </c>
      <c r="AU3480" s="22">
        <v>0</v>
      </c>
    </row>
    <row r="3481" spans="1:47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55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42</v>
      </c>
      <c r="M3481" s="13" t="s">
        <v>43</v>
      </c>
      <c r="N3481" s="13">
        <v>0</v>
      </c>
      <c r="O3481" s="125"/>
      <c r="P3481" s="33" t="str">
        <f t="shared" si="1034"/>
        <v>C66 SERVICE/OTHERS</v>
      </c>
      <c r="Q3481" s="152" t="s">
        <v>44</v>
      </c>
      <c r="R3481" s="13" t="s">
        <v>45</v>
      </c>
      <c r="S3481" s="13" t="s">
        <v>52</v>
      </c>
      <c r="T3481" s="14"/>
      <c r="U3481" s="14"/>
      <c r="V3481" s="51"/>
      <c r="W3481" s="14"/>
      <c r="X3481" s="126"/>
      <c r="Y3481" s="127"/>
      <c r="Z3481" s="18" t="str">
        <f t="shared" si="1020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1"/>
        <v>28177779.013274338</v>
      </c>
      <c r="AJ3481" s="19">
        <f t="shared" si="1022"/>
        <v>4727216.6376190251</v>
      </c>
      <c r="AK3481" s="20">
        <f t="shared" si="1028"/>
        <v>0.1677639900359808</v>
      </c>
      <c r="AL3481" s="55"/>
      <c r="AM3481" s="55"/>
      <c r="AN3481" s="55"/>
      <c r="AO3481" s="55"/>
      <c r="AP3481" s="28" t="str">
        <f t="shared" si="1029"/>
        <v>20235</v>
      </c>
      <c r="AQ3481" s="28" t="str">
        <f t="shared" si="1030"/>
        <v/>
      </c>
      <c r="AR3481" s="206" t="str">
        <f t="shared" si="1031"/>
        <v>C66 SERVICE</v>
      </c>
      <c r="AS3481" s="22" t="str">
        <f t="shared" si="1032"/>
        <v/>
      </c>
      <c r="AT3481" s="24" t="str">
        <f t="shared" si="1033"/>
        <v/>
      </c>
      <c r="AU3481" s="22">
        <v>0</v>
      </c>
    </row>
    <row r="3482" spans="1:47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55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42</v>
      </c>
      <c r="M3482" s="13" t="s">
        <v>43</v>
      </c>
      <c r="N3482" s="13">
        <v>0</v>
      </c>
      <c r="O3482" s="125"/>
      <c r="P3482" s="33" t="str">
        <f t="shared" si="1034"/>
        <v>C66 SERVICE/OTHERS</v>
      </c>
      <c r="Q3482" s="152" t="s">
        <v>44</v>
      </c>
      <c r="R3482" s="13" t="s">
        <v>45</v>
      </c>
      <c r="S3482" s="13" t="s">
        <v>49</v>
      </c>
      <c r="T3482" s="14"/>
      <c r="U3482" s="14"/>
      <c r="V3482" s="51"/>
      <c r="W3482" s="14"/>
      <c r="X3482" s="126"/>
      <c r="Y3482" s="127"/>
      <c r="Z3482" s="18" t="str">
        <f t="shared" si="1020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1"/>
        <v>13640480.497522123</v>
      </c>
      <c r="AJ3482" s="19">
        <f t="shared" si="1022"/>
        <v>1928605.8020906283</v>
      </c>
      <c r="AK3482" s="20">
        <f t="shared" si="1028"/>
        <v>0.1413884065477731</v>
      </c>
      <c r="AL3482" s="55"/>
      <c r="AM3482" s="55"/>
      <c r="AN3482" s="55"/>
      <c r="AO3482" s="55"/>
      <c r="AP3482" s="28" t="str">
        <f t="shared" si="1029"/>
        <v>20236</v>
      </c>
      <c r="AQ3482" s="28" t="str">
        <f t="shared" si="1030"/>
        <v/>
      </c>
      <c r="AR3482" s="206" t="str">
        <f t="shared" si="1031"/>
        <v>C66 SERVICE</v>
      </c>
      <c r="AS3482" s="22" t="str">
        <f t="shared" si="1032"/>
        <v/>
      </c>
      <c r="AT3482" s="24" t="str">
        <f t="shared" si="1033"/>
        <v/>
      </c>
      <c r="AU3482" s="22">
        <v>0</v>
      </c>
    </row>
    <row r="3483" spans="1:47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55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42</v>
      </c>
      <c r="M3483" s="13" t="s">
        <v>43</v>
      </c>
      <c r="N3483" s="13">
        <v>0</v>
      </c>
      <c r="O3483" s="125"/>
      <c r="P3483" s="33" t="str">
        <f t="shared" si="1034"/>
        <v>C66 SERVICE/OTHERS</v>
      </c>
      <c r="Q3483" s="152" t="s">
        <v>44</v>
      </c>
      <c r="R3483" s="13" t="s">
        <v>45</v>
      </c>
      <c r="S3483" s="13" t="s">
        <v>50</v>
      </c>
      <c r="T3483" s="14"/>
      <c r="U3483" s="14"/>
      <c r="V3483" s="51"/>
      <c r="W3483" s="14"/>
      <c r="X3483" s="126"/>
      <c r="Y3483" s="127"/>
      <c r="Z3483" s="18" t="str">
        <f t="shared" si="1020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1"/>
        <v>13640480.497522123</v>
      </c>
      <c r="AJ3483" s="19">
        <f t="shared" si="1022"/>
        <v>1928605.8020906283</v>
      </c>
      <c r="AK3483" s="20">
        <f t="shared" si="1028"/>
        <v>0.1413884065477731</v>
      </c>
      <c r="AL3483" s="55"/>
      <c r="AM3483" s="55"/>
      <c r="AN3483" s="55"/>
      <c r="AO3483" s="55"/>
      <c r="AP3483" s="28" t="str">
        <f t="shared" si="1029"/>
        <v>20236</v>
      </c>
      <c r="AQ3483" s="28" t="str">
        <f t="shared" si="1030"/>
        <v/>
      </c>
      <c r="AR3483" s="206" t="str">
        <f t="shared" si="1031"/>
        <v>C66 SERVICE</v>
      </c>
      <c r="AS3483" s="22" t="str">
        <f t="shared" si="1032"/>
        <v/>
      </c>
      <c r="AT3483" s="24" t="str">
        <f t="shared" si="1033"/>
        <v/>
      </c>
      <c r="AU3483" s="22">
        <v>0</v>
      </c>
    </row>
    <row r="3484" spans="1:47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55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42</v>
      </c>
      <c r="M3484" s="13" t="s">
        <v>43</v>
      </c>
      <c r="N3484" s="13">
        <v>0</v>
      </c>
      <c r="O3484" s="125"/>
      <c r="P3484" s="33" t="str">
        <f t="shared" si="1034"/>
        <v>C66 SERVICE/OTHERS</v>
      </c>
      <c r="Q3484" s="152" t="s">
        <v>44</v>
      </c>
      <c r="R3484" s="13" t="s">
        <v>45</v>
      </c>
      <c r="S3484" s="13" t="s">
        <v>51</v>
      </c>
      <c r="T3484" s="14"/>
      <c r="U3484" s="14"/>
      <c r="V3484" s="51"/>
      <c r="W3484" s="14"/>
      <c r="X3484" s="126"/>
      <c r="Y3484" s="127"/>
      <c r="Z3484" s="18" t="str">
        <f t="shared" si="1020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1"/>
        <v>13640480.497522123</v>
      </c>
      <c r="AJ3484" s="19">
        <f t="shared" si="1022"/>
        <v>1928605.8020906283</v>
      </c>
      <c r="AK3484" s="20">
        <f t="shared" si="1028"/>
        <v>0.1413884065477731</v>
      </c>
      <c r="AL3484" s="55"/>
      <c r="AM3484" s="55"/>
      <c r="AN3484" s="55"/>
      <c r="AO3484" s="55"/>
      <c r="AP3484" s="28" t="str">
        <f t="shared" si="1029"/>
        <v>20236</v>
      </c>
      <c r="AQ3484" s="28" t="str">
        <f t="shared" si="1030"/>
        <v/>
      </c>
      <c r="AR3484" s="206" t="str">
        <f t="shared" si="1031"/>
        <v>C66 SERVICE</v>
      </c>
      <c r="AS3484" s="22" t="str">
        <f t="shared" si="1032"/>
        <v/>
      </c>
      <c r="AT3484" s="24" t="str">
        <f t="shared" si="1033"/>
        <v/>
      </c>
      <c r="AU3484" s="22">
        <v>0</v>
      </c>
    </row>
    <row r="3485" spans="1:47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55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42</v>
      </c>
      <c r="M3485" s="13" t="s">
        <v>43</v>
      </c>
      <c r="N3485" s="13">
        <v>0</v>
      </c>
      <c r="O3485" s="125"/>
      <c r="P3485" s="33" t="str">
        <f t="shared" si="1034"/>
        <v>C66 SERVICE/OTHERS</v>
      </c>
      <c r="Q3485" s="152" t="s">
        <v>44</v>
      </c>
      <c r="R3485" s="13" t="s">
        <v>45</v>
      </c>
      <c r="S3485" s="13" t="s">
        <v>52</v>
      </c>
      <c r="T3485" s="14"/>
      <c r="U3485" s="14"/>
      <c r="V3485" s="51"/>
      <c r="W3485" s="14"/>
      <c r="X3485" s="126"/>
      <c r="Y3485" s="127"/>
      <c r="Z3485" s="18" t="str">
        <f t="shared" si="1020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1"/>
        <v>13640480.497522123</v>
      </c>
      <c r="AJ3485" s="19">
        <f t="shared" si="1022"/>
        <v>1928605.8020906283</v>
      </c>
      <c r="AK3485" s="20">
        <f t="shared" si="1028"/>
        <v>0.1413884065477731</v>
      </c>
      <c r="AL3485" s="55"/>
      <c r="AM3485" s="55"/>
      <c r="AN3485" s="55"/>
      <c r="AO3485" s="55"/>
      <c r="AP3485" s="28" t="str">
        <f t="shared" si="1029"/>
        <v>20236</v>
      </c>
      <c r="AQ3485" s="28" t="str">
        <f t="shared" si="1030"/>
        <v/>
      </c>
      <c r="AR3485" s="206" t="str">
        <f t="shared" si="1031"/>
        <v>C66 SERVICE</v>
      </c>
      <c r="AS3485" s="22" t="str">
        <f t="shared" si="1032"/>
        <v/>
      </c>
      <c r="AT3485" s="24" t="str">
        <f t="shared" si="1033"/>
        <v/>
      </c>
      <c r="AU3485" s="22">
        <v>0</v>
      </c>
    </row>
    <row r="3486" spans="1:47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55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42</v>
      </c>
      <c r="M3486" s="13" t="s">
        <v>43</v>
      </c>
      <c r="N3486" s="13">
        <v>0</v>
      </c>
      <c r="O3486" s="125"/>
      <c r="P3486" s="33" t="str">
        <f t="shared" si="1034"/>
        <v>C66 SERVICE/OTHERS</v>
      </c>
      <c r="Q3486" s="152" t="s">
        <v>44</v>
      </c>
      <c r="R3486" s="13" t="s">
        <v>45</v>
      </c>
      <c r="S3486" s="13" t="s">
        <v>49</v>
      </c>
      <c r="T3486" s="14"/>
      <c r="U3486" s="14"/>
      <c r="V3486" s="51"/>
      <c r="W3486" s="14"/>
      <c r="X3486" s="126"/>
      <c r="Y3486" s="127"/>
      <c r="Z3486" s="18" t="str">
        <f t="shared" ref="Z3486:Z3497" si="1035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1"/>
        <v>15951056.41591504</v>
      </c>
      <c r="AJ3486" s="19">
        <f t="shared" si="1022"/>
        <v>1966354.6022462982</v>
      </c>
      <c r="AK3486" s="20">
        <f t="shared" si="1028"/>
        <v>0.12327425538313459</v>
      </c>
      <c r="AL3486" s="55"/>
      <c r="AM3486" s="55"/>
      <c r="AN3486" s="55"/>
      <c r="AO3486" s="55"/>
      <c r="AP3486" s="28" t="str">
        <f t="shared" si="1029"/>
        <v>20237</v>
      </c>
      <c r="AQ3486" s="28" t="str">
        <f t="shared" si="1030"/>
        <v/>
      </c>
      <c r="AR3486" s="206" t="str">
        <f t="shared" si="1031"/>
        <v>C66 SERVICE</v>
      </c>
      <c r="AS3486" s="22" t="str">
        <f t="shared" si="1032"/>
        <v/>
      </c>
      <c r="AT3486" s="24" t="str">
        <f t="shared" si="1033"/>
        <v/>
      </c>
      <c r="AU3486" s="22">
        <v>0</v>
      </c>
    </row>
    <row r="3487" spans="1:47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55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42</v>
      </c>
      <c r="M3487" s="13" t="s">
        <v>43</v>
      </c>
      <c r="N3487" s="13">
        <v>0</v>
      </c>
      <c r="O3487" s="125"/>
      <c r="P3487" s="33" t="str">
        <f t="shared" si="1034"/>
        <v>C66 SERVICE/OTHERS</v>
      </c>
      <c r="Q3487" s="152" t="s">
        <v>44</v>
      </c>
      <c r="R3487" s="13" t="s">
        <v>45</v>
      </c>
      <c r="S3487" s="13" t="s">
        <v>50</v>
      </c>
      <c r="T3487" s="14"/>
      <c r="U3487" s="14"/>
      <c r="V3487" s="51"/>
      <c r="W3487" s="14"/>
      <c r="X3487" s="126"/>
      <c r="Y3487" s="127"/>
      <c r="Z3487" s="18" t="str">
        <f t="shared" si="1035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1"/>
        <v>15951056.41591504</v>
      </c>
      <c r="AJ3487" s="19">
        <f t="shared" si="1022"/>
        <v>1966354.6022462982</v>
      </c>
      <c r="AK3487" s="20">
        <f t="shared" si="1028"/>
        <v>0.12327425538313459</v>
      </c>
      <c r="AL3487" s="55"/>
      <c r="AM3487" s="55"/>
      <c r="AN3487" s="55"/>
      <c r="AO3487" s="55"/>
      <c r="AP3487" s="28" t="str">
        <f t="shared" si="1029"/>
        <v>20237</v>
      </c>
      <c r="AQ3487" s="28" t="str">
        <f t="shared" si="1030"/>
        <v/>
      </c>
      <c r="AR3487" s="206" t="str">
        <f t="shared" si="1031"/>
        <v>C66 SERVICE</v>
      </c>
      <c r="AS3487" s="22" t="str">
        <f t="shared" si="1032"/>
        <v/>
      </c>
      <c r="AT3487" s="24" t="str">
        <f t="shared" si="1033"/>
        <v/>
      </c>
      <c r="AU3487" s="22">
        <v>0</v>
      </c>
    </row>
    <row r="3488" spans="1:47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55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42</v>
      </c>
      <c r="M3488" s="13" t="s">
        <v>43</v>
      </c>
      <c r="N3488" s="13">
        <v>0</v>
      </c>
      <c r="O3488" s="125"/>
      <c r="P3488" s="33" t="str">
        <f t="shared" si="1034"/>
        <v>C66 SERVICE/OTHERS</v>
      </c>
      <c r="Q3488" s="152" t="s">
        <v>44</v>
      </c>
      <c r="R3488" s="13" t="s">
        <v>45</v>
      </c>
      <c r="S3488" s="13" t="s">
        <v>51</v>
      </c>
      <c r="T3488" s="14"/>
      <c r="U3488" s="14"/>
      <c r="V3488" s="51"/>
      <c r="W3488" s="14"/>
      <c r="X3488" s="126"/>
      <c r="Y3488" s="127"/>
      <c r="Z3488" s="18" t="str">
        <f t="shared" si="1035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1"/>
        <v>15951056.41591504</v>
      </c>
      <c r="AJ3488" s="19">
        <f t="shared" si="1022"/>
        <v>1966354.6022462982</v>
      </c>
      <c r="AK3488" s="20">
        <f t="shared" si="1028"/>
        <v>0.12327425538313459</v>
      </c>
      <c r="AL3488" s="55"/>
      <c r="AM3488" s="55"/>
      <c r="AN3488" s="55"/>
      <c r="AO3488" s="55"/>
      <c r="AP3488" s="28" t="str">
        <f t="shared" si="1029"/>
        <v>20237</v>
      </c>
      <c r="AQ3488" s="28" t="str">
        <f t="shared" si="1030"/>
        <v/>
      </c>
      <c r="AR3488" s="206" t="str">
        <f t="shared" si="1031"/>
        <v>C66 SERVICE</v>
      </c>
      <c r="AS3488" s="22" t="str">
        <f t="shared" si="1032"/>
        <v/>
      </c>
      <c r="AT3488" s="24" t="str">
        <f t="shared" si="1033"/>
        <v/>
      </c>
      <c r="AU3488" s="22">
        <v>0</v>
      </c>
    </row>
    <row r="3489" spans="1:47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55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42</v>
      </c>
      <c r="M3489" s="13" t="s">
        <v>43</v>
      </c>
      <c r="N3489" s="13">
        <v>0</v>
      </c>
      <c r="O3489" s="125"/>
      <c r="P3489" s="33" t="str">
        <f t="shared" si="1034"/>
        <v>C66 SERVICE/OTHERS</v>
      </c>
      <c r="Q3489" s="152" t="s">
        <v>44</v>
      </c>
      <c r="R3489" s="13" t="s">
        <v>45</v>
      </c>
      <c r="S3489" s="13" t="s">
        <v>52</v>
      </c>
      <c r="T3489" s="14"/>
      <c r="U3489" s="14"/>
      <c r="V3489" s="51"/>
      <c r="W3489" s="14"/>
      <c r="X3489" s="126"/>
      <c r="Y3489" s="127"/>
      <c r="Z3489" s="18" t="str">
        <f t="shared" si="1035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1"/>
        <v>15951056.41591504</v>
      </c>
      <c r="AJ3489" s="19">
        <f t="shared" si="1022"/>
        <v>1966354.6022462982</v>
      </c>
      <c r="AK3489" s="20">
        <f t="shared" si="1028"/>
        <v>0.12327425538313459</v>
      </c>
      <c r="AL3489" s="55"/>
      <c r="AM3489" s="55"/>
      <c r="AN3489" s="55"/>
      <c r="AO3489" s="55"/>
      <c r="AP3489" s="28" t="str">
        <f t="shared" si="1029"/>
        <v>20237</v>
      </c>
      <c r="AQ3489" s="28" t="str">
        <f t="shared" si="1030"/>
        <v/>
      </c>
      <c r="AR3489" s="206" t="str">
        <f t="shared" si="1031"/>
        <v>C66 SERVICE</v>
      </c>
      <c r="AS3489" s="22" t="str">
        <f t="shared" si="1032"/>
        <v/>
      </c>
      <c r="AT3489" s="24" t="str">
        <f t="shared" si="1033"/>
        <v/>
      </c>
      <c r="AU3489" s="22">
        <v>0</v>
      </c>
    </row>
    <row r="3490" spans="1:47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55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42</v>
      </c>
      <c r="M3490" s="13" t="s">
        <v>43</v>
      </c>
      <c r="N3490" s="13">
        <v>0</v>
      </c>
      <c r="O3490" s="125"/>
      <c r="P3490" s="33" t="str">
        <f t="shared" si="1034"/>
        <v>C66 SERVICE/OTHERS</v>
      </c>
      <c r="Q3490" s="152" t="s">
        <v>44</v>
      </c>
      <c r="R3490" s="13" t="s">
        <v>45</v>
      </c>
      <c r="S3490" s="13" t="s">
        <v>49</v>
      </c>
      <c r="T3490" s="14"/>
      <c r="U3490" s="14"/>
      <c r="V3490" s="51"/>
      <c r="W3490" s="14"/>
      <c r="X3490" s="126"/>
      <c r="Y3490" s="127"/>
      <c r="Z3490" s="18" t="str">
        <f t="shared" si="1035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1"/>
        <v>22953677.784070797</v>
      </c>
      <c r="AJ3490" s="19">
        <f t="shared" si="1022"/>
        <v>4168706.6744155753</v>
      </c>
      <c r="AK3490" s="20">
        <f t="shared" si="1028"/>
        <v>0.18161388835511752</v>
      </c>
      <c r="AL3490" s="55"/>
      <c r="AM3490" s="55"/>
      <c r="AN3490" s="55"/>
      <c r="AO3490" s="55"/>
      <c r="AP3490" s="28" t="str">
        <f t="shared" si="1029"/>
        <v>20238</v>
      </c>
      <c r="AQ3490" s="28" t="str">
        <f t="shared" si="1030"/>
        <v/>
      </c>
      <c r="AR3490" s="206" t="str">
        <f t="shared" si="1031"/>
        <v>C66 SERVICE</v>
      </c>
      <c r="AS3490" s="22" t="str">
        <f t="shared" si="1032"/>
        <v/>
      </c>
      <c r="AT3490" s="24" t="str">
        <f t="shared" si="1033"/>
        <v/>
      </c>
      <c r="AU3490" s="22">
        <v>0</v>
      </c>
    </row>
    <row r="3491" spans="1:47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55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42</v>
      </c>
      <c r="M3491" s="13" t="s">
        <v>43</v>
      </c>
      <c r="N3491" s="13">
        <v>0</v>
      </c>
      <c r="O3491" s="125"/>
      <c r="P3491" s="33" t="str">
        <f t="shared" si="1034"/>
        <v>C66 SERVICE/OTHERS</v>
      </c>
      <c r="Q3491" s="152" t="s">
        <v>44</v>
      </c>
      <c r="R3491" s="13" t="s">
        <v>45</v>
      </c>
      <c r="S3491" s="13" t="s">
        <v>50</v>
      </c>
      <c r="T3491" s="14"/>
      <c r="U3491" s="14"/>
      <c r="V3491" s="51"/>
      <c r="W3491" s="14"/>
      <c r="X3491" s="126"/>
      <c r="Y3491" s="127"/>
      <c r="Z3491" s="18" t="str">
        <f t="shared" si="1035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1"/>
        <v>22953677.784070797</v>
      </c>
      <c r="AJ3491" s="19">
        <f t="shared" si="1022"/>
        <v>4168706.6744155753</v>
      </c>
      <c r="AK3491" s="20">
        <f t="shared" si="1028"/>
        <v>0.18161388835511752</v>
      </c>
      <c r="AL3491" s="55"/>
      <c r="AM3491" s="55"/>
      <c r="AN3491" s="55"/>
      <c r="AO3491" s="55"/>
      <c r="AP3491" s="28" t="str">
        <f t="shared" si="1029"/>
        <v>20238</v>
      </c>
      <c r="AQ3491" s="28" t="str">
        <f t="shared" si="1030"/>
        <v/>
      </c>
      <c r="AR3491" s="206" t="str">
        <f t="shared" si="1031"/>
        <v>C66 SERVICE</v>
      </c>
      <c r="AS3491" s="22" t="str">
        <f t="shared" si="1032"/>
        <v/>
      </c>
      <c r="AT3491" s="24" t="str">
        <f t="shared" si="1033"/>
        <v/>
      </c>
      <c r="AU3491" s="22">
        <v>0</v>
      </c>
    </row>
    <row r="3492" spans="1:47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55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42</v>
      </c>
      <c r="M3492" s="13" t="s">
        <v>43</v>
      </c>
      <c r="N3492" s="13">
        <v>0</v>
      </c>
      <c r="O3492" s="125"/>
      <c r="P3492" s="33" t="str">
        <f t="shared" si="1034"/>
        <v>C66 SERVICE/OTHERS</v>
      </c>
      <c r="Q3492" s="152" t="s">
        <v>44</v>
      </c>
      <c r="R3492" s="13" t="s">
        <v>45</v>
      </c>
      <c r="S3492" s="13" t="s">
        <v>51</v>
      </c>
      <c r="T3492" s="14"/>
      <c r="U3492" s="14"/>
      <c r="V3492" s="51"/>
      <c r="W3492" s="14"/>
      <c r="X3492" s="126"/>
      <c r="Y3492" s="127"/>
      <c r="Z3492" s="18" t="str">
        <f t="shared" si="1035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1"/>
        <v>22953677.784070797</v>
      </c>
      <c r="AJ3492" s="19">
        <f t="shared" si="1022"/>
        <v>4168706.6744155753</v>
      </c>
      <c r="AK3492" s="20">
        <f t="shared" si="1028"/>
        <v>0.18161388835511752</v>
      </c>
      <c r="AL3492" s="55"/>
      <c r="AM3492" s="55"/>
      <c r="AN3492" s="55"/>
      <c r="AO3492" s="55"/>
      <c r="AP3492" s="28" t="str">
        <f t="shared" si="1029"/>
        <v>20238</v>
      </c>
      <c r="AQ3492" s="28" t="str">
        <f t="shared" si="1030"/>
        <v/>
      </c>
      <c r="AR3492" s="206" t="str">
        <f t="shared" si="1031"/>
        <v>C66 SERVICE</v>
      </c>
      <c r="AS3492" s="22" t="str">
        <f t="shared" si="1032"/>
        <v/>
      </c>
      <c r="AT3492" s="24" t="str">
        <f t="shared" si="1033"/>
        <v/>
      </c>
      <c r="AU3492" s="22">
        <v>0</v>
      </c>
    </row>
    <row r="3493" spans="1:47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55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42</v>
      </c>
      <c r="M3493" s="13" t="s">
        <v>43</v>
      </c>
      <c r="N3493" s="13">
        <v>0</v>
      </c>
      <c r="O3493" s="125"/>
      <c r="P3493" s="33" t="str">
        <f t="shared" si="1034"/>
        <v>C66 SERVICE/OTHERS</v>
      </c>
      <c r="Q3493" s="152" t="s">
        <v>44</v>
      </c>
      <c r="R3493" s="13" t="s">
        <v>45</v>
      </c>
      <c r="S3493" s="13" t="s">
        <v>52</v>
      </c>
      <c r="T3493" s="14"/>
      <c r="U3493" s="14"/>
      <c r="V3493" s="51"/>
      <c r="W3493" s="14"/>
      <c r="X3493" s="126"/>
      <c r="Y3493" s="127"/>
      <c r="Z3493" s="18" t="str">
        <f t="shared" si="1035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1"/>
        <v>22953677.784070797</v>
      </c>
      <c r="AJ3493" s="19">
        <f t="shared" si="1022"/>
        <v>4168706.6744155753</v>
      </c>
      <c r="AK3493" s="20">
        <f t="shared" si="1028"/>
        <v>0.18161388835511752</v>
      </c>
      <c r="AL3493" s="55"/>
      <c r="AM3493" s="55"/>
      <c r="AN3493" s="55"/>
      <c r="AO3493" s="55"/>
      <c r="AP3493" s="28" t="str">
        <f t="shared" si="1029"/>
        <v>20238</v>
      </c>
      <c r="AQ3493" s="28" t="str">
        <f t="shared" si="1030"/>
        <v/>
      </c>
      <c r="AR3493" s="206" t="str">
        <f t="shared" si="1031"/>
        <v>C66 SERVICE</v>
      </c>
      <c r="AS3493" s="22" t="str">
        <f t="shared" si="1032"/>
        <v/>
      </c>
      <c r="AT3493" s="24" t="str">
        <f t="shared" si="1033"/>
        <v/>
      </c>
      <c r="AU3493" s="22">
        <v>0</v>
      </c>
    </row>
    <row r="3494" spans="1:47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55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42</v>
      </c>
      <c r="M3494" s="13" t="s">
        <v>43</v>
      </c>
      <c r="N3494" s="13">
        <v>0</v>
      </c>
      <c r="O3494" s="125"/>
      <c r="P3494" s="33" t="str">
        <f t="shared" si="1034"/>
        <v>C66 SERVICE/OTHERS</v>
      </c>
      <c r="Q3494" s="152" t="s">
        <v>44</v>
      </c>
      <c r="R3494" s="13" t="s">
        <v>45</v>
      </c>
      <c r="S3494" s="13" t="s">
        <v>49</v>
      </c>
      <c r="T3494" s="14"/>
      <c r="U3494" s="14"/>
      <c r="V3494" s="51"/>
      <c r="W3494" s="14"/>
      <c r="X3494" s="126"/>
      <c r="Y3494" s="127"/>
      <c r="Z3494" s="18" t="str">
        <f t="shared" si="1035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1"/>
        <v>26078226.463097349</v>
      </c>
      <c r="AJ3494" s="19">
        <f t="shared" si="1022"/>
        <v>3137870.4427774516</v>
      </c>
      <c r="AK3494" s="20">
        <f t="shared" si="1028"/>
        <v>0.12032530077218917</v>
      </c>
      <c r="AL3494" s="55"/>
      <c r="AM3494" s="55"/>
      <c r="AN3494" s="55"/>
      <c r="AO3494" s="55"/>
      <c r="AP3494" s="28" t="str">
        <f t="shared" si="1029"/>
        <v>20239</v>
      </c>
      <c r="AQ3494" s="28" t="str">
        <f t="shared" si="1030"/>
        <v/>
      </c>
      <c r="AR3494" s="206" t="str">
        <f t="shared" si="1031"/>
        <v>C66 SERVICE</v>
      </c>
      <c r="AS3494" s="22" t="str">
        <f t="shared" si="1032"/>
        <v/>
      </c>
      <c r="AT3494" s="24" t="str">
        <f t="shared" si="1033"/>
        <v/>
      </c>
      <c r="AU3494" s="22">
        <v>0</v>
      </c>
    </row>
    <row r="3495" spans="1:47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55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42</v>
      </c>
      <c r="M3495" s="13" t="s">
        <v>43</v>
      </c>
      <c r="N3495" s="13">
        <v>0</v>
      </c>
      <c r="O3495" s="125"/>
      <c r="P3495" s="33" t="str">
        <f t="shared" si="1034"/>
        <v>C66 SERVICE/OTHERS</v>
      </c>
      <c r="Q3495" s="152" t="s">
        <v>44</v>
      </c>
      <c r="R3495" s="13" t="s">
        <v>45</v>
      </c>
      <c r="S3495" s="13" t="s">
        <v>50</v>
      </c>
      <c r="T3495" s="14"/>
      <c r="U3495" s="14"/>
      <c r="V3495" s="51"/>
      <c r="W3495" s="14"/>
      <c r="X3495" s="126"/>
      <c r="Y3495" s="127"/>
      <c r="Z3495" s="18" t="str">
        <f t="shared" si="1035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1"/>
        <v>26078226.463097349</v>
      </c>
      <c r="AJ3495" s="19">
        <f t="shared" si="1022"/>
        <v>3137870.4427774516</v>
      </c>
      <c r="AK3495" s="20">
        <f t="shared" si="1028"/>
        <v>0.12032530077218917</v>
      </c>
      <c r="AL3495" s="55"/>
      <c r="AM3495" s="55"/>
      <c r="AN3495" s="55"/>
      <c r="AO3495" s="55"/>
      <c r="AP3495" s="28" t="str">
        <f t="shared" si="1029"/>
        <v>20239</v>
      </c>
      <c r="AQ3495" s="28" t="str">
        <f t="shared" si="1030"/>
        <v/>
      </c>
      <c r="AR3495" s="206" t="str">
        <f t="shared" si="1031"/>
        <v>C66 SERVICE</v>
      </c>
      <c r="AS3495" s="22" t="str">
        <f t="shared" si="1032"/>
        <v/>
      </c>
      <c r="AT3495" s="24" t="str">
        <f t="shared" si="1033"/>
        <v/>
      </c>
      <c r="AU3495" s="22">
        <v>0</v>
      </c>
    </row>
    <row r="3496" spans="1:47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55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42</v>
      </c>
      <c r="M3496" s="13" t="s">
        <v>43</v>
      </c>
      <c r="N3496" s="13">
        <v>0</v>
      </c>
      <c r="O3496" s="125"/>
      <c r="P3496" s="33" t="str">
        <f t="shared" si="1034"/>
        <v>C66 SERVICE/OTHERS</v>
      </c>
      <c r="Q3496" s="152" t="s">
        <v>44</v>
      </c>
      <c r="R3496" s="13" t="s">
        <v>45</v>
      </c>
      <c r="S3496" s="13" t="s">
        <v>51</v>
      </c>
      <c r="T3496" s="14"/>
      <c r="U3496" s="14"/>
      <c r="V3496" s="51"/>
      <c r="W3496" s="14"/>
      <c r="X3496" s="126"/>
      <c r="Y3496" s="127"/>
      <c r="Z3496" s="18" t="str">
        <f t="shared" si="1035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1"/>
        <v>26078226.463097349</v>
      </c>
      <c r="AJ3496" s="19">
        <f t="shared" si="1022"/>
        <v>3137870.4427774516</v>
      </c>
      <c r="AK3496" s="20">
        <f t="shared" si="1028"/>
        <v>0.12032530077218917</v>
      </c>
      <c r="AL3496" s="55"/>
      <c r="AM3496" s="55"/>
      <c r="AN3496" s="55"/>
      <c r="AO3496" s="55"/>
      <c r="AP3496" s="28" t="str">
        <f t="shared" si="1029"/>
        <v>20239</v>
      </c>
      <c r="AQ3496" s="28" t="str">
        <f t="shared" si="1030"/>
        <v/>
      </c>
      <c r="AR3496" s="206" t="str">
        <f t="shared" si="1031"/>
        <v>C66 SERVICE</v>
      </c>
      <c r="AS3496" s="22" t="str">
        <f t="shared" si="1032"/>
        <v/>
      </c>
      <c r="AT3496" s="24" t="str">
        <f t="shared" si="1033"/>
        <v/>
      </c>
      <c r="AU3496" s="22">
        <v>0</v>
      </c>
    </row>
    <row r="3497" spans="1:47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55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42</v>
      </c>
      <c r="M3497" s="13" t="s">
        <v>43</v>
      </c>
      <c r="N3497" s="13">
        <v>0</v>
      </c>
      <c r="O3497" s="125"/>
      <c r="P3497" s="33" t="str">
        <f t="shared" si="1034"/>
        <v>C66 SERVICE/OTHERS</v>
      </c>
      <c r="Q3497" s="152" t="s">
        <v>44</v>
      </c>
      <c r="R3497" s="13" t="s">
        <v>45</v>
      </c>
      <c r="S3497" s="13" t="s">
        <v>52</v>
      </c>
      <c r="T3497" s="14"/>
      <c r="U3497" s="14"/>
      <c r="V3497" s="51"/>
      <c r="W3497" s="14"/>
      <c r="X3497" s="126"/>
      <c r="Y3497" s="127"/>
      <c r="Z3497" s="18" t="str">
        <f t="shared" si="1035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1"/>
        <v>26078226.463097349</v>
      </c>
      <c r="AJ3497" s="19">
        <f t="shared" si="1022"/>
        <v>3137870.4427774516</v>
      </c>
      <c r="AK3497" s="20">
        <f t="shared" si="1028"/>
        <v>0.12032530077218917</v>
      </c>
      <c r="AL3497" s="55"/>
      <c r="AM3497" s="55"/>
      <c r="AN3497" s="55"/>
      <c r="AO3497" s="55"/>
      <c r="AP3497" s="28" t="str">
        <f t="shared" si="1029"/>
        <v>20239</v>
      </c>
      <c r="AQ3497" s="28" t="str">
        <f t="shared" si="1030"/>
        <v/>
      </c>
      <c r="AR3497" s="206" t="str">
        <f t="shared" si="1031"/>
        <v>C66 SERVICE</v>
      </c>
      <c r="AS3497" s="22" t="str">
        <f t="shared" si="1032"/>
        <v/>
      </c>
      <c r="AT3497" s="24" t="str">
        <f t="shared" si="1033"/>
        <v/>
      </c>
      <c r="AU3497" s="22">
        <v>0</v>
      </c>
    </row>
    <row r="3498" spans="1:47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55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42</v>
      </c>
      <c r="M3498" s="13" t="s">
        <v>43</v>
      </c>
      <c r="N3498" s="13">
        <v>0</v>
      </c>
      <c r="O3498" s="125"/>
      <c r="P3498" s="33" t="str">
        <f t="shared" si="1034"/>
        <v>C66 SERVICE/OTHERS</v>
      </c>
      <c r="Q3498" s="152" t="s">
        <v>44</v>
      </c>
      <c r="R3498" s="13" t="s">
        <v>45</v>
      </c>
      <c r="S3498" s="13" t="s">
        <v>52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1"/>
        <v>5219988.5752212387</v>
      </c>
      <c r="AJ3498" s="19">
        <f t="shared" si="1022"/>
        <v>631627.0013460177</v>
      </c>
      <c r="AK3498" s="20">
        <f t="shared" si="1028"/>
        <v>0.12100160608478869</v>
      </c>
      <c r="AL3498" s="55"/>
      <c r="AM3498" s="55"/>
      <c r="AN3498" s="55"/>
      <c r="AO3498" s="55"/>
      <c r="AP3498" s="28" t="str">
        <f t="shared" si="1029"/>
        <v>202310</v>
      </c>
      <c r="AQ3498" s="28" t="str">
        <f t="shared" si="1030"/>
        <v/>
      </c>
      <c r="AR3498" s="206" t="str">
        <f t="shared" si="1031"/>
        <v>C66 SERVICE</v>
      </c>
      <c r="AS3498" s="22" t="str">
        <f t="shared" si="1032"/>
        <v/>
      </c>
      <c r="AT3498" s="24" t="str">
        <f t="shared" si="1033"/>
        <v/>
      </c>
      <c r="AU3498" s="22">
        <v>0</v>
      </c>
    </row>
    <row r="3499" spans="1:47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55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42</v>
      </c>
      <c r="M3499" s="13" t="s">
        <v>43</v>
      </c>
      <c r="N3499" s="13">
        <v>0</v>
      </c>
      <c r="O3499" s="125"/>
      <c r="P3499" s="33" t="str">
        <f t="shared" si="1034"/>
        <v>C66 SERVICE/OTHERS</v>
      </c>
      <c r="Q3499" s="152" t="s">
        <v>44</v>
      </c>
      <c r="R3499" s="13" t="s">
        <v>45</v>
      </c>
      <c r="S3499" s="13" t="s">
        <v>51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1"/>
        <v>5219988.5752212387</v>
      </c>
      <c r="AJ3499" s="19">
        <f t="shared" si="1022"/>
        <v>631627.0013460177</v>
      </c>
      <c r="AK3499" s="20">
        <f t="shared" si="1028"/>
        <v>0.12100160608478869</v>
      </c>
      <c r="AL3499" s="55"/>
      <c r="AM3499" s="55"/>
      <c r="AN3499" s="55"/>
      <c r="AO3499" s="55"/>
      <c r="AP3499" s="28" t="str">
        <f t="shared" si="1029"/>
        <v>202310</v>
      </c>
      <c r="AQ3499" s="28" t="str">
        <f t="shared" si="1030"/>
        <v/>
      </c>
      <c r="AR3499" s="206" t="str">
        <f t="shared" si="1031"/>
        <v>C66 SERVICE</v>
      </c>
      <c r="AS3499" s="22" t="str">
        <f t="shared" si="1032"/>
        <v/>
      </c>
      <c r="AT3499" s="24" t="str">
        <f t="shared" si="1033"/>
        <v/>
      </c>
      <c r="AU3499" s="22">
        <v>0</v>
      </c>
    </row>
    <row r="3500" spans="1:47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55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42</v>
      </c>
      <c r="M3500" s="13" t="s">
        <v>43</v>
      </c>
      <c r="N3500" s="13">
        <v>0</v>
      </c>
      <c r="O3500" s="125"/>
      <c r="P3500" s="33" t="str">
        <f t="shared" si="1034"/>
        <v>C66 SERVICE/OTHERS</v>
      </c>
      <c r="Q3500" s="152" t="s">
        <v>44</v>
      </c>
      <c r="R3500" s="13" t="s">
        <v>45</v>
      </c>
      <c r="S3500" s="13" t="s">
        <v>50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1"/>
        <v>5219988.5752212387</v>
      </c>
      <c r="AJ3500" s="19">
        <f t="shared" si="1022"/>
        <v>631627.0013460177</v>
      </c>
      <c r="AK3500" s="20">
        <f t="shared" si="1028"/>
        <v>0.12100160608478869</v>
      </c>
      <c r="AL3500" s="55"/>
      <c r="AM3500" s="55"/>
      <c r="AN3500" s="55"/>
      <c r="AO3500" s="55"/>
      <c r="AP3500" s="28" t="str">
        <f t="shared" si="1029"/>
        <v>202310</v>
      </c>
      <c r="AQ3500" s="28" t="str">
        <f t="shared" si="1030"/>
        <v/>
      </c>
      <c r="AR3500" s="206" t="str">
        <f t="shared" si="1031"/>
        <v>C66 SERVICE</v>
      </c>
      <c r="AS3500" s="22" t="str">
        <f t="shared" si="1032"/>
        <v/>
      </c>
      <c r="AT3500" s="24" t="str">
        <f t="shared" si="1033"/>
        <v/>
      </c>
      <c r="AU3500" s="22">
        <v>0</v>
      </c>
    </row>
    <row r="3501" spans="1:47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55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42</v>
      </c>
      <c r="M3501" s="13" t="s">
        <v>43</v>
      </c>
      <c r="N3501" s="13">
        <v>0</v>
      </c>
      <c r="O3501" s="125"/>
      <c r="P3501" s="33" t="str">
        <f t="shared" si="1034"/>
        <v>C66 SERVICE/OTHERS</v>
      </c>
      <c r="Q3501" s="152" t="s">
        <v>44</v>
      </c>
      <c r="R3501" s="13" t="s">
        <v>45</v>
      </c>
      <c r="S3501" s="13" t="s">
        <v>49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1"/>
        <v>5219988.5752212387</v>
      </c>
      <c r="AJ3501" s="19">
        <f t="shared" si="1022"/>
        <v>631627.0013460177</v>
      </c>
      <c r="AK3501" s="20">
        <f t="shared" si="1028"/>
        <v>0.12100160608478869</v>
      </c>
      <c r="AL3501" s="55"/>
      <c r="AM3501" s="55"/>
      <c r="AN3501" s="55"/>
      <c r="AO3501" s="55"/>
      <c r="AP3501" s="28" t="str">
        <f t="shared" si="1029"/>
        <v>202310</v>
      </c>
      <c r="AQ3501" s="28" t="str">
        <f t="shared" si="1030"/>
        <v/>
      </c>
      <c r="AR3501" s="206" t="str">
        <f t="shared" si="1031"/>
        <v>C66 SERVICE</v>
      </c>
      <c r="AS3501" s="22" t="str">
        <f t="shared" si="1032"/>
        <v/>
      </c>
      <c r="AT3501" s="24" t="str">
        <f t="shared" si="1033"/>
        <v/>
      </c>
      <c r="AU3501" s="22">
        <v>0</v>
      </c>
    </row>
    <row r="3502" spans="1:47" s="12" customFormat="1" ht="39.6">
      <c r="A3502" s="57" t="str">
        <f t="shared" si="1023"/>
        <v/>
      </c>
      <c r="B3502" s="56"/>
      <c r="C3502" s="56"/>
      <c r="D3502" s="57"/>
      <c r="E3502" s="33" t="s">
        <v>55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42</v>
      </c>
      <c r="M3502" s="13" t="s">
        <v>43</v>
      </c>
      <c r="N3502" s="13">
        <v>0</v>
      </c>
      <c r="O3502" s="125"/>
      <c r="P3502" s="33" t="str">
        <f t="shared" si="1034"/>
        <v>C66 SERVICE/OTHERS</v>
      </c>
      <c r="Q3502" s="152" t="s">
        <v>44</v>
      </c>
      <c r="R3502" s="13" t="s">
        <v>45</v>
      </c>
      <c r="S3502" s="13" t="s">
        <v>52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1"/>
        <v>11730565.00042478</v>
      </c>
      <c r="AJ3502" s="19">
        <f t="shared" si="1022"/>
        <v>1439625.5685810833</v>
      </c>
      <c r="AK3502" s="20">
        <f t="shared" si="1028"/>
        <v>0.12272431622253084</v>
      </c>
      <c r="AL3502" s="55"/>
      <c r="AM3502" s="55"/>
      <c r="AN3502" s="55"/>
      <c r="AO3502" s="55"/>
      <c r="AP3502" s="28" t="str">
        <f t="shared" si="1029"/>
        <v>202311</v>
      </c>
      <c r="AQ3502" s="28" t="str">
        <f t="shared" si="1030"/>
        <v/>
      </c>
      <c r="AR3502" s="206" t="str">
        <f t="shared" si="1031"/>
        <v>C66 SERVICE</v>
      </c>
      <c r="AS3502" s="22" t="str">
        <f t="shared" si="1032"/>
        <v/>
      </c>
      <c r="AT3502" s="24" t="str">
        <f t="shared" si="1033"/>
        <v/>
      </c>
      <c r="AU3502" s="22">
        <v>0</v>
      </c>
    </row>
    <row r="3503" spans="1:47" s="12" customFormat="1" ht="39.6">
      <c r="A3503" s="57" t="str">
        <f t="shared" si="1023"/>
        <v/>
      </c>
      <c r="B3503" s="56"/>
      <c r="C3503" s="56"/>
      <c r="D3503" s="57"/>
      <c r="E3503" s="33" t="s">
        <v>55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42</v>
      </c>
      <c r="M3503" s="13" t="s">
        <v>43</v>
      </c>
      <c r="N3503" s="13">
        <v>0</v>
      </c>
      <c r="O3503" s="125"/>
      <c r="P3503" s="33" t="str">
        <f t="shared" si="1034"/>
        <v>C66 SERVICE/OTHERS</v>
      </c>
      <c r="Q3503" s="152" t="s">
        <v>44</v>
      </c>
      <c r="R3503" s="13" t="s">
        <v>45</v>
      </c>
      <c r="S3503" s="13" t="s">
        <v>51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1"/>
        <v>11730565.00042478</v>
      </c>
      <c r="AJ3503" s="19">
        <f t="shared" si="1022"/>
        <v>1439625.5685810833</v>
      </c>
      <c r="AK3503" s="20">
        <f t="shared" si="1028"/>
        <v>0.12272431622253084</v>
      </c>
      <c r="AL3503" s="55"/>
      <c r="AM3503" s="55"/>
      <c r="AN3503" s="55"/>
      <c r="AO3503" s="55"/>
      <c r="AP3503" s="28" t="str">
        <f t="shared" si="1029"/>
        <v>202311</v>
      </c>
      <c r="AQ3503" s="28" t="str">
        <f t="shared" si="1030"/>
        <v/>
      </c>
      <c r="AR3503" s="206" t="str">
        <f t="shared" si="1031"/>
        <v>C66 SERVICE</v>
      </c>
      <c r="AS3503" s="22" t="str">
        <f t="shared" si="1032"/>
        <v/>
      </c>
      <c r="AT3503" s="24" t="str">
        <f t="shared" si="1033"/>
        <v/>
      </c>
      <c r="AU3503" s="22">
        <v>0</v>
      </c>
    </row>
    <row r="3504" spans="1:47" s="12" customFormat="1" ht="39.6">
      <c r="A3504" s="57" t="str">
        <f t="shared" si="1023"/>
        <v/>
      </c>
      <c r="B3504" s="56"/>
      <c r="C3504" s="56"/>
      <c r="D3504" s="57"/>
      <c r="E3504" s="33" t="s">
        <v>55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42</v>
      </c>
      <c r="M3504" s="13" t="s">
        <v>43</v>
      </c>
      <c r="N3504" s="13">
        <v>0</v>
      </c>
      <c r="O3504" s="125"/>
      <c r="P3504" s="33" t="str">
        <f t="shared" si="1034"/>
        <v>C66 SERVICE/OTHERS</v>
      </c>
      <c r="Q3504" s="152" t="s">
        <v>44</v>
      </c>
      <c r="R3504" s="13" t="s">
        <v>45</v>
      </c>
      <c r="S3504" s="13" t="s">
        <v>50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1"/>
        <v>11730565.00042478</v>
      </c>
      <c r="AJ3504" s="19">
        <f t="shared" si="1022"/>
        <v>1439625.5685810833</v>
      </c>
      <c r="AK3504" s="20">
        <f t="shared" si="1028"/>
        <v>0.12272431622253084</v>
      </c>
      <c r="AL3504" s="55"/>
      <c r="AM3504" s="55"/>
      <c r="AN3504" s="55"/>
      <c r="AO3504" s="55"/>
      <c r="AP3504" s="28" t="str">
        <f t="shared" si="1029"/>
        <v>202311</v>
      </c>
      <c r="AQ3504" s="28" t="str">
        <f t="shared" si="1030"/>
        <v/>
      </c>
      <c r="AR3504" s="206" t="str">
        <f t="shared" si="1031"/>
        <v>C66 SERVICE</v>
      </c>
      <c r="AS3504" s="22" t="str">
        <f t="shared" si="1032"/>
        <v/>
      </c>
      <c r="AT3504" s="24" t="str">
        <f t="shared" si="1033"/>
        <v/>
      </c>
      <c r="AU3504" s="22">
        <v>0</v>
      </c>
    </row>
    <row r="3505" spans="1:47" s="12" customFormat="1" ht="39.6">
      <c r="A3505" s="57" t="str">
        <f t="shared" si="1023"/>
        <v/>
      </c>
      <c r="B3505" s="56"/>
      <c r="C3505" s="56"/>
      <c r="D3505" s="57"/>
      <c r="E3505" s="33" t="s">
        <v>55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42</v>
      </c>
      <c r="M3505" s="13" t="s">
        <v>43</v>
      </c>
      <c r="N3505" s="13">
        <v>0</v>
      </c>
      <c r="O3505" s="125"/>
      <c r="P3505" s="33" t="str">
        <f t="shared" si="1034"/>
        <v>C66 SERVICE/OTHERS</v>
      </c>
      <c r="Q3505" s="152" t="s">
        <v>44</v>
      </c>
      <c r="R3505" s="13" t="s">
        <v>45</v>
      </c>
      <c r="S3505" s="13" t="s">
        <v>49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1"/>
        <v>11730565.00042478</v>
      </c>
      <c r="AJ3505" s="19">
        <f t="shared" si="1022"/>
        <v>1439625.5685810833</v>
      </c>
      <c r="AK3505" s="20">
        <f t="shared" si="1028"/>
        <v>0.12272431622253084</v>
      </c>
      <c r="AL3505" s="55"/>
      <c r="AM3505" s="55"/>
      <c r="AN3505" s="55"/>
      <c r="AO3505" s="55"/>
      <c r="AP3505" s="28" t="str">
        <f t="shared" si="1029"/>
        <v>202311</v>
      </c>
      <c r="AQ3505" s="28" t="str">
        <f t="shared" si="1030"/>
        <v/>
      </c>
      <c r="AR3505" s="206" t="str">
        <f t="shared" si="1031"/>
        <v>C66 SERVICE</v>
      </c>
      <c r="AS3505" s="22" t="str">
        <f t="shared" si="1032"/>
        <v/>
      </c>
      <c r="AT3505" s="24" t="str">
        <f t="shared" si="1033"/>
        <v/>
      </c>
      <c r="AU3505" s="22">
        <v>0</v>
      </c>
    </row>
    <row r="3506" spans="1:47" s="12" customFormat="1" ht="39.6">
      <c r="A3506" s="33" t="str">
        <f t="shared" si="1023"/>
        <v/>
      </c>
      <c r="B3506" s="52"/>
      <c r="C3506" s="52"/>
      <c r="D3506" s="33" t="str">
        <f t="shared" ref="D3506:D3569" si="1036">IF(B3506="","",IF(AND(C3506&gt;=10,C3506&lt;=12),"Q3",IF(AND(C3506&gt;=1,C3506&lt;=3),"Q4",IF(AND(C3506&gt;=7,C3506&lt;=9),"Q2",IF(AND(C3506&gt;=4,C3506&lt;=6),"Q1")))))</f>
        <v/>
      </c>
      <c r="E3506" s="33" t="s">
        <v>54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42</v>
      </c>
      <c r="M3506" s="13" t="s">
        <v>43</v>
      </c>
      <c r="N3506" s="13">
        <v>0</v>
      </c>
      <c r="O3506" s="125"/>
      <c r="P3506" s="33" t="str">
        <f t="shared" si="1034"/>
        <v>C66 SERVICE/OTHERS</v>
      </c>
      <c r="Q3506" s="152" t="s">
        <v>44</v>
      </c>
      <c r="R3506" s="13" t="s">
        <v>45</v>
      </c>
      <c r="S3506" s="13" t="s">
        <v>49</v>
      </c>
      <c r="T3506" s="14"/>
      <c r="U3506" s="14"/>
      <c r="V3506" s="51"/>
      <c r="W3506" s="14"/>
      <c r="X3506" s="126"/>
      <c r="Y3506" s="127"/>
      <c r="Z3506" s="18" t="str">
        <f t="shared" ref="Z3506:Z3569" si="1037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1"/>
        <v>33543315.897345133</v>
      </c>
      <c r="AJ3506" s="19">
        <f t="shared" si="1022"/>
        <v>4706169.3252984071</v>
      </c>
      <c r="AK3506" s="20">
        <f t="shared" si="1028"/>
        <v>0.14030125523967318</v>
      </c>
      <c r="AL3506" s="55"/>
      <c r="AM3506" s="55"/>
      <c r="AN3506" s="55"/>
      <c r="AO3506" s="55"/>
      <c r="AP3506" s="28" t="str">
        <f t="shared" si="1029"/>
        <v>20233</v>
      </c>
      <c r="AQ3506" s="28" t="str">
        <f t="shared" si="1030"/>
        <v/>
      </c>
      <c r="AR3506" s="206" t="str">
        <f t="shared" si="1031"/>
        <v>C66 SERVICE</v>
      </c>
      <c r="AS3506" s="22" t="str">
        <f t="shared" si="1032"/>
        <v/>
      </c>
      <c r="AT3506" s="24" t="str">
        <f t="shared" si="1033"/>
        <v/>
      </c>
      <c r="AU3506" s="22">
        <v>0</v>
      </c>
    </row>
    <row r="3507" spans="1:47" s="12" customFormat="1" ht="39.6">
      <c r="A3507" s="33" t="str">
        <f t="shared" si="1023"/>
        <v/>
      </c>
      <c r="B3507" s="52"/>
      <c r="C3507" s="52"/>
      <c r="D3507" s="33" t="str">
        <f t="shared" si="1036"/>
        <v/>
      </c>
      <c r="E3507" s="33" t="s">
        <v>54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42</v>
      </c>
      <c r="M3507" s="13" t="s">
        <v>43</v>
      </c>
      <c r="N3507" s="13">
        <v>0</v>
      </c>
      <c r="O3507" s="125"/>
      <c r="P3507" s="33" t="str">
        <f t="shared" si="1034"/>
        <v>C66 SERVICE/OTHERS</v>
      </c>
      <c r="Q3507" s="152" t="s">
        <v>44</v>
      </c>
      <c r="R3507" s="13" t="s">
        <v>45</v>
      </c>
      <c r="S3507" s="13" t="s">
        <v>50</v>
      </c>
      <c r="T3507" s="14"/>
      <c r="U3507" s="14"/>
      <c r="V3507" s="51"/>
      <c r="W3507" s="14"/>
      <c r="X3507" s="126"/>
      <c r="Y3507" s="127"/>
      <c r="Z3507" s="18" t="str">
        <f t="shared" si="1037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1"/>
        <v>33543315.897345133</v>
      </c>
      <c r="AJ3507" s="19">
        <f t="shared" si="1022"/>
        <v>4706169.3252984071</v>
      </c>
      <c r="AK3507" s="20">
        <f t="shared" si="1028"/>
        <v>0.14030125523967318</v>
      </c>
      <c r="AL3507" s="55"/>
      <c r="AM3507" s="55"/>
      <c r="AN3507" s="55"/>
      <c r="AO3507" s="55"/>
      <c r="AP3507" s="28" t="str">
        <f t="shared" si="1029"/>
        <v>20233</v>
      </c>
      <c r="AQ3507" s="28" t="str">
        <f t="shared" si="1030"/>
        <v/>
      </c>
      <c r="AR3507" s="206" t="str">
        <f t="shared" si="1031"/>
        <v>C66 SERVICE</v>
      </c>
      <c r="AS3507" s="22" t="str">
        <f t="shared" si="1032"/>
        <v/>
      </c>
      <c r="AT3507" s="24" t="str">
        <f t="shared" si="1033"/>
        <v/>
      </c>
      <c r="AU3507" s="22">
        <v>0</v>
      </c>
    </row>
    <row r="3508" spans="1:47" s="12" customFormat="1" ht="39.6">
      <c r="A3508" s="33" t="str">
        <f t="shared" si="1023"/>
        <v/>
      </c>
      <c r="B3508" s="52"/>
      <c r="C3508" s="52"/>
      <c r="D3508" s="33" t="str">
        <f t="shared" si="1036"/>
        <v/>
      </c>
      <c r="E3508" s="33" t="s">
        <v>54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42</v>
      </c>
      <c r="M3508" s="13" t="s">
        <v>43</v>
      </c>
      <c r="N3508" s="13">
        <v>0</v>
      </c>
      <c r="O3508" s="125"/>
      <c r="P3508" s="33" t="str">
        <f t="shared" si="1034"/>
        <v>C66 SERVICE/OTHERS</v>
      </c>
      <c r="Q3508" s="152" t="s">
        <v>44</v>
      </c>
      <c r="R3508" s="13" t="s">
        <v>45</v>
      </c>
      <c r="S3508" s="13" t="s">
        <v>51</v>
      </c>
      <c r="T3508" s="14"/>
      <c r="U3508" s="14"/>
      <c r="V3508" s="51"/>
      <c r="W3508" s="14"/>
      <c r="X3508" s="126"/>
      <c r="Y3508" s="127"/>
      <c r="Z3508" s="18" t="str">
        <f t="shared" si="1037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1"/>
        <v>33543315.897345133</v>
      </c>
      <c r="AJ3508" s="19">
        <f t="shared" si="1022"/>
        <v>4706169.3252984071</v>
      </c>
      <c r="AK3508" s="20">
        <f t="shared" si="1028"/>
        <v>0.14030125523967318</v>
      </c>
      <c r="AL3508" s="55"/>
      <c r="AM3508" s="55"/>
      <c r="AN3508" s="55"/>
      <c r="AO3508" s="55"/>
      <c r="AP3508" s="28" t="str">
        <f t="shared" si="1029"/>
        <v>20233</v>
      </c>
      <c r="AQ3508" s="28" t="str">
        <f t="shared" si="1030"/>
        <v/>
      </c>
      <c r="AR3508" s="206" t="str">
        <f t="shared" si="1031"/>
        <v>C66 SERVICE</v>
      </c>
      <c r="AS3508" s="22" t="str">
        <f t="shared" si="1032"/>
        <v/>
      </c>
      <c r="AT3508" s="24" t="str">
        <f t="shared" si="1033"/>
        <v/>
      </c>
      <c r="AU3508" s="22">
        <v>0</v>
      </c>
    </row>
    <row r="3509" spans="1:47" s="12" customFormat="1" ht="39.6">
      <c r="A3509" s="33" t="str">
        <f t="shared" si="1023"/>
        <v/>
      </c>
      <c r="B3509" s="52"/>
      <c r="C3509" s="52"/>
      <c r="D3509" s="33" t="str">
        <f t="shared" si="1036"/>
        <v/>
      </c>
      <c r="E3509" s="33" t="s">
        <v>54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42</v>
      </c>
      <c r="M3509" s="13" t="s">
        <v>43</v>
      </c>
      <c r="N3509" s="13">
        <v>0</v>
      </c>
      <c r="O3509" s="125"/>
      <c r="P3509" s="33" t="str">
        <f t="shared" si="1034"/>
        <v>C66 SERVICE/OTHERS</v>
      </c>
      <c r="Q3509" s="152" t="s">
        <v>44</v>
      </c>
      <c r="R3509" s="13" t="s">
        <v>45</v>
      </c>
      <c r="S3509" s="13" t="s">
        <v>52</v>
      </c>
      <c r="T3509" s="14"/>
      <c r="U3509" s="14"/>
      <c r="V3509" s="51"/>
      <c r="W3509" s="14"/>
      <c r="X3509" s="126"/>
      <c r="Y3509" s="127"/>
      <c r="Z3509" s="18" t="str">
        <f t="shared" si="1037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1"/>
        <v>33543315.897345133</v>
      </c>
      <c r="AJ3509" s="19">
        <f t="shared" si="1022"/>
        <v>4706169.3252984071</v>
      </c>
      <c r="AK3509" s="20">
        <f t="shared" si="1028"/>
        <v>0.14030125523967318</v>
      </c>
      <c r="AL3509" s="55"/>
      <c r="AM3509" s="55"/>
      <c r="AN3509" s="55"/>
      <c r="AO3509" s="55"/>
      <c r="AP3509" s="28" t="str">
        <f t="shared" si="1029"/>
        <v>20233</v>
      </c>
      <c r="AQ3509" s="28" t="str">
        <f t="shared" si="1030"/>
        <v/>
      </c>
      <c r="AR3509" s="206" t="str">
        <f t="shared" si="1031"/>
        <v>C66 SERVICE</v>
      </c>
      <c r="AS3509" s="22" t="str">
        <f t="shared" si="1032"/>
        <v/>
      </c>
      <c r="AT3509" s="24" t="str">
        <f t="shared" si="1033"/>
        <v/>
      </c>
      <c r="AU3509" s="22">
        <v>0</v>
      </c>
    </row>
    <row r="3510" spans="1:47" ht="39.6">
      <c r="A3510" s="33" t="str">
        <f t="shared" si="1023"/>
        <v/>
      </c>
      <c r="B3510" s="52"/>
      <c r="C3510" s="52"/>
      <c r="D3510" s="33" t="str">
        <f t="shared" si="1036"/>
        <v/>
      </c>
      <c r="E3510" s="33" t="s">
        <v>54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42</v>
      </c>
      <c r="M3510" s="13" t="s">
        <v>43</v>
      </c>
      <c r="N3510" s="13">
        <v>0</v>
      </c>
      <c r="O3510" s="125"/>
      <c r="P3510" s="33" t="str">
        <f t="shared" si="1034"/>
        <v>C66 SERVICE/OTHERS</v>
      </c>
      <c r="Q3510" s="152" t="s">
        <v>44</v>
      </c>
      <c r="R3510" s="13" t="s">
        <v>45</v>
      </c>
      <c r="S3510" s="13" t="s">
        <v>49</v>
      </c>
      <c r="T3510" s="14"/>
      <c r="U3510" s="14"/>
      <c r="V3510" s="51"/>
      <c r="W3510" s="14"/>
      <c r="X3510" s="126"/>
      <c r="Y3510" s="127"/>
      <c r="Z3510" s="18" t="str">
        <f t="shared" si="1037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1"/>
        <v>46600814.041769907</v>
      </c>
      <c r="AJ3510" s="19">
        <f t="shared" si="1022"/>
        <v>5956366.3435927071</v>
      </c>
      <c r="AK3510" s="20">
        <f t="shared" si="1028"/>
        <v>0.1278167874546958</v>
      </c>
      <c r="AL3510" s="55"/>
      <c r="AM3510" s="55"/>
      <c r="AN3510" s="55"/>
      <c r="AO3510" s="55"/>
      <c r="AP3510" s="95" t="str">
        <f t="shared" si="1029"/>
        <v>20224</v>
      </c>
      <c r="AQ3510" s="95" t="str">
        <f t="shared" si="1030"/>
        <v/>
      </c>
      <c r="AR3510" s="206" t="str">
        <f t="shared" si="1031"/>
        <v>C66 SERVICE</v>
      </c>
      <c r="AS3510" s="22" t="str">
        <f t="shared" si="1032"/>
        <v/>
      </c>
      <c r="AT3510" s="24" t="str">
        <f t="shared" si="1033"/>
        <v/>
      </c>
      <c r="AU3510" s="22">
        <v>0</v>
      </c>
    </row>
    <row r="3511" spans="1:47" ht="39.6">
      <c r="A3511" s="33" t="str">
        <f t="shared" si="1023"/>
        <v/>
      </c>
      <c r="B3511" s="52"/>
      <c r="C3511" s="52"/>
      <c r="D3511" s="33" t="str">
        <f t="shared" si="1036"/>
        <v/>
      </c>
      <c r="E3511" s="33" t="s">
        <v>54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42</v>
      </c>
      <c r="M3511" s="13" t="s">
        <v>43</v>
      </c>
      <c r="N3511" s="13">
        <v>0</v>
      </c>
      <c r="O3511" s="125"/>
      <c r="P3511" s="33" t="str">
        <f t="shared" si="1034"/>
        <v>C66 SERVICE/OTHERS</v>
      </c>
      <c r="Q3511" s="152" t="s">
        <v>44</v>
      </c>
      <c r="R3511" s="13" t="s">
        <v>45</v>
      </c>
      <c r="S3511" s="13" t="s">
        <v>50</v>
      </c>
      <c r="T3511" s="14"/>
      <c r="U3511" s="14"/>
      <c r="V3511" s="51"/>
      <c r="W3511" s="14"/>
      <c r="X3511" s="126"/>
      <c r="Y3511" s="127"/>
      <c r="Z3511" s="18" t="str">
        <f t="shared" si="1037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1"/>
        <v>46600814.041769907</v>
      </c>
      <c r="AJ3511" s="19">
        <f t="shared" si="1022"/>
        <v>5956366.3435927071</v>
      </c>
      <c r="AK3511" s="20">
        <f t="shared" si="1028"/>
        <v>0.1278167874546958</v>
      </c>
      <c r="AL3511" s="55"/>
      <c r="AM3511" s="55"/>
      <c r="AN3511" s="55"/>
      <c r="AO3511" s="55"/>
      <c r="AP3511" s="95" t="str">
        <f t="shared" si="1029"/>
        <v>20224</v>
      </c>
      <c r="AQ3511" s="95" t="str">
        <f t="shared" si="1030"/>
        <v/>
      </c>
      <c r="AR3511" s="206" t="str">
        <f t="shared" si="1031"/>
        <v>C66 SERVICE</v>
      </c>
      <c r="AS3511" s="22" t="str">
        <f t="shared" si="1032"/>
        <v/>
      </c>
      <c r="AT3511" s="24" t="str">
        <f t="shared" si="1033"/>
        <v/>
      </c>
      <c r="AU3511" s="22">
        <v>0</v>
      </c>
    </row>
    <row r="3512" spans="1:47" ht="39.6">
      <c r="A3512" s="33" t="str">
        <f t="shared" si="1023"/>
        <v/>
      </c>
      <c r="B3512" s="52"/>
      <c r="C3512" s="52"/>
      <c r="D3512" s="33" t="str">
        <f t="shared" si="1036"/>
        <v/>
      </c>
      <c r="E3512" s="33" t="s">
        <v>54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42</v>
      </c>
      <c r="M3512" s="13" t="s">
        <v>43</v>
      </c>
      <c r="N3512" s="13">
        <v>0</v>
      </c>
      <c r="O3512" s="125"/>
      <c r="P3512" s="33" t="str">
        <f t="shared" si="1034"/>
        <v>C66 SERVICE/OTHERS</v>
      </c>
      <c r="Q3512" s="152" t="s">
        <v>44</v>
      </c>
      <c r="R3512" s="13" t="s">
        <v>45</v>
      </c>
      <c r="S3512" s="13" t="s">
        <v>51</v>
      </c>
      <c r="T3512" s="14"/>
      <c r="U3512" s="14"/>
      <c r="V3512" s="51"/>
      <c r="W3512" s="14"/>
      <c r="X3512" s="126"/>
      <c r="Y3512" s="127"/>
      <c r="Z3512" s="18" t="str">
        <f t="shared" si="1037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1"/>
        <v>46600814.041769907</v>
      </c>
      <c r="AJ3512" s="19">
        <f t="shared" si="1022"/>
        <v>5956366.3435927071</v>
      </c>
      <c r="AK3512" s="20">
        <f t="shared" si="1028"/>
        <v>0.1278167874546958</v>
      </c>
      <c r="AL3512" s="55"/>
      <c r="AM3512" s="55"/>
      <c r="AN3512" s="55"/>
      <c r="AO3512" s="55"/>
      <c r="AP3512" s="95" t="str">
        <f t="shared" si="1029"/>
        <v>20224</v>
      </c>
      <c r="AQ3512" s="95" t="str">
        <f t="shared" si="1030"/>
        <v/>
      </c>
      <c r="AR3512" s="206" t="str">
        <f t="shared" si="1031"/>
        <v>C66 SERVICE</v>
      </c>
      <c r="AS3512" s="22" t="str">
        <f t="shared" si="1032"/>
        <v/>
      </c>
      <c r="AT3512" s="24" t="str">
        <f t="shared" si="1033"/>
        <v/>
      </c>
      <c r="AU3512" s="22">
        <v>0</v>
      </c>
    </row>
    <row r="3513" spans="1:47" ht="39.6">
      <c r="A3513" s="33" t="str">
        <f t="shared" si="1023"/>
        <v/>
      </c>
      <c r="B3513" s="52"/>
      <c r="C3513" s="52"/>
      <c r="D3513" s="33" t="str">
        <f t="shared" si="1036"/>
        <v/>
      </c>
      <c r="E3513" s="33" t="s">
        <v>54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42</v>
      </c>
      <c r="M3513" s="13" t="s">
        <v>43</v>
      </c>
      <c r="N3513" s="13">
        <v>0</v>
      </c>
      <c r="O3513" s="125"/>
      <c r="P3513" s="33" t="str">
        <f t="shared" si="1034"/>
        <v>C66 SERVICE/OTHERS</v>
      </c>
      <c r="Q3513" s="152" t="s">
        <v>44</v>
      </c>
      <c r="R3513" s="13" t="s">
        <v>45</v>
      </c>
      <c r="S3513" s="13" t="s">
        <v>52</v>
      </c>
      <c r="T3513" s="14"/>
      <c r="U3513" s="14"/>
      <c r="V3513" s="51"/>
      <c r="W3513" s="14"/>
      <c r="X3513" s="126"/>
      <c r="Y3513" s="127"/>
      <c r="Z3513" s="18" t="str">
        <f t="shared" si="1037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1"/>
        <v>46600814.041769907</v>
      </c>
      <c r="AJ3513" s="19">
        <f t="shared" si="1022"/>
        <v>5956366.3435927071</v>
      </c>
      <c r="AK3513" s="20">
        <f t="shared" si="1028"/>
        <v>0.1278167874546958</v>
      </c>
      <c r="AL3513" s="55"/>
      <c r="AM3513" s="55"/>
      <c r="AN3513" s="55"/>
      <c r="AO3513" s="55"/>
      <c r="AP3513" s="95" t="str">
        <f t="shared" si="1029"/>
        <v>20224</v>
      </c>
      <c r="AQ3513" s="95" t="str">
        <f t="shared" si="1030"/>
        <v/>
      </c>
      <c r="AR3513" s="206" t="str">
        <f t="shared" si="1031"/>
        <v>C66 SERVICE</v>
      </c>
      <c r="AS3513" s="22" t="str">
        <f t="shared" si="1032"/>
        <v/>
      </c>
      <c r="AT3513" s="24" t="str">
        <f t="shared" si="1033"/>
        <v/>
      </c>
      <c r="AU3513" s="22">
        <v>0</v>
      </c>
    </row>
    <row r="3514" spans="1:47" ht="39.6">
      <c r="A3514" s="33" t="str">
        <f t="shared" si="1023"/>
        <v/>
      </c>
      <c r="B3514" s="52"/>
      <c r="C3514" s="52"/>
      <c r="D3514" s="33" t="str">
        <f t="shared" si="1036"/>
        <v/>
      </c>
      <c r="E3514" s="33" t="s">
        <v>54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42</v>
      </c>
      <c r="M3514" s="13" t="s">
        <v>43</v>
      </c>
      <c r="N3514" s="13">
        <v>0</v>
      </c>
      <c r="O3514" s="125"/>
      <c r="P3514" s="33" t="str">
        <f t="shared" si="1034"/>
        <v>C66 SERVICE/OTHERS</v>
      </c>
      <c r="Q3514" s="152" t="s">
        <v>44</v>
      </c>
      <c r="R3514" s="13" t="s">
        <v>45</v>
      </c>
      <c r="S3514" s="13" t="s">
        <v>49</v>
      </c>
      <c r="T3514" s="14"/>
      <c r="U3514" s="14"/>
      <c r="V3514" s="51"/>
      <c r="W3514" s="14"/>
      <c r="X3514" s="126"/>
      <c r="Y3514" s="127"/>
      <c r="Z3514" s="18" t="str">
        <f t="shared" si="1037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1"/>
        <v>44014086.982070789</v>
      </c>
      <c r="AJ3514" s="19">
        <f t="shared" si="1022"/>
        <v>6419974.0221889298</v>
      </c>
      <c r="AK3514" s="20">
        <f t="shared" si="1028"/>
        <v>0.14586180158193709</v>
      </c>
      <c r="AL3514" s="55"/>
      <c r="AM3514" s="55"/>
      <c r="AN3514" s="55"/>
      <c r="AO3514" s="55"/>
      <c r="AP3514" s="95" t="str">
        <f t="shared" si="1029"/>
        <v>20225</v>
      </c>
      <c r="AQ3514" s="166" t="str">
        <f t="shared" si="1030"/>
        <v/>
      </c>
      <c r="AR3514" s="206" t="str">
        <f t="shared" si="1031"/>
        <v>C66 SERVICE</v>
      </c>
      <c r="AS3514" s="22" t="str">
        <f t="shared" si="1032"/>
        <v/>
      </c>
      <c r="AT3514" s="24" t="str">
        <f t="shared" si="1033"/>
        <v/>
      </c>
      <c r="AU3514" s="22">
        <v>0</v>
      </c>
    </row>
    <row r="3515" spans="1:47" s="12" customFormat="1" ht="39.6">
      <c r="A3515" s="33" t="str">
        <f t="shared" si="1023"/>
        <v/>
      </c>
      <c r="B3515" s="52"/>
      <c r="C3515" s="52"/>
      <c r="D3515" s="33" t="str">
        <f t="shared" si="1036"/>
        <v/>
      </c>
      <c r="E3515" s="33" t="s">
        <v>54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42</v>
      </c>
      <c r="M3515" s="13" t="s">
        <v>43</v>
      </c>
      <c r="N3515" s="13">
        <v>0</v>
      </c>
      <c r="O3515" s="125"/>
      <c r="P3515" s="33" t="str">
        <f t="shared" si="1034"/>
        <v>C66 SERVICE/OTHERS</v>
      </c>
      <c r="Q3515" s="152" t="s">
        <v>44</v>
      </c>
      <c r="R3515" s="13" t="s">
        <v>45</v>
      </c>
      <c r="S3515" s="13" t="s">
        <v>50</v>
      </c>
      <c r="T3515" s="14"/>
      <c r="U3515" s="14"/>
      <c r="V3515" s="51"/>
      <c r="W3515" s="14"/>
      <c r="X3515" s="126"/>
      <c r="Y3515" s="127"/>
      <c r="Z3515" s="18" t="str">
        <f t="shared" si="1037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1"/>
        <v>44014086.982070789</v>
      </c>
      <c r="AJ3515" s="19">
        <f t="shared" si="1022"/>
        <v>6419974.0221889298</v>
      </c>
      <c r="AK3515" s="20">
        <f t="shared" si="1028"/>
        <v>0.14586180158193709</v>
      </c>
      <c r="AL3515" s="55"/>
      <c r="AM3515" s="55"/>
      <c r="AN3515" s="55"/>
      <c r="AO3515" s="55"/>
      <c r="AP3515" s="95" t="str">
        <f t="shared" si="1029"/>
        <v>20225</v>
      </c>
      <c r="AQ3515" s="203" t="str">
        <f t="shared" si="1030"/>
        <v/>
      </c>
      <c r="AR3515" s="206" t="str">
        <f t="shared" si="1031"/>
        <v>C66 SERVICE</v>
      </c>
      <c r="AS3515" s="22" t="str">
        <f t="shared" si="1032"/>
        <v/>
      </c>
      <c r="AT3515" s="24" t="str">
        <f t="shared" si="1033"/>
        <v/>
      </c>
      <c r="AU3515" s="22">
        <v>0</v>
      </c>
    </row>
    <row r="3516" spans="1:47" ht="39.6">
      <c r="A3516" s="33" t="str">
        <f t="shared" si="1023"/>
        <v/>
      </c>
      <c r="B3516" s="52"/>
      <c r="C3516" s="52"/>
      <c r="D3516" s="33" t="str">
        <f t="shared" si="1036"/>
        <v/>
      </c>
      <c r="E3516" s="33" t="s">
        <v>54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42</v>
      </c>
      <c r="M3516" s="13" t="s">
        <v>43</v>
      </c>
      <c r="N3516" s="13">
        <v>0</v>
      </c>
      <c r="O3516" s="125"/>
      <c r="P3516" s="33" t="str">
        <f t="shared" si="1034"/>
        <v>C66 SERVICE/OTHERS</v>
      </c>
      <c r="Q3516" s="152" t="s">
        <v>44</v>
      </c>
      <c r="R3516" s="13" t="s">
        <v>45</v>
      </c>
      <c r="S3516" s="13" t="s">
        <v>51</v>
      </c>
      <c r="T3516" s="14"/>
      <c r="U3516" s="14"/>
      <c r="V3516" s="51"/>
      <c r="W3516" s="14"/>
      <c r="X3516" s="126"/>
      <c r="Y3516" s="127"/>
      <c r="Z3516" s="18" t="str">
        <f t="shared" si="1037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1"/>
        <v>44014086.982070789</v>
      </c>
      <c r="AJ3516" s="19">
        <f t="shared" si="1022"/>
        <v>6419974.0221889298</v>
      </c>
      <c r="AK3516" s="20">
        <f t="shared" si="1028"/>
        <v>0.14586180158193709</v>
      </c>
      <c r="AL3516" s="55"/>
      <c r="AM3516" s="55"/>
      <c r="AN3516" s="55"/>
      <c r="AO3516" s="55"/>
      <c r="AP3516" s="95" t="str">
        <f t="shared" si="1029"/>
        <v>20225</v>
      </c>
      <c r="AQ3516" s="203" t="str">
        <f t="shared" si="1030"/>
        <v/>
      </c>
      <c r="AR3516" s="206" t="str">
        <f t="shared" si="1031"/>
        <v>C66 SERVICE</v>
      </c>
      <c r="AS3516" s="22" t="str">
        <f t="shared" si="1032"/>
        <v/>
      </c>
      <c r="AT3516" s="24" t="str">
        <f t="shared" si="1033"/>
        <v/>
      </c>
      <c r="AU3516" s="22">
        <v>0</v>
      </c>
    </row>
    <row r="3517" spans="1:47" ht="39.6">
      <c r="A3517" s="33" t="str">
        <f t="shared" si="1023"/>
        <v/>
      </c>
      <c r="B3517" s="52"/>
      <c r="C3517" s="52"/>
      <c r="D3517" s="33" t="str">
        <f t="shared" si="1036"/>
        <v/>
      </c>
      <c r="E3517" s="33" t="s">
        <v>54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42</v>
      </c>
      <c r="M3517" s="13" t="s">
        <v>43</v>
      </c>
      <c r="N3517" s="13">
        <v>0</v>
      </c>
      <c r="O3517" s="125"/>
      <c r="P3517" s="33" t="str">
        <f t="shared" si="1034"/>
        <v>C66 SERVICE/OTHERS</v>
      </c>
      <c r="Q3517" s="152" t="s">
        <v>44</v>
      </c>
      <c r="R3517" s="13" t="s">
        <v>45</v>
      </c>
      <c r="S3517" s="13" t="s">
        <v>52</v>
      </c>
      <c r="T3517" s="14"/>
      <c r="U3517" s="14"/>
      <c r="V3517" s="51"/>
      <c r="W3517" s="14"/>
      <c r="X3517" s="126"/>
      <c r="Y3517" s="127"/>
      <c r="Z3517" s="18" t="str">
        <f t="shared" si="1037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1"/>
        <v>44014086.982070789</v>
      </c>
      <c r="AJ3517" s="19">
        <f t="shared" si="1022"/>
        <v>6419974.0221889298</v>
      </c>
      <c r="AK3517" s="20">
        <f t="shared" si="1028"/>
        <v>0.14586180158193709</v>
      </c>
      <c r="AL3517" s="55"/>
      <c r="AM3517" s="55"/>
      <c r="AN3517" s="55"/>
      <c r="AO3517" s="55"/>
      <c r="AP3517" s="95" t="str">
        <f t="shared" si="1029"/>
        <v>20225</v>
      </c>
      <c r="AQ3517" s="203" t="str">
        <f t="shared" si="1030"/>
        <v/>
      </c>
      <c r="AR3517" s="206" t="str">
        <f t="shared" si="1031"/>
        <v>C66 SERVICE</v>
      </c>
      <c r="AS3517" s="22" t="str">
        <f t="shared" si="1032"/>
        <v/>
      </c>
      <c r="AT3517" s="24" t="str">
        <f t="shared" si="1033"/>
        <v/>
      </c>
      <c r="AU3517" s="22">
        <v>0</v>
      </c>
    </row>
    <row r="3518" spans="1:47" ht="39.6">
      <c r="A3518" s="33" t="str">
        <f t="shared" si="1023"/>
        <v/>
      </c>
      <c r="B3518" s="52"/>
      <c r="C3518" s="52"/>
      <c r="D3518" s="33" t="str">
        <f t="shared" si="1036"/>
        <v/>
      </c>
      <c r="E3518" s="33" t="s">
        <v>54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42</v>
      </c>
      <c r="M3518" s="13" t="s">
        <v>43</v>
      </c>
      <c r="N3518" s="13">
        <v>0</v>
      </c>
      <c r="O3518" s="125"/>
      <c r="P3518" s="33" t="str">
        <f t="shared" si="1034"/>
        <v>C66 SERVICE/OTHERS</v>
      </c>
      <c r="Q3518" s="152" t="s">
        <v>44</v>
      </c>
      <c r="R3518" s="13" t="s">
        <v>45</v>
      </c>
      <c r="S3518" s="13" t="s">
        <v>49</v>
      </c>
      <c r="T3518" s="14"/>
      <c r="U3518" s="14"/>
      <c r="V3518" s="51"/>
      <c r="W3518" s="14"/>
      <c r="X3518" s="126"/>
      <c r="Y3518" s="127"/>
      <c r="Z3518" s="18" t="str">
        <f t="shared" si="1037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1"/>
        <v>35682787.057522126</v>
      </c>
      <c r="AJ3518" s="19">
        <f t="shared" si="1022"/>
        <v>5833368.3789623892</v>
      </c>
      <c r="AK3518" s="20">
        <f t="shared" si="1028"/>
        <v>0.16347849649632912</v>
      </c>
      <c r="AL3518" s="55"/>
      <c r="AM3518" s="55"/>
      <c r="AN3518" s="55"/>
      <c r="AO3518" s="55"/>
      <c r="AP3518" s="95" t="str">
        <f t="shared" si="1029"/>
        <v>20226</v>
      </c>
      <c r="AQ3518" s="203" t="str">
        <f t="shared" si="1030"/>
        <v/>
      </c>
      <c r="AR3518" s="206" t="str">
        <f t="shared" si="1031"/>
        <v>C66 SERVICE</v>
      </c>
      <c r="AS3518" s="22" t="str">
        <f t="shared" si="1032"/>
        <v/>
      </c>
      <c r="AT3518" s="24" t="str">
        <f t="shared" si="1033"/>
        <v/>
      </c>
      <c r="AU3518" s="22">
        <v>0</v>
      </c>
    </row>
    <row r="3519" spans="1:47" ht="39.6">
      <c r="A3519" s="33" t="str">
        <f t="shared" si="1023"/>
        <v/>
      </c>
      <c r="B3519" s="52"/>
      <c r="C3519" s="52"/>
      <c r="D3519" s="33" t="str">
        <f t="shared" si="1036"/>
        <v/>
      </c>
      <c r="E3519" s="33" t="s">
        <v>54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42</v>
      </c>
      <c r="M3519" s="13" t="s">
        <v>43</v>
      </c>
      <c r="N3519" s="13">
        <v>0</v>
      </c>
      <c r="O3519" s="125"/>
      <c r="P3519" s="33" t="str">
        <f t="shared" si="1034"/>
        <v>C66 SERVICE/OTHERS</v>
      </c>
      <c r="Q3519" s="152" t="s">
        <v>44</v>
      </c>
      <c r="R3519" s="13" t="s">
        <v>45</v>
      </c>
      <c r="S3519" s="13" t="s">
        <v>50</v>
      </c>
      <c r="T3519" s="14"/>
      <c r="U3519" s="14"/>
      <c r="V3519" s="51"/>
      <c r="W3519" s="14"/>
      <c r="X3519" s="126"/>
      <c r="Y3519" s="127"/>
      <c r="Z3519" s="18" t="str">
        <f t="shared" si="1037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1"/>
        <v>35682787.057522126</v>
      </c>
      <c r="AJ3519" s="19">
        <f t="shared" si="1022"/>
        <v>5833368.3789623892</v>
      </c>
      <c r="AK3519" s="20">
        <f t="shared" si="1028"/>
        <v>0.16347849649632912</v>
      </c>
      <c r="AL3519" s="55"/>
      <c r="AM3519" s="55"/>
      <c r="AN3519" s="55"/>
      <c r="AO3519" s="55"/>
      <c r="AP3519" s="95" t="str">
        <f t="shared" si="1029"/>
        <v>20226</v>
      </c>
      <c r="AQ3519" s="203" t="str">
        <f t="shared" si="1030"/>
        <v/>
      </c>
      <c r="AR3519" s="206" t="str">
        <f t="shared" si="1031"/>
        <v>C66 SERVICE</v>
      </c>
      <c r="AS3519" s="22" t="str">
        <f t="shared" si="1032"/>
        <v/>
      </c>
      <c r="AT3519" s="24" t="str">
        <f t="shared" si="1033"/>
        <v/>
      </c>
      <c r="AU3519" s="22">
        <v>0</v>
      </c>
    </row>
    <row r="3520" spans="1:47" ht="39.6">
      <c r="A3520" s="33" t="str">
        <f t="shared" si="1023"/>
        <v/>
      </c>
      <c r="B3520" s="52"/>
      <c r="C3520" s="52"/>
      <c r="D3520" s="33" t="str">
        <f t="shared" si="1036"/>
        <v/>
      </c>
      <c r="E3520" s="33" t="s">
        <v>54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42</v>
      </c>
      <c r="M3520" s="13" t="s">
        <v>43</v>
      </c>
      <c r="N3520" s="13">
        <v>0</v>
      </c>
      <c r="O3520" s="125"/>
      <c r="P3520" s="33" t="str">
        <f t="shared" si="1034"/>
        <v>C66 SERVICE/OTHERS</v>
      </c>
      <c r="Q3520" s="152" t="s">
        <v>44</v>
      </c>
      <c r="R3520" s="13" t="s">
        <v>45</v>
      </c>
      <c r="S3520" s="13" t="s">
        <v>51</v>
      </c>
      <c r="T3520" s="14"/>
      <c r="U3520" s="14"/>
      <c r="V3520" s="51"/>
      <c r="W3520" s="14"/>
      <c r="X3520" s="126"/>
      <c r="Y3520" s="127"/>
      <c r="Z3520" s="18" t="str">
        <f t="shared" si="1037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1"/>
        <v>35682787.057522126</v>
      </c>
      <c r="AJ3520" s="19">
        <f t="shared" si="1022"/>
        <v>5833368.3789623892</v>
      </c>
      <c r="AK3520" s="20">
        <f t="shared" si="1028"/>
        <v>0.16347849649632912</v>
      </c>
      <c r="AL3520" s="55"/>
      <c r="AM3520" s="55"/>
      <c r="AN3520" s="55"/>
      <c r="AO3520" s="55"/>
      <c r="AP3520" s="95" t="str">
        <f t="shared" si="1029"/>
        <v>20226</v>
      </c>
      <c r="AQ3520" s="203" t="str">
        <f t="shared" si="1030"/>
        <v/>
      </c>
      <c r="AR3520" s="206" t="str">
        <f t="shared" si="1031"/>
        <v>C66 SERVICE</v>
      </c>
      <c r="AS3520" s="22" t="str">
        <f t="shared" si="1032"/>
        <v/>
      </c>
      <c r="AT3520" s="24" t="str">
        <f t="shared" si="1033"/>
        <v/>
      </c>
      <c r="AU3520" s="22">
        <v>0</v>
      </c>
    </row>
    <row r="3521" spans="1:47" ht="39.6">
      <c r="A3521" s="33" t="str">
        <f t="shared" si="1023"/>
        <v/>
      </c>
      <c r="B3521" s="52"/>
      <c r="C3521" s="52"/>
      <c r="D3521" s="33" t="str">
        <f t="shared" si="1036"/>
        <v/>
      </c>
      <c r="E3521" s="33" t="s">
        <v>54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42</v>
      </c>
      <c r="M3521" s="13" t="s">
        <v>43</v>
      </c>
      <c r="N3521" s="13">
        <v>0</v>
      </c>
      <c r="O3521" s="125"/>
      <c r="P3521" s="33" t="str">
        <f t="shared" si="1034"/>
        <v>C66 SERVICE/OTHERS</v>
      </c>
      <c r="Q3521" s="152" t="s">
        <v>44</v>
      </c>
      <c r="R3521" s="13" t="s">
        <v>45</v>
      </c>
      <c r="S3521" s="13" t="s">
        <v>52</v>
      </c>
      <c r="T3521" s="14"/>
      <c r="U3521" s="14"/>
      <c r="V3521" s="51"/>
      <c r="W3521" s="14"/>
      <c r="X3521" s="126"/>
      <c r="Y3521" s="127"/>
      <c r="Z3521" s="18" t="str">
        <f t="shared" si="1037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1"/>
        <v>35682787.057522126</v>
      </c>
      <c r="AJ3521" s="19">
        <f t="shared" si="1022"/>
        <v>5833368.3789623892</v>
      </c>
      <c r="AK3521" s="20">
        <f t="shared" si="1028"/>
        <v>0.16347849649632912</v>
      </c>
      <c r="AL3521" s="55"/>
      <c r="AM3521" s="55"/>
      <c r="AN3521" s="55"/>
      <c r="AO3521" s="55"/>
      <c r="AP3521" s="95" t="str">
        <f t="shared" si="1029"/>
        <v>20226</v>
      </c>
      <c r="AQ3521" s="203" t="str">
        <f t="shared" si="1030"/>
        <v/>
      </c>
      <c r="AR3521" s="206" t="str">
        <f t="shared" si="1031"/>
        <v>C66 SERVICE</v>
      </c>
      <c r="AS3521" s="22" t="str">
        <f t="shared" si="1032"/>
        <v/>
      </c>
      <c r="AT3521" s="24" t="str">
        <f t="shared" si="1033"/>
        <v/>
      </c>
      <c r="AU3521" s="22">
        <v>0</v>
      </c>
    </row>
    <row r="3522" spans="1:47" ht="39.6">
      <c r="A3522" s="33" t="str">
        <f t="shared" si="1023"/>
        <v/>
      </c>
      <c r="B3522" s="52"/>
      <c r="C3522" s="52"/>
      <c r="D3522" s="33" t="str">
        <f t="shared" si="1036"/>
        <v/>
      </c>
      <c r="E3522" s="33" t="s">
        <v>54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42</v>
      </c>
      <c r="M3522" s="13" t="s">
        <v>43</v>
      </c>
      <c r="N3522" s="13">
        <v>0</v>
      </c>
      <c r="O3522" s="125"/>
      <c r="P3522" s="33" t="str">
        <f t="shared" si="1034"/>
        <v>C66 SERVICE/OTHERS</v>
      </c>
      <c r="Q3522" s="152" t="s">
        <v>44</v>
      </c>
      <c r="R3522" s="13" t="s">
        <v>45</v>
      </c>
      <c r="S3522" s="13" t="s">
        <v>49</v>
      </c>
      <c r="T3522" s="14"/>
      <c r="U3522" s="14"/>
      <c r="V3522" s="51"/>
      <c r="W3522" s="14"/>
      <c r="X3522" s="126"/>
      <c r="Y3522" s="127"/>
      <c r="Z3522" s="18" t="str">
        <f t="shared" si="1037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ref="AI3522:AI3585" si="1038">IF(P3522="C66 SERVICE","",SUMIFS(AB:AB,F:F,F3522,G:G,G3522,E:E,E3522))</f>
        <v>36480247.665929198</v>
      </c>
      <c r="AJ3522" s="19">
        <f t="shared" ref="AJ3522:AJ3585" si="1039">IF(P3522="C66 SERVICE","",SUMIFS(AC:AC,F:F,F3522,G:G,G3522,E:E,E3522))</f>
        <v>5330996.6372757526</v>
      </c>
      <c r="AK3522" s="20">
        <f t="shared" si="1028"/>
        <v>0.14613378412599562</v>
      </c>
      <c r="AL3522" s="55"/>
      <c r="AM3522" s="55"/>
      <c r="AN3522" s="55"/>
      <c r="AO3522" s="55"/>
      <c r="AP3522" s="95" t="str">
        <f t="shared" si="1029"/>
        <v>20227</v>
      </c>
      <c r="AQ3522" s="203" t="str">
        <f t="shared" si="1030"/>
        <v/>
      </c>
      <c r="AR3522" s="206" t="str">
        <f t="shared" si="1031"/>
        <v>C66 SERVICE</v>
      </c>
      <c r="AS3522" s="22" t="str">
        <f t="shared" si="1032"/>
        <v/>
      </c>
      <c r="AT3522" s="24" t="str">
        <f t="shared" si="1033"/>
        <v/>
      </c>
      <c r="AU3522" s="22">
        <v>0</v>
      </c>
    </row>
    <row r="3523" spans="1:47" ht="39.6">
      <c r="A3523" s="33" t="str">
        <f t="shared" si="1023"/>
        <v/>
      </c>
      <c r="B3523" s="52"/>
      <c r="C3523" s="52"/>
      <c r="D3523" s="33" t="str">
        <f t="shared" si="1036"/>
        <v/>
      </c>
      <c r="E3523" s="33" t="s">
        <v>54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42</v>
      </c>
      <c r="M3523" s="13" t="s">
        <v>43</v>
      </c>
      <c r="N3523" s="13">
        <v>0</v>
      </c>
      <c r="O3523" s="125"/>
      <c r="P3523" s="33" t="str">
        <f t="shared" si="1034"/>
        <v>C66 SERVICE/OTHERS</v>
      </c>
      <c r="Q3523" s="152" t="s">
        <v>44</v>
      </c>
      <c r="R3523" s="13" t="s">
        <v>45</v>
      </c>
      <c r="S3523" s="13" t="s">
        <v>50</v>
      </c>
      <c r="T3523" s="14"/>
      <c r="U3523" s="14"/>
      <c r="V3523" s="51"/>
      <c r="W3523" s="14"/>
      <c r="X3523" s="126"/>
      <c r="Y3523" s="127"/>
      <c r="Z3523" s="18" t="str">
        <f t="shared" si="1037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38"/>
        <v>36480247.665929198</v>
      </c>
      <c r="AJ3523" s="19">
        <f t="shared" si="1039"/>
        <v>5330996.6372757526</v>
      </c>
      <c r="AK3523" s="20">
        <f t="shared" si="1028"/>
        <v>0.14613378412599562</v>
      </c>
      <c r="AL3523" s="55"/>
      <c r="AM3523" s="55"/>
      <c r="AN3523" s="55"/>
      <c r="AO3523" s="55"/>
      <c r="AP3523" s="95" t="str">
        <f t="shared" si="1029"/>
        <v>20227</v>
      </c>
      <c r="AQ3523" s="203" t="str">
        <f t="shared" si="1030"/>
        <v/>
      </c>
      <c r="AR3523" s="206" t="str">
        <f t="shared" si="1031"/>
        <v>C66 SERVICE</v>
      </c>
      <c r="AS3523" s="22" t="str">
        <f t="shared" si="1032"/>
        <v/>
      </c>
      <c r="AT3523" s="24" t="str">
        <f t="shared" si="1033"/>
        <v/>
      </c>
      <c r="AU3523" s="22">
        <v>0</v>
      </c>
    </row>
    <row r="3524" spans="1:47" ht="39.6">
      <c r="A3524" s="33" t="str">
        <f t="shared" si="1023"/>
        <v/>
      </c>
      <c r="B3524" s="52"/>
      <c r="C3524" s="52"/>
      <c r="D3524" s="33" t="str">
        <f t="shared" si="1036"/>
        <v/>
      </c>
      <c r="E3524" s="33" t="s">
        <v>54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42</v>
      </c>
      <c r="M3524" s="13" t="s">
        <v>43</v>
      </c>
      <c r="N3524" s="13">
        <v>0</v>
      </c>
      <c r="O3524" s="125"/>
      <c r="P3524" s="33" t="str">
        <f t="shared" si="1034"/>
        <v>C66 SERVICE/OTHERS</v>
      </c>
      <c r="Q3524" s="152" t="s">
        <v>44</v>
      </c>
      <c r="R3524" s="13" t="s">
        <v>45</v>
      </c>
      <c r="S3524" s="13" t="s">
        <v>51</v>
      </c>
      <c r="T3524" s="14"/>
      <c r="U3524" s="14"/>
      <c r="V3524" s="51"/>
      <c r="W3524" s="14"/>
      <c r="X3524" s="126"/>
      <c r="Y3524" s="127"/>
      <c r="Z3524" s="18" t="str">
        <f t="shared" si="1037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38"/>
        <v>36480247.665929198</v>
      </c>
      <c r="AJ3524" s="19">
        <f t="shared" si="1039"/>
        <v>5330996.6372757526</v>
      </c>
      <c r="AK3524" s="20">
        <f t="shared" si="1028"/>
        <v>0.14613378412599562</v>
      </c>
      <c r="AL3524" s="55"/>
      <c r="AM3524" s="55"/>
      <c r="AN3524" s="55"/>
      <c r="AO3524" s="55"/>
      <c r="AP3524" s="95" t="str">
        <f t="shared" si="1029"/>
        <v>20227</v>
      </c>
      <c r="AQ3524" s="203" t="str">
        <f t="shared" si="1030"/>
        <v/>
      </c>
      <c r="AR3524" s="206" t="str">
        <f t="shared" si="1031"/>
        <v>C66 SERVICE</v>
      </c>
      <c r="AS3524" s="22" t="str">
        <f t="shared" si="1032"/>
        <v/>
      </c>
      <c r="AT3524" s="24" t="str">
        <f t="shared" si="1033"/>
        <v/>
      </c>
      <c r="AU3524" s="22">
        <v>0</v>
      </c>
    </row>
    <row r="3525" spans="1:47" ht="39.6">
      <c r="A3525" s="33" t="str">
        <f t="shared" si="1023"/>
        <v/>
      </c>
      <c r="B3525" s="52"/>
      <c r="C3525" s="52"/>
      <c r="D3525" s="33" t="str">
        <f t="shared" si="1036"/>
        <v/>
      </c>
      <c r="E3525" s="33" t="s">
        <v>54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42</v>
      </c>
      <c r="M3525" s="13" t="s">
        <v>43</v>
      </c>
      <c r="N3525" s="13">
        <v>0</v>
      </c>
      <c r="O3525" s="125"/>
      <c r="P3525" s="33" t="str">
        <f t="shared" si="1034"/>
        <v>C66 SERVICE/OTHERS</v>
      </c>
      <c r="Q3525" s="152" t="s">
        <v>44</v>
      </c>
      <c r="R3525" s="13" t="s">
        <v>45</v>
      </c>
      <c r="S3525" s="13" t="s">
        <v>52</v>
      </c>
      <c r="T3525" s="14"/>
      <c r="U3525" s="14"/>
      <c r="V3525" s="51"/>
      <c r="W3525" s="14"/>
      <c r="X3525" s="126"/>
      <c r="Y3525" s="127"/>
      <c r="Z3525" s="18" t="str">
        <f t="shared" si="1037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38"/>
        <v>36480247.665929198</v>
      </c>
      <c r="AJ3525" s="19">
        <f t="shared" si="1039"/>
        <v>5330996.6372757526</v>
      </c>
      <c r="AK3525" s="20">
        <f t="shared" si="1028"/>
        <v>0.14613378412599562</v>
      </c>
      <c r="AL3525" s="55"/>
      <c r="AM3525" s="55"/>
      <c r="AN3525" s="55"/>
      <c r="AO3525" s="55"/>
      <c r="AP3525" s="95" t="str">
        <f t="shared" si="1029"/>
        <v>20227</v>
      </c>
      <c r="AQ3525" s="203" t="str">
        <f t="shared" si="1030"/>
        <v/>
      </c>
      <c r="AR3525" s="206" t="str">
        <f t="shared" si="1031"/>
        <v>C66 SERVICE</v>
      </c>
      <c r="AS3525" s="22" t="str">
        <f t="shared" si="1032"/>
        <v/>
      </c>
      <c r="AT3525" s="24" t="str">
        <f t="shared" si="1033"/>
        <v/>
      </c>
      <c r="AU3525" s="22">
        <v>0</v>
      </c>
    </row>
    <row r="3526" spans="1:47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6"/>
        <v/>
      </c>
      <c r="E3526" s="33" t="s">
        <v>54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42</v>
      </c>
      <c r="M3526" s="13" t="s">
        <v>43</v>
      </c>
      <c r="N3526" s="13">
        <v>0</v>
      </c>
      <c r="O3526" s="125"/>
      <c r="P3526" s="33" t="str">
        <f t="shared" si="1034"/>
        <v>C66 SERVICE/OTHERS</v>
      </c>
      <c r="Q3526" s="152" t="s">
        <v>44</v>
      </c>
      <c r="R3526" s="13" t="s">
        <v>45</v>
      </c>
      <c r="S3526" s="13" t="s">
        <v>49</v>
      </c>
      <c r="T3526" s="14"/>
      <c r="U3526" s="14"/>
      <c r="V3526" s="51"/>
      <c r="W3526" s="14"/>
      <c r="X3526" s="126"/>
      <c r="Y3526" s="127"/>
      <c r="Z3526" s="18" t="str">
        <f t="shared" si="1037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si="1038"/>
        <v>35073581.838938057</v>
      </c>
      <c r="AJ3526" s="19">
        <f t="shared" si="1039"/>
        <v>5034113.9728989396</v>
      </c>
      <c r="AK3526" s="20">
        <f t="shared" ref="AK3526:AK3589" si="1044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5">IF(F3526="","",F3526&amp;G3526)</f>
        <v>20228</v>
      </c>
      <c r="AQ3526" s="203" t="str">
        <f t="shared" ref="AQ3526:AQ3589" si="1046">IF(W3526="","",F3526&amp;G3526&amp;W3526)</f>
        <v/>
      </c>
      <c r="AR3526" s="206" t="str">
        <f t="shared" ref="AR3526:AR3589" si="1047">IFERROR(IF(AND(M3526="YAMAHA", R3526="C28"), "YAMAHA_Non_Mounter", IF(AND(M3526="YAMAHA", R3526="C49"), "YAMAHA_Mounter", M3526)),"")</f>
        <v>C66 SERVICE</v>
      </c>
      <c r="AS3526" s="22" t="str">
        <f t="shared" ref="AS3526:AS3589" si="1048">IFERROR(IF(OR(G3526="TBA", G3526=""), "", DATEDIF(DATE(B3526, C3526, 1), DATE(F3526, G3526, 1), "M")),"")</f>
        <v/>
      </c>
      <c r="AT3526" s="24" t="str">
        <f t="shared" ref="AT3526:AT3589" si="1049">IF(ISNUMBER(AS3526), IF(AS3526&gt;=0, IF(AS3526&lt;=3, "0-3 months", IF(AS3526&lt;=6, "4-6 months", "&gt; 6 months"))), "")</f>
        <v/>
      </c>
      <c r="AU3526" s="22">
        <v>0</v>
      </c>
    </row>
    <row r="3527" spans="1:47" ht="39.6">
      <c r="A3527" s="33" t="str">
        <f t="shared" si="1040"/>
        <v/>
      </c>
      <c r="B3527" s="52"/>
      <c r="C3527" s="52"/>
      <c r="D3527" s="33" t="str">
        <f t="shared" si="1036"/>
        <v/>
      </c>
      <c r="E3527" s="33" t="s">
        <v>54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42</v>
      </c>
      <c r="M3527" s="13" t="s">
        <v>43</v>
      </c>
      <c r="N3527" s="13">
        <v>0</v>
      </c>
      <c r="O3527" s="125"/>
      <c r="P3527" s="33" t="str">
        <f t="shared" si="1034"/>
        <v>C66 SERVICE/OTHERS</v>
      </c>
      <c r="Q3527" s="152" t="s">
        <v>44</v>
      </c>
      <c r="R3527" s="13" t="s">
        <v>45</v>
      </c>
      <c r="S3527" s="13" t="s">
        <v>50</v>
      </c>
      <c r="T3527" s="14"/>
      <c r="U3527" s="14"/>
      <c r="V3527" s="51"/>
      <c r="W3527" s="14"/>
      <c r="X3527" s="126"/>
      <c r="Y3527" s="127"/>
      <c r="Z3527" s="18" t="str">
        <f t="shared" si="1037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38"/>
        <v>35073581.838938057</v>
      </c>
      <c r="AJ3527" s="19">
        <f t="shared" si="1039"/>
        <v>5034113.9728989396</v>
      </c>
      <c r="AK3527" s="20">
        <f t="shared" si="1044"/>
        <v>0.14353007902118958</v>
      </c>
      <c r="AL3527" s="55"/>
      <c r="AM3527" s="55"/>
      <c r="AN3527" s="55"/>
      <c r="AO3527" s="55"/>
      <c r="AP3527" s="95" t="str">
        <f t="shared" si="1045"/>
        <v>20228</v>
      </c>
      <c r="AQ3527" s="203" t="str">
        <f t="shared" si="1046"/>
        <v/>
      </c>
      <c r="AR3527" s="206" t="str">
        <f t="shared" si="1047"/>
        <v>C66 SERVICE</v>
      </c>
      <c r="AS3527" s="22" t="str">
        <f t="shared" si="1048"/>
        <v/>
      </c>
      <c r="AT3527" s="24" t="str">
        <f t="shared" si="1049"/>
        <v/>
      </c>
      <c r="AU3527" s="22">
        <v>0</v>
      </c>
    </row>
    <row r="3528" spans="1:47" ht="39.6">
      <c r="A3528" s="33" t="str">
        <f t="shared" si="1040"/>
        <v/>
      </c>
      <c r="B3528" s="52"/>
      <c r="C3528" s="52"/>
      <c r="D3528" s="33" t="str">
        <f t="shared" si="1036"/>
        <v/>
      </c>
      <c r="E3528" s="33" t="s">
        <v>54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42</v>
      </c>
      <c r="M3528" s="13" t="s">
        <v>43</v>
      </c>
      <c r="N3528" s="13">
        <v>0</v>
      </c>
      <c r="O3528" s="125"/>
      <c r="P3528" s="33" t="str">
        <f t="shared" si="1034"/>
        <v>C66 SERVICE/OTHERS</v>
      </c>
      <c r="Q3528" s="152" t="s">
        <v>44</v>
      </c>
      <c r="R3528" s="13" t="s">
        <v>45</v>
      </c>
      <c r="S3528" s="13" t="s">
        <v>51</v>
      </c>
      <c r="T3528" s="14"/>
      <c r="U3528" s="14"/>
      <c r="V3528" s="51"/>
      <c r="W3528" s="14"/>
      <c r="X3528" s="126"/>
      <c r="Y3528" s="127"/>
      <c r="Z3528" s="18" t="str">
        <f t="shared" si="1037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38"/>
        <v>35073581.838938057</v>
      </c>
      <c r="AJ3528" s="19">
        <f t="shared" si="1039"/>
        <v>5034113.9728989396</v>
      </c>
      <c r="AK3528" s="20">
        <f t="shared" si="1044"/>
        <v>0.14353007902118958</v>
      </c>
      <c r="AL3528" s="55"/>
      <c r="AM3528" s="55"/>
      <c r="AN3528" s="55"/>
      <c r="AO3528" s="55"/>
      <c r="AP3528" s="95" t="str">
        <f t="shared" si="1045"/>
        <v>20228</v>
      </c>
      <c r="AQ3528" s="203" t="str">
        <f t="shared" si="1046"/>
        <v/>
      </c>
      <c r="AR3528" s="206" t="str">
        <f t="shared" si="1047"/>
        <v>C66 SERVICE</v>
      </c>
      <c r="AS3528" s="22" t="str">
        <f t="shared" si="1048"/>
        <v/>
      </c>
      <c r="AT3528" s="24" t="str">
        <f t="shared" si="1049"/>
        <v/>
      </c>
      <c r="AU3528" s="22">
        <v>0</v>
      </c>
    </row>
    <row r="3529" spans="1:47" ht="39.6">
      <c r="A3529" s="33" t="str">
        <f t="shared" si="1040"/>
        <v/>
      </c>
      <c r="B3529" s="52"/>
      <c r="C3529" s="52"/>
      <c r="D3529" s="33" t="str">
        <f t="shared" si="1036"/>
        <v/>
      </c>
      <c r="E3529" s="33" t="s">
        <v>54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42</v>
      </c>
      <c r="M3529" s="13" t="s">
        <v>43</v>
      </c>
      <c r="N3529" s="13">
        <v>0</v>
      </c>
      <c r="O3529" s="125"/>
      <c r="P3529" s="33" t="str">
        <f t="shared" si="1034"/>
        <v>C66 SERVICE/OTHERS</v>
      </c>
      <c r="Q3529" s="152" t="s">
        <v>44</v>
      </c>
      <c r="R3529" s="13" t="s">
        <v>45</v>
      </c>
      <c r="S3529" s="13" t="s">
        <v>52</v>
      </c>
      <c r="T3529" s="14"/>
      <c r="U3529" s="14"/>
      <c r="V3529" s="51"/>
      <c r="W3529" s="14"/>
      <c r="X3529" s="126"/>
      <c r="Y3529" s="127"/>
      <c r="Z3529" s="18" t="str">
        <f t="shared" si="1037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38"/>
        <v>35073581.838938057</v>
      </c>
      <c r="AJ3529" s="19">
        <f t="shared" si="1039"/>
        <v>5034113.9728989396</v>
      </c>
      <c r="AK3529" s="20">
        <f t="shared" si="1044"/>
        <v>0.14353007902118958</v>
      </c>
      <c r="AL3529" s="55"/>
      <c r="AM3529" s="55"/>
      <c r="AN3529" s="55"/>
      <c r="AO3529" s="55"/>
      <c r="AP3529" s="95" t="str">
        <f t="shared" si="1045"/>
        <v>20228</v>
      </c>
      <c r="AQ3529" s="203" t="str">
        <f t="shared" si="1046"/>
        <v/>
      </c>
      <c r="AR3529" s="206" t="str">
        <f t="shared" si="1047"/>
        <v>C66 SERVICE</v>
      </c>
      <c r="AS3529" s="22" t="str">
        <f t="shared" si="1048"/>
        <v/>
      </c>
      <c r="AT3529" s="24" t="str">
        <f t="shared" si="1049"/>
        <v/>
      </c>
      <c r="AU3529" s="22">
        <v>0</v>
      </c>
    </row>
    <row r="3530" spans="1:47" ht="39.6">
      <c r="A3530" s="33" t="str">
        <f t="shared" si="1040"/>
        <v/>
      </c>
      <c r="B3530" s="52"/>
      <c r="C3530" s="52"/>
      <c r="D3530" s="33" t="str">
        <f t="shared" si="1036"/>
        <v/>
      </c>
      <c r="E3530" s="33" t="s">
        <v>54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42</v>
      </c>
      <c r="M3530" s="13" t="s">
        <v>43</v>
      </c>
      <c r="N3530" s="13">
        <v>0</v>
      </c>
      <c r="O3530" s="125"/>
      <c r="P3530" s="33" t="str">
        <f t="shared" si="1034"/>
        <v>C66 SERVICE/OTHERS</v>
      </c>
      <c r="Q3530" s="152" t="s">
        <v>44</v>
      </c>
      <c r="R3530" s="13" t="s">
        <v>45</v>
      </c>
      <c r="S3530" s="13" t="s">
        <v>49</v>
      </c>
      <c r="T3530" s="14"/>
      <c r="U3530" s="14"/>
      <c r="V3530" s="51"/>
      <c r="W3530" s="14"/>
      <c r="X3530" s="126"/>
      <c r="Y3530" s="127"/>
      <c r="Z3530" s="18" t="str">
        <f t="shared" si="1037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38"/>
        <v>15948576.102654871</v>
      </c>
      <c r="AJ3530" s="19">
        <f t="shared" si="1039"/>
        <v>2739848.7004853105</v>
      </c>
      <c r="AK3530" s="20">
        <f t="shared" si="1044"/>
        <v>0.17179268436567344</v>
      </c>
      <c r="AL3530" s="55"/>
      <c r="AM3530" s="55"/>
      <c r="AN3530" s="55"/>
      <c r="AO3530" s="55"/>
      <c r="AP3530" s="95" t="str">
        <f t="shared" si="1045"/>
        <v>20229</v>
      </c>
      <c r="AQ3530" s="203" t="str">
        <f t="shared" si="1046"/>
        <v/>
      </c>
      <c r="AR3530" s="206" t="str">
        <f t="shared" si="1047"/>
        <v>C66 SERVICE</v>
      </c>
      <c r="AS3530" s="22" t="str">
        <f t="shared" si="1048"/>
        <v/>
      </c>
      <c r="AT3530" s="24" t="str">
        <f t="shared" si="1049"/>
        <v/>
      </c>
      <c r="AU3530" s="22">
        <v>0</v>
      </c>
    </row>
    <row r="3531" spans="1:47" ht="39.6">
      <c r="A3531" s="33" t="str">
        <f t="shared" si="1040"/>
        <v/>
      </c>
      <c r="B3531" s="52"/>
      <c r="C3531" s="52"/>
      <c r="D3531" s="33" t="str">
        <f t="shared" si="1036"/>
        <v/>
      </c>
      <c r="E3531" s="33" t="s">
        <v>54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42</v>
      </c>
      <c r="M3531" s="13" t="s">
        <v>43</v>
      </c>
      <c r="N3531" s="13">
        <v>0</v>
      </c>
      <c r="O3531" s="125"/>
      <c r="P3531" s="33" t="str">
        <f t="shared" si="1034"/>
        <v>C66 SERVICE/OTHERS</v>
      </c>
      <c r="Q3531" s="152" t="s">
        <v>44</v>
      </c>
      <c r="R3531" s="13" t="s">
        <v>45</v>
      </c>
      <c r="S3531" s="13" t="s">
        <v>50</v>
      </c>
      <c r="T3531" s="14"/>
      <c r="U3531" s="14"/>
      <c r="V3531" s="51"/>
      <c r="W3531" s="14"/>
      <c r="X3531" s="126"/>
      <c r="Y3531" s="127"/>
      <c r="Z3531" s="18" t="str">
        <f t="shared" si="1037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38"/>
        <v>15948576.102654871</v>
      </c>
      <c r="AJ3531" s="19">
        <f t="shared" si="1039"/>
        <v>2739848.7004853105</v>
      </c>
      <c r="AK3531" s="20">
        <f t="shared" si="1044"/>
        <v>0.17179268436567344</v>
      </c>
      <c r="AL3531" s="55"/>
      <c r="AM3531" s="55"/>
      <c r="AN3531" s="55"/>
      <c r="AO3531" s="55"/>
      <c r="AP3531" s="95" t="str">
        <f t="shared" si="1045"/>
        <v>20229</v>
      </c>
      <c r="AQ3531" s="203" t="str">
        <f t="shared" si="1046"/>
        <v/>
      </c>
      <c r="AR3531" s="206" t="str">
        <f t="shared" si="1047"/>
        <v>C66 SERVICE</v>
      </c>
      <c r="AS3531" s="22" t="str">
        <f t="shared" si="1048"/>
        <v/>
      </c>
      <c r="AT3531" s="24" t="str">
        <f t="shared" si="1049"/>
        <v/>
      </c>
      <c r="AU3531" s="22">
        <v>0</v>
      </c>
    </row>
    <row r="3532" spans="1:47" ht="39.6">
      <c r="A3532" s="33" t="str">
        <f t="shared" si="1040"/>
        <v/>
      </c>
      <c r="B3532" s="52"/>
      <c r="C3532" s="52"/>
      <c r="D3532" s="33" t="str">
        <f t="shared" si="1036"/>
        <v/>
      </c>
      <c r="E3532" s="33" t="s">
        <v>54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42</v>
      </c>
      <c r="M3532" s="13" t="s">
        <v>43</v>
      </c>
      <c r="N3532" s="13">
        <v>0</v>
      </c>
      <c r="O3532" s="125"/>
      <c r="P3532" s="33" t="str">
        <f t="shared" si="1034"/>
        <v>C66 SERVICE/OTHERS</v>
      </c>
      <c r="Q3532" s="152" t="s">
        <v>44</v>
      </c>
      <c r="R3532" s="13" t="s">
        <v>45</v>
      </c>
      <c r="S3532" s="13" t="s">
        <v>51</v>
      </c>
      <c r="T3532" s="14"/>
      <c r="U3532" s="14"/>
      <c r="V3532" s="51"/>
      <c r="W3532" s="14"/>
      <c r="X3532" s="126"/>
      <c r="Y3532" s="127"/>
      <c r="Z3532" s="18" t="str">
        <f t="shared" si="1037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38"/>
        <v>15948576.102654871</v>
      </c>
      <c r="AJ3532" s="19">
        <f t="shared" si="1039"/>
        <v>2739848.7004853105</v>
      </c>
      <c r="AK3532" s="20">
        <f t="shared" si="1044"/>
        <v>0.17179268436567344</v>
      </c>
      <c r="AL3532" s="55"/>
      <c r="AM3532" s="55"/>
      <c r="AN3532" s="55"/>
      <c r="AO3532" s="55"/>
      <c r="AP3532" s="95" t="str">
        <f t="shared" si="1045"/>
        <v>20229</v>
      </c>
      <c r="AQ3532" s="203" t="str">
        <f t="shared" si="1046"/>
        <v/>
      </c>
      <c r="AR3532" s="206" t="str">
        <f t="shared" si="1047"/>
        <v>C66 SERVICE</v>
      </c>
      <c r="AS3532" s="22" t="str">
        <f t="shared" si="1048"/>
        <v/>
      </c>
      <c r="AT3532" s="24" t="str">
        <f t="shared" si="1049"/>
        <v/>
      </c>
      <c r="AU3532" s="22">
        <v>0</v>
      </c>
    </row>
    <row r="3533" spans="1:47" ht="39.6">
      <c r="A3533" s="33" t="str">
        <f t="shared" si="1040"/>
        <v/>
      </c>
      <c r="B3533" s="52"/>
      <c r="C3533" s="52"/>
      <c r="D3533" s="33" t="str">
        <f t="shared" si="1036"/>
        <v/>
      </c>
      <c r="E3533" s="33" t="s">
        <v>54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42</v>
      </c>
      <c r="M3533" s="13" t="s">
        <v>43</v>
      </c>
      <c r="N3533" s="13">
        <v>0</v>
      </c>
      <c r="O3533" s="125"/>
      <c r="P3533" s="33" t="str">
        <f t="shared" si="1034"/>
        <v>C66 SERVICE/OTHERS</v>
      </c>
      <c r="Q3533" s="152" t="s">
        <v>44</v>
      </c>
      <c r="R3533" s="13" t="s">
        <v>45</v>
      </c>
      <c r="S3533" s="13" t="s">
        <v>52</v>
      </c>
      <c r="T3533" s="14"/>
      <c r="U3533" s="14"/>
      <c r="V3533" s="51"/>
      <c r="W3533" s="14"/>
      <c r="X3533" s="126"/>
      <c r="Y3533" s="127"/>
      <c r="Z3533" s="18" t="str">
        <f t="shared" si="1037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38"/>
        <v>15948576.102654871</v>
      </c>
      <c r="AJ3533" s="19">
        <f t="shared" si="1039"/>
        <v>2739848.7004853105</v>
      </c>
      <c r="AK3533" s="20">
        <f t="shared" si="1044"/>
        <v>0.17179268436567344</v>
      </c>
      <c r="AL3533" s="55"/>
      <c r="AM3533" s="55"/>
      <c r="AN3533" s="55"/>
      <c r="AO3533" s="55"/>
      <c r="AP3533" s="95" t="str">
        <f t="shared" si="1045"/>
        <v>20229</v>
      </c>
      <c r="AQ3533" s="203" t="str">
        <f t="shared" si="1046"/>
        <v/>
      </c>
      <c r="AR3533" s="206" t="str">
        <f t="shared" si="1047"/>
        <v>C66 SERVICE</v>
      </c>
      <c r="AS3533" s="22" t="str">
        <f t="shared" si="1048"/>
        <v/>
      </c>
      <c r="AT3533" s="24" t="str">
        <f t="shared" si="1049"/>
        <v/>
      </c>
      <c r="AU3533" s="22">
        <v>0</v>
      </c>
    </row>
    <row r="3534" spans="1:47" ht="39.6">
      <c r="A3534" s="33" t="str">
        <f t="shared" si="1040"/>
        <v/>
      </c>
      <c r="B3534" s="52"/>
      <c r="C3534" s="52"/>
      <c r="D3534" s="33" t="str">
        <f t="shared" si="1036"/>
        <v/>
      </c>
      <c r="E3534" s="33" t="s">
        <v>54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42</v>
      </c>
      <c r="M3534" s="13" t="s">
        <v>43</v>
      </c>
      <c r="N3534" s="13">
        <v>0</v>
      </c>
      <c r="O3534" s="125"/>
      <c r="P3534" s="33" t="str">
        <f t="shared" si="1034"/>
        <v>C66 SERVICE/OTHERS</v>
      </c>
      <c r="Q3534" s="152" t="s">
        <v>44</v>
      </c>
      <c r="R3534" s="13" t="s">
        <v>45</v>
      </c>
      <c r="S3534" s="13" t="s">
        <v>49</v>
      </c>
      <c r="T3534" s="14"/>
      <c r="U3534" s="14"/>
      <c r="V3534" s="51"/>
      <c r="W3534" s="14"/>
      <c r="X3534" s="126"/>
      <c r="Y3534" s="127"/>
      <c r="Z3534" s="18" t="str">
        <f t="shared" si="1037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38"/>
        <v>22717528.991150443</v>
      </c>
      <c r="AJ3534" s="19">
        <f t="shared" si="1039"/>
        <v>3947747.192555753</v>
      </c>
      <c r="AK3534" s="20">
        <f t="shared" si="1044"/>
        <v>0.1737753782153679</v>
      </c>
      <c r="AL3534" s="55"/>
      <c r="AM3534" s="55"/>
      <c r="AN3534" s="55"/>
      <c r="AO3534" s="55"/>
      <c r="AP3534" s="95" t="str">
        <f t="shared" si="1045"/>
        <v>202210</v>
      </c>
      <c r="AQ3534" s="203" t="str">
        <f t="shared" si="1046"/>
        <v/>
      </c>
      <c r="AR3534" s="206" t="str">
        <f t="shared" si="1047"/>
        <v>C66 SERVICE</v>
      </c>
      <c r="AS3534" s="22" t="str">
        <f t="shared" si="1048"/>
        <v/>
      </c>
      <c r="AT3534" s="24" t="str">
        <f t="shared" si="1049"/>
        <v/>
      </c>
      <c r="AU3534" s="22">
        <v>0</v>
      </c>
    </row>
    <row r="3535" spans="1:47" ht="39.6">
      <c r="A3535" s="33" t="str">
        <f t="shared" si="1040"/>
        <v/>
      </c>
      <c r="B3535" s="52"/>
      <c r="C3535" s="52"/>
      <c r="D3535" s="33" t="str">
        <f t="shared" si="1036"/>
        <v/>
      </c>
      <c r="E3535" s="33" t="s">
        <v>54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42</v>
      </c>
      <c r="M3535" s="13" t="s">
        <v>43</v>
      </c>
      <c r="N3535" s="13">
        <v>0</v>
      </c>
      <c r="O3535" s="125"/>
      <c r="P3535" s="33" t="str">
        <f t="shared" si="1034"/>
        <v>C66 SERVICE/OTHERS</v>
      </c>
      <c r="Q3535" s="152" t="s">
        <v>44</v>
      </c>
      <c r="R3535" s="13" t="s">
        <v>45</v>
      </c>
      <c r="S3535" s="13" t="s">
        <v>50</v>
      </c>
      <c r="T3535" s="14"/>
      <c r="U3535" s="14"/>
      <c r="V3535" s="51"/>
      <c r="W3535" s="14"/>
      <c r="X3535" s="126"/>
      <c r="Y3535" s="127"/>
      <c r="Z3535" s="18" t="str">
        <f t="shared" si="1037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38"/>
        <v>22717528.991150443</v>
      </c>
      <c r="AJ3535" s="19">
        <f t="shared" si="1039"/>
        <v>3947747.192555753</v>
      </c>
      <c r="AK3535" s="20">
        <f t="shared" si="1044"/>
        <v>0.1737753782153679</v>
      </c>
      <c r="AL3535" s="55"/>
      <c r="AM3535" s="55"/>
      <c r="AN3535" s="55"/>
      <c r="AO3535" s="55"/>
      <c r="AP3535" s="95" t="str">
        <f t="shared" si="1045"/>
        <v>202210</v>
      </c>
      <c r="AQ3535" s="203" t="str">
        <f t="shared" si="1046"/>
        <v/>
      </c>
      <c r="AR3535" s="206" t="str">
        <f t="shared" si="1047"/>
        <v>C66 SERVICE</v>
      </c>
      <c r="AS3535" s="22" t="str">
        <f t="shared" si="1048"/>
        <v/>
      </c>
      <c r="AT3535" s="24" t="str">
        <f t="shared" si="1049"/>
        <v/>
      </c>
      <c r="AU3535" s="22">
        <v>0</v>
      </c>
    </row>
    <row r="3536" spans="1:47" ht="39.6">
      <c r="A3536" s="33" t="str">
        <f t="shared" si="1040"/>
        <v/>
      </c>
      <c r="B3536" s="52"/>
      <c r="C3536" s="52"/>
      <c r="D3536" s="33" t="str">
        <f t="shared" si="1036"/>
        <v/>
      </c>
      <c r="E3536" s="33" t="s">
        <v>54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42</v>
      </c>
      <c r="M3536" s="13" t="s">
        <v>43</v>
      </c>
      <c r="N3536" s="13">
        <v>0</v>
      </c>
      <c r="O3536" s="125"/>
      <c r="P3536" s="33" t="str">
        <f t="shared" si="1034"/>
        <v>C66 SERVICE/OTHERS</v>
      </c>
      <c r="Q3536" s="152" t="s">
        <v>44</v>
      </c>
      <c r="R3536" s="13" t="s">
        <v>45</v>
      </c>
      <c r="S3536" s="13" t="s">
        <v>51</v>
      </c>
      <c r="T3536" s="14"/>
      <c r="U3536" s="14"/>
      <c r="V3536" s="51"/>
      <c r="W3536" s="14"/>
      <c r="X3536" s="126"/>
      <c r="Y3536" s="127"/>
      <c r="Z3536" s="18" t="str">
        <f t="shared" si="1037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38"/>
        <v>22717528.991150443</v>
      </c>
      <c r="AJ3536" s="19">
        <f t="shared" si="1039"/>
        <v>3947747.192555753</v>
      </c>
      <c r="AK3536" s="20">
        <f t="shared" si="1044"/>
        <v>0.1737753782153679</v>
      </c>
      <c r="AL3536" s="55"/>
      <c r="AM3536" s="55"/>
      <c r="AN3536" s="55"/>
      <c r="AO3536" s="55"/>
      <c r="AP3536" s="95" t="str">
        <f t="shared" si="1045"/>
        <v>202210</v>
      </c>
      <c r="AQ3536" s="203" t="str">
        <f t="shared" si="1046"/>
        <v/>
      </c>
      <c r="AR3536" s="206" t="str">
        <f t="shared" si="1047"/>
        <v>C66 SERVICE</v>
      </c>
      <c r="AS3536" s="22" t="str">
        <f t="shared" si="1048"/>
        <v/>
      </c>
      <c r="AT3536" s="24" t="str">
        <f t="shared" si="1049"/>
        <v/>
      </c>
      <c r="AU3536" s="22">
        <v>0</v>
      </c>
    </row>
    <row r="3537" spans="1:47" ht="39.6">
      <c r="A3537" s="33" t="str">
        <f t="shared" si="1040"/>
        <v/>
      </c>
      <c r="B3537" s="52"/>
      <c r="C3537" s="52"/>
      <c r="D3537" s="33" t="str">
        <f t="shared" si="1036"/>
        <v/>
      </c>
      <c r="E3537" s="33" t="s">
        <v>54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42</v>
      </c>
      <c r="M3537" s="13" t="s">
        <v>43</v>
      </c>
      <c r="N3537" s="13">
        <v>0</v>
      </c>
      <c r="O3537" s="125"/>
      <c r="P3537" s="33" t="str">
        <f t="shared" si="1034"/>
        <v>C66 SERVICE/OTHERS</v>
      </c>
      <c r="Q3537" s="152" t="s">
        <v>44</v>
      </c>
      <c r="R3537" s="13" t="s">
        <v>45</v>
      </c>
      <c r="S3537" s="13" t="s">
        <v>52</v>
      </c>
      <c r="T3537" s="14"/>
      <c r="U3537" s="14"/>
      <c r="V3537" s="51"/>
      <c r="W3537" s="14"/>
      <c r="X3537" s="126"/>
      <c r="Y3537" s="127"/>
      <c r="Z3537" s="18" t="str">
        <f t="shared" si="1037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38"/>
        <v>22717528.991150443</v>
      </c>
      <c r="AJ3537" s="19">
        <f t="shared" si="1039"/>
        <v>3947747.192555753</v>
      </c>
      <c r="AK3537" s="20">
        <f t="shared" si="1044"/>
        <v>0.1737753782153679</v>
      </c>
      <c r="AL3537" s="55"/>
      <c r="AM3537" s="55"/>
      <c r="AN3537" s="55"/>
      <c r="AO3537" s="55"/>
      <c r="AP3537" s="95" t="str">
        <f t="shared" si="1045"/>
        <v>202210</v>
      </c>
      <c r="AQ3537" s="203" t="str">
        <f t="shared" si="1046"/>
        <v/>
      </c>
      <c r="AR3537" s="206" t="str">
        <f t="shared" si="1047"/>
        <v>C66 SERVICE</v>
      </c>
      <c r="AS3537" s="22" t="str">
        <f t="shared" si="1048"/>
        <v/>
      </c>
      <c r="AT3537" s="24" t="str">
        <f t="shared" si="1049"/>
        <v/>
      </c>
      <c r="AU3537" s="22">
        <v>0</v>
      </c>
    </row>
    <row r="3538" spans="1:47" ht="39.6">
      <c r="A3538" s="33" t="str">
        <f t="shared" si="1040"/>
        <v/>
      </c>
      <c r="B3538" s="52"/>
      <c r="C3538" s="52"/>
      <c r="D3538" s="33" t="str">
        <f t="shared" si="1036"/>
        <v/>
      </c>
      <c r="E3538" s="33" t="s">
        <v>54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42</v>
      </c>
      <c r="M3538" s="13" t="s">
        <v>43</v>
      </c>
      <c r="N3538" s="13">
        <v>0</v>
      </c>
      <c r="O3538" s="125"/>
      <c r="P3538" s="33" t="str">
        <f t="shared" si="1034"/>
        <v>C66 SERVICE/OTHERS</v>
      </c>
      <c r="Q3538" s="152" t="s">
        <v>44</v>
      </c>
      <c r="R3538" s="13" t="s">
        <v>45</v>
      </c>
      <c r="S3538" s="13" t="s">
        <v>49</v>
      </c>
      <c r="T3538" s="14"/>
      <c r="U3538" s="14"/>
      <c r="V3538" s="51"/>
      <c r="W3538" s="14"/>
      <c r="X3538" s="126"/>
      <c r="Y3538" s="127"/>
      <c r="Z3538" s="18" t="str">
        <f t="shared" si="1037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38"/>
        <v>31017966.201968137</v>
      </c>
      <c r="AJ3538" s="19">
        <f t="shared" si="1039"/>
        <v>4704250.3347305888</v>
      </c>
      <c r="AK3538" s="20">
        <f t="shared" si="1044"/>
        <v>0.15166211427595458</v>
      </c>
      <c r="AL3538" s="55"/>
      <c r="AM3538" s="55"/>
      <c r="AN3538" s="55"/>
      <c r="AO3538" s="55"/>
      <c r="AP3538" s="95" t="str">
        <f t="shared" si="1045"/>
        <v>202211</v>
      </c>
      <c r="AQ3538" s="203" t="str">
        <f t="shared" si="1046"/>
        <v/>
      </c>
      <c r="AR3538" s="206" t="str">
        <f t="shared" si="1047"/>
        <v>C66 SERVICE</v>
      </c>
      <c r="AS3538" s="22" t="str">
        <f t="shared" si="1048"/>
        <v/>
      </c>
      <c r="AT3538" s="24" t="str">
        <f t="shared" si="1049"/>
        <v/>
      </c>
      <c r="AU3538" s="22">
        <v>0</v>
      </c>
    </row>
    <row r="3539" spans="1:47" ht="39.6">
      <c r="A3539" s="33" t="str">
        <f t="shared" si="1040"/>
        <v/>
      </c>
      <c r="B3539" s="52"/>
      <c r="C3539" s="52"/>
      <c r="D3539" s="33" t="str">
        <f t="shared" si="1036"/>
        <v/>
      </c>
      <c r="E3539" s="33" t="s">
        <v>54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42</v>
      </c>
      <c r="M3539" s="13" t="s">
        <v>43</v>
      </c>
      <c r="N3539" s="13">
        <v>0</v>
      </c>
      <c r="O3539" s="125"/>
      <c r="P3539" s="33" t="str">
        <f t="shared" si="1034"/>
        <v>C66 SERVICE/OTHERS</v>
      </c>
      <c r="Q3539" s="152" t="s">
        <v>44</v>
      </c>
      <c r="R3539" s="13" t="s">
        <v>45</v>
      </c>
      <c r="S3539" s="13" t="s">
        <v>50</v>
      </c>
      <c r="T3539" s="14"/>
      <c r="U3539" s="14"/>
      <c r="V3539" s="51"/>
      <c r="W3539" s="14"/>
      <c r="X3539" s="126"/>
      <c r="Y3539" s="127"/>
      <c r="Z3539" s="18" t="str">
        <f t="shared" si="1037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38"/>
        <v>31017966.201968137</v>
      </c>
      <c r="AJ3539" s="19">
        <f t="shared" si="1039"/>
        <v>4704250.3347305888</v>
      </c>
      <c r="AK3539" s="20">
        <f t="shared" si="1044"/>
        <v>0.15166211427595458</v>
      </c>
      <c r="AL3539" s="55"/>
      <c r="AM3539" s="55"/>
      <c r="AN3539" s="55"/>
      <c r="AO3539" s="55"/>
      <c r="AP3539" s="95" t="str">
        <f t="shared" si="1045"/>
        <v>202211</v>
      </c>
      <c r="AQ3539" s="203" t="str">
        <f t="shared" si="1046"/>
        <v/>
      </c>
      <c r="AR3539" s="206" t="str">
        <f t="shared" si="1047"/>
        <v>C66 SERVICE</v>
      </c>
      <c r="AS3539" s="22" t="str">
        <f t="shared" si="1048"/>
        <v/>
      </c>
      <c r="AT3539" s="24" t="str">
        <f t="shared" si="1049"/>
        <v/>
      </c>
      <c r="AU3539" s="22">
        <v>0</v>
      </c>
    </row>
    <row r="3540" spans="1:47" ht="39.6">
      <c r="A3540" s="33" t="str">
        <f t="shared" si="1040"/>
        <v/>
      </c>
      <c r="B3540" s="52"/>
      <c r="C3540" s="52"/>
      <c r="D3540" s="33" t="str">
        <f t="shared" si="1036"/>
        <v/>
      </c>
      <c r="E3540" s="33" t="s">
        <v>54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42</v>
      </c>
      <c r="M3540" s="13" t="s">
        <v>43</v>
      </c>
      <c r="N3540" s="13">
        <v>0</v>
      </c>
      <c r="O3540" s="125"/>
      <c r="P3540" s="33" t="str">
        <f t="shared" si="1034"/>
        <v>C66 SERVICE/OTHERS</v>
      </c>
      <c r="Q3540" s="152" t="s">
        <v>44</v>
      </c>
      <c r="R3540" s="13" t="s">
        <v>45</v>
      </c>
      <c r="S3540" s="13" t="s">
        <v>51</v>
      </c>
      <c r="T3540" s="14"/>
      <c r="U3540" s="14"/>
      <c r="V3540" s="51"/>
      <c r="W3540" s="14"/>
      <c r="X3540" s="126"/>
      <c r="Y3540" s="127"/>
      <c r="Z3540" s="18" t="str">
        <f t="shared" si="1037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38"/>
        <v>31017966.201968137</v>
      </c>
      <c r="AJ3540" s="19">
        <f t="shared" si="1039"/>
        <v>4704250.3347305888</v>
      </c>
      <c r="AK3540" s="20">
        <f t="shared" si="1044"/>
        <v>0.15166211427595458</v>
      </c>
      <c r="AL3540" s="55"/>
      <c r="AM3540" s="55"/>
      <c r="AN3540" s="55"/>
      <c r="AO3540" s="55"/>
      <c r="AP3540" s="95" t="str">
        <f t="shared" si="1045"/>
        <v>202211</v>
      </c>
      <c r="AQ3540" s="203" t="str">
        <f t="shared" si="1046"/>
        <v/>
      </c>
      <c r="AR3540" s="206" t="str">
        <f t="shared" si="1047"/>
        <v>C66 SERVICE</v>
      </c>
      <c r="AS3540" s="22" t="str">
        <f t="shared" si="1048"/>
        <v/>
      </c>
      <c r="AT3540" s="24" t="str">
        <f t="shared" si="1049"/>
        <v/>
      </c>
      <c r="AU3540" s="22">
        <v>0</v>
      </c>
    </row>
    <row r="3541" spans="1:47" ht="39.6">
      <c r="A3541" s="33" t="str">
        <f t="shared" si="1040"/>
        <v/>
      </c>
      <c r="B3541" s="52"/>
      <c r="C3541" s="52"/>
      <c r="D3541" s="33" t="str">
        <f t="shared" si="1036"/>
        <v/>
      </c>
      <c r="E3541" s="33" t="s">
        <v>54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42</v>
      </c>
      <c r="M3541" s="13" t="s">
        <v>43</v>
      </c>
      <c r="N3541" s="13">
        <v>0</v>
      </c>
      <c r="O3541" s="125"/>
      <c r="P3541" s="33" t="str">
        <f t="shared" si="1034"/>
        <v>C66 SERVICE/OTHERS</v>
      </c>
      <c r="Q3541" s="152" t="s">
        <v>44</v>
      </c>
      <c r="R3541" s="13" t="s">
        <v>45</v>
      </c>
      <c r="S3541" s="13" t="s">
        <v>52</v>
      </c>
      <c r="T3541" s="14"/>
      <c r="U3541" s="14"/>
      <c r="V3541" s="51"/>
      <c r="W3541" s="14"/>
      <c r="X3541" s="126"/>
      <c r="Y3541" s="127"/>
      <c r="Z3541" s="18" t="str">
        <f t="shared" si="1037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38"/>
        <v>31017966.201968137</v>
      </c>
      <c r="AJ3541" s="19">
        <f t="shared" si="1039"/>
        <v>4704250.3347305888</v>
      </c>
      <c r="AK3541" s="20">
        <f t="shared" si="1044"/>
        <v>0.15166211427595458</v>
      </c>
      <c r="AL3541" s="55"/>
      <c r="AM3541" s="55"/>
      <c r="AN3541" s="55"/>
      <c r="AO3541" s="55"/>
      <c r="AP3541" s="95" t="str">
        <f t="shared" si="1045"/>
        <v>202211</v>
      </c>
      <c r="AQ3541" s="203" t="str">
        <f t="shared" si="1046"/>
        <v/>
      </c>
      <c r="AR3541" s="206" t="str">
        <f t="shared" si="1047"/>
        <v>C66 SERVICE</v>
      </c>
      <c r="AS3541" s="22" t="str">
        <f t="shared" si="1048"/>
        <v/>
      </c>
      <c r="AT3541" s="24" t="str">
        <f t="shared" si="1049"/>
        <v/>
      </c>
      <c r="AU3541" s="22">
        <v>0</v>
      </c>
    </row>
    <row r="3542" spans="1:47" ht="39.6">
      <c r="A3542" s="33" t="str">
        <f t="shared" si="1040"/>
        <v/>
      </c>
      <c r="B3542" s="52"/>
      <c r="C3542" s="52"/>
      <c r="D3542" s="33" t="str">
        <f t="shared" si="1036"/>
        <v/>
      </c>
      <c r="E3542" s="33" t="s">
        <v>54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42</v>
      </c>
      <c r="M3542" s="13" t="s">
        <v>43</v>
      </c>
      <c r="N3542" s="13">
        <v>0</v>
      </c>
      <c r="O3542" s="125"/>
      <c r="P3542" s="33" t="str">
        <f t="shared" ref="P3542:P3605" si="1050">IF(M3542="","",IF(AND(N3542&gt;0,L3542&lt;&gt;""),"MAIN UNIT",IF(AND(O3542&gt;0,L3542&lt;&gt;""),"SERVICE/ PARTS","C66 SERVICE/OTHERS")))</f>
        <v>C66 SERVICE/OTHERS</v>
      </c>
      <c r="Q3542" s="152" t="s">
        <v>44</v>
      </c>
      <c r="R3542" s="13" t="s">
        <v>45</v>
      </c>
      <c r="S3542" s="13" t="s">
        <v>49</v>
      </c>
      <c r="T3542" s="14"/>
      <c r="U3542" s="14"/>
      <c r="V3542" s="51"/>
      <c r="W3542" s="14"/>
      <c r="X3542" s="126"/>
      <c r="Y3542" s="127"/>
      <c r="Z3542" s="18" t="str">
        <f t="shared" si="1037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38"/>
        <v>17329060.066371687</v>
      </c>
      <c r="AJ3542" s="19">
        <f t="shared" si="1039"/>
        <v>2472600.2142256643</v>
      </c>
      <c r="AK3542" s="20">
        <f t="shared" si="1044"/>
        <v>0.14268518919984163</v>
      </c>
      <c r="AL3542" s="55"/>
      <c r="AM3542" s="55"/>
      <c r="AN3542" s="55"/>
      <c r="AO3542" s="55"/>
      <c r="AP3542" s="95" t="str">
        <f t="shared" si="1045"/>
        <v>202212</v>
      </c>
      <c r="AQ3542" s="203" t="str">
        <f t="shared" si="1046"/>
        <v/>
      </c>
      <c r="AR3542" s="206" t="str">
        <f t="shared" si="1047"/>
        <v>C66 SERVICE</v>
      </c>
      <c r="AS3542" s="22" t="str">
        <f t="shared" si="1048"/>
        <v/>
      </c>
      <c r="AT3542" s="24" t="str">
        <f t="shared" si="1049"/>
        <v/>
      </c>
      <c r="AU3542" s="22">
        <v>0</v>
      </c>
    </row>
    <row r="3543" spans="1:47" ht="39.6">
      <c r="A3543" s="33" t="str">
        <f t="shared" si="1040"/>
        <v/>
      </c>
      <c r="B3543" s="52"/>
      <c r="C3543" s="52"/>
      <c r="D3543" s="33" t="str">
        <f t="shared" si="1036"/>
        <v/>
      </c>
      <c r="E3543" s="33" t="s">
        <v>54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42</v>
      </c>
      <c r="M3543" s="13" t="s">
        <v>43</v>
      </c>
      <c r="N3543" s="13">
        <v>0</v>
      </c>
      <c r="O3543" s="125"/>
      <c r="P3543" s="33" t="str">
        <f t="shared" si="1050"/>
        <v>C66 SERVICE/OTHERS</v>
      </c>
      <c r="Q3543" s="152" t="s">
        <v>44</v>
      </c>
      <c r="R3543" s="13" t="s">
        <v>45</v>
      </c>
      <c r="S3543" s="13" t="s">
        <v>50</v>
      </c>
      <c r="T3543" s="14"/>
      <c r="U3543" s="14"/>
      <c r="V3543" s="51"/>
      <c r="W3543" s="14"/>
      <c r="X3543" s="126"/>
      <c r="Y3543" s="127"/>
      <c r="Z3543" s="18" t="str">
        <f t="shared" si="1037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38"/>
        <v>17329060.066371687</v>
      </c>
      <c r="AJ3543" s="19">
        <f t="shared" si="1039"/>
        <v>2472600.2142256643</v>
      </c>
      <c r="AK3543" s="20">
        <f t="shared" si="1044"/>
        <v>0.14268518919984163</v>
      </c>
      <c r="AL3543" s="55"/>
      <c r="AM3543" s="55"/>
      <c r="AN3543" s="55"/>
      <c r="AO3543" s="55"/>
      <c r="AP3543" s="95" t="str">
        <f t="shared" si="1045"/>
        <v>202212</v>
      </c>
      <c r="AQ3543" s="203" t="str">
        <f t="shared" si="1046"/>
        <v/>
      </c>
      <c r="AR3543" s="206" t="str">
        <f t="shared" si="1047"/>
        <v>C66 SERVICE</v>
      </c>
      <c r="AS3543" s="22" t="str">
        <f t="shared" si="1048"/>
        <v/>
      </c>
      <c r="AT3543" s="24" t="str">
        <f t="shared" si="1049"/>
        <v/>
      </c>
      <c r="AU3543" s="22">
        <v>0</v>
      </c>
    </row>
    <row r="3544" spans="1:47" ht="39.6">
      <c r="A3544" s="33" t="str">
        <f t="shared" si="1040"/>
        <v/>
      </c>
      <c r="B3544" s="52"/>
      <c r="C3544" s="52"/>
      <c r="D3544" s="33" t="str">
        <f t="shared" si="1036"/>
        <v/>
      </c>
      <c r="E3544" s="33" t="s">
        <v>54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42</v>
      </c>
      <c r="M3544" s="13" t="s">
        <v>43</v>
      </c>
      <c r="N3544" s="13">
        <v>0</v>
      </c>
      <c r="O3544" s="125"/>
      <c r="P3544" s="33" t="str">
        <f t="shared" si="1050"/>
        <v>C66 SERVICE/OTHERS</v>
      </c>
      <c r="Q3544" s="152" t="s">
        <v>44</v>
      </c>
      <c r="R3544" s="13" t="s">
        <v>45</v>
      </c>
      <c r="S3544" s="13" t="s">
        <v>51</v>
      </c>
      <c r="T3544" s="14"/>
      <c r="U3544" s="14"/>
      <c r="V3544" s="51"/>
      <c r="W3544" s="14"/>
      <c r="X3544" s="126"/>
      <c r="Y3544" s="127"/>
      <c r="Z3544" s="18" t="str">
        <f t="shared" si="1037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38"/>
        <v>17329060.066371687</v>
      </c>
      <c r="AJ3544" s="19">
        <f t="shared" si="1039"/>
        <v>2472600.2142256643</v>
      </c>
      <c r="AK3544" s="20">
        <f t="shared" si="1044"/>
        <v>0.14268518919984163</v>
      </c>
      <c r="AL3544" s="55"/>
      <c r="AM3544" s="55"/>
      <c r="AN3544" s="55"/>
      <c r="AO3544" s="55"/>
      <c r="AP3544" s="95" t="str">
        <f t="shared" si="1045"/>
        <v>202212</v>
      </c>
      <c r="AQ3544" s="203" t="str">
        <f t="shared" si="1046"/>
        <v/>
      </c>
      <c r="AR3544" s="206" t="str">
        <f t="shared" si="1047"/>
        <v>C66 SERVICE</v>
      </c>
      <c r="AS3544" s="22" t="str">
        <f t="shared" si="1048"/>
        <v/>
      </c>
      <c r="AT3544" s="24" t="str">
        <f t="shared" si="1049"/>
        <v/>
      </c>
      <c r="AU3544" s="22">
        <v>0</v>
      </c>
    </row>
    <row r="3545" spans="1:47" ht="39.6">
      <c r="A3545" s="33" t="str">
        <f t="shared" si="1040"/>
        <v/>
      </c>
      <c r="B3545" s="52"/>
      <c r="C3545" s="52"/>
      <c r="D3545" s="33" t="str">
        <f t="shared" si="1036"/>
        <v/>
      </c>
      <c r="E3545" s="33" t="s">
        <v>54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42</v>
      </c>
      <c r="M3545" s="13" t="s">
        <v>43</v>
      </c>
      <c r="N3545" s="13">
        <v>0</v>
      </c>
      <c r="O3545" s="125"/>
      <c r="P3545" s="33" t="str">
        <f t="shared" si="1050"/>
        <v>C66 SERVICE/OTHERS</v>
      </c>
      <c r="Q3545" s="152" t="s">
        <v>44</v>
      </c>
      <c r="R3545" s="13" t="s">
        <v>45</v>
      </c>
      <c r="S3545" s="13" t="s">
        <v>52</v>
      </c>
      <c r="T3545" s="14"/>
      <c r="U3545" s="14"/>
      <c r="V3545" s="51"/>
      <c r="W3545" s="14"/>
      <c r="X3545" s="126"/>
      <c r="Y3545" s="127"/>
      <c r="Z3545" s="18" t="str">
        <f t="shared" si="1037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38"/>
        <v>17329060.066371687</v>
      </c>
      <c r="AJ3545" s="19">
        <f t="shared" si="1039"/>
        <v>2472600.2142256643</v>
      </c>
      <c r="AK3545" s="20">
        <f t="shared" si="1044"/>
        <v>0.14268518919984163</v>
      </c>
      <c r="AL3545" s="55"/>
      <c r="AM3545" s="55"/>
      <c r="AN3545" s="55"/>
      <c r="AO3545" s="55"/>
      <c r="AP3545" s="95" t="str">
        <f t="shared" si="1045"/>
        <v>202212</v>
      </c>
      <c r="AQ3545" s="203" t="str">
        <f t="shared" si="1046"/>
        <v/>
      </c>
      <c r="AR3545" s="206" t="str">
        <f t="shared" si="1047"/>
        <v>C66 SERVICE</v>
      </c>
      <c r="AS3545" s="22" t="str">
        <f t="shared" si="1048"/>
        <v/>
      </c>
      <c r="AT3545" s="24" t="str">
        <f t="shared" si="1049"/>
        <v/>
      </c>
      <c r="AU3545" s="22">
        <v>0</v>
      </c>
    </row>
    <row r="3546" spans="1:47" ht="39.6">
      <c r="A3546" s="33" t="str">
        <f t="shared" si="1040"/>
        <v/>
      </c>
      <c r="B3546" s="23"/>
      <c r="C3546" s="23"/>
      <c r="D3546" s="33" t="str">
        <f t="shared" si="1036"/>
        <v/>
      </c>
      <c r="E3546" s="33" t="str">
        <f t="shared" ref="E3546:E3562" si="1051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43</v>
      </c>
      <c r="M3546" s="22" t="s">
        <v>43</v>
      </c>
      <c r="N3546" s="22">
        <v>0</v>
      </c>
      <c r="O3546" s="22"/>
      <c r="P3546" s="33" t="str">
        <f t="shared" si="1050"/>
        <v>C66 SERVICE/OTHERS</v>
      </c>
      <c r="Q3546" s="22" t="s">
        <v>45</v>
      </c>
      <c r="R3546" s="22" t="s">
        <v>45</v>
      </c>
      <c r="S3546" s="22" t="s">
        <v>52</v>
      </c>
      <c r="T3546" s="22"/>
      <c r="U3546" s="22"/>
      <c r="V3546" s="22"/>
      <c r="W3546" s="22"/>
      <c r="X3546" s="30"/>
      <c r="Y3546" s="31" t="str">
        <f t="shared" ref="Y3546:Y3569" si="1052">IF(W3546="","",IF(W3546="RMB","1.13", "1"))</f>
        <v/>
      </c>
      <c r="Z3546" s="18" t="str">
        <f t="shared" si="1037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38"/>
        <v>10271727.486725664</v>
      </c>
      <c r="AJ3546" s="27">
        <f t="shared" si="1039"/>
        <v>1227228.7260761063</v>
      </c>
      <c r="AK3546" s="28">
        <f t="shared" si="1044"/>
        <v>0.11947637120066472</v>
      </c>
      <c r="AL3546" s="24"/>
      <c r="AM3546" s="24"/>
      <c r="AN3546" s="24"/>
      <c r="AO3546" s="24"/>
      <c r="AP3546" s="95" t="str">
        <f t="shared" si="1045"/>
        <v>202312</v>
      </c>
      <c r="AQ3546" s="203" t="str">
        <f t="shared" si="1046"/>
        <v/>
      </c>
      <c r="AR3546" s="206" t="str">
        <f t="shared" si="1047"/>
        <v>C66 SERVICE</v>
      </c>
      <c r="AS3546" s="22" t="str">
        <f t="shared" si="1048"/>
        <v/>
      </c>
      <c r="AT3546" s="24" t="str">
        <f t="shared" si="1049"/>
        <v/>
      </c>
      <c r="AU3546" s="22">
        <v>0</v>
      </c>
    </row>
    <row r="3547" spans="1:47" ht="39.6">
      <c r="A3547" s="33" t="str">
        <f t="shared" si="1040"/>
        <v/>
      </c>
      <c r="B3547" s="23"/>
      <c r="C3547" s="23"/>
      <c r="D3547" s="33" t="str">
        <f t="shared" si="1036"/>
        <v/>
      </c>
      <c r="E3547" s="33" t="str">
        <f t="shared" si="1051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43</v>
      </c>
      <c r="M3547" s="22" t="s">
        <v>43</v>
      </c>
      <c r="N3547" s="22">
        <v>0</v>
      </c>
      <c r="O3547" s="22"/>
      <c r="P3547" s="33" t="str">
        <f t="shared" si="1050"/>
        <v>C66 SERVICE/OTHERS</v>
      </c>
      <c r="Q3547" s="22" t="s">
        <v>45</v>
      </c>
      <c r="R3547" s="22" t="s">
        <v>45</v>
      </c>
      <c r="S3547" s="22" t="s">
        <v>51</v>
      </c>
      <c r="T3547" s="22"/>
      <c r="U3547" s="22"/>
      <c r="V3547" s="22"/>
      <c r="W3547" s="22"/>
      <c r="X3547" s="30"/>
      <c r="Y3547" s="31" t="str">
        <f t="shared" si="1052"/>
        <v/>
      </c>
      <c r="Z3547" s="18" t="str">
        <f t="shared" si="1037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38"/>
        <v>10271727.486725664</v>
      </c>
      <c r="AJ3547" s="27">
        <f t="shared" si="1039"/>
        <v>1227228.7260761063</v>
      </c>
      <c r="AK3547" s="28">
        <f t="shared" si="1044"/>
        <v>0.11947637120066472</v>
      </c>
      <c r="AL3547" s="24"/>
      <c r="AM3547" s="24"/>
      <c r="AN3547" s="24"/>
      <c r="AO3547" s="24"/>
      <c r="AP3547" s="95" t="str">
        <f t="shared" si="1045"/>
        <v>202312</v>
      </c>
      <c r="AQ3547" s="203" t="str">
        <f t="shared" si="1046"/>
        <v/>
      </c>
      <c r="AR3547" s="206" t="str">
        <f t="shared" si="1047"/>
        <v>C66 SERVICE</v>
      </c>
      <c r="AS3547" s="22" t="str">
        <f t="shared" si="1048"/>
        <v/>
      </c>
      <c r="AT3547" s="24" t="str">
        <f t="shared" si="1049"/>
        <v/>
      </c>
      <c r="AU3547" s="22">
        <v>0</v>
      </c>
    </row>
    <row r="3548" spans="1:47" ht="39.6">
      <c r="A3548" s="33" t="str">
        <f t="shared" si="1040"/>
        <v/>
      </c>
      <c r="B3548" s="23"/>
      <c r="C3548" s="23"/>
      <c r="D3548" s="33" t="str">
        <f t="shared" si="1036"/>
        <v/>
      </c>
      <c r="E3548" s="33" t="str">
        <f t="shared" si="1051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43</v>
      </c>
      <c r="M3548" s="22" t="s">
        <v>43</v>
      </c>
      <c r="N3548" s="22">
        <v>0</v>
      </c>
      <c r="O3548" s="22"/>
      <c r="P3548" s="33" t="str">
        <f t="shared" si="1050"/>
        <v>C66 SERVICE/OTHERS</v>
      </c>
      <c r="Q3548" s="22" t="s">
        <v>45</v>
      </c>
      <c r="R3548" s="22" t="s">
        <v>45</v>
      </c>
      <c r="S3548" s="22" t="s">
        <v>50</v>
      </c>
      <c r="T3548" s="22"/>
      <c r="U3548" s="22"/>
      <c r="V3548" s="22"/>
      <c r="W3548" s="22"/>
      <c r="X3548" s="30"/>
      <c r="Y3548" s="31" t="str">
        <f t="shared" si="1052"/>
        <v/>
      </c>
      <c r="Z3548" s="18" t="str">
        <f t="shared" si="1037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38"/>
        <v>10271727.486725664</v>
      </c>
      <c r="AJ3548" s="27">
        <f t="shared" si="1039"/>
        <v>1227228.7260761063</v>
      </c>
      <c r="AK3548" s="28">
        <f t="shared" si="1044"/>
        <v>0.11947637120066472</v>
      </c>
      <c r="AL3548" s="24"/>
      <c r="AM3548" s="24"/>
      <c r="AN3548" s="24"/>
      <c r="AO3548" s="24"/>
      <c r="AP3548" s="95" t="str">
        <f t="shared" si="1045"/>
        <v>202312</v>
      </c>
      <c r="AQ3548" s="203" t="str">
        <f t="shared" si="1046"/>
        <v/>
      </c>
      <c r="AR3548" s="206" t="str">
        <f t="shared" si="1047"/>
        <v>C66 SERVICE</v>
      </c>
      <c r="AS3548" s="22" t="str">
        <f t="shared" si="1048"/>
        <v/>
      </c>
      <c r="AT3548" s="24" t="str">
        <f t="shared" si="1049"/>
        <v/>
      </c>
      <c r="AU3548" s="22">
        <v>0</v>
      </c>
    </row>
    <row r="3549" spans="1:47" ht="39.6">
      <c r="A3549" s="33" t="str">
        <f t="shared" si="1040"/>
        <v/>
      </c>
      <c r="B3549" s="23"/>
      <c r="C3549" s="23"/>
      <c r="D3549" s="33" t="str">
        <f t="shared" si="1036"/>
        <v/>
      </c>
      <c r="E3549" s="33" t="str">
        <f t="shared" si="1051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43</v>
      </c>
      <c r="M3549" s="22" t="s">
        <v>43</v>
      </c>
      <c r="N3549" s="22">
        <v>0</v>
      </c>
      <c r="O3549" s="22"/>
      <c r="P3549" s="33" t="str">
        <f t="shared" si="1050"/>
        <v>C66 SERVICE/OTHERS</v>
      </c>
      <c r="Q3549" s="22" t="s">
        <v>45</v>
      </c>
      <c r="R3549" s="22" t="s">
        <v>45</v>
      </c>
      <c r="S3549" s="22" t="s">
        <v>49</v>
      </c>
      <c r="T3549" s="22"/>
      <c r="U3549" s="22"/>
      <c r="V3549" s="22"/>
      <c r="W3549" s="22"/>
      <c r="X3549" s="30"/>
      <c r="Y3549" s="31" t="str">
        <f t="shared" si="1052"/>
        <v/>
      </c>
      <c r="Z3549" s="18" t="str">
        <f t="shared" si="1037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38"/>
        <v>10271727.486725664</v>
      </c>
      <c r="AJ3549" s="27">
        <f t="shared" si="1039"/>
        <v>1227228.7260761063</v>
      </c>
      <c r="AK3549" s="28">
        <f t="shared" si="1044"/>
        <v>0.11947637120066472</v>
      </c>
      <c r="AL3549" s="24"/>
      <c r="AM3549" s="24"/>
      <c r="AN3549" s="24"/>
      <c r="AO3549" s="24"/>
      <c r="AP3549" s="95" t="str">
        <f t="shared" si="1045"/>
        <v>202312</v>
      </c>
      <c r="AQ3549" s="203" t="str">
        <f t="shared" si="1046"/>
        <v/>
      </c>
      <c r="AR3549" s="206" t="str">
        <f t="shared" si="1047"/>
        <v>C66 SERVICE</v>
      </c>
      <c r="AS3549" s="22" t="str">
        <f t="shared" si="1048"/>
        <v/>
      </c>
      <c r="AT3549" s="24" t="str">
        <f t="shared" si="1049"/>
        <v/>
      </c>
      <c r="AU3549" s="22">
        <v>0</v>
      </c>
    </row>
    <row r="3550" spans="1:47" ht="39.6">
      <c r="A3550" s="33" t="str">
        <f t="shared" si="1040"/>
        <v/>
      </c>
      <c r="B3550" s="23"/>
      <c r="C3550" s="23"/>
      <c r="D3550" s="33" t="str">
        <f t="shared" si="1036"/>
        <v/>
      </c>
      <c r="E3550" s="33" t="str">
        <f t="shared" si="1051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43</v>
      </c>
      <c r="M3550" s="22" t="s">
        <v>43</v>
      </c>
      <c r="N3550" s="22">
        <v>0</v>
      </c>
      <c r="O3550" s="22"/>
      <c r="P3550" s="33" t="str">
        <f t="shared" si="1050"/>
        <v>C66 SERVICE/OTHERS</v>
      </c>
      <c r="Q3550" s="22" t="s">
        <v>45</v>
      </c>
      <c r="R3550" s="22" t="s">
        <v>45</v>
      </c>
      <c r="S3550" s="22" t="s">
        <v>52</v>
      </c>
      <c r="T3550" s="22"/>
      <c r="U3550" s="22"/>
      <c r="V3550" s="22"/>
      <c r="W3550" s="22"/>
      <c r="X3550" s="30"/>
      <c r="Y3550" s="31" t="str">
        <f t="shared" si="1052"/>
        <v/>
      </c>
      <c r="Z3550" s="18" t="str">
        <f t="shared" si="1037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38"/>
        <v>23146578.081415929</v>
      </c>
      <c r="AJ3550" s="27">
        <f t="shared" si="1039"/>
        <v>2745231.3889985834</v>
      </c>
      <c r="AK3550" s="28">
        <f t="shared" si="1044"/>
        <v>0.11860204041143742</v>
      </c>
      <c r="AL3550" s="24"/>
      <c r="AM3550" s="24"/>
      <c r="AN3550" s="24"/>
      <c r="AO3550" s="24"/>
      <c r="AP3550" s="95" t="str">
        <f t="shared" si="1045"/>
        <v>20241</v>
      </c>
      <c r="AQ3550" s="203" t="str">
        <f t="shared" si="1046"/>
        <v/>
      </c>
      <c r="AR3550" s="206" t="str">
        <f t="shared" si="1047"/>
        <v>C66 SERVICE</v>
      </c>
      <c r="AS3550" s="22" t="str">
        <f t="shared" si="1048"/>
        <v/>
      </c>
      <c r="AT3550" s="24" t="str">
        <f t="shared" si="1049"/>
        <v/>
      </c>
      <c r="AU3550" s="22">
        <v>0</v>
      </c>
    </row>
    <row r="3551" spans="1:47" ht="39.6">
      <c r="A3551" s="33" t="str">
        <f t="shared" si="1040"/>
        <v/>
      </c>
      <c r="B3551" s="23"/>
      <c r="C3551" s="23"/>
      <c r="D3551" s="33" t="str">
        <f t="shared" si="1036"/>
        <v/>
      </c>
      <c r="E3551" s="33" t="str">
        <f t="shared" si="1051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43</v>
      </c>
      <c r="M3551" s="22" t="s">
        <v>43</v>
      </c>
      <c r="N3551" s="22">
        <v>0</v>
      </c>
      <c r="O3551" s="22"/>
      <c r="P3551" s="33" t="str">
        <f t="shared" si="1050"/>
        <v>C66 SERVICE/OTHERS</v>
      </c>
      <c r="Q3551" s="22" t="s">
        <v>45</v>
      </c>
      <c r="R3551" s="22" t="s">
        <v>45</v>
      </c>
      <c r="S3551" s="22" t="s">
        <v>51</v>
      </c>
      <c r="T3551" s="22"/>
      <c r="U3551" s="22"/>
      <c r="V3551" s="22"/>
      <c r="W3551" s="22"/>
      <c r="X3551" s="30"/>
      <c r="Y3551" s="31" t="str">
        <f t="shared" si="1052"/>
        <v/>
      </c>
      <c r="Z3551" s="18" t="str">
        <f t="shared" si="1037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38"/>
        <v>23146578.081415929</v>
      </c>
      <c r="AJ3551" s="27">
        <f t="shared" si="1039"/>
        <v>2745231.3889985834</v>
      </c>
      <c r="AK3551" s="28">
        <f t="shared" si="1044"/>
        <v>0.11860204041143742</v>
      </c>
      <c r="AL3551" s="24"/>
      <c r="AM3551" s="24"/>
      <c r="AN3551" s="24"/>
      <c r="AO3551" s="24"/>
      <c r="AP3551" s="95" t="str">
        <f t="shared" si="1045"/>
        <v>20241</v>
      </c>
      <c r="AQ3551" s="203" t="str">
        <f t="shared" si="1046"/>
        <v/>
      </c>
      <c r="AR3551" s="206" t="str">
        <f t="shared" si="1047"/>
        <v>C66 SERVICE</v>
      </c>
      <c r="AS3551" s="22" t="str">
        <f t="shared" si="1048"/>
        <v/>
      </c>
      <c r="AT3551" s="24" t="str">
        <f t="shared" si="1049"/>
        <v/>
      </c>
      <c r="AU3551" s="22">
        <v>0</v>
      </c>
    </row>
    <row r="3552" spans="1:47" ht="39.6">
      <c r="A3552" s="33" t="str">
        <f t="shared" si="1040"/>
        <v/>
      </c>
      <c r="B3552" s="23"/>
      <c r="C3552" s="23"/>
      <c r="D3552" s="33" t="str">
        <f t="shared" si="1036"/>
        <v/>
      </c>
      <c r="E3552" s="33" t="str">
        <f t="shared" si="1051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43</v>
      </c>
      <c r="M3552" s="22" t="s">
        <v>43</v>
      </c>
      <c r="N3552" s="22">
        <v>0</v>
      </c>
      <c r="O3552" s="22"/>
      <c r="P3552" s="33" t="str">
        <f t="shared" si="1050"/>
        <v>C66 SERVICE/OTHERS</v>
      </c>
      <c r="Q3552" s="22" t="s">
        <v>45</v>
      </c>
      <c r="R3552" s="22" t="s">
        <v>45</v>
      </c>
      <c r="S3552" s="22" t="s">
        <v>50</v>
      </c>
      <c r="T3552" s="22"/>
      <c r="U3552" s="22"/>
      <c r="V3552" s="22"/>
      <c r="W3552" s="22"/>
      <c r="X3552" s="30"/>
      <c r="Y3552" s="31" t="str">
        <f t="shared" si="1052"/>
        <v/>
      </c>
      <c r="Z3552" s="18" t="str">
        <f t="shared" si="1037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38"/>
        <v>23146578.081415929</v>
      </c>
      <c r="AJ3552" s="27">
        <f t="shared" si="1039"/>
        <v>2745231.3889985834</v>
      </c>
      <c r="AK3552" s="28">
        <f t="shared" si="1044"/>
        <v>0.11860204041143742</v>
      </c>
      <c r="AL3552" s="24"/>
      <c r="AM3552" s="24"/>
      <c r="AN3552" s="24"/>
      <c r="AO3552" s="24"/>
      <c r="AP3552" s="95" t="str">
        <f t="shared" si="1045"/>
        <v>20241</v>
      </c>
      <c r="AQ3552" s="203" t="str">
        <f t="shared" si="1046"/>
        <v/>
      </c>
      <c r="AR3552" s="206" t="str">
        <f t="shared" si="1047"/>
        <v>C66 SERVICE</v>
      </c>
      <c r="AS3552" s="22" t="str">
        <f t="shared" si="1048"/>
        <v/>
      </c>
      <c r="AT3552" s="24" t="str">
        <f t="shared" si="1049"/>
        <v/>
      </c>
      <c r="AU3552" s="22">
        <v>0</v>
      </c>
    </row>
    <row r="3553" spans="1:47" ht="39.6">
      <c r="A3553" s="33" t="str">
        <f t="shared" si="1040"/>
        <v/>
      </c>
      <c r="B3553" s="23"/>
      <c r="C3553" s="23"/>
      <c r="D3553" s="33" t="str">
        <f t="shared" si="1036"/>
        <v/>
      </c>
      <c r="E3553" s="33" t="str">
        <f t="shared" si="1051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43</v>
      </c>
      <c r="M3553" s="22" t="s">
        <v>43</v>
      </c>
      <c r="N3553" s="22">
        <v>0</v>
      </c>
      <c r="O3553" s="22"/>
      <c r="P3553" s="33" t="str">
        <f t="shared" si="1050"/>
        <v>C66 SERVICE/OTHERS</v>
      </c>
      <c r="Q3553" s="22" t="s">
        <v>45</v>
      </c>
      <c r="R3553" s="22" t="s">
        <v>45</v>
      </c>
      <c r="S3553" s="22" t="s">
        <v>49</v>
      </c>
      <c r="T3553" s="22"/>
      <c r="U3553" s="22"/>
      <c r="V3553" s="22"/>
      <c r="W3553" s="22"/>
      <c r="X3553" s="30"/>
      <c r="Y3553" s="31" t="str">
        <f t="shared" si="1052"/>
        <v/>
      </c>
      <c r="Z3553" s="18" t="str">
        <f t="shared" si="1037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38"/>
        <v>23146578.081415929</v>
      </c>
      <c r="AJ3553" s="27">
        <f t="shared" si="1039"/>
        <v>2745231.3889985834</v>
      </c>
      <c r="AK3553" s="28">
        <f t="shared" si="1044"/>
        <v>0.11860204041143742</v>
      </c>
      <c r="AL3553" s="24"/>
      <c r="AM3553" s="24"/>
      <c r="AN3553" s="24"/>
      <c r="AO3553" s="24"/>
      <c r="AP3553" s="95" t="str">
        <f t="shared" si="1045"/>
        <v>20241</v>
      </c>
      <c r="AQ3553" s="203" t="str">
        <f t="shared" si="1046"/>
        <v/>
      </c>
      <c r="AR3553" s="206" t="str">
        <f t="shared" si="1047"/>
        <v>C66 SERVICE</v>
      </c>
      <c r="AS3553" s="22" t="str">
        <f t="shared" si="1048"/>
        <v/>
      </c>
      <c r="AT3553" s="24" t="str">
        <f t="shared" si="1049"/>
        <v/>
      </c>
      <c r="AU3553" s="22">
        <v>0</v>
      </c>
    </row>
    <row r="3554" spans="1:47" ht="39.6">
      <c r="A3554" s="33" t="str">
        <f t="shared" si="1040"/>
        <v/>
      </c>
      <c r="B3554" s="23"/>
      <c r="C3554" s="23"/>
      <c r="D3554" s="33" t="str">
        <f t="shared" si="1036"/>
        <v/>
      </c>
      <c r="E3554" s="33" t="str">
        <f t="shared" si="1051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43</v>
      </c>
      <c r="M3554" s="22" t="s">
        <v>43</v>
      </c>
      <c r="N3554" s="22">
        <v>0</v>
      </c>
      <c r="O3554" s="22"/>
      <c r="P3554" s="33" t="str">
        <f t="shared" si="1050"/>
        <v>C66 SERVICE/OTHERS</v>
      </c>
      <c r="Q3554" s="22" t="s">
        <v>45</v>
      </c>
      <c r="R3554" s="22" t="s">
        <v>45</v>
      </c>
      <c r="S3554" s="22" t="s">
        <v>52</v>
      </c>
      <c r="T3554" s="22"/>
      <c r="U3554" s="22"/>
      <c r="V3554" s="22"/>
      <c r="W3554" s="22"/>
      <c r="X3554" s="30"/>
      <c r="Y3554" s="31" t="str">
        <f t="shared" si="1052"/>
        <v/>
      </c>
      <c r="Z3554" s="18" t="str">
        <f t="shared" si="1037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38"/>
        <v>10524262.405309737</v>
      </c>
      <c r="AJ3554" s="27">
        <f t="shared" si="1039"/>
        <v>1479050.9527127435</v>
      </c>
      <c r="AK3554" s="28">
        <f t="shared" si="1044"/>
        <v>0.14053725532028996</v>
      </c>
      <c r="AL3554" s="24"/>
      <c r="AM3554" s="24"/>
      <c r="AN3554" s="24"/>
      <c r="AO3554" s="24"/>
      <c r="AP3554" s="95" t="str">
        <f t="shared" si="1045"/>
        <v>20242</v>
      </c>
      <c r="AQ3554" s="203" t="str">
        <f t="shared" si="1046"/>
        <v/>
      </c>
      <c r="AR3554" s="206" t="str">
        <f t="shared" si="1047"/>
        <v>C66 SERVICE</v>
      </c>
      <c r="AS3554" s="22" t="str">
        <f t="shared" si="1048"/>
        <v/>
      </c>
      <c r="AT3554" s="24" t="str">
        <f t="shared" si="1049"/>
        <v/>
      </c>
      <c r="AU3554" s="22">
        <v>0</v>
      </c>
    </row>
    <row r="3555" spans="1:47" ht="39.6">
      <c r="A3555" s="33" t="str">
        <f t="shared" si="1040"/>
        <v/>
      </c>
      <c r="B3555" s="23"/>
      <c r="C3555" s="23"/>
      <c r="D3555" s="33" t="str">
        <f t="shared" si="1036"/>
        <v/>
      </c>
      <c r="E3555" s="33" t="str">
        <f t="shared" si="1051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43</v>
      </c>
      <c r="M3555" s="22" t="s">
        <v>43</v>
      </c>
      <c r="N3555" s="22">
        <v>0</v>
      </c>
      <c r="O3555" s="22"/>
      <c r="P3555" s="33" t="str">
        <f t="shared" si="1050"/>
        <v>C66 SERVICE/OTHERS</v>
      </c>
      <c r="Q3555" s="22" t="s">
        <v>45</v>
      </c>
      <c r="R3555" s="22" t="s">
        <v>45</v>
      </c>
      <c r="S3555" s="22" t="s">
        <v>51</v>
      </c>
      <c r="T3555" s="22"/>
      <c r="U3555" s="22"/>
      <c r="V3555" s="22"/>
      <c r="W3555" s="22"/>
      <c r="X3555" s="30"/>
      <c r="Y3555" s="31" t="str">
        <f t="shared" si="1052"/>
        <v/>
      </c>
      <c r="Z3555" s="18" t="str">
        <f t="shared" si="1037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38"/>
        <v>10524262.405309737</v>
      </c>
      <c r="AJ3555" s="27">
        <f t="shared" si="1039"/>
        <v>1479050.9527127435</v>
      </c>
      <c r="AK3555" s="28">
        <f t="shared" si="1044"/>
        <v>0.14053725532028996</v>
      </c>
      <c r="AL3555" s="24"/>
      <c r="AM3555" s="24"/>
      <c r="AN3555" s="24"/>
      <c r="AO3555" s="24"/>
      <c r="AP3555" s="95" t="str">
        <f t="shared" si="1045"/>
        <v>20242</v>
      </c>
      <c r="AQ3555" s="203" t="str">
        <f t="shared" si="1046"/>
        <v/>
      </c>
      <c r="AR3555" s="206" t="str">
        <f t="shared" si="1047"/>
        <v>C66 SERVICE</v>
      </c>
      <c r="AS3555" s="22" t="str">
        <f t="shared" si="1048"/>
        <v/>
      </c>
      <c r="AT3555" s="24" t="str">
        <f t="shared" si="1049"/>
        <v/>
      </c>
      <c r="AU3555" s="22">
        <v>0</v>
      </c>
    </row>
    <row r="3556" spans="1:47" ht="39.6">
      <c r="A3556" s="33" t="str">
        <f t="shared" si="1040"/>
        <v/>
      </c>
      <c r="B3556" s="23"/>
      <c r="C3556" s="23"/>
      <c r="D3556" s="33" t="str">
        <f t="shared" si="1036"/>
        <v/>
      </c>
      <c r="E3556" s="33" t="str">
        <f t="shared" si="1051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43</v>
      </c>
      <c r="M3556" s="22" t="s">
        <v>43</v>
      </c>
      <c r="N3556" s="22">
        <v>0</v>
      </c>
      <c r="O3556" s="22"/>
      <c r="P3556" s="33" t="str">
        <f t="shared" si="1050"/>
        <v>C66 SERVICE/OTHERS</v>
      </c>
      <c r="Q3556" s="22" t="s">
        <v>45</v>
      </c>
      <c r="R3556" s="22" t="s">
        <v>45</v>
      </c>
      <c r="S3556" s="22" t="s">
        <v>50</v>
      </c>
      <c r="T3556" s="22"/>
      <c r="U3556" s="22"/>
      <c r="V3556" s="22"/>
      <c r="W3556" s="22"/>
      <c r="X3556" s="30"/>
      <c r="Y3556" s="31" t="str">
        <f t="shared" si="1052"/>
        <v/>
      </c>
      <c r="Z3556" s="18" t="str">
        <f t="shared" si="1037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38"/>
        <v>10524262.405309737</v>
      </c>
      <c r="AJ3556" s="27">
        <f t="shared" si="1039"/>
        <v>1479050.9527127435</v>
      </c>
      <c r="AK3556" s="28">
        <f t="shared" si="1044"/>
        <v>0.14053725532028996</v>
      </c>
      <c r="AL3556" s="24"/>
      <c r="AM3556" s="24"/>
      <c r="AN3556" s="24"/>
      <c r="AO3556" s="24"/>
      <c r="AP3556" s="95" t="str">
        <f t="shared" si="1045"/>
        <v>20242</v>
      </c>
      <c r="AQ3556" s="203" t="str">
        <f t="shared" si="1046"/>
        <v/>
      </c>
      <c r="AR3556" s="206" t="str">
        <f t="shared" si="1047"/>
        <v>C66 SERVICE</v>
      </c>
      <c r="AS3556" s="22" t="str">
        <f t="shared" si="1048"/>
        <v/>
      </c>
      <c r="AT3556" s="24" t="str">
        <f t="shared" si="1049"/>
        <v/>
      </c>
      <c r="AU3556" s="22">
        <v>0</v>
      </c>
    </row>
    <row r="3557" spans="1:47" ht="39.6">
      <c r="A3557" s="33" t="str">
        <f t="shared" si="1040"/>
        <v/>
      </c>
      <c r="B3557" s="23"/>
      <c r="C3557" s="23"/>
      <c r="D3557" s="33" t="str">
        <f t="shared" si="1036"/>
        <v/>
      </c>
      <c r="E3557" s="33" t="str">
        <f t="shared" si="1051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43</v>
      </c>
      <c r="M3557" s="22" t="s">
        <v>43</v>
      </c>
      <c r="N3557" s="22">
        <v>0</v>
      </c>
      <c r="O3557" s="22"/>
      <c r="P3557" s="33" t="str">
        <f t="shared" si="1050"/>
        <v>C66 SERVICE/OTHERS</v>
      </c>
      <c r="Q3557" s="22" t="s">
        <v>45</v>
      </c>
      <c r="R3557" s="22" t="s">
        <v>45</v>
      </c>
      <c r="S3557" s="22" t="s">
        <v>49</v>
      </c>
      <c r="T3557" s="22"/>
      <c r="U3557" s="22"/>
      <c r="V3557" s="22"/>
      <c r="W3557" s="22"/>
      <c r="X3557" s="30"/>
      <c r="Y3557" s="31" t="str">
        <f t="shared" si="1052"/>
        <v/>
      </c>
      <c r="Z3557" s="18" t="str">
        <f t="shared" si="1037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38"/>
        <v>10524262.405309737</v>
      </c>
      <c r="AJ3557" s="27">
        <f t="shared" si="1039"/>
        <v>1479050.9527127435</v>
      </c>
      <c r="AK3557" s="28">
        <f t="shared" si="1044"/>
        <v>0.14053725532028996</v>
      </c>
      <c r="AL3557" s="24"/>
      <c r="AM3557" s="24"/>
      <c r="AN3557" s="24"/>
      <c r="AO3557" s="24"/>
      <c r="AP3557" s="95" t="str">
        <f t="shared" si="1045"/>
        <v>20242</v>
      </c>
      <c r="AQ3557" s="203" t="str">
        <f t="shared" si="1046"/>
        <v/>
      </c>
      <c r="AR3557" s="206" t="str">
        <f t="shared" si="1047"/>
        <v>C66 SERVICE</v>
      </c>
      <c r="AS3557" s="22" t="str">
        <f t="shared" si="1048"/>
        <v/>
      </c>
      <c r="AT3557" s="24" t="str">
        <f t="shared" si="1049"/>
        <v/>
      </c>
      <c r="AU3557" s="22">
        <v>0</v>
      </c>
    </row>
    <row r="3558" spans="1:47" ht="39.6">
      <c r="A3558" s="33" t="str">
        <f t="shared" si="1040"/>
        <v/>
      </c>
      <c r="B3558" s="23"/>
      <c r="C3558" s="23"/>
      <c r="D3558" s="33" t="str">
        <f t="shared" si="1036"/>
        <v/>
      </c>
      <c r="E3558" s="33" t="str">
        <f t="shared" si="1051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43</v>
      </c>
      <c r="M3558" s="22" t="s">
        <v>43</v>
      </c>
      <c r="N3558" s="22">
        <v>0</v>
      </c>
      <c r="O3558" s="22"/>
      <c r="P3558" s="33" t="str">
        <f t="shared" si="1050"/>
        <v>C66 SERVICE/OTHERS</v>
      </c>
      <c r="Q3558" s="22" t="s">
        <v>45</v>
      </c>
      <c r="R3558" s="22" t="s">
        <v>45</v>
      </c>
      <c r="S3558" s="22" t="s">
        <v>49</v>
      </c>
      <c r="T3558" s="22"/>
      <c r="U3558" s="22"/>
      <c r="V3558" s="22"/>
      <c r="W3558" s="22"/>
      <c r="X3558" s="30"/>
      <c r="Y3558" s="31" t="str">
        <f t="shared" si="1052"/>
        <v/>
      </c>
      <c r="Z3558" s="18" t="str">
        <f t="shared" si="1037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38"/>
        <v>21241742.157380536</v>
      </c>
      <c r="AJ3558" s="27">
        <f t="shared" si="1039"/>
        <v>2987081.1613773629</v>
      </c>
      <c r="AK3558" s="28">
        <f t="shared" si="1044"/>
        <v>0.14062317201884914</v>
      </c>
      <c r="AL3558" s="24"/>
      <c r="AM3558" s="24"/>
      <c r="AN3558" s="24"/>
      <c r="AO3558" s="24"/>
      <c r="AP3558" s="95" t="str">
        <f t="shared" si="1045"/>
        <v>20243</v>
      </c>
      <c r="AQ3558" s="203" t="str">
        <f t="shared" si="1046"/>
        <v/>
      </c>
      <c r="AR3558" s="206" t="str">
        <f t="shared" si="1047"/>
        <v>C66 SERVICE</v>
      </c>
      <c r="AS3558" s="22" t="str">
        <f t="shared" si="1048"/>
        <v/>
      </c>
      <c r="AT3558" s="24" t="str">
        <f t="shared" si="1049"/>
        <v/>
      </c>
      <c r="AU3558" s="22">
        <v>0</v>
      </c>
    </row>
    <row r="3559" spans="1:47" ht="39.6">
      <c r="A3559" s="33" t="str">
        <f t="shared" si="1040"/>
        <v/>
      </c>
      <c r="B3559" s="23"/>
      <c r="C3559" s="23"/>
      <c r="D3559" s="33" t="str">
        <f t="shared" si="1036"/>
        <v/>
      </c>
      <c r="E3559" s="33" t="str">
        <f t="shared" si="1051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43</v>
      </c>
      <c r="M3559" s="22" t="s">
        <v>43</v>
      </c>
      <c r="N3559" s="22">
        <v>0</v>
      </c>
      <c r="O3559" s="22"/>
      <c r="P3559" s="33" t="str">
        <f t="shared" si="1050"/>
        <v>C66 SERVICE/OTHERS</v>
      </c>
      <c r="Q3559" s="22" t="s">
        <v>45</v>
      </c>
      <c r="R3559" s="22" t="s">
        <v>45</v>
      </c>
      <c r="S3559" s="22" t="s">
        <v>52</v>
      </c>
      <c r="T3559" s="22"/>
      <c r="U3559" s="22"/>
      <c r="V3559" s="22"/>
      <c r="W3559" s="22"/>
      <c r="X3559" s="30"/>
      <c r="Y3559" s="31" t="str">
        <f t="shared" si="1052"/>
        <v/>
      </c>
      <c r="Z3559" s="18" t="str">
        <f t="shared" si="1037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38"/>
        <v>21241742.157380536</v>
      </c>
      <c r="AJ3559" s="27">
        <f t="shared" si="1039"/>
        <v>2987081.1613773629</v>
      </c>
      <c r="AK3559" s="28">
        <f t="shared" si="1044"/>
        <v>0.14062317201884914</v>
      </c>
      <c r="AL3559" s="24"/>
      <c r="AM3559" s="24"/>
      <c r="AN3559" s="24"/>
      <c r="AO3559" s="24"/>
      <c r="AP3559" s="95" t="str">
        <f t="shared" si="1045"/>
        <v>20243</v>
      </c>
      <c r="AQ3559" s="203" t="str">
        <f t="shared" si="1046"/>
        <v/>
      </c>
      <c r="AR3559" s="206" t="str">
        <f t="shared" si="1047"/>
        <v>C66 SERVICE</v>
      </c>
      <c r="AS3559" s="22" t="str">
        <f t="shared" si="1048"/>
        <v/>
      </c>
      <c r="AT3559" s="24" t="str">
        <f t="shared" si="1049"/>
        <v/>
      </c>
      <c r="AU3559" s="22">
        <v>0</v>
      </c>
    </row>
    <row r="3560" spans="1:47" ht="39.6">
      <c r="A3560" s="33" t="str">
        <f t="shared" si="1040"/>
        <v/>
      </c>
      <c r="B3560" s="23"/>
      <c r="C3560" s="23"/>
      <c r="D3560" s="33" t="str">
        <f t="shared" si="1036"/>
        <v/>
      </c>
      <c r="E3560" s="33" t="str">
        <f t="shared" si="1051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43</v>
      </c>
      <c r="M3560" s="22" t="s">
        <v>43</v>
      </c>
      <c r="N3560" s="22">
        <v>0</v>
      </c>
      <c r="O3560" s="22"/>
      <c r="P3560" s="33" t="str">
        <f t="shared" si="1050"/>
        <v>C66 SERVICE/OTHERS</v>
      </c>
      <c r="Q3560" s="22" t="s">
        <v>45</v>
      </c>
      <c r="R3560" s="22" t="s">
        <v>45</v>
      </c>
      <c r="S3560" s="22" t="s">
        <v>51</v>
      </c>
      <c r="T3560" s="22"/>
      <c r="U3560" s="22"/>
      <c r="V3560" s="22"/>
      <c r="W3560" s="22"/>
      <c r="X3560" s="30"/>
      <c r="Y3560" s="31" t="str">
        <f t="shared" si="1052"/>
        <v/>
      </c>
      <c r="Z3560" s="18" t="str">
        <f t="shared" si="1037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38"/>
        <v>21241742.157380536</v>
      </c>
      <c r="AJ3560" s="27">
        <f t="shared" si="1039"/>
        <v>2987081.1613773629</v>
      </c>
      <c r="AK3560" s="28">
        <f t="shared" si="1044"/>
        <v>0.14062317201884914</v>
      </c>
      <c r="AL3560" s="24"/>
      <c r="AM3560" s="24"/>
      <c r="AN3560" s="24"/>
      <c r="AO3560" s="24"/>
      <c r="AP3560" s="95" t="str">
        <f t="shared" si="1045"/>
        <v>20243</v>
      </c>
      <c r="AQ3560" s="203" t="str">
        <f t="shared" si="1046"/>
        <v/>
      </c>
      <c r="AR3560" s="206" t="str">
        <f t="shared" si="1047"/>
        <v>C66 SERVICE</v>
      </c>
      <c r="AS3560" s="22" t="str">
        <f t="shared" si="1048"/>
        <v/>
      </c>
      <c r="AT3560" s="24" t="str">
        <f t="shared" si="1049"/>
        <v/>
      </c>
      <c r="AU3560" s="22">
        <v>0</v>
      </c>
    </row>
    <row r="3561" spans="1:47" ht="39.6">
      <c r="A3561" s="33" t="str">
        <f t="shared" si="1040"/>
        <v/>
      </c>
      <c r="B3561" s="23"/>
      <c r="C3561" s="23"/>
      <c r="D3561" s="33" t="str">
        <f t="shared" si="1036"/>
        <v/>
      </c>
      <c r="E3561" s="33" t="str">
        <f t="shared" si="1051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43</v>
      </c>
      <c r="M3561" s="22" t="s">
        <v>43</v>
      </c>
      <c r="N3561" s="22">
        <v>0</v>
      </c>
      <c r="O3561" s="22"/>
      <c r="P3561" s="33" t="str">
        <f t="shared" si="1050"/>
        <v>C66 SERVICE/OTHERS</v>
      </c>
      <c r="Q3561" s="22" t="s">
        <v>45</v>
      </c>
      <c r="R3561" s="22" t="s">
        <v>45</v>
      </c>
      <c r="S3561" s="22" t="s">
        <v>50</v>
      </c>
      <c r="T3561" s="22"/>
      <c r="U3561" s="22"/>
      <c r="V3561" s="22"/>
      <c r="W3561" s="22"/>
      <c r="X3561" s="30"/>
      <c r="Y3561" s="31" t="str">
        <f t="shared" si="1052"/>
        <v/>
      </c>
      <c r="Z3561" s="18" t="str">
        <f t="shared" si="1037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38"/>
        <v>21241742.157380536</v>
      </c>
      <c r="AJ3561" s="27">
        <f t="shared" si="1039"/>
        <v>2987081.1613773629</v>
      </c>
      <c r="AK3561" s="28">
        <f t="shared" si="1044"/>
        <v>0.14062317201884914</v>
      </c>
      <c r="AL3561" s="24"/>
      <c r="AM3561" s="24"/>
      <c r="AN3561" s="24"/>
      <c r="AO3561" s="24"/>
      <c r="AP3561" s="95" t="str">
        <f t="shared" si="1045"/>
        <v>20243</v>
      </c>
      <c r="AQ3561" s="203" t="str">
        <f t="shared" si="1046"/>
        <v/>
      </c>
      <c r="AR3561" s="206" t="str">
        <f t="shared" si="1047"/>
        <v>C66 SERVICE</v>
      </c>
      <c r="AS3561" s="22" t="str">
        <f t="shared" si="1048"/>
        <v/>
      </c>
      <c r="AT3561" s="24" t="str">
        <f t="shared" si="1049"/>
        <v/>
      </c>
      <c r="AU3561" s="22">
        <v>0</v>
      </c>
    </row>
    <row r="3562" spans="1:47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6"/>
        <v>Q2</v>
      </c>
      <c r="E3562" s="33" t="str">
        <f t="shared" si="1051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3537</v>
      </c>
      <c r="K3562" s="29" t="s">
        <v>167</v>
      </c>
      <c r="L3562" s="17" t="s">
        <v>2620</v>
      </c>
      <c r="M3562" s="13" t="s">
        <v>60</v>
      </c>
      <c r="N3562" s="13">
        <v>1</v>
      </c>
      <c r="O3562" s="22"/>
      <c r="P3562" s="202" t="str">
        <f t="shared" si="1050"/>
        <v>MAIN UNIT</v>
      </c>
      <c r="Q3562" s="22" t="s">
        <v>61</v>
      </c>
      <c r="R3562" s="22" t="s">
        <v>2055</v>
      </c>
      <c r="S3562" s="22" t="s">
        <v>50</v>
      </c>
      <c r="T3562" s="22" t="s">
        <v>83</v>
      </c>
      <c r="U3562" s="22" t="s">
        <v>70</v>
      </c>
      <c r="V3562" s="22" t="s">
        <v>102</v>
      </c>
      <c r="W3562" s="22" t="s">
        <v>64</v>
      </c>
      <c r="X3562" s="104">
        <v>358000</v>
      </c>
      <c r="Y3562" s="195" t="str">
        <f t="shared" si="1052"/>
        <v>1.13</v>
      </c>
      <c r="Z3562" s="196">
        <f t="shared" si="1037"/>
        <v>358000</v>
      </c>
      <c r="AA3562" s="22">
        <v>1.08</v>
      </c>
      <c r="AB3562" s="197">
        <f t="shared" ref="AB3562:AB3568" si="1053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38"/>
        <v>25354039.366920356</v>
      </c>
      <c r="AJ3562" s="200">
        <f t="shared" si="1039"/>
        <v>3028631.2816309328</v>
      </c>
      <c r="AK3562" s="201">
        <f t="shared" si="1044"/>
        <v>0.11945360018579192</v>
      </c>
      <c r="AL3562" s="24"/>
      <c r="AM3562" s="24"/>
      <c r="AN3562" s="24"/>
      <c r="AO3562" s="24"/>
      <c r="AP3562" s="165" t="str">
        <f t="shared" si="1045"/>
        <v>20248</v>
      </c>
      <c r="AQ3562" s="203" t="str">
        <f t="shared" si="1046"/>
        <v>20248RMB</v>
      </c>
      <c r="AR3562" s="206" t="str">
        <f t="shared" si="1047"/>
        <v>YAMAHA_Non_Mounter</v>
      </c>
      <c r="AS3562" s="22">
        <f t="shared" si="1048"/>
        <v>1</v>
      </c>
      <c r="AT3562" s="24" t="str">
        <f t="shared" si="1049"/>
        <v>0-3 months</v>
      </c>
      <c r="AU3562" s="22" t="s">
        <v>3240</v>
      </c>
    </row>
    <row r="3563" spans="1:47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6"/>
        <v>Q2</v>
      </c>
      <c r="E3563" s="33" t="s">
        <v>3172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3538</v>
      </c>
      <c r="K3563" s="29" t="s">
        <v>1905</v>
      </c>
      <c r="L3563" s="24" t="s">
        <v>92</v>
      </c>
      <c r="M3563" s="13" t="s">
        <v>60</v>
      </c>
      <c r="N3563" s="13">
        <v>1</v>
      </c>
      <c r="O3563" s="22"/>
      <c r="P3563" s="202" t="str">
        <f t="shared" si="1050"/>
        <v>MAIN UNIT</v>
      </c>
      <c r="Q3563" s="22" t="s">
        <v>61</v>
      </c>
      <c r="R3563" s="22" t="s">
        <v>62</v>
      </c>
      <c r="S3563" s="22" t="s">
        <v>52</v>
      </c>
      <c r="T3563" s="22" t="s">
        <v>176</v>
      </c>
      <c r="U3563" s="22" t="s">
        <v>177</v>
      </c>
      <c r="V3563" s="22" t="s">
        <v>178</v>
      </c>
      <c r="W3563" s="22" t="s">
        <v>64</v>
      </c>
      <c r="X3563" s="104">
        <v>750000</v>
      </c>
      <c r="Y3563" s="195" t="str">
        <f t="shared" si="1052"/>
        <v>1.13</v>
      </c>
      <c r="Z3563" s="196">
        <f t="shared" si="1037"/>
        <v>750000</v>
      </c>
      <c r="AA3563" s="22">
        <v>1.08</v>
      </c>
      <c r="AB3563" s="197">
        <f t="shared" si="1053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38"/>
        <v>25354039.366920356</v>
      </c>
      <c r="AJ3563" s="200">
        <f t="shared" si="1039"/>
        <v>3028631.2816309328</v>
      </c>
      <c r="AK3563" s="201">
        <f t="shared" si="1044"/>
        <v>0.11945360018579192</v>
      </c>
      <c r="AL3563" s="24"/>
      <c r="AM3563" s="24"/>
      <c r="AN3563" s="24"/>
      <c r="AO3563" s="24"/>
      <c r="AP3563" s="165" t="str">
        <f t="shared" si="1045"/>
        <v>20248</v>
      </c>
      <c r="AQ3563" s="203" t="str">
        <f t="shared" si="1046"/>
        <v>20248RMB</v>
      </c>
      <c r="AR3563" s="206" t="str">
        <f t="shared" si="1047"/>
        <v>YAMAHA_Mounter</v>
      </c>
      <c r="AS3563" s="22">
        <f t="shared" si="1048"/>
        <v>1</v>
      </c>
      <c r="AT3563" s="24" t="str">
        <f t="shared" si="1049"/>
        <v>0-3 months</v>
      </c>
      <c r="AU3563" s="22" t="s">
        <v>3240</v>
      </c>
    </row>
    <row r="3564" spans="1:47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6"/>
        <v>Q2</v>
      </c>
      <c r="E3564" s="33" t="s">
        <v>3172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3538</v>
      </c>
      <c r="K3564" s="29" t="s">
        <v>1905</v>
      </c>
      <c r="L3564" s="24" t="s">
        <v>92</v>
      </c>
      <c r="M3564" s="13" t="s">
        <v>60</v>
      </c>
      <c r="N3564" s="13">
        <v>1</v>
      </c>
      <c r="O3564" s="22"/>
      <c r="P3564" s="202" t="str">
        <f t="shared" si="1050"/>
        <v>MAIN UNIT</v>
      </c>
      <c r="Q3564" s="22" t="s">
        <v>61</v>
      </c>
      <c r="R3564" s="22" t="s">
        <v>62</v>
      </c>
      <c r="S3564" s="22" t="s">
        <v>52</v>
      </c>
      <c r="T3564" s="22" t="s">
        <v>176</v>
      </c>
      <c r="U3564" s="22" t="s">
        <v>177</v>
      </c>
      <c r="V3564" s="22" t="s">
        <v>178</v>
      </c>
      <c r="W3564" s="22" t="s">
        <v>64</v>
      </c>
      <c r="X3564" s="104">
        <v>750000</v>
      </c>
      <c r="Y3564" s="195" t="str">
        <f t="shared" si="1052"/>
        <v>1.13</v>
      </c>
      <c r="Z3564" s="196">
        <f t="shared" si="1037"/>
        <v>750000</v>
      </c>
      <c r="AA3564" s="22">
        <v>1.08</v>
      </c>
      <c r="AB3564" s="197">
        <f t="shared" si="1053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38"/>
        <v>25354039.366920356</v>
      </c>
      <c r="AJ3564" s="200">
        <f t="shared" si="1039"/>
        <v>3028631.2816309328</v>
      </c>
      <c r="AK3564" s="201">
        <f t="shared" si="1044"/>
        <v>0.11945360018579192</v>
      </c>
      <c r="AL3564" s="24"/>
      <c r="AM3564" s="24"/>
      <c r="AN3564" s="24"/>
      <c r="AO3564" s="24"/>
      <c r="AP3564" s="165" t="str">
        <f t="shared" si="1045"/>
        <v>20248</v>
      </c>
      <c r="AQ3564" s="203" t="str">
        <f t="shared" si="1046"/>
        <v>20248RMB</v>
      </c>
      <c r="AR3564" s="206" t="str">
        <f t="shared" si="1047"/>
        <v>YAMAHA_Mounter</v>
      </c>
      <c r="AS3564" s="22">
        <f t="shared" si="1048"/>
        <v>1</v>
      </c>
      <c r="AT3564" s="24" t="str">
        <f t="shared" si="1049"/>
        <v>0-3 months</v>
      </c>
      <c r="AU3564" s="22" t="s">
        <v>3240</v>
      </c>
    </row>
    <row r="3565" spans="1:47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6"/>
        <v>Q2</v>
      </c>
      <c r="E3565" s="33" t="s">
        <v>3172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3538</v>
      </c>
      <c r="K3565" s="29" t="s">
        <v>1905</v>
      </c>
      <c r="L3565" s="24" t="s">
        <v>67</v>
      </c>
      <c r="M3565" s="13" t="s">
        <v>60</v>
      </c>
      <c r="N3565" s="13">
        <v>1</v>
      </c>
      <c r="O3565" s="22"/>
      <c r="P3565" s="202" t="str">
        <f t="shared" si="1050"/>
        <v>MAIN UNIT</v>
      </c>
      <c r="Q3565" s="22" t="s">
        <v>61</v>
      </c>
      <c r="R3565" s="22" t="s">
        <v>62</v>
      </c>
      <c r="S3565" s="22" t="s">
        <v>52</v>
      </c>
      <c r="T3565" s="22" t="s">
        <v>176</v>
      </c>
      <c r="U3565" s="22" t="s">
        <v>177</v>
      </c>
      <c r="V3565" s="22" t="s">
        <v>178</v>
      </c>
      <c r="W3565" s="22" t="s">
        <v>64</v>
      </c>
      <c r="X3565" s="104">
        <v>590000</v>
      </c>
      <c r="Y3565" s="195" t="str">
        <f t="shared" si="1052"/>
        <v>1.13</v>
      </c>
      <c r="Z3565" s="196">
        <f t="shared" si="1037"/>
        <v>590000</v>
      </c>
      <c r="AA3565" s="22">
        <v>1.08</v>
      </c>
      <c r="AB3565" s="197">
        <f t="shared" si="1053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38"/>
        <v>25354039.366920356</v>
      </c>
      <c r="AJ3565" s="200">
        <f t="shared" si="1039"/>
        <v>3028631.2816309328</v>
      </c>
      <c r="AK3565" s="201">
        <f t="shared" si="1044"/>
        <v>0.11945360018579192</v>
      </c>
      <c r="AL3565" s="24"/>
      <c r="AM3565" s="24"/>
      <c r="AN3565" s="24"/>
      <c r="AO3565" s="24"/>
      <c r="AP3565" s="165" t="str">
        <f t="shared" si="1045"/>
        <v>20248</v>
      </c>
      <c r="AQ3565" s="203" t="str">
        <f t="shared" si="1046"/>
        <v>20248RMB</v>
      </c>
      <c r="AR3565" s="206" t="str">
        <f t="shared" si="1047"/>
        <v>YAMAHA_Mounter</v>
      </c>
      <c r="AS3565" s="22">
        <f t="shared" si="1048"/>
        <v>1</v>
      </c>
      <c r="AT3565" s="24" t="str">
        <f t="shared" si="1049"/>
        <v>0-3 months</v>
      </c>
      <c r="AU3565" s="22" t="s">
        <v>3240</v>
      </c>
    </row>
    <row r="3566" spans="1:47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6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3313</v>
      </c>
      <c r="K3566" s="29" t="s">
        <v>3363</v>
      </c>
      <c r="L3566" s="17" t="s">
        <v>516</v>
      </c>
      <c r="M3566" s="13" t="s">
        <v>60</v>
      </c>
      <c r="N3566" s="22"/>
      <c r="O3566" s="22">
        <v>17</v>
      </c>
      <c r="P3566" s="33" t="str">
        <f t="shared" si="1050"/>
        <v>SERVICE/ PARTS</v>
      </c>
      <c r="Q3566" s="13" t="s">
        <v>68</v>
      </c>
      <c r="R3566" s="22" t="s">
        <v>62</v>
      </c>
      <c r="S3566" s="22" t="s">
        <v>50</v>
      </c>
      <c r="T3566" s="22" t="s">
        <v>101</v>
      </c>
      <c r="U3566" s="22" t="s">
        <v>70</v>
      </c>
      <c r="V3566" s="22" t="s">
        <v>1010</v>
      </c>
      <c r="W3566" s="22" t="s">
        <v>64</v>
      </c>
      <c r="X3566" s="30">
        <v>2941.18</v>
      </c>
      <c r="Y3566" s="31" t="str">
        <f t="shared" si="1052"/>
        <v>1.13</v>
      </c>
      <c r="Z3566" s="18">
        <f t="shared" si="1037"/>
        <v>50000.06</v>
      </c>
      <c r="AA3566" s="22">
        <v>1.0640000000000001</v>
      </c>
      <c r="AB3566" s="21">
        <f t="shared" si="1053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38"/>
        <v>21241742.157380536</v>
      </c>
      <c r="AJ3566" s="27">
        <f t="shared" si="1039"/>
        <v>2987081.1613773629</v>
      </c>
      <c r="AK3566" s="28">
        <f t="shared" si="1044"/>
        <v>0.14062317201884914</v>
      </c>
      <c r="AL3566" s="24"/>
      <c r="AM3566" s="24"/>
      <c r="AN3566" s="24"/>
      <c r="AO3566" s="24"/>
      <c r="AP3566" s="95" t="str">
        <f t="shared" si="1045"/>
        <v>20243</v>
      </c>
      <c r="AQ3566" s="203" t="str">
        <f t="shared" si="1046"/>
        <v>20243RMB</v>
      </c>
      <c r="AR3566" s="206" t="str">
        <f t="shared" si="1047"/>
        <v>YAMAHA_Mounter</v>
      </c>
      <c r="AS3566" s="22">
        <f t="shared" si="1048"/>
        <v>0</v>
      </c>
      <c r="AT3566" s="24" t="str">
        <f t="shared" si="1049"/>
        <v>0-3 months</v>
      </c>
      <c r="AU3566" s="22" t="s">
        <v>3240</v>
      </c>
    </row>
    <row r="3567" spans="1:47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6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3410</v>
      </c>
      <c r="K3567" s="29" t="s">
        <v>193</v>
      </c>
      <c r="L3567" s="17" t="s">
        <v>67</v>
      </c>
      <c r="M3567" s="22" t="s">
        <v>60</v>
      </c>
      <c r="N3567" s="22">
        <v>1</v>
      </c>
      <c r="O3567" s="22"/>
      <c r="P3567" s="33" t="str">
        <f t="shared" si="1050"/>
        <v>MAIN UNIT</v>
      </c>
      <c r="Q3567" s="13" t="s">
        <v>61</v>
      </c>
      <c r="R3567" s="22" t="s">
        <v>62</v>
      </c>
      <c r="S3567" s="22" t="s">
        <v>50</v>
      </c>
      <c r="T3567" s="22" t="s">
        <v>194</v>
      </c>
      <c r="U3567" s="22" t="s">
        <v>70</v>
      </c>
      <c r="V3567" s="22" t="s">
        <v>94</v>
      </c>
      <c r="W3567" s="22" t="s">
        <v>64</v>
      </c>
      <c r="X3567" s="30">
        <v>471782</v>
      </c>
      <c r="Y3567" s="31" t="str">
        <f t="shared" si="1052"/>
        <v>1.13</v>
      </c>
      <c r="Z3567" s="18">
        <f t="shared" si="1037"/>
        <v>471782</v>
      </c>
      <c r="AA3567" s="22">
        <v>1.1080000000000001</v>
      </c>
      <c r="AB3567" s="21">
        <f t="shared" si="1053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38"/>
        <v>22758096.38940867</v>
      </c>
      <c r="AJ3567" s="27">
        <f t="shared" si="1039"/>
        <v>2469357.2298956565</v>
      </c>
      <c r="AK3567" s="28">
        <f t="shared" si="1044"/>
        <v>0.10850455976822666</v>
      </c>
      <c r="AL3567" s="24"/>
      <c r="AM3567" s="24"/>
      <c r="AN3567" s="24"/>
      <c r="AO3567" s="24"/>
      <c r="AP3567" s="95" t="str">
        <f t="shared" si="1045"/>
        <v>202410</v>
      </c>
      <c r="AQ3567" s="203" t="str">
        <f t="shared" si="1046"/>
        <v>202410RMB</v>
      </c>
      <c r="AR3567" s="206" t="str">
        <f t="shared" si="1047"/>
        <v>YAMAHA_Mounter</v>
      </c>
      <c r="AS3567" s="22">
        <f t="shared" si="1048"/>
        <v>6</v>
      </c>
      <c r="AT3567" s="24" t="str">
        <f t="shared" si="1049"/>
        <v>4-6 months</v>
      </c>
      <c r="AU3567" s="22" t="s">
        <v>3240</v>
      </c>
    </row>
    <row r="3568" spans="1:47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6"/>
        <v>Q2</v>
      </c>
      <c r="E3568" s="33" t="s">
        <v>3172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3538</v>
      </c>
      <c r="K3568" s="29" t="s">
        <v>1905</v>
      </c>
      <c r="L3568" s="17" t="s">
        <v>2620</v>
      </c>
      <c r="M3568" s="13" t="s">
        <v>60</v>
      </c>
      <c r="N3568" s="13">
        <v>1</v>
      </c>
      <c r="O3568" s="22"/>
      <c r="P3568" s="202" t="str">
        <f t="shared" si="1050"/>
        <v>MAIN UNIT</v>
      </c>
      <c r="Q3568" s="22" t="s">
        <v>61</v>
      </c>
      <c r="R3568" s="22" t="s">
        <v>2055</v>
      </c>
      <c r="S3568" s="22" t="s">
        <v>52</v>
      </c>
      <c r="T3568" s="22" t="s">
        <v>176</v>
      </c>
      <c r="U3568" s="22" t="s">
        <v>177</v>
      </c>
      <c r="V3568" s="22" t="s">
        <v>178</v>
      </c>
      <c r="W3568" s="22" t="s">
        <v>64</v>
      </c>
      <c r="X3568" s="104">
        <v>485000</v>
      </c>
      <c r="Y3568" s="195" t="str">
        <f t="shared" si="1052"/>
        <v>1.13</v>
      </c>
      <c r="Z3568" s="196">
        <f t="shared" si="1037"/>
        <v>485000</v>
      </c>
      <c r="AA3568" s="22">
        <v>1.08</v>
      </c>
      <c r="AB3568" s="197">
        <f t="shared" si="1053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38"/>
        <v>25354039.366920356</v>
      </c>
      <c r="AJ3568" s="200">
        <f t="shared" si="1039"/>
        <v>3028631.2816309328</v>
      </c>
      <c r="AK3568" s="201">
        <f t="shared" si="1044"/>
        <v>0.11945360018579192</v>
      </c>
      <c r="AL3568" s="24"/>
      <c r="AM3568" s="24"/>
      <c r="AN3568" s="24"/>
      <c r="AO3568" s="24"/>
      <c r="AP3568" s="165" t="str">
        <f t="shared" si="1045"/>
        <v>20248</v>
      </c>
      <c r="AQ3568" s="203" t="str">
        <f t="shared" si="1046"/>
        <v>20248RMB</v>
      </c>
      <c r="AR3568" s="206" t="str">
        <f t="shared" si="1047"/>
        <v>YAMAHA_Non_Mounter</v>
      </c>
      <c r="AS3568" s="22">
        <f t="shared" si="1048"/>
        <v>1</v>
      </c>
      <c r="AT3568" s="24" t="str">
        <f t="shared" si="1049"/>
        <v>0-3 months</v>
      </c>
      <c r="AU3568" s="22" t="s">
        <v>3240</v>
      </c>
    </row>
    <row r="3569" spans="1:47" ht="39.6">
      <c r="A3569" s="33" t="str">
        <f t="shared" si="1040"/>
        <v/>
      </c>
      <c r="B3569" s="23"/>
      <c r="C3569" s="23"/>
      <c r="D3569" s="202" t="str">
        <f t="shared" si="1036"/>
        <v/>
      </c>
      <c r="E3569" s="33" t="s">
        <v>3172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43</v>
      </c>
      <c r="M3569" s="22" t="s">
        <v>43</v>
      </c>
      <c r="N3569" s="22">
        <v>0</v>
      </c>
      <c r="O3569" s="22"/>
      <c r="P3569" s="202" t="str">
        <f t="shared" si="1050"/>
        <v>C66 SERVICE/OTHERS</v>
      </c>
      <c r="Q3569" s="22" t="s">
        <v>45</v>
      </c>
      <c r="R3569" s="22" t="s">
        <v>45</v>
      </c>
      <c r="S3569" s="22" t="s">
        <v>52</v>
      </c>
      <c r="T3569" s="22"/>
      <c r="U3569" s="22"/>
      <c r="V3569" s="22"/>
      <c r="W3569" s="22"/>
      <c r="X3569" s="104"/>
      <c r="Y3569" s="195" t="str">
        <f t="shared" si="1052"/>
        <v/>
      </c>
      <c r="Z3569" s="196" t="str">
        <f t="shared" si="1037"/>
        <v/>
      </c>
      <c r="AA3569" s="22"/>
      <c r="AB3569" s="197">
        <v>0</v>
      </c>
      <c r="AC3569" s="198">
        <f t="shared" si="1042"/>
        <v>0</v>
      </c>
      <c r="AD3569" s="227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38"/>
        <v>25354039.366920356</v>
      </c>
      <c r="AJ3569" s="200">
        <f t="shared" si="1039"/>
        <v>3028631.2816309328</v>
      </c>
      <c r="AK3569" s="201">
        <f t="shared" si="1044"/>
        <v>0.11945360018579192</v>
      </c>
      <c r="AL3569" s="24"/>
      <c r="AM3569" s="24"/>
      <c r="AN3569" s="24"/>
      <c r="AO3569" s="24"/>
      <c r="AP3569" s="165" t="str">
        <f t="shared" si="1045"/>
        <v>20248</v>
      </c>
      <c r="AQ3569" s="203" t="str">
        <f t="shared" si="1046"/>
        <v/>
      </c>
      <c r="AR3569" s="206" t="str">
        <f t="shared" si="1047"/>
        <v>C66 SERVICE</v>
      </c>
      <c r="AS3569" s="22" t="str">
        <f t="shared" si="1048"/>
        <v/>
      </c>
      <c r="AT3569" s="24" t="str">
        <f t="shared" si="1049"/>
        <v/>
      </c>
      <c r="AU3569" s="22">
        <v>0</v>
      </c>
    </row>
    <row r="3570" spans="1:47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4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5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3148</v>
      </c>
      <c r="K3570" s="155" t="s">
        <v>3149</v>
      </c>
      <c r="L3570" s="17" t="s">
        <v>92</v>
      </c>
      <c r="M3570" s="13" t="s">
        <v>60</v>
      </c>
      <c r="N3570" s="13">
        <v>2</v>
      </c>
      <c r="O3570" s="13"/>
      <c r="P3570" s="33" t="str">
        <f t="shared" si="1050"/>
        <v>MAIN UNIT</v>
      </c>
      <c r="Q3570" s="13" t="s">
        <v>68</v>
      </c>
      <c r="R3570" s="13" t="s">
        <v>62</v>
      </c>
      <c r="S3570" s="13" t="s">
        <v>50</v>
      </c>
      <c r="T3570" s="13" t="s">
        <v>88</v>
      </c>
      <c r="U3570" s="13" t="s">
        <v>70</v>
      </c>
      <c r="V3570" s="13" t="s">
        <v>1010</v>
      </c>
      <c r="W3570" s="13" t="s">
        <v>64</v>
      </c>
      <c r="X3570" s="135">
        <v>735000</v>
      </c>
      <c r="Y3570" s="157" t="str">
        <f>IF(W3570="RMB","1.13", "1")</f>
        <v>1.13</v>
      </c>
      <c r="Z3570" s="18">
        <f t="shared" ref="Z3570:Z3633" si="1056">IF(X3570="","",X3570*MAX(O3570,N3570))</f>
        <v>1470000</v>
      </c>
      <c r="AA3570" s="22">
        <v>1.0640000000000001</v>
      </c>
      <c r="AB3570" s="21">
        <f t="shared" ref="AB3570:AB3577" si="1057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38"/>
        <v>16190947.162761064</v>
      </c>
      <c r="AJ3570" s="19">
        <f t="shared" si="1039"/>
        <v>2256328.1660673413</v>
      </c>
      <c r="AK3570" s="20">
        <f t="shared" si="1044"/>
        <v>0.13935739171929745</v>
      </c>
      <c r="AL3570" s="17"/>
      <c r="AM3570" s="17"/>
      <c r="AN3570" s="17"/>
      <c r="AO3570" s="17"/>
      <c r="AP3570" s="95" t="str">
        <f t="shared" si="1045"/>
        <v>20251</v>
      </c>
      <c r="AQ3570" s="203" t="str">
        <f t="shared" si="1046"/>
        <v>20251RMB</v>
      </c>
      <c r="AR3570" s="206" t="str">
        <f t="shared" si="1047"/>
        <v>YAMAHA_Mounter</v>
      </c>
      <c r="AS3570" s="22">
        <f t="shared" si="1048"/>
        <v>18</v>
      </c>
      <c r="AT3570" s="24" t="str">
        <f t="shared" si="1049"/>
        <v>&gt; 6 months</v>
      </c>
      <c r="AU3570" s="22" t="s">
        <v>3240</v>
      </c>
    </row>
    <row r="3571" spans="1:47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4"/>
        <v>Q2</v>
      </c>
      <c r="E3571" s="33" t="str">
        <f t="shared" si="1055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3148</v>
      </c>
      <c r="K3571" s="155" t="s">
        <v>3149</v>
      </c>
      <c r="L3571" s="17" t="s">
        <v>67</v>
      </c>
      <c r="M3571" s="13" t="s">
        <v>60</v>
      </c>
      <c r="N3571" s="13">
        <v>2</v>
      </c>
      <c r="O3571" s="13"/>
      <c r="P3571" s="33" t="str">
        <f t="shared" si="1050"/>
        <v>MAIN UNIT</v>
      </c>
      <c r="Q3571" s="13" t="s">
        <v>68</v>
      </c>
      <c r="R3571" s="13" t="s">
        <v>62</v>
      </c>
      <c r="S3571" s="13" t="s">
        <v>50</v>
      </c>
      <c r="T3571" s="13" t="s">
        <v>88</v>
      </c>
      <c r="U3571" s="13" t="s">
        <v>70</v>
      </c>
      <c r="V3571" s="13" t="s">
        <v>1010</v>
      </c>
      <c r="W3571" s="13" t="s">
        <v>64</v>
      </c>
      <c r="X3571" s="135">
        <v>478250</v>
      </c>
      <c r="Y3571" s="157" t="str">
        <f>IF(W3571="RMB","1.13", "1")</f>
        <v>1.13</v>
      </c>
      <c r="Z3571" s="18">
        <f t="shared" si="1056"/>
        <v>956500</v>
      </c>
      <c r="AA3571" s="22">
        <v>1.0640000000000001</v>
      </c>
      <c r="AB3571" s="21">
        <f t="shared" si="1057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38"/>
        <v>16190947.162761064</v>
      </c>
      <c r="AJ3571" s="19">
        <f t="shared" si="1039"/>
        <v>2256328.1660673413</v>
      </c>
      <c r="AK3571" s="20">
        <f t="shared" si="1044"/>
        <v>0.13935739171929745</v>
      </c>
      <c r="AL3571" s="17"/>
      <c r="AM3571" s="17"/>
      <c r="AN3571" s="17"/>
      <c r="AO3571" s="17"/>
      <c r="AP3571" s="95" t="str">
        <f t="shared" si="1045"/>
        <v>20251</v>
      </c>
      <c r="AQ3571" s="203" t="str">
        <f t="shared" si="1046"/>
        <v>20251RMB</v>
      </c>
      <c r="AR3571" s="206" t="str">
        <f t="shared" si="1047"/>
        <v>YAMAHA_Mounter</v>
      </c>
      <c r="AS3571" s="22">
        <f t="shared" si="1048"/>
        <v>18</v>
      </c>
      <c r="AT3571" s="24" t="str">
        <f t="shared" si="1049"/>
        <v>&gt; 6 months</v>
      </c>
      <c r="AU3571" s="22" t="s">
        <v>3240</v>
      </c>
    </row>
    <row r="3572" spans="1:47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4"/>
        <v>Q4</v>
      </c>
      <c r="E3572" s="33" t="str">
        <f t="shared" si="1055"/>
        <v>Cancel</v>
      </c>
      <c r="F3572" s="152" t="s">
        <v>185</v>
      </c>
      <c r="G3572" s="23" t="s">
        <v>185</v>
      </c>
      <c r="H3572" s="29"/>
      <c r="I3572" s="93" t="str">
        <f t="shared" si="1041"/>
        <v>Cancel</v>
      </c>
      <c r="J3572" s="188" t="s">
        <v>3415</v>
      </c>
      <c r="K3572" s="29" t="s">
        <v>3176</v>
      </c>
      <c r="L3572" s="17" t="s">
        <v>92</v>
      </c>
      <c r="M3572" s="22" t="s">
        <v>60</v>
      </c>
      <c r="N3572" s="22">
        <v>1</v>
      </c>
      <c r="O3572" s="22"/>
      <c r="P3572" s="33" t="str">
        <f t="shared" si="1050"/>
        <v>MAIN UNIT</v>
      </c>
      <c r="Q3572" s="13" t="s">
        <v>61</v>
      </c>
      <c r="R3572" s="22" t="s">
        <v>62</v>
      </c>
      <c r="S3572" s="22" t="s">
        <v>49</v>
      </c>
      <c r="T3572" s="22" t="s">
        <v>1071</v>
      </c>
      <c r="U3572" s="22" t="s">
        <v>2110</v>
      </c>
      <c r="V3572" s="22" t="s">
        <v>121</v>
      </c>
      <c r="W3572" s="22" t="s">
        <v>109</v>
      </c>
      <c r="X3572" s="30">
        <v>12700000</v>
      </c>
      <c r="Y3572" s="31" t="str">
        <f t="shared" ref="Y3572:Y3603" si="1058">IF(W3572="","",IF(W3572="RMB","1.13", "1"))</f>
        <v>1</v>
      </c>
      <c r="Z3572" s="18">
        <f t="shared" si="1056"/>
        <v>12700000</v>
      </c>
      <c r="AA3572" s="13">
        <v>5.1799999999999999E-2</v>
      </c>
      <c r="AB3572" s="21">
        <f t="shared" si="1057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38"/>
        <v>499582152.5142017</v>
      </c>
      <c r="AJ3572" s="27">
        <f t="shared" si="1039"/>
        <v>59520528.679470733</v>
      </c>
      <c r="AK3572" s="28">
        <f t="shared" si="1044"/>
        <v>0.11914062257814291</v>
      </c>
      <c r="AL3572" s="24"/>
      <c r="AM3572" s="24"/>
      <c r="AN3572" s="24"/>
      <c r="AO3572" s="24"/>
      <c r="AP3572" s="95" t="str">
        <f t="shared" si="1045"/>
        <v>CancelCancel</v>
      </c>
      <c r="AQ3572" s="203" t="str">
        <f t="shared" si="1046"/>
        <v>CancelCancelJPY</v>
      </c>
      <c r="AR3572" s="206" t="str">
        <f t="shared" si="1047"/>
        <v>YAMAHA_Mounter</v>
      </c>
      <c r="AS3572" s="22" t="str">
        <f t="shared" si="1048"/>
        <v/>
      </c>
      <c r="AT3572" s="24" t="str">
        <f t="shared" si="1049"/>
        <v/>
      </c>
      <c r="AU3572" s="22" t="s">
        <v>3746</v>
      </c>
    </row>
    <row r="3573" spans="1:47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4"/>
        <v>Q4</v>
      </c>
      <c r="E3573" s="33" t="str">
        <f t="shared" si="1055"/>
        <v>Cancel</v>
      </c>
      <c r="F3573" s="152" t="s">
        <v>185</v>
      </c>
      <c r="G3573" s="23" t="s">
        <v>185</v>
      </c>
      <c r="H3573" s="29"/>
      <c r="I3573" s="93" t="str">
        <f t="shared" si="1041"/>
        <v>Cancel</v>
      </c>
      <c r="J3573" s="188" t="s">
        <v>3415</v>
      </c>
      <c r="K3573" s="29" t="s">
        <v>3176</v>
      </c>
      <c r="L3573" s="17" t="s">
        <v>92</v>
      </c>
      <c r="M3573" s="22" t="s">
        <v>60</v>
      </c>
      <c r="N3573" s="22">
        <v>1</v>
      </c>
      <c r="O3573" s="22"/>
      <c r="P3573" s="33" t="str">
        <f t="shared" si="1050"/>
        <v>MAIN UNIT</v>
      </c>
      <c r="Q3573" s="13" t="s">
        <v>61</v>
      </c>
      <c r="R3573" s="22" t="s">
        <v>62</v>
      </c>
      <c r="S3573" s="22" t="s">
        <v>49</v>
      </c>
      <c r="T3573" s="22" t="s">
        <v>1071</v>
      </c>
      <c r="U3573" s="22" t="s">
        <v>2110</v>
      </c>
      <c r="V3573" s="22" t="s">
        <v>121</v>
      </c>
      <c r="W3573" s="22" t="s">
        <v>109</v>
      </c>
      <c r="X3573" s="30">
        <v>12700000</v>
      </c>
      <c r="Y3573" s="31" t="str">
        <f t="shared" si="1058"/>
        <v>1</v>
      </c>
      <c r="Z3573" s="18">
        <f t="shared" si="1056"/>
        <v>12700000</v>
      </c>
      <c r="AA3573" s="13">
        <v>5.1799999999999999E-2</v>
      </c>
      <c r="AB3573" s="21">
        <f t="shared" si="1057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38"/>
        <v>499582152.5142017</v>
      </c>
      <c r="AJ3573" s="27">
        <f t="shared" si="1039"/>
        <v>59520528.679470733</v>
      </c>
      <c r="AK3573" s="28">
        <f t="shared" si="1044"/>
        <v>0.11914062257814291</v>
      </c>
      <c r="AL3573" s="24"/>
      <c r="AM3573" s="24"/>
      <c r="AN3573" s="24"/>
      <c r="AO3573" s="24"/>
      <c r="AP3573" s="95" t="str">
        <f t="shared" si="1045"/>
        <v>CancelCancel</v>
      </c>
      <c r="AQ3573" s="203" t="str">
        <f t="shared" si="1046"/>
        <v>CancelCancelJPY</v>
      </c>
      <c r="AR3573" s="206" t="str">
        <f t="shared" si="1047"/>
        <v>YAMAHA_Mounter</v>
      </c>
      <c r="AS3573" s="22" t="str">
        <f t="shared" si="1048"/>
        <v/>
      </c>
      <c r="AT3573" s="24" t="str">
        <f t="shared" si="1049"/>
        <v/>
      </c>
      <c r="AU3573" s="22" t="s">
        <v>3746</v>
      </c>
    </row>
    <row r="3574" spans="1:47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4"/>
        <v>Q4</v>
      </c>
      <c r="E3574" s="33" t="str">
        <f t="shared" si="1055"/>
        <v>Cancel</v>
      </c>
      <c r="F3574" s="152" t="s">
        <v>185</v>
      </c>
      <c r="G3574" s="23" t="s">
        <v>185</v>
      </c>
      <c r="H3574" s="29"/>
      <c r="I3574" s="93" t="str">
        <f t="shared" si="1041"/>
        <v>Cancel</v>
      </c>
      <c r="J3574" s="188" t="s">
        <v>3415</v>
      </c>
      <c r="K3574" s="29" t="s">
        <v>3176</v>
      </c>
      <c r="L3574" s="17" t="s">
        <v>67</v>
      </c>
      <c r="M3574" s="22" t="s">
        <v>60</v>
      </c>
      <c r="N3574" s="22">
        <v>1</v>
      </c>
      <c r="O3574" s="22"/>
      <c r="P3574" s="33" t="str">
        <f t="shared" si="1050"/>
        <v>MAIN UNIT</v>
      </c>
      <c r="Q3574" s="13" t="s">
        <v>61</v>
      </c>
      <c r="R3574" s="22" t="s">
        <v>62</v>
      </c>
      <c r="S3574" s="22" t="s">
        <v>49</v>
      </c>
      <c r="T3574" s="22" t="s">
        <v>1071</v>
      </c>
      <c r="U3574" s="22" t="s">
        <v>2110</v>
      </c>
      <c r="V3574" s="22" t="s">
        <v>121</v>
      </c>
      <c r="W3574" s="22" t="s">
        <v>109</v>
      </c>
      <c r="X3574" s="30">
        <v>8000000</v>
      </c>
      <c r="Y3574" s="31" t="str">
        <f t="shared" si="1058"/>
        <v>1</v>
      </c>
      <c r="Z3574" s="18">
        <f t="shared" si="1056"/>
        <v>8000000</v>
      </c>
      <c r="AA3574" s="13">
        <v>5.1799999999999999E-2</v>
      </c>
      <c r="AB3574" s="21">
        <f t="shared" si="1057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38"/>
        <v>499582152.5142017</v>
      </c>
      <c r="AJ3574" s="27">
        <f t="shared" si="1039"/>
        <v>59520528.679470733</v>
      </c>
      <c r="AK3574" s="28">
        <f t="shared" si="1044"/>
        <v>0.11914062257814291</v>
      </c>
      <c r="AL3574" s="24"/>
      <c r="AM3574" s="24"/>
      <c r="AN3574" s="24"/>
      <c r="AO3574" s="24"/>
      <c r="AP3574" s="95" t="str">
        <f t="shared" si="1045"/>
        <v>CancelCancel</v>
      </c>
      <c r="AQ3574" s="203" t="str">
        <f t="shared" si="1046"/>
        <v>CancelCancelJPY</v>
      </c>
      <c r="AR3574" s="206" t="str">
        <f t="shared" si="1047"/>
        <v>YAMAHA_Mounter</v>
      </c>
      <c r="AS3574" s="22" t="str">
        <f t="shared" si="1048"/>
        <v/>
      </c>
      <c r="AT3574" s="24" t="str">
        <f t="shared" si="1049"/>
        <v/>
      </c>
      <c r="AU3574" s="22" t="s">
        <v>3746</v>
      </c>
    </row>
    <row r="3575" spans="1:47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4"/>
        <v>Q4</v>
      </c>
      <c r="E3575" s="33" t="str">
        <f t="shared" si="1055"/>
        <v>Cancel</v>
      </c>
      <c r="F3575" s="152" t="s">
        <v>185</v>
      </c>
      <c r="G3575" s="23" t="s">
        <v>185</v>
      </c>
      <c r="H3575" s="29"/>
      <c r="I3575" s="93" t="str">
        <f t="shared" si="1041"/>
        <v>Cancel</v>
      </c>
      <c r="J3575" s="188" t="s">
        <v>3415</v>
      </c>
      <c r="K3575" s="29" t="s">
        <v>3176</v>
      </c>
      <c r="L3575" s="17" t="s">
        <v>67</v>
      </c>
      <c r="M3575" s="22" t="s">
        <v>60</v>
      </c>
      <c r="N3575" s="22">
        <v>1</v>
      </c>
      <c r="O3575" s="22"/>
      <c r="P3575" s="33" t="str">
        <f t="shared" si="1050"/>
        <v>MAIN UNIT</v>
      </c>
      <c r="Q3575" s="13" t="s">
        <v>61</v>
      </c>
      <c r="R3575" s="22" t="s">
        <v>62</v>
      </c>
      <c r="S3575" s="22" t="s">
        <v>49</v>
      </c>
      <c r="T3575" s="22" t="s">
        <v>1071</v>
      </c>
      <c r="U3575" s="22" t="s">
        <v>2110</v>
      </c>
      <c r="V3575" s="22" t="s">
        <v>121</v>
      </c>
      <c r="W3575" s="22" t="s">
        <v>109</v>
      </c>
      <c r="X3575" s="30">
        <v>8000000</v>
      </c>
      <c r="Y3575" s="31" t="str">
        <f t="shared" si="1058"/>
        <v>1</v>
      </c>
      <c r="Z3575" s="18">
        <f t="shared" si="1056"/>
        <v>8000000</v>
      </c>
      <c r="AA3575" s="13">
        <v>5.1799999999999999E-2</v>
      </c>
      <c r="AB3575" s="21">
        <f t="shared" si="1057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38"/>
        <v>499582152.5142017</v>
      </c>
      <c r="AJ3575" s="27">
        <f t="shared" si="1039"/>
        <v>59520528.679470733</v>
      </c>
      <c r="AK3575" s="28">
        <f t="shared" si="1044"/>
        <v>0.11914062257814291</v>
      </c>
      <c r="AL3575" s="24"/>
      <c r="AM3575" s="24"/>
      <c r="AN3575" s="24"/>
      <c r="AO3575" s="24"/>
      <c r="AP3575" s="95" t="str">
        <f t="shared" si="1045"/>
        <v>CancelCancel</v>
      </c>
      <c r="AQ3575" s="203" t="str">
        <f t="shared" si="1046"/>
        <v>CancelCancelJPY</v>
      </c>
      <c r="AR3575" s="206" t="str">
        <f t="shared" si="1047"/>
        <v>YAMAHA_Mounter</v>
      </c>
      <c r="AS3575" s="22" t="str">
        <f t="shared" si="1048"/>
        <v/>
      </c>
      <c r="AT3575" s="24" t="str">
        <f t="shared" si="1049"/>
        <v/>
      </c>
      <c r="AU3575" s="22" t="s">
        <v>3746</v>
      </c>
    </row>
    <row r="3576" spans="1:47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4"/>
        <v>Q1</v>
      </c>
      <c r="E3576" s="33" t="str">
        <f t="shared" si="1055"/>
        <v>Cancel</v>
      </c>
      <c r="F3576" s="23" t="s">
        <v>185</v>
      </c>
      <c r="G3576" s="152" t="s">
        <v>185</v>
      </c>
      <c r="H3576" s="29"/>
      <c r="I3576" s="93" t="str">
        <f t="shared" si="1041"/>
        <v>Cancel</v>
      </c>
      <c r="J3576" s="188" t="s">
        <v>3417</v>
      </c>
      <c r="K3576" s="29" t="s">
        <v>1783</v>
      </c>
      <c r="L3576" s="17" t="s">
        <v>92</v>
      </c>
      <c r="M3576" s="22" t="s">
        <v>60</v>
      </c>
      <c r="N3576" s="22">
        <v>1</v>
      </c>
      <c r="O3576" s="22"/>
      <c r="P3576" s="33" t="str">
        <f t="shared" si="1050"/>
        <v>MAIN UNIT</v>
      </c>
      <c r="Q3576" s="13" t="s">
        <v>61</v>
      </c>
      <c r="R3576" s="22" t="s">
        <v>62</v>
      </c>
      <c r="S3576" s="22" t="s">
        <v>49</v>
      </c>
      <c r="T3576" s="22" t="s">
        <v>78</v>
      </c>
      <c r="U3576" s="22" t="s">
        <v>78</v>
      </c>
      <c r="V3576" s="22" t="s">
        <v>80</v>
      </c>
      <c r="W3576" s="22" t="s">
        <v>109</v>
      </c>
      <c r="X3576" s="30">
        <v>11900000</v>
      </c>
      <c r="Y3576" s="195" t="str">
        <f t="shared" si="1058"/>
        <v>1</v>
      </c>
      <c r="Z3576" s="196">
        <f t="shared" si="1056"/>
        <v>11900000</v>
      </c>
      <c r="AA3576" s="22">
        <v>5.1799999999999999E-2</v>
      </c>
      <c r="AB3576" s="197">
        <f t="shared" si="1057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38"/>
        <v>499582152.5142017</v>
      </c>
      <c r="AJ3576" s="200">
        <f t="shared" si="1039"/>
        <v>59520528.679470733</v>
      </c>
      <c r="AK3576" s="201">
        <f t="shared" si="1044"/>
        <v>0.11914062257814291</v>
      </c>
      <c r="AL3576" s="24"/>
      <c r="AM3576" s="24"/>
      <c r="AN3576" s="24"/>
      <c r="AO3576" s="24"/>
      <c r="AP3576" s="95" t="str">
        <f t="shared" si="1045"/>
        <v>CancelCancel</v>
      </c>
      <c r="AQ3576" s="203" t="str">
        <f t="shared" si="1046"/>
        <v>CancelCancelJPY</v>
      </c>
      <c r="AR3576" s="206" t="str">
        <f t="shared" si="1047"/>
        <v>YAMAHA_Mounter</v>
      </c>
      <c r="AS3576" s="22" t="str">
        <f t="shared" si="1048"/>
        <v/>
      </c>
      <c r="AT3576" s="24" t="str">
        <f t="shared" si="1049"/>
        <v/>
      </c>
      <c r="AU3576" s="22" t="s">
        <v>3745</v>
      </c>
    </row>
    <row r="3577" spans="1:47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4"/>
        <v>Q1</v>
      </c>
      <c r="E3577" s="33" t="str">
        <f t="shared" si="1055"/>
        <v>Cancel</v>
      </c>
      <c r="F3577" s="23" t="s">
        <v>185</v>
      </c>
      <c r="G3577" s="152" t="s">
        <v>185</v>
      </c>
      <c r="H3577" s="29"/>
      <c r="I3577" s="204" t="str">
        <f t="shared" si="1041"/>
        <v>Cancel</v>
      </c>
      <c r="J3577" s="188" t="s">
        <v>3417</v>
      </c>
      <c r="K3577" s="29" t="s">
        <v>1783</v>
      </c>
      <c r="L3577" s="17" t="s">
        <v>67</v>
      </c>
      <c r="M3577" s="22" t="s">
        <v>60</v>
      </c>
      <c r="N3577" s="22">
        <v>1</v>
      </c>
      <c r="O3577" s="22"/>
      <c r="P3577" s="33" t="str">
        <f t="shared" si="1050"/>
        <v>MAIN UNIT</v>
      </c>
      <c r="Q3577" s="13" t="s">
        <v>61</v>
      </c>
      <c r="R3577" s="22" t="s">
        <v>62</v>
      </c>
      <c r="S3577" s="22" t="s">
        <v>49</v>
      </c>
      <c r="T3577" s="22" t="s">
        <v>78</v>
      </c>
      <c r="U3577" s="22" t="s">
        <v>78</v>
      </c>
      <c r="V3577" s="22" t="s">
        <v>80</v>
      </c>
      <c r="W3577" s="22" t="s">
        <v>109</v>
      </c>
      <c r="X3577" s="32">
        <v>7000000</v>
      </c>
      <c r="Y3577" s="195" t="str">
        <f t="shared" si="1058"/>
        <v>1</v>
      </c>
      <c r="Z3577" s="196">
        <f t="shared" si="1056"/>
        <v>7000000</v>
      </c>
      <c r="AA3577" s="22">
        <v>5.1799999999999999E-2</v>
      </c>
      <c r="AB3577" s="197">
        <f t="shared" si="1057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38"/>
        <v>499582152.5142017</v>
      </c>
      <c r="AJ3577" s="200">
        <f t="shared" si="1039"/>
        <v>59520528.679470733</v>
      </c>
      <c r="AK3577" s="201">
        <f t="shared" si="1044"/>
        <v>0.11914062257814291</v>
      </c>
      <c r="AL3577" s="22"/>
      <c r="AM3577" s="22"/>
      <c r="AN3577" s="22"/>
      <c r="AO3577" s="22"/>
      <c r="AP3577" s="95" t="str">
        <f t="shared" si="1045"/>
        <v>CancelCancel</v>
      </c>
      <c r="AQ3577" s="203" t="str">
        <f t="shared" si="1046"/>
        <v>CancelCancelJPY</v>
      </c>
      <c r="AR3577" s="206" t="str">
        <f t="shared" si="1047"/>
        <v>YAMAHA_Mounter</v>
      </c>
      <c r="AS3577" s="22" t="str">
        <f t="shared" si="1048"/>
        <v/>
      </c>
      <c r="AT3577" s="24" t="str">
        <f t="shared" si="1049"/>
        <v/>
      </c>
      <c r="AU3577" s="22" t="s">
        <v>3745</v>
      </c>
    </row>
    <row r="3578" spans="1:47" ht="39.6">
      <c r="A3578" s="33" t="str">
        <f t="shared" si="1040"/>
        <v/>
      </c>
      <c r="B3578" s="23"/>
      <c r="C3578" s="23"/>
      <c r="D3578" s="202" t="str">
        <f t="shared" si="1054"/>
        <v/>
      </c>
      <c r="E3578" s="33" t="s">
        <v>3172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43</v>
      </c>
      <c r="M3578" s="22" t="s">
        <v>43</v>
      </c>
      <c r="N3578" s="22">
        <v>0</v>
      </c>
      <c r="O3578" s="22"/>
      <c r="P3578" s="202" t="str">
        <f t="shared" si="1050"/>
        <v>C66 SERVICE/OTHERS</v>
      </c>
      <c r="Q3578" s="22" t="s">
        <v>45</v>
      </c>
      <c r="R3578" s="22" t="s">
        <v>45</v>
      </c>
      <c r="S3578" s="22" t="s">
        <v>51</v>
      </c>
      <c r="T3578" s="22"/>
      <c r="U3578" s="22"/>
      <c r="V3578" s="22"/>
      <c r="W3578" s="22"/>
      <c r="X3578" s="104"/>
      <c r="Y3578" s="195" t="str">
        <f t="shared" si="1058"/>
        <v/>
      </c>
      <c r="Z3578" s="196" t="str">
        <f t="shared" si="1056"/>
        <v/>
      </c>
      <c r="AA3578" s="22"/>
      <c r="AB3578" s="197">
        <v>128000</v>
      </c>
      <c r="AC3578" s="198">
        <f t="shared" si="1042"/>
        <v>38400</v>
      </c>
      <c r="AD3578" s="227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38"/>
        <v>25354039.366920356</v>
      </c>
      <c r="AJ3578" s="200">
        <f t="shared" si="1039"/>
        <v>3028631.2816309328</v>
      </c>
      <c r="AK3578" s="201">
        <f t="shared" si="1044"/>
        <v>0.11945360018579192</v>
      </c>
      <c r="AL3578" s="24"/>
      <c r="AM3578" s="24"/>
      <c r="AN3578" s="24"/>
      <c r="AO3578" s="24"/>
      <c r="AP3578" s="165" t="str">
        <f t="shared" si="1045"/>
        <v>20248</v>
      </c>
      <c r="AQ3578" s="203" t="str">
        <f t="shared" si="1046"/>
        <v/>
      </c>
      <c r="AR3578" s="206" t="str">
        <f t="shared" si="1047"/>
        <v>C66 SERVICE</v>
      </c>
      <c r="AS3578" s="22" t="str">
        <f t="shared" si="1048"/>
        <v/>
      </c>
      <c r="AT3578" s="24" t="str">
        <f t="shared" si="1049"/>
        <v/>
      </c>
      <c r="AU3578" s="22">
        <v>0</v>
      </c>
    </row>
    <row r="3579" spans="1:47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4"/>
        <v>Q1</v>
      </c>
      <c r="E3579" s="33" t="str">
        <f t="shared" ref="E3579:E3584" si="1059">IF(G3579="Cancel","Cancel",IF(G3579="TBA","TBA",IFERROR(IF(I3579="Q4","FY "&amp;RIGHT(F3579,2)-1&amp;"/"&amp;RIGHT(F3579,2),"FY "&amp;RIGHT(F3579,2)&amp;"/"&amp;RIGHT(F3579,2)+1),"")))</f>
        <v>Cancel</v>
      </c>
      <c r="F3579" s="23" t="s">
        <v>185</v>
      </c>
      <c r="G3579" s="23" t="s">
        <v>185</v>
      </c>
      <c r="H3579" s="29"/>
      <c r="I3579" s="93" t="str">
        <f t="shared" si="1041"/>
        <v>Cancel</v>
      </c>
      <c r="J3579" s="188" t="s">
        <v>3386</v>
      </c>
      <c r="K3579" s="29" t="s">
        <v>1348</v>
      </c>
      <c r="L3579" s="17" t="s">
        <v>92</v>
      </c>
      <c r="M3579" s="22" t="s">
        <v>60</v>
      </c>
      <c r="N3579" s="22">
        <v>1</v>
      </c>
      <c r="O3579" s="22"/>
      <c r="P3579" s="33" t="str">
        <f t="shared" si="1050"/>
        <v>MAIN UNIT</v>
      </c>
      <c r="Q3579" s="13" t="s">
        <v>61</v>
      </c>
      <c r="R3579" s="22" t="s">
        <v>62</v>
      </c>
      <c r="S3579" s="22" t="s">
        <v>49</v>
      </c>
      <c r="T3579" s="22" t="s">
        <v>78</v>
      </c>
      <c r="U3579" s="22" t="s">
        <v>396</v>
      </c>
      <c r="V3579" s="22" t="s">
        <v>131</v>
      </c>
      <c r="W3579" s="22" t="s">
        <v>109</v>
      </c>
      <c r="X3579" s="30">
        <v>12000000</v>
      </c>
      <c r="Y3579" s="31" t="str">
        <f t="shared" si="1058"/>
        <v>1</v>
      </c>
      <c r="Z3579" s="18">
        <f t="shared" si="1056"/>
        <v>12000000</v>
      </c>
      <c r="AA3579" s="22">
        <v>5.1799999999999999E-2</v>
      </c>
      <c r="AB3579" s="21">
        <f t="shared" ref="AB3579:AB3590" si="1060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38"/>
        <v>499582152.5142017</v>
      </c>
      <c r="AJ3579" s="27">
        <f t="shared" si="1039"/>
        <v>59520528.679470733</v>
      </c>
      <c r="AK3579" s="28">
        <f t="shared" si="1044"/>
        <v>0.11914062257814291</v>
      </c>
      <c r="AL3579" s="24"/>
      <c r="AM3579" s="24"/>
      <c r="AN3579" s="24"/>
      <c r="AO3579" s="24"/>
      <c r="AP3579" s="95" t="str">
        <f t="shared" si="1045"/>
        <v>CancelCancel</v>
      </c>
      <c r="AQ3579" s="203" t="str">
        <f t="shared" si="1046"/>
        <v>CancelCancelJPY</v>
      </c>
      <c r="AR3579" s="206" t="str">
        <f t="shared" si="1047"/>
        <v>YAMAHA_Mounter</v>
      </c>
      <c r="AS3579" s="22" t="str">
        <f t="shared" si="1048"/>
        <v/>
      </c>
      <c r="AT3579" s="24" t="str">
        <f t="shared" si="1049"/>
        <v/>
      </c>
      <c r="AU3579" s="22" t="s">
        <v>3745</v>
      </c>
    </row>
    <row r="3580" spans="1:47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4"/>
        <v>Q1</v>
      </c>
      <c r="E3580" s="33" t="str">
        <f t="shared" si="1059"/>
        <v>Cancel</v>
      </c>
      <c r="F3580" s="23" t="s">
        <v>185</v>
      </c>
      <c r="G3580" s="23" t="s">
        <v>185</v>
      </c>
      <c r="H3580" s="29"/>
      <c r="I3580" s="93" t="str">
        <f t="shared" si="1041"/>
        <v>Cancel</v>
      </c>
      <c r="J3580" s="188" t="s">
        <v>3386</v>
      </c>
      <c r="K3580" s="29" t="s">
        <v>1348</v>
      </c>
      <c r="L3580" s="17" t="s">
        <v>92</v>
      </c>
      <c r="M3580" s="22" t="s">
        <v>60</v>
      </c>
      <c r="N3580" s="22">
        <v>1</v>
      </c>
      <c r="O3580" s="22"/>
      <c r="P3580" s="33" t="str">
        <f t="shared" si="1050"/>
        <v>MAIN UNIT</v>
      </c>
      <c r="Q3580" s="13" t="s">
        <v>61</v>
      </c>
      <c r="R3580" s="22" t="s">
        <v>62</v>
      </c>
      <c r="S3580" s="22" t="s">
        <v>49</v>
      </c>
      <c r="T3580" s="22" t="s">
        <v>78</v>
      </c>
      <c r="U3580" s="22" t="s">
        <v>396</v>
      </c>
      <c r="V3580" s="22" t="s">
        <v>131</v>
      </c>
      <c r="W3580" s="22" t="s">
        <v>109</v>
      </c>
      <c r="X3580" s="30">
        <v>12000000</v>
      </c>
      <c r="Y3580" s="31" t="str">
        <f t="shared" si="1058"/>
        <v>1</v>
      </c>
      <c r="Z3580" s="18">
        <f t="shared" si="1056"/>
        <v>12000000</v>
      </c>
      <c r="AA3580" s="22">
        <v>5.1799999999999999E-2</v>
      </c>
      <c r="AB3580" s="21">
        <f t="shared" si="1060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38"/>
        <v>499582152.5142017</v>
      </c>
      <c r="AJ3580" s="27">
        <f t="shared" si="1039"/>
        <v>59520528.679470733</v>
      </c>
      <c r="AK3580" s="28">
        <f t="shared" si="1044"/>
        <v>0.11914062257814291</v>
      </c>
      <c r="AL3580" s="24"/>
      <c r="AM3580" s="24"/>
      <c r="AN3580" s="24"/>
      <c r="AO3580" s="24"/>
      <c r="AP3580" s="95" t="str">
        <f t="shared" si="1045"/>
        <v>CancelCancel</v>
      </c>
      <c r="AQ3580" s="203" t="str">
        <f t="shared" si="1046"/>
        <v>CancelCancelJPY</v>
      </c>
      <c r="AR3580" s="206" t="str">
        <f t="shared" si="1047"/>
        <v>YAMAHA_Mounter</v>
      </c>
      <c r="AS3580" s="22" t="str">
        <f t="shared" si="1048"/>
        <v/>
      </c>
      <c r="AT3580" s="24" t="str">
        <f t="shared" si="1049"/>
        <v/>
      </c>
      <c r="AU3580" s="22" t="s">
        <v>3745</v>
      </c>
    </row>
    <row r="3581" spans="1:47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4"/>
        <v>Q1</v>
      </c>
      <c r="E3581" s="33" t="str">
        <f t="shared" si="1059"/>
        <v>Cancel</v>
      </c>
      <c r="F3581" s="23" t="s">
        <v>185</v>
      </c>
      <c r="G3581" s="23" t="s">
        <v>185</v>
      </c>
      <c r="H3581" s="29"/>
      <c r="I3581" s="93" t="str">
        <f t="shared" si="1041"/>
        <v>Cancel</v>
      </c>
      <c r="J3581" s="188" t="s">
        <v>3386</v>
      </c>
      <c r="K3581" s="29" t="s">
        <v>1348</v>
      </c>
      <c r="L3581" s="17" t="s">
        <v>92</v>
      </c>
      <c r="M3581" s="22" t="s">
        <v>60</v>
      </c>
      <c r="N3581" s="22">
        <v>1</v>
      </c>
      <c r="O3581" s="22"/>
      <c r="P3581" s="33" t="str">
        <f t="shared" si="1050"/>
        <v>MAIN UNIT</v>
      </c>
      <c r="Q3581" s="13" t="s">
        <v>61</v>
      </c>
      <c r="R3581" s="22" t="s">
        <v>62</v>
      </c>
      <c r="S3581" s="22" t="s">
        <v>49</v>
      </c>
      <c r="T3581" s="22" t="s">
        <v>78</v>
      </c>
      <c r="U3581" s="22" t="s">
        <v>396</v>
      </c>
      <c r="V3581" s="22" t="s">
        <v>131</v>
      </c>
      <c r="W3581" s="22" t="s">
        <v>109</v>
      </c>
      <c r="X3581" s="30">
        <v>12000000</v>
      </c>
      <c r="Y3581" s="31" t="str">
        <f t="shared" si="1058"/>
        <v>1</v>
      </c>
      <c r="Z3581" s="18">
        <f t="shared" si="1056"/>
        <v>12000000</v>
      </c>
      <c r="AA3581" s="22">
        <v>5.1799999999999999E-2</v>
      </c>
      <c r="AB3581" s="21">
        <f t="shared" si="1060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38"/>
        <v>499582152.5142017</v>
      </c>
      <c r="AJ3581" s="27">
        <f t="shared" si="1039"/>
        <v>59520528.679470733</v>
      </c>
      <c r="AK3581" s="28">
        <f t="shared" si="1044"/>
        <v>0.11914062257814291</v>
      </c>
      <c r="AL3581" s="24"/>
      <c r="AM3581" s="24"/>
      <c r="AN3581" s="24"/>
      <c r="AO3581" s="24"/>
      <c r="AP3581" s="95" t="str">
        <f t="shared" si="1045"/>
        <v>CancelCancel</v>
      </c>
      <c r="AQ3581" s="203" t="str">
        <f t="shared" si="1046"/>
        <v>CancelCancelJPY</v>
      </c>
      <c r="AR3581" s="206" t="str">
        <f t="shared" si="1047"/>
        <v>YAMAHA_Mounter</v>
      </c>
      <c r="AS3581" s="22" t="str">
        <f t="shared" si="1048"/>
        <v/>
      </c>
      <c r="AT3581" s="24" t="str">
        <f t="shared" si="1049"/>
        <v/>
      </c>
      <c r="AU3581" s="22" t="s">
        <v>3745</v>
      </c>
    </row>
    <row r="3582" spans="1:47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4"/>
        <v>Q1</v>
      </c>
      <c r="E3582" s="33" t="str">
        <f t="shared" si="1059"/>
        <v>Cancel</v>
      </c>
      <c r="F3582" s="23" t="s">
        <v>185</v>
      </c>
      <c r="G3582" s="23" t="s">
        <v>185</v>
      </c>
      <c r="H3582" s="29"/>
      <c r="I3582" s="93" t="str">
        <f t="shared" si="1041"/>
        <v>Cancel</v>
      </c>
      <c r="J3582" s="188" t="s">
        <v>3386</v>
      </c>
      <c r="K3582" s="29" t="s">
        <v>1348</v>
      </c>
      <c r="L3582" s="17" t="s">
        <v>92</v>
      </c>
      <c r="M3582" s="22" t="s">
        <v>60</v>
      </c>
      <c r="N3582" s="22">
        <v>1</v>
      </c>
      <c r="O3582" s="22"/>
      <c r="P3582" s="33" t="str">
        <f t="shared" si="1050"/>
        <v>MAIN UNIT</v>
      </c>
      <c r="Q3582" s="13" t="s">
        <v>61</v>
      </c>
      <c r="R3582" s="22" t="s">
        <v>62</v>
      </c>
      <c r="S3582" s="22" t="s">
        <v>49</v>
      </c>
      <c r="T3582" s="22" t="s">
        <v>78</v>
      </c>
      <c r="U3582" s="22" t="s">
        <v>396</v>
      </c>
      <c r="V3582" s="22" t="s">
        <v>131</v>
      </c>
      <c r="W3582" s="22" t="s">
        <v>109</v>
      </c>
      <c r="X3582" s="30">
        <v>12000000</v>
      </c>
      <c r="Y3582" s="31" t="str">
        <f t="shared" si="1058"/>
        <v>1</v>
      </c>
      <c r="Z3582" s="18">
        <f t="shared" si="1056"/>
        <v>12000000</v>
      </c>
      <c r="AA3582" s="22">
        <v>5.1799999999999999E-2</v>
      </c>
      <c r="AB3582" s="21">
        <f t="shared" si="1060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38"/>
        <v>499582152.5142017</v>
      </c>
      <c r="AJ3582" s="27">
        <f t="shared" si="1039"/>
        <v>59520528.679470733</v>
      </c>
      <c r="AK3582" s="28">
        <f t="shared" si="1044"/>
        <v>0.11914062257814291</v>
      </c>
      <c r="AL3582" s="24"/>
      <c r="AM3582" s="24"/>
      <c r="AN3582" s="24"/>
      <c r="AO3582" s="24"/>
      <c r="AP3582" s="95" t="str">
        <f t="shared" si="1045"/>
        <v>CancelCancel</v>
      </c>
      <c r="AQ3582" s="203" t="str">
        <f t="shared" si="1046"/>
        <v>CancelCancelJPY</v>
      </c>
      <c r="AR3582" s="206" t="str">
        <f t="shared" si="1047"/>
        <v>YAMAHA_Mounter</v>
      </c>
      <c r="AS3582" s="22" t="str">
        <f t="shared" si="1048"/>
        <v/>
      </c>
      <c r="AT3582" s="24" t="str">
        <f t="shared" si="1049"/>
        <v/>
      </c>
      <c r="AU3582" s="22" t="s">
        <v>3745</v>
      </c>
    </row>
    <row r="3583" spans="1:47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4"/>
        <v>Q1</v>
      </c>
      <c r="E3583" s="33" t="str">
        <f t="shared" si="1059"/>
        <v>Cancel</v>
      </c>
      <c r="F3583" s="23" t="s">
        <v>185</v>
      </c>
      <c r="G3583" s="23" t="s">
        <v>185</v>
      </c>
      <c r="H3583" s="29"/>
      <c r="I3583" s="93" t="str">
        <f t="shared" si="1041"/>
        <v>Cancel</v>
      </c>
      <c r="J3583" s="188" t="s">
        <v>3386</v>
      </c>
      <c r="K3583" s="29" t="s">
        <v>1348</v>
      </c>
      <c r="L3583" s="17" t="s">
        <v>67</v>
      </c>
      <c r="M3583" s="22" t="s">
        <v>60</v>
      </c>
      <c r="N3583" s="22">
        <v>1</v>
      </c>
      <c r="O3583" s="22"/>
      <c r="P3583" s="33" t="str">
        <f t="shared" si="1050"/>
        <v>MAIN UNIT</v>
      </c>
      <c r="Q3583" s="13" t="s">
        <v>61</v>
      </c>
      <c r="R3583" s="22" t="s">
        <v>62</v>
      </c>
      <c r="S3583" s="22" t="s">
        <v>49</v>
      </c>
      <c r="T3583" s="22" t="s">
        <v>78</v>
      </c>
      <c r="U3583" s="22" t="s">
        <v>396</v>
      </c>
      <c r="V3583" s="22" t="s">
        <v>131</v>
      </c>
      <c r="W3583" s="22" t="s">
        <v>109</v>
      </c>
      <c r="X3583" s="30">
        <v>7668000</v>
      </c>
      <c r="Y3583" s="31" t="str">
        <f t="shared" si="1058"/>
        <v>1</v>
      </c>
      <c r="Z3583" s="18">
        <f t="shared" si="1056"/>
        <v>7668000</v>
      </c>
      <c r="AA3583" s="22">
        <v>5.1799999999999999E-2</v>
      </c>
      <c r="AB3583" s="21">
        <f t="shared" si="1060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38"/>
        <v>499582152.5142017</v>
      </c>
      <c r="AJ3583" s="27">
        <f t="shared" si="1039"/>
        <v>59520528.679470733</v>
      </c>
      <c r="AK3583" s="28">
        <f t="shared" si="1044"/>
        <v>0.11914062257814291</v>
      </c>
      <c r="AL3583" s="24"/>
      <c r="AM3583" s="24"/>
      <c r="AN3583" s="24"/>
      <c r="AO3583" s="24"/>
      <c r="AP3583" s="95" t="str">
        <f t="shared" si="1045"/>
        <v>CancelCancel</v>
      </c>
      <c r="AQ3583" s="203" t="str">
        <f t="shared" si="1046"/>
        <v>CancelCancelJPY</v>
      </c>
      <c r="AR3583" s="206" t="str">
        <f t="shared" si="1047"/>
        <v>YAMAHA_Mounter</v>
      </c>
      <c r="AS3583" s="22" t="str">
        <f t="shared" si="1048"/>
        <v/>
      </c>
      <c r="AT3583" s="24" t="str">
        <f t="shared" si="1049"/>
        <v/>
      </c>
      <c r="AU3583" s="22" t="s">
        <v>3745</v>
      </c>
    </row>
    <row r="3584" spans="1:47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4"/>
        <v>Q1</v>
      </c>
      <c r="E3584" s="33" t="str">
        <f t="shared" si="1059"/>
        <v>Cancel</v>
      </c>
      <c r="F3584" s="23" t="s">
        <v>185</v>
      </c>
      <c r="G3584" s="23" t="s">
        <v>185</v>
      </c>
      <c r="H3584" s="29"/>
      <c r="I3584" s="93" t="str">
        <f t="shared" si="1041"/>
        <v>Cancel</v>
      </c>
      <c r="J3584" s="188" t="s">
        <v>3386</v>
      </c>
      <c r="K3584" s="29" t="s">
        <v>1348</v>
      </c>
      <c r="L3584" s="17" t="s">
        <v>67</v>
      </c>
      <c r="M3584" s="22" t="s">
        <v>60</v>
      </c>
      <c r="N3584" s="22">
        <v>1</v>
      </c>
      <c r="O3584" s="22"/>
      <c r="P3584" s="33" t="str">
        <f t="shared" si="1050"/>
        <v>MAIN UNIT</v>
      </c>
      <c r="Q3584" s="13" t="s">
        <v>61</v>
      </c>
      <c r="R3584" s="22" t="s">
        <v>62</v>
      </c>
      <c r="S3584" s="22" t="s">
        <v>49</v>
      </c>
      <c r="T3584" s="22" t="s">
        <v>78</v>
      </c>
      <c r="U3584" s="22" t="s">
        <v>396</v>
      </c>
      <c r="V3584" s="22" t="s">
        <v>131</v>
      </c>
      <c r="W3584" s="22" t="s">
        <v>109</v>
      </c>
      <c r="X3584" s="30">
        <v>7668000</v>
      </c>
      <c r="Y3584" s="31" t="str">
        <f t="shared" si="1058"/>
        <v>1</v>
      </c>
      <c r="Z3584" s="18">
        <f t="shared" si="1056"/>
        <v>7668000</v>
      </c>
      <c r="AA3584" s="22">
        <v>5.1799999999999999E-2</v>
      </c>
      <c r="AB3584" s="21">
        <f t="shared" si="1060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38"/>
        <v>499582152.5142017</v>
      </c>
      <c r="AJ3584" s="27">
        <f t="shared" si="1039"/>
        <v>59520528.679470733</v>
      </c>
      <c r="AK3584" s="28">
        <f t="shared" si="1044"/>
        <v>0.11914062257814291</v>
      </c>
      <c r="AL3584" s="24"/>
      <c r="AM3584" s="24"/>
      <c r="AN3584" s="24"/>
      <c r="AO3584" s="24"/>
      <c r="AP3584" s="95" t="str">
        <f t="shared" si="1045"/>
        <v>CancelCancel</v>
      </c>
      <c r="AQ3584" s="203" t="str">
        <f t="shared" si="1046"/>
        <v>CancelCancelJPY</v>
      </c>
      <c r="AR3584" s="206" t="str">
        <f t="shared" si="1047"/>
        <v>YAMAHA_Mounter</v>
      </c>
      <c r="AS3584" s="22" t="str">
        <f t="shared" si="1048"/>
        <v/>
      </c>
      <c r="AT3584" s="24" t="str">
        <f t="shared" si="1049"/>
        <v/>
      </c>
      <c r="AU3584" s="22" t="s">
        <v>3745</v>
      </c>
    </row>
    <row r="3585" spans="1:47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4"/>
        <v>Q4</v>
      </c>
      <c r="E3585" s="33" t="s">
        <v>3172</v>
      </c>
      <c r="F3585" s="152" t="s">
        <v>2584</v>
      </c>
      <c r="G3585" s="152" t="s">
        <v>2584</v>
      </c>
      <c r="H3585" s="29"/>
      <c r="I3585" s="93" t="str">
        <f t="shared" si="1041"/>
        <v>TBA</v>
      </c>
      <c r="J3585" s="188" t="s">
        <v>3342</v>
      </c>
      <c r="K3585" s="29" t="s">
        <v>3341</v>
      </c>
      <c r="L3585" s="17" t="s">
        <v>92</v>
      </c>
      <c r="M3585" s="22" t="s">
        <v>60</v>
      </c>
      <c r="N3585" s="22">
        <v>1</v>
      </c>
      <c r="O3585" s="22"/>
      <c r="P3585" s="33" t="str">
        <f t="shared" si="1050"/>
        <v>MAIN UNIT</v>
      </c>
      <c r="Q3585" s="13" t="s">
        <v>61</v>
      </c>
      <c r="R3585" s="22" t="s">
        <v>62</v>
      </c>
      <c r="S3585" s="22" t="s">
        <v>49</v>
      </c>
      <c r="T3585" s="22" t="s">
        <v>78</v>
      </c>
      <c r="U3585" s="22" t="s">
        <v>78</v>
      </c>
      <c r="V3585" s="22" t="s">
        <v>112</v>
      </c>
      <c r="W3585" s="22" t="s">
        <v>109</v>
      </c>
      <c r="X3585" s="30">
        <v>11000000</v>
      </c>
      <c r="Y3585" s="31" t="str">
        <f t="shared" si="1058"/>
        <v>1</v>
      </c>
      <c r="Z3585" s="18">
        <f t="shared" si="1056"/>
        <v>11000000</v>
      </c>
      <c r="AA3585" s="13">
        <v>5.1799999999999999E-2</v>
      </c>
      <c r="AB3585" s="21">
        <f t="shared" si="1060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38"/>
        <v>5418880.879999999</v>
      </c>
      <c r="AJ3585" s="27">
        <f t="shared" si="1039"/>
        <v>650265.70559999999</v>
      </c>
      <c r="AK3585" s="28">
        <f t="shared" si="1044"/>
        <v>0.12000000000000002</v>
      </c>
      <c r="AL3585" s="24"/>
      <c r="AM3585" s="24"/>
      <c r="AN3585" s="24"/>
      <c r="AO3585" s="24"/>
      <c r="AP3585" s="95" t="str">
        <f t="shared" si="1045"/>
        <v>TBATBA</v>
      </c>
      <c r="AQ3585" s="203" t="str">
        <f t="shared" si="1046"/>
        <v>TBATBAJPY</v>
      </c>
      <c r="AR3585" s="206" t="str">
        <f t="shared" si="1047"/>
        <v>YAMAHA_Mounter</v>
      </c>
      <c r="AS3585" s="22" t="str">
        <f t="shared" si="1048"/>
        <v/>
      </c>
      <c r="AT3585" s="24" t="str">
        <f t="shared" si="1049"/>
        <v/>
      </c>
      <c r="AU3585" s="22" t="s">
        <v>3745</v>
      </c>
    </row>
    <row r="3586" spans="1:47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4"/>
        <v>Q4</v>
      </c>
      <c r="E3586" s="33" t="s">
        <v>3172</v>
      </c>
      <c r="F3586" s="152" t="s">
        <v>2584</v>
      </c>
      <c r="G3586" s="152" t="s">
        <v>2584</v>
      </c>
      <c r="H3586" s="29"/>
      <c r="I3586" s="93" t="str">
        <f t="shared" si="1041"/>
        <v>TBA</v>
      </c>
      <c r="J3586" s="188" t="s">
        <v>3342</v>
      </c>
      <c r="K3586" s="29" t="s">
        <v>3341</v>
      </c>
      <c r="L3586" s="17" t="s">
        <v>92</v>
      </c>
      <c r="M3586" s="22" t="s">
        <v>60</v>
      </c>
      <c r="N3586" s="22">
        <v>1</v>
      </c>
      <c r="O3586" s="22"/>
      <c r="P3586" s="33" t="str">
        <f t="shared" si="1050"/>
        <v>MAIN UNIT</v>
      </c>
      <c r="Q3586" s="13" t="s">
        <v>61</v>
      </c>
      <c r="R3586" s="22" t="s">
        <v>62</v>
      </c>
      <c r="S3586" s="22" t="s">
        <v>49</v>
      </c>
      <c r="T3586" s="22" t="s">
        <v>78</v>
      </c>
      <c r="U3586" s="22" t="s">
        <v>78</v>
      </c>
      <c r="V3586" s="22" t="s">
        <v>112</v>
      </c>
      <c r="W3586" s="22" t="s">
        <v>109</v>
      </c>
      <c r="X3586" s="30">
        <v>11000000</v>
      </c>
      <c r="Y3586" s="31" t="str">
        <f t="shared" si="1058"/>
        <v>1</v>
      </c>
      <c r="Z3586" s="18">
        <f t="shared" si="1056"/>
        <v>11000000</v>
      </c>
      <c r="AA3586" s="13">
        <v>5.1799999999999999E-2</v>
      </c>
      <c r="AB3586" s="21">
        <f t="shared" si="1060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ref="AI3586:AI3649" si="1061">IF(P3586="C66 SERVICE","",SUMIFS(AB:AB,F:F,F3586,G:G,G3586,E:E,E3586))</f>
        <v>5418880.879999999</v>
      </c>
      <c r="AJ3586" s="27">
        <f t="shared" ref="AJ3586:AJ3649" si="1062">IF(P3586="C66 SERVICE","",SUMIFS(AC:AC,F:F,F3586,G:G,G3586,E:E,E3586))</f>
        <v>650265.70559999999</v>
      </c>
      <c r="AK3586" s="28">
        <f t="shared" si="1044"/>
        <v>0.12000000000000002</v>
      </c>
      <c r="AL3586" s="24"/>
      <c r="AM3586" s="24"/>
      <c r="AN3586" s="24"/>
      <c r="AO3586" s="24"/>
      <c r="AP3586" s="95" t="str">
        <f t="shared" si="1045"/>
        <v>TBATBA</v>
      </c>
      <c r="AQ3586" s="203" t="str">
        <f t="shared" si="1046"/>
        <v>TBATBAJPY</v>
      </c>
      <c r="AR3586" s="206" t="str">
        <f t="shared" si="1047"/>
        <v>YAMAHA_Mounter</v>
      </c>
      <c r="AS3586" s="22" t="str">
        <f t="shared" si="1048"/>
        <v/>
      </c>
      <c r="AT3586" s="24" t="str">
        <f t="shared" si="1049"/>
        <v/>
      </c>
      <c r="AU3586" s="22" t="s">
        <v>3745</v>
      </c>
    </row>
    <row r="3587" spans="1:47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4"/>
        <v>Q4</v>
      </c>
      <c r="E3587" s="33" t="s">
        <v>3172</v>
      </c>
      <c r="F3587" s="152" t="s">
        <v>2584</v>
      </c>
      <c r="G3587" s="152" t="s">
        <v>2584</v>
      </c>
      <c r="H3587" s="29"/>
      <c r="I3587" s="93" t="str">
        <f t="shared" si="1041"/>
        <v>TBA</v>
      </c>
      <c r="J3587" s="188" t="s">
        <v>3342</v>
      </c>
      <c r="K3587" s="29" t="s">
        <v>3341</v>
      </c>
      <c r="L3587" s="17" t="s">
        <v>92</v>
      </c>
      <c r="M3587" s="22" t="s">
        <v>60</v>
      </c>
      <c r="N3587" s="22">
        <v>1</v>
      </c>
      <c r="O3587" s="22"/>
      <c r="P3587" s="33" t="str">
        <f t="shared" si="1050"/>
        <v>MAIN UNIT</v>
      </c>
      <c r="Q3587" s="13" t="s">
        <v>61</v>
      </c>
      <c r="R3587" s="22" t="s">
        <v>62</v>
      </c>
      <c r="S3587" s="22" t="s">
        <v>49</v>
      </c>
      <c r="T3587" s="22" t="s">
        <v>78</v>
      </c>
      <c r="U3587" s="22" t="s">
        <v>78</v>
      </c>
      <c r="V3587" s="22" t="s">
        <v>112</v>
      </c>
      <c r="W3587" s="22" t="s">
        <v>109</v>
      </c>
      <c r="X3587" s="30">
        <v>11000000</v>
      </c>
      <c r="Y3587" s="31" t="str">
        <f t="shared" si="1058"/>
        <v>1</v>
      </c>
      <c r="Z3587" s="18">
        <f t="shared" si="1056"/>
        <v>11000000</v>
      </c>
      <c r="AA3587" s="13">
        <v>5.1799999999999999E-2</v>
      </c>
      <c r="AB3587" s="21">
        <f t="shared" si="1060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61"/>
        <v>5418880.879999999</v>
      </c>
      <c r="AJ3587" s="27">
        <f t="shared" si="1062"/>
        <v>650265.70559999999</v>
      </c>
      <c r="AK3587" s="28">
        <f t="shared" si="1044"/>
        <v>0.12000000000000002</v>
      </c>
      <c r="AL3587" s="24"/>
      <c r="AM3587" s="24"/>
      <c r="AN3587" s="24"/>
      <c r="AO3587" s="24"/>
      <c r="AP3587" s="95" t="str">
        <f t="shared" si="1045"/>
        <v>TBATBA</v>
      </c>
      <c r="AQ3587" s="203" t="str">
        <f t="shared" si="1046"/>
        <v>TBATBAJPY</v>
      </c>
      <c r="AR3587" s="206" t="str">
        <f t="shared" si="1047"/>
        <v>YAMAHA_Mounter</v>
      </c>
      <c r="AS3587" s="22" t="str">
        <f t="shared" si="1048"/>
        <v/>
      </c>
      <c r="AT3587" s="24" t="str">
        <f t="shared" si="1049"/>
        <v/>
      </c>
      <c r="AU3587" s="22" t="s">
        <v>3745</v>
      </c>
    </row>
    <row r="3588" spans="1:47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4"/>
        <v>Q4</v>
      </c>
      <c r="E3588" s="33" t="s">
        <v>3172</v>
      </c>
      <c r="F3588" s="152" t="s">
        <v>2584</v>
      </c>
      <c r="G3588" s="152" t="s">
        <v>2584</v>
      </c>
      <c r="H3588" s="29"/>
      <c r="I3588" s="93" t="str">
        <f t="shared" si="1041"/>
        <v>TBA</v>
      </c>
      <c r="J3588" s="188" t="s">
        <v>3342</v>
      </c>
      <c r="K3588" s="29" t="s">
        <v>3341</v>
      </c>
      <c r="L3588" s="17" t="s">
        <v>92</v>
      </c>
      <c r="M3588" s="22" t="s">
        <v>60</v>
      </c>
      <c r="N3588" s="22">
        <v>1</v>
      </c>
      <c r="O3588" s="22"/>
      <c r="P3588" s="33" t="str">
        <f t="shared" si="1050"/>
        <v>MAIN UNIT</v>
      </c>
      <c r="Q3588" s="13" t="s">
        <v>61</v>
      </c>
      <c r="R3588" s="22" t="s">
        <v>62</v>
      </c>
      <c r="S3588" s="22" t="s">
        <v>49</v>
      </c>
      <c r="T3588" s="22" t="s">
        <v>78</v>
      </c>
      <c r="U3588" s="22" t="s">
        <v>78</v>
      </c>
      <c r="V3588" s="22" t="s">
        <v>112</v>
      </c>
      <c r="W3588" s="22" t="s">
        <v>109</v>
      </c>
      <c r="X3588" s="30">
        <v>11000000</v>
      </c>
      <c r="Y3588" s="31" t="str">
        <f t="shared" si="1058"/>
        <v>1</v>
      </c>
      <c r="Z3588" s="18">
        <f t="shared" si="1056"/>
        <v>11000000</v>
      </c>
      <c r="AA3588" s="13">
        <v>5.1799999999999999E-2</v>
      </c>
      <c r="AB3588" s="21">
        <f t="shared" si="1060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61"/>
        <v>5418880.879999999</v>
      </c>
      <c r="AJ3588" s="27">
        <f t="shared" si="1062"/>
        <v>650265.70559999999</v>
      </c>
      <c r="AK3588" s="28">
        <f t="shared" si="1044"/>
        <v>0.12000000000000002</v>
      </c>
      <c r="AL3588" s="24"/>
      <c r="AM3588" s="24"/>
      <c r="AN3588" s="24"/>
      <c r="AO3588" s="24"/>
      <c r="AP3588" s="95" t="str">
        <f t="shared" si="1045"/>
        <v>TBATBA</v>
      </c>
      <c r="AQ3588" s="203" t="str">
        <f t="shared" si="1046"/>
        <v>TBATBAJPY</v>
      </c>
      <c r="AR3588" s="206" t="str">
        <f t="shared" si="1047"/>
        <v>YAMAHA_Mounter</v>
      </c>
      <c r="AS3588" s="22" t="str">
        <f t="shared" si="1048"/>
        <v/>
      </c>
      <c r="AT3588" s="24" t="str">
        <f t="shared" si="1049"/>
        <v/>
      </c>
      <c r="AU3588" s="22" t="s">
        <v>3745</v>
      </c>
    </row>
    <row r="3589" spans="1:47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4"/>
        <v>Q4</v>
      </c>
      <c r="E3589" s="33" t="s">
        <v>3172</v>
      </c>
      <c r="F3589" s="152" t="s">
        <v>2584</v>
      </c>
      <c r="G3589" s="152" t="s">
        <v>2584</v>
      </c>
      <c r="H3589" s="29"/>
      <c r="I3589" s="93" t="str">
        <f t="shared" si="1041"/>
        <v>TBA</v>
      </c>
      <c r="J3589" s="188" t="s">
        <v>3342</v>
      </c>
      <c r="K3589" s="29" t="s">
        <v>3341</v>
      </c>
      <c r="L3589" s="17" t="s">
        <v>92</v>
      </c>
      <c r="M3589" s="22" t="s">
        <v>60</v>
      </c>
      <c r="N3589" s="22">
        <v>1</v>
      </c>
      <c r="O3589" s="22"/>
      <c r="P3589" s="33" t="str">
        <f t="shared" si="1050"/>
        <v>MAIN UNIT</v>
      </c>
      <c r="Q3589" s="13" t="s">
        <v>61</v>
      </c>
      <c r="R3589" s="22" t="s">
        <v>62</v>
      </c>
      <c r="S3589" s="22" t="s">
        <v>49</v>
      </c>
      <c r="T3589" s="22" t="s">
        <v>78</v>
      </c>
      <c r="U3589" s="22" t="s">
        <v>78</v>
      </c>
      <c r="V3589" s="22" t="s">
        <v>112</v>
      </c>
      <c r="W3589" s="22" t="s">
        <v>109</v>
      </c>
      <c r="X3589" s="30">
        <v>11000000</v>
      </c>
      <c r="Y3589" s="31" t="str">
        <f t="shared" si="1058"/>
        <v>1</v>
      </c>
      <c r="Z3589" s="18">
        <f t="shared" si="1056"/>
        <v>11000000</v>
      </c>
      <c r="AA3589" s="13">
        <v>5.1799999999999999E-2</v>
      </c>
      <c r="AB3589" s="21">
        <f t="shared" si="1060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61"/>
        <v>5418880.879999999</v>
      </c>
      <c r="AJ3589" s="27">
        <f t="shared" si="1062"/>
        <v>650265.70559999999</v>
      </c>
      <c r="AK3589" s="28">
        <f t="shared" si="1044"/>
        <v>0.12000000000000002</v>
      </c>
      <c r="AL3589" s="24"/>
      <c r="AM3589" s="24"/>
      <c r="AN3589" s="24"/>
      <c r="AO3589" s="24"/>
      <c r="AP3589" s="95" t="str">
        <f t="shared" si="1045"/>
        <v>TBATBA</v>
      </c>
      <c r="AQ3589" s="203" t="str">
        <f t="shared" si="1046"/>
        <v>TBATBAJPY</v>
      </c>
      <c r="AR3589" s="206" t="str">
        <f t="shared" si="1047"/>
        <v>YAMAHA_Mounter</v>
      </c>
      <c r="AS3589" s="22" t="str">
        <f t="shared" si="1048"/>
        <v/>
      </c>
      <c r="AT3589" s="24" t="str">
        <f t="shared" si="1049"/>
        <v/>
      </c>
      <c r="AU3589" s="22" t="s">
        <v>3745</v>
      </c>
    </row>
    <row r="3590" spans="1:47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4"/>
        <v>Q4</v>
      </c>
      <c r="E3590" s="33" t="s">
        <v>3172</v>
      </c>
      <c r="F3590" s="152" t="s">
        <v>2584</v>
      </c>
      <c r="G3590" s="152" t="s">
        <v>2584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3342</v>
      </c>
      <c r="K3590" s="29" t="s">
        <v>3341</v>
      </c>
      <c r="L3590" s="17" t="s">
        <v>92</v>
      </c>
      <c r="M3590" s="22" t="s">
        <v>60</v>
      </c>
      <c r="N3590" s="22">
        <v>1</v>
      </c>
      <c r="O3590" s="22"/>
      <c r="P3590" s="33" t="str">
        <f t="shared" si="1050"/>
        <v>MAIN UNIT</v>
      </c>
      <c r="Q3590" s="13" t="s">
        <v>61</v>
      </c>
      <c r="R3590" s="22" t="s">
        <v>62</v>
      </c>
      <c r="S3590" s="22" t="s">
        <v>49</v>
      </c>
      <c r="T3590" s="22" t="s">
        <v>78</v>
      </c>
      <c r="U3590" s="22" t="s">
        <v>78</v>
      </c>
      <c r="V3590" s="22" t="s">
        <v>112</v>
      </c>
      <c r="W3590" s="22" t="s">
        <v>109</v>
      </c>
      <c r="X3590" s="30">
        <v>11000000</v>
      </c>
      <c r="Y3590" s="31" t="str">
        <f t="shared" si="1058"/>
        <v>1</v>
      </c>
      <c r="Z3590" s="18">
        <f t="shared" si="1056"/>
        <v>11000000</v>
      </c>
      <c r="AA3590" s="13">
        <v>5.1799999999999999E-2</v>
      </c>
      <c r="AB3590" s="21">
        <f t="shared" si="1060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si="1061"/>
        <v>5418880.879999999</v>
      </c>
      <c r="AJ3590" s="27">
        <f t="shared" si="1062"/>
        <v>650265.70559999999</v>
      </c>
      <c r="AK3590" s="28">
        <f t="shared" ref="AK3590:AK3653" si="1067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68">IF(F3590="","",F3590&amp;G3590)</f>
        <v>TBATBA</v>
      </c>
      <c r="AQ3590" s="203" t="str">
        <f t="shared" ref="AQ3590:AQ3653" si="1069">IF(W3590="","",F3590&amp;G3590&amp;W3590)</f>
        <v>TBATBAJPY</v>
      </c>
      <c r="AR3590" s="206" t="str">
        <f t="shared" ref="AR3590:AR3653" si="1070">IFERROR(IF(AND(M3590="YAMAHA", R3590="C28"), "YAMAHA_Non_Mounter", IF(AND(M3590="YAMAHA", R3590="C49"), "YAMAHA_Mounter", M3590)),"")</f>
        <v>YAMAHA_Mounter</v>
      </c>
      <c r="AS3590" s="22" t="str">
        <f t="shared" ref="AS3590:AS3653" si="1071">IFERROR(IF(OR(G3590="TBA", G3590=""), "", DATEDIF(DATE(B3590, C3590, 1), DATE(F3590, G3590, 1), "M")),"")</f>
        <v/>
      </c>
      <c r="AT3590" s="24" t="str">
        <f t="shared" ref="AT3590:AT3653" si="1072">IF(ISNUMBER(AS3590), IF(AS3590&gt;=0, IF(AS3590&lt;=3, "0-3 months", IF(AS3590&lt;=6, "4-6 months", "&gt; 6 months"))), "")</f>
        <v/>
      </c>
      <c r="AU3590" s="22" t="s">
        <v>3745</v>
      </c>
    </row>
    <row r="3591" spans="1:47" ht="39.6">
      <c r="A3591" s="33" t="str">
        <f t="shared" si="1063"/>
        <v/>
      </c>
      <c r="B3591" s="23"/>
      <c r="C3591" s="23"/>
      <c r="D3591" s="202" t="str">
        <f t="shared" si="1054"/>
        <v/>
      </c>
      <c r="E3591" s="33" t="s">
        <v>3172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43</v>
      </c>
      <c r="M3591" s="22" t="s">
        <v>43</v>
      </c>
      <c r="N3591" s="22">
        <v>0</v>
      </c>
      <c r="O3591" s="22"/>
      <c r="P3591" s="202" t="str">
        <f t="shared" si="1050"/>
        <v>C66 SERVICE/OTHERS</v>
      </c>
      <c r="Q3591" s="22" t="s">
        <v>45</v>
      </c>
      <c r="R3591" s="22" t="s">
        <v>45</v>
      </c>
      <c r="S3591" s="22" t="s">
        <v>50</v>
      </c>
      <c r="T3591" s="22"/>
      <c r="U3591" s="22"/>
      <c r="V3591" s="22"/>
      <c r="W3591" s="22"/>
      <c r="X3591" s="104"/>
      <c r="Y3591" s="195" t="str">
        <f t="shared" si="1058"/>
        <v/>
      </c>
      <c r="Z3591" s="196" t="str">
        <f t="shared" si="1056"/>
        <v/>
      </c>
      <c r="AA3591" s="22"/>
      <c r="AB3591" s="197">
        <v>215000</v>
      </c>
      <c r="AC3591" s="198">
        <f t="shared" si="1065"/>
        <v>64500</v>
      </c>
      <c r="AD3591" s="227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1"/>
        <v>25354039.366920356</v>
      </c>
      <c r="AJ3591" s="200">
        <f t="shared" si="1062"/>
        <v>3028631.2816309328</v>
      </c>
      <c r="AK3591" s="201">
        <f t="shared" si="1067"/>
        <v>0.11945360018579192</v>
      </c>
      <c r="AL3591" s="24"/>
      <c r="AM3591" s="24"/>
      <c r="AN3591" s="24"/>
      <c r="AO3591" s="24"/>
      <c r="AP3591" s="165" t="str">
        <f t="shared" si="1068"/>
        <v>20248</v>
      </c>
      <c r="AQ3591" s="203" t="str">
        <f t="shared" si="1069"/>
        <v/>
      </c>
      <c r="AR3591" s="206" t="str">
        <f t="shared" si="1070"/>
        <v>C66 SERVICE</v>
      </c>
      <c r="AS3591" s="22" t="str">
        <f t="shared" si="1071"/>
        <v/>
      </c>
      <c r="AT3591" s="24" t="str">
        <f t="shared" si="1072"/>
        <v/>
      </c>
      <c r="AU3591" s="22">
        <v>0</v>
      </c>
    </row>
    <row r="3592" spans="1:47" ht="39.6">
      <c r="A3592" s="33" t="str">
        <f t="shared" si="1063"/>
        <v/>
      </c>
      <c r="B3592" s="23"/>
      <c r="C3592" s="23"/>
      <c r="D3592" s="202" t="str">
        <f t="shared" si="1054"/>
        <v/>
      </c>
      <c r="E3592" s="33" t="s">
        <v>3172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43</v>
      </c>
      <c r="M3592" s="22" t="s">
        <v>43</v>
      </c>
      <c r="N3592" s="22">
        <v>0</v>
      </c>
      <c r="O3592" s="22"/>
      <c r="P3592" s="202" t="str">
        <f t="shared" si="1050"/>
        <v>C66 SERVICE/OTHERS</v>
      </c>
      <c r="Q3592" s="22" t="s">
        <v>45</v>
      </c>
      <c r="R3592" s="22" t="s">
        <v>45</v>
      </c>
      <c r="S3592" s="22" t="s">
        <v>49</v>
      </c>
      <c r="T3592" s="22"/>
      <c r="U3592" s="22"/>
      <c r="V3592" s="22"/>
      <c r="W3592" s="22"/>
      <c r="X3592" s="104"/>
      <c r="Y3592" s="195" t="str">
        <f t="shared" si="1058"/>
        <v/>
      </c>
      <c r="Z3592" s="196" t="str">
        <f t="shared" si="1056"/>
        <v/>
      </c>
      <c r="AA3592" s="22"/>
      <c r="AB3592" s="197">
        <v>374000</v>
      </c>
      <c r="AC3592" s="198">
        <f t="shared" si="1065"/>
        <v>112200</v>
      </c>
      <c r="AD3592" s="227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1"/>
        <v>25354039.366920356</v>
      </c>
      <c r="AJ3592" s="200">
        <f t="shared" si="1062"/>
        <v>3028631.2816309328</v>
      </c>
      <c r="AK3592" s="201">
        <f t="shared" si="1067"/>
        <v>0.11945360018579192</v>
      </c>
      <c r="AL3592" s="24"/>
      <c r="AM3592" s="24"/>
      <c r="AN3592" s="24"/>
      <c r="AO3592" s="24"/>
      <c r="AP3592" s="165" t="str">
        <f t="shared" si="1068"/>
        <v>20248</v>
      </c>
      <c r="AQ3592" s="203" t="str">
        <f t="shared" si="1069"/>
        <v/>
      </c>
      <c r="AR3592" s="206" t="str">
        <f t="shared" si="1070"/>
        <v>C66 SERVICE</v>
      </c>
      <c r="AS3592" s="22" t="str">
        <f t="shared" si="1071"/>
        <v/>
      </c>
      <c r="AT3592" s="24" t="str">
        <f t="shared" si="1072"/>
        <v/>
      </c>
      <c r="AU3592" s="22">
        <v>0</v>
      </c>
    </row>
    <row r="3593" spans="1:47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4"/>
        <v>Q4</v>
      </c>
      <c r="E3593" s="33" t="s">
        <v>3172</v>
      </c>
      <c r="F3593" s="152" t="s">
        <v>2584</v>
      </c>
      <c r="G3593" s="152" t="s">
        <v>2584</v>
      </c>
      <c r="H3593" s="29"/>
      <c r="I3593" s="93" t="str">
        <f t="shared" si="1064"/>
        <v>TBA</v>
      </c>
      <c r="J3593" s="188" t="s">
        <v>3342</v>
      </c>
      <c r="K3593" s="29" t="s">
        <v>3341</v>
      </c>
      <c r="L3593" s="17" t="s">
        <v>67</v>
      </c>
      <c r="M3593" s="22" t="s">
        <v>60</v>
      </c>
      <c r="N3593" s="22">
        <v>1</v>
      </c>
      <c r="O3593" s="22"/>
      <c r="P3593" s="33" t="str">
        <f t="shared" si="1050"/>
        <v>MAIN UNIT</v>
      </c>
      <c r="Q3593" s="13" t="s">
        <v>61</v>
      </c>
      <c r="R3593" s="22" t="s">
        <v>62</v>
      </c>
      <c r="S3593" s="22" t="s">
        <v>49</v>
      </c>
      <c r="T3593" s="22" t="s">
        <v>78</v>
      </c>
      <c r="U3593" s="22" t="s">
        <v>78</v>
      </c>
      <c r="V3593" s="22" t="s">
        <v>112</v>
      </c>
      <c r="W3593" s="22" t="s">
        <v>109</v>
      </c>
      <c r="X3593" s="30">
        <v>9652900</v>
      </c>
      <c r="Y3593" s="31" t="str">
        <f t="shared" si="1058"/>
        <v>1</v>
      </c>
      <c r="Z3593" s="18">
        <f t="shared" si="1056"/>
        <v>9652900</v>
      </c>
      <c r="AA3593" s="13">
        <v>5.1799999999999999E-2</v>
      </c>
      <c r="AB3593" s="21">
        <f t="shared" ref="AB3593:AB3624" si="1073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1"/>
        <v>5418880.879999999</v>
      </c>
      <c r="AJ3593" s="27">
        <f t="shared" si="1062"/>
        <v>650265.70559999999</v>
      </c>
      <c r="AK3593" s="28">
        <f t="shared" si="1067"/>
        <v>0.12000000000000002</v>
      </c>
      <c r="AL3593" s="24"/>
      <c r="AM3593" s="24"/>
      <c r="AN3593" s="24"/>
      <c r="AO3593" s="24"/>
      <c r="AP3593" s="95" t="str">
        <f t="shared" si="1068"/>
        <v>TBATBA</v>
      </c>
      <c r="AQ3593" s="203" t="str">
        <f t="shared" si="1069"/>
        <v>TBATBAJPY</v>
      </c>
      <c r="AR3593" s="206" t="str">
        <f t="shared" si="1070"/>
        <v>YAMAHA_Mounter</v>
      </c>
      <c r="AS3593" s="22" t="str">
        <f t="shared" si="1071"/>
        <v/>
      </c>
      <c r="AT3593" s="24" t="str">
        <f t="shared" si="1072"/>
        <v/>
      </c>
      <c r="AU3593" s="22" t="s">
        <v>3745</v>
      </c>
    </row>
    <row r="3594" spans="1:47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4"/>
        <v>Q4</v>
      </c>
      <c r="E3594" s="33" t="s">
        <v>3172</v>
      </c>
      <c r="F3594" s="152" t="s">
        <v>2584</v>
      </c>
      <c r="G3594" s="152" t="s">
        <v>2584</v>
      </c>
      <c r="H3594" s="29"/>
      <c r="I3594" s="93" t="str">
        <f t="shared" si="1064"/>
        <v>TBA</v>
      </c>
      <c r="J3594" s="188" t="s">
        <v>3342</v>
      </c>
      <c r="K3594" s="29" t="s">
        <v>3341</v>
      </c>
      <c r="L3594" s="17" t="s">
        <v>67</v>
      </c>
      <c r="M3594" s="22" t="s">
        <v>60</v>
      </c>
      <c r="N3594" s="22">
        <v>1</v>
      </c>
      <c r="O3594" s="22"/>
      <c r="P3594" s="33" t="str">
        <f t="shared" si="1050"/>
        <v>MAIN UNIT</v>
      </c>
      <c r="Q3594" s="13" t="s">
        <v>61</v>
      </c>
      <c r="R3594" s="22" t="s">
        <v>62</v>
      </c>
      <c r="S3594" s="22" t="s">
        <v>49</v>
      </c>
      <c r="T3594" s="22" t="s">
        <v>78</v>
      </c>
      <c r="U3594" s="22" t="s">
        <v>78</v>
      </c>
      <c r="V3594" s="22" t="s">
        <v>112</v>
      </c>
      <c r="W3594" s="22" t="s">
        <v>109</v>
      </c>
      <c r="X3594" s="30">
        <v>9652900</v>
      </c>
      <c r="Y3594" s="31" t="str">
        <f t="shared" si="1058"/>
        <v>1</v>
      </c>
      <c r="Z3594" s="18">
        <f t="shared" si="1056"/>
        <v>9652900</v>
      </c>
      <c r="AA3594" s="13">
        <v>5.1799999999999999E-2</v>
      </c>
      <c r="AB3594" s="21">
        <f t="shared" si="1073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1"/>
        <v>5418880.879999999</v>
      </c>
      <c r="AJ3594" s="27">
        <f t="shared" si="1062"/>
        <v>650265.70559999999</v>
      </c>
      <c r="AK3594" s="28">
        <f t="shared" si="1067"/>
        <v>0.12000000000000002</v>
      </c>
      <c r="AL3594" s="24"/>
      <c r="AM3594" s="24"/>
      <c r="AN3594" s="24"/>
      <c r="AO3594" s="24"/>
      <c r="AP3594" s="95" t="str">
        <f t="shared" si="1068"/>
        <v>TBATBA</v>
      </c>
      <c r="AQ3594" s="203" t="str">
        <f t="shared" si="1069"/>
        <v>TBATBAJPY</v>
      </c>
      <c r="AR3594" s="206" t="str">
        <f t="shared" si="1070"/>
        <v>YAMAHA_Mounter</v>
      </c>
      <c r="AS3594" s="22" t="str">
        <f t="shared" si="1071"/>
        <v/>
      </c>
      <c r="AT3594" s="24" t="str">
        <f t="shared" si="1072"/>
        <v/>
      </c>
      <c r="AU3594" s="22" t="s">
        <v>3745</v>
      </c>
    </row>
    <row r="3595" spans="1:47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4"/>
        <v>Q4</v>
      </c>
      <c r="E3595" s="33" t="s">
        <v>3172</v>
      </c>
      <c r="F3595" s="152" t="s">
        <v>2584</v>
      </c>
      <c r="G3595" s="152" t="s">
        <v>2584</v>
      </c>
      <c r="H3595" s="29"/>
      <c r="I3595" s="93" t="str">
        <f t="shared" si="1064"/>
        <v>TBA</v>
      </c>
      <c r="J3595" s="188" t="s">
        <v>3342</v>
      </c>
      <c r="K3595" s="29" t="s">
        <v>3341</v>
      </c>
      <c r="L3595" s="17" t="s">
        <v>67</v>
      </c>
      <c r="M3595" s="22" t="s">
        <v>60</v>
      </c>
      <c r="N3595" s="22">
        <v>1</v>
      </c>
      <c r="O3595" s="22"/>
      <c r="P3595" s="33" t="str">
        <f t="shared" si="1050"/>
        <v>MAIN UNIT</v>
      </c>
      <c r="Q3595" s="13" t="s">
        <v>61</v>
      </c>
      <c r="R3595" s="22" t="s">
        <v>62</v>
      </c>
      <c r="S3595" s="22" t="s">
        <v>49</v>
      </c>
      <c r="T3595" s="22" t="s">
        <v>78</v>
      </c>
      <c r="U3595" s="22" t="s">
        <v>78</v>
      </c>
      <c r="V3595" s="22" t="s">
        <v>112</v>
      </c>
      <c r="W3595" s="22" t="s">
        <v>109</v>
      </c>
      <c r="X3595" s="30">
        <v>9652900</v>
      </c>
      <c r="Y3595" s="31" t="str">
        <f t="shared" si="1058"/>
        <v>1</v>
      </c>
      <c r="Z3595" s="18">
        <f t="shared" si="1056"/>
        <v>9652900</v>
      </c>
      <c r="AA3595" s="13">
        <v>5.1799999999999999E-2</v>
      </c>
      <c r="AB3595" s="21">
        <f t="shared" si="1073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1"/>
        <v>5418880.879999999</v>
      </c>
      <c r="AJ3595" s="27">
        <f t="shared" si="1062"/>
        <v>650265.70559999999</v>
      </c>
      <c r="AK3595" s="28">
        <f t="shared" si="1067"/>
        <v>0.12000000000000002</v>
      </c>
      <c r="AL3595" s="24"/>
      <c r="AM3595" s="24"/>
      <c r="AN3595" s="24"/>
      <c r="AO3595" s="24"/>
      <c r="AP3595" s="95" t="str">
        <f t="shared" si="1068"/>
        <v>TBATBA</v>
      </c>
      <c r="AQ3595" s="203" t="str">
        <f t="shared" si="1069"/>
        <v>TBATBAJPY</v>
      </c>
      <c r="AR3595" s="206" t="str">
        <f t="shared" si="1070"/>
        <v>YAMAHA_Mounter</v>
      </c>
      <c r="AS3595" s="22" t="str">
        <f t="shared" si="1071"/>
        <v/>
      </c>
      <c r="AT3595" s="24" t="str">
        <f t="shared" si="1072"/>
        <v/>
      </c>
      <c r="AU3595" s="22" t="s">
        <v>3745</v>
      </c>
    </row>
    <row r="3596" spans="1:47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4"/>
        <v>Q4</v>
      </c>
      <c r="E3596" s="33" t="s">
        <v>3172</v>
      </c>
      <c r="F3596" s="152" t="s">
        <v>2584</v>
      </c>
      <c r="G3596" s="152" t="s">
        <v>2584</v>
      </c>
      <c r="H3596" s="29"/>
      <c r="I3596" s="93" t="str">
        <f t="shared" si="1064"/>
        <v>TBA</v>
      </c>
      <c r="J3596" s="188" t="s">
        <v>3342</v>
      </c>
      <c r="K3596" s="29" t="s">
        <v>3341</v>
      </c>
      <c r="L3596" s="17" t="s">
        <v>67</v>
      </c>
      <c r="M3596" s="22" t="s">
        <v>60</v>
      </c>
      <c r="N3596" s="22">
        <v>1</v>
      </c>
      <c r="O3596" s="22"/>
      <c r="P3596" s="33" t="str">
        <f t="shared" si="1050"/>
        <v>MAIN UNIT</v>
      </c>
      <c r="Q3596" s="13" t="s">
        <v>61</v>
      </c>
      <c r="R3596" s="22" t="s">
        <v>62</v>
      </c>
      <c r="S3596" s="22" t="s">
        <v>49</v>
      </c>
      <c r="T3596" s="22" t="s">
        <v>78</v>
      </c>
      <c r="U3596" s="22" t="s">
        <v>78</v>
      </c>
      <c r="V3596" s="22" t="s">
        <v>112</v>
      </c>
      <c r="W3596" s="22" t="s">
        <v>109</v>
      </c>
      <c r="X3596" s="30">
        <v>9652900</v>
      </c>
      <c r="Y3596" s="31" t="str">
        <f t="shared" si="1058"/>
        <v>1</v>
      </c>
      <c r="Z3596" s="18">
        <f t="shared" si="1056"/>
        <v>9652900</v>
      </c>
      <c r="AA3596" s="13">
        <v>5.1799999999999999E-2</v>
      </c>
      <c r="AB3596" s="21">
        <f t="shared" si="1073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1"/>
        <v>5418880.879999999</v>
      </c>
      <c r="AJ3596" s="27">
        <f t="shared" si="1062"/>
        <v>650265.70559999999</v>
      </c>
      <c r="AK3596" s="28">
        <f t="shared" si="1067"/>
        <v>0.12000000000000002</v>
      </c>
      <c r="AL3596" s="24"/>
      <c r="AM3596" s="24"/>
      <c r="AN3596" s="24"/>
      <c r="AO3596" s="24"/>
      <c r="AP3596" s="95" t="str">
        <f t="shared" si="1068"/>
        <v>TBATBA</v>
      </c>
      <c r="AQ3596" s="203" t="str">
        <f t="shared" si="1069"/>
        <v>TBATBAJPY</v>
      </c>
      <c r="AR3596" s="206" t="str">
        <f t="shared" si="1070"/>
        <v>YAMAHA_Mounter</v>
      </c>
      <c r="AS3596" s="22" t="str">
        <f t="shared" si="1071"/>
        <v/>
      </c>
      <c r="AT3596" s="24" t="str">
        <f t="shared" si="1072"/>
        <v/>
      </c>
      <c r="AU3596" s="22" t="s">
        <v>3745</v>
      </c>
    </row>
    <row r="3597" spans="1:47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4"/>
        <v>Q1</v>
      </c>
      <c r="E3597" s="33" t="s">
        <v>3172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3456</v>
      </c>
      <c r="K3597" s="29" t="s">
        <v>3457</v>
      </c>
      <c r="L3597" s="17" t="s">
        <v>92</v>
      </c>
      <c r="M3597" s="22" t="s">
        <v>60</v>
      </c>
      <c r="N3597" s="22">
        <v>1</v>
      </c>
      <c r="O3597" s="22"/>
      <c r="P3597" s="33" t="str">
        <f t="shared" si="1050"/>
        <v>MAIN UNIT</v>
      </c>
      <c r="Q3597" s="22" t="s">
        <v>68</v>
      </c>
      <c r="R3597" s="22" t="s">
        <v>62</v>
      </c>
      <c r="S3597" s="22" t="s">
        <v>49</v>
      </c>
      <c r="T3597" s="22" t="s">
        <v>78</v>
      </c>
      <c r="U3597" s="22" t="s">
        <v>78</v>
      </c>
      <c r="V3597" s="22" t="s">
        <v>131</v>
      </c>
      <c r="W3597" s="22" t="s">
        <v>109</v>
      </c>
      <c r="X3597" s="104">
        <v>16835000</v>
      </c>
      <c r="Y3597" s="195" t="str">
        <f t="shared" si="1058"/>
        <v>1</v>
      </c>
      <c r="Z3597" s="196">
        <f t="shared" si="1056"/>
        <v>16835000</v>
      </c>
      <c r="AA3597" s="22">
        <v>5.5100000000000003E-2</v>
      </c>
      <c r="AB3597" s="197">
        <f t="shared" si="1073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1"/>
        <v>35931087.732566379</v>
      </c>
      <c r="AJ3597" s="200">
        <f t="shared" si="1062"/>
        <v>4347120.3954975223</v>
      </c>
      <c r="AK3597" s="201">
        <f t="shared" si="1067"/>
        <v>0.12098493727362117</v>
      </c>
      <c r="AL3597" s="24"/>
      <c r="AM3597" s="24"/>
      <c r="AN3597" s="24"/>
      <c r="AO3597" s="24"/>
      <c r="AP3597" s="165" t="str">
        <f t="shared" si="1068"/>
        <v>20249</v>
      </c>
      <c r="AQ3597" s="203" t="str">
        <f t="shared" si="1069"/>
        <v>20249JPY</v>
      </c>
      <c r="AR3597" s="206" t="str">
        <f t="shared" si="1070"/>
        <v>YAMAHA_Mounter</v>
      </c>
      <c r="AS3597" s="22">
        <f t="shared" si="1071"/>
        <v>4</v>
      </c>
      <c r="AT3597" s="24" t="str">
        <f t="shared" si="1072"/>
        <v>4-6 months</v>
      </c>
      <c r="AU3597" s="22" t="s">
        <v>3746</v>
      </c>
    </row>
    <row r="3598" spans="1:47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4"/>
        <v>Q1</v>
      </c>
      <c r="E3598" s="33" t="s">
        <v>3172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3456</v>
      </c>
      <c r="K3598" s="29" t="s">
        <v>3457</v>
      </c>
      <c r="L3598" s="17" t="s">
        <v>92</v>
      </c>
      <c r="M3598" s="22" t="s">
        <v>60</v>
      </c>
      <c r="N3598" s="22">
        <v>1</v>
      </c>
      <c r="O3598" s="22"/>
      <c r="P3598" s="33" t="str">
        <f t="shared" si="1050"/>
        <v>MAIN UNIT</v>
      </c>
      <c r="Q3598" s="22" t="s">
        <v>68</v>
      </c>
      <c r="R3598" s="22" t="s">
        <v>62</v>
      </c>
      <c r="S3598" s="22" t="s">
        <v>49</v>
      </c>
      <c r="T3598" s="22" t="s">
        <v>78</v>
      </c>
      <c r="U3598" s="22" t="s">
        <v>78</v>
      </c>
      <c r="V3598" s="22" t="s">
        <v>131</v>
      </c>
      <c r="W3598" s="22" t="s">
        <v>109</v>
      </c>
      <c r="X3598" s="104">
        <v>16835000</v>
      </c>
      <c r="Y3598" s="195" t="str">
        <f t="shared" si="1058"/>
        <v>1</v>
      </c>
      <c r="Z3598" s="196">
        <f t="shared" si="1056"/>
        <v>16835000</v>
      </c>
      <c r="AA3598" s="22">
        <v>5.5100000000000003E-2</v>
      </c>
      <c r="AB3598" s="197">
        <f t="shared" si="1073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1"/>
        <v>35931087.732566379</v>
      </c>
      <c r="AJ3598" s="200">
        <f t="shared" si="1062"/>
        <v>4347120.3954975223</v>
      </c>
      <c r="AK3598" s="201">
        <f t="shared" si="1067"/>
        <v>0.12098493727362117</v>
      </c>
      <c r="AL3598" s="24"/>
      <c r="AM3598" s="24"/>
      <c r="AN3598" s="24"/>
      <c r="AO3598" s="24"/>
      <c r="AP3598" s="165" t="str">
        <f t="shared" si="1068"/>
        <v>20249</v>
      </c>
      <c r="AQ3598" s="203" t="str">
        <f t="shared" si="1069"/>
        <v>20249JPY</v>
      </c>
      <c r="AR3598" s="206" t="str">
        <f t="shared" si="1070"/>
        <v>YAMAHA_Mounter</v>
      </c>
      <c r="AS3598" s="22">
        <f t="shared" si="1071"/>
        <v>4</v>
      </c>
      <c r="AT3598" s="24" t="str">
        <f t="shared" si="1072"/>
        <v>4-6 months</v>
      </c>
      <c r="AU3598" s="22" t="s">
        <v>3746</v>
      </c>
    </row>
    <row r="3599" spans="1:47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4"/>
        <v>Q1</v>
      </c>
      <c r="E3599" s="33" t="s">
        <v>3172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3456</v>
      </c>
      <c r="K3599" s="29" t="s">
        <v>3457</v>
      </c>
      <c r="L3599" s="17" t="s">
        <v>67</v>
      </c>
      <c r="M3599" s="22" t="s">
        <v>60</v>
      </c>
      <c r="N3599" s="22">
        <v>1</v>
      </c>
      <c r="O3599" s="22"/>
      <c r="P3599" s="33" t="str">
        <f t="shared" si="1050"/>
        <v>MAIN UNIT</v>
      </c>
      <c r="Q3599" s="22" t="s">
        <v>68</v>
      </c>
      <c r="R3599" s="22" t="s">
        <v>62</v>
      </c>
      <c r="S3599" s="22" t="s">
        <v>49</v>
      </c>
      <c r="T3599" s="22" t="s">
        <v>78</v>
      </c>
      <c r="U3599" s="22" t="s">
        <v>78</v>
      </c>
      <c r="V3599" s="22" t="s">
        <v>131</v>
      </c>
      <c r="W3599" s="22" t="s">
        <v>109</v>
      </c>
      <c r="X3599" s="104">
        <v>14300000</v>
      </c>
      <c r="Y3599" s="195" t="str">
        <f t="shared" si="1058"/>
        <v>1</v>
      </c>
      <c r="Z3599" s="196">
        <f t="shared" si="1056"/>
        <v>14300000</v>
      </c>
      <c r="AA3599" s="22">
        <v>5.5100000000000003E-2</v>
      </c>
      <c r="AB3599" s="197">
        <f t="shared" si="1073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1"/>
        <v>35931087.732566379</v>
      </c>
      <c r="AJ3599" s="200">
        <f t="shared" si="1062"/>
        <v>4347120.3954975223</v>
      </c>
      <c r="AK3599" s="201">
        <f t="shared" si="1067"/>
        <v>0.12098493727362117</v>
      </c>
      <c r="AL3599" s="24"/>
      <c r="AM3599" s="24"/>
      <c r="AN3599" s="24"/>
      <c r="AO3599" s="24"/>
      <c r="AP3599" s="165" t="str">
        <f t="shared" si="1068"/>
        <v>20249</v>
      </c>
      <c r="AQ3599" s="203" t="str">
        <f t="shared" si="1069"/>
        <v>20249JPY</v>
      </c>
      <c r="AR3599" s="206" t="str">
        <f t="shared" si="1070"/>
        <v>YAMAHA_Mounter</v>
      </c>
      <c r="AS3599" s="22">
        <f t="shared" si="1071"/>
        <v>4</v>
      </c>
      <c r="AT3599" s="24" t="str">
        <f t="shared" si="1072"/>
        <v>4-6 months</v>
      </c>
      <c r="AU3599" s="22" t="s">
        <v>3746</v>
      </c>
    </row>
    <row r="3600" spans="1:47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4"/>
        <v>Q1</v>
      </c>
      <c r="E3600" s="33" t="s">
        <v>3172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3456</v>
      </c>
      <c r="K3600" s="29" t="s">
        <v>3457</v>
      </c>
      <c r="L3600" s="17" t="s">
        <v>67</v>
      </c>
      <c r="M3600" s="22" t="s">
        <v>60</v>
      </c>
      <c r="N3600" s="22">
        <v>1</v>
      </c>
      <c r="O3600" s="22"/>
      <c r="P3600" s="33" t="str">
        <f t="shared" si="1050"/>
        <v>MAIN UNIT</v>
      </c>
      <c r="Q3600" s="22" t="s">
        <v>68</v>
      </c>
      <c r="R3600" s="22" t="s">
        <v>62</v>
      </c>
      <c r="S3600" s="22" t="s">
        <v>49</v>
      </c>
      <c r="T3600" s="22" t="s">
        <v>78</v>
      </c>
      <c r="U3600" s="22" t="s">
        <v>78</v>
      </c>
      <c r="V3600" s="22" t="s">
        <v>131</v>
      </c>
      <c r="W3600" s="22" t="s">
        <v>109</v>
      </c>
      <c r="X3600" s="104">
        <v>14300000</v>
      </c>
      <c r="Y3600" s="195" t="str">
        <f t="shared" si="1058"/>
        <v>1</v>
      </c>
      <c r="Z3600" s="196">
        <f t="shared" si="1056"/>
        <v>14300000</v>
      </c>
      <c r="AA3600" s="22">
        <v>5.5100000000000003E-2</v>
      </c>
      <c r="AB3600" s="197">
        <f t="shared" si="1073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1"/>
        <v>35931087.732566379</v>
      </c>
      <c r="AJ3600" s="200">
        <f t="shared" si="1062"/>
        <v>4347120.3954975223</v>
      </c>
      <c r="AK3600" s="201">
        <f t="shared" si="1067"/>
        <v>0.12098493727362117</v>
      </c>
      <c r="AL3600" s="24"/>
      <c r="AM3600" s="24"/>
      <c r="AN3600" s="24"/>
      <c r="AO3600" s="24"/>
      <c r="AP3600" s="165" t="str">
        <f t="shared" si="1068"/>
        <v>20249</v>
      </c>
      <c r="AQ3600" s="203" t="str">
        <f t="shared" si="1069"/>
        <v>20249JPY</v>
      </c>
      <c r="AR3600" s="206" t="str">
        <f t="shared" si="1070"/>
        <v>YAMAHA_Mounter</v>
      </c>
      <c r="AS3600" s="22">
        <f t="shared" si="1071"/>
        <v>4</v>
      </c>
      <c r="AT3600" s="24" t="str">
        <f t="shared" si="1072"/>
        <v>4-6 months</v>
      </c>
      <c r="AU3600" s="22" t="s">
        <v>3746</v>
      </c>
    </row>
    <row r="3601" spans="1:47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4"/>
        <v>Q1</v>
      </c>
      <c r="E3601" s="33" t="s">
        <v>3172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3436</v>
      </c>
      <c r="K3601" s="29" t="s">
        <v>999</v>
      </c>
      <c r="L3601" s="17" t="s">
        <v>2620</v>
      </c>
      <c r="M3601" s="22" t="s">
        <v>60</v>
      </c>
      <c r="N3601" s="22">
        <v>1</v>
      </c>
      <c r="O3601" s="22"/>
      <c r="P3601" s="33" t="str">
        <f t="shared" si="1050"/>
        <v>MAIN UNIT</v>
      </c>
      <c r="Q3601" s="22" t="s">
        <v>61</v>
      </c>
      <c r="R3601" s="22" t="s">
        <v>2055</v>
      </c>
      <c r="S3601" s="22" t="s">
        <v>49</v>
      </c>
      <c r="T3601" s="22" t="s">
        <v>78</v>
      </c>
      <c r="U3601" s="22" t="s">
        <v>78</v>
      </c>
      <c r="V3601" s="22" t="s">
        <v>311</v>
      </c>
      <c r="W3601" s="22" t="s">
        <v>109</v>
      </c>
      <c r="X3601" s="104">
        <v>7400000</v>
      </c>
      <c r="Y3601" s="195" t="str">
        <f t="shared" si="1058"/>
        <v>1</v>
      </c>
      <c r="Z3601" s="196">
        <f t="shared" si="1056"/>
        <v>7400000</v>
      </c>
      <c r="AA3601" s="22">
        <v>5.5100000000000003E-2</v>
      </c>
      <c r="AB3601" s="197">
        <f t="shared" si="1073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1"/>
        <v>35931087.732566379</v>
      </c>
      <c r="AJ3601" s="200">
        <f t="shared" si="1062"/>
        <v>4347120.3954975223</v>
      </c>
      <c r="AK3601" s="201">
        <f t="shared" si="1067"/>
        <v>0.12098493727362117</v>
      </c>
      <c r="AL3601" s="24"/>
      <c r="AM3601" s="24"/>
      <c r="AN3601" s="24"/>
      <c r="AO3601" s="24"/>
      <c r="AP3601" s="165" t="str">
        <f t="shared" si="1068"/>
        <v>20249</v>
      </c>
      <c r="AQ3601" s="203" t="str">
        <f t="shared" si="1069"/>
        <v>20249JPY</v>
      </c>
      <c r="AR3601" s="206" t="str">
        <f t="shared" si="1070"/>
        <v>YAMAHA_Non_Mounter</v>
      </c>
      <c r="AS3601" s="22">
        <f t="shared" si="1071"/>
        <v>4</v>
      </c>
      <c r="AT3601" s="24" t="str">
        <f t="shared" si="1072"/>
        <v>4-6 months</v>
      </c>
      <c r="AU3601" s="22" t="s">
        <v>3745</v>
      </c>
    </row>
    <row r="3602" spans="1:47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4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185</v>
      </c>
      <c r="G3602" s="152" t="s">
        <v>185</v>
      </c>
      <c r="H3602" s="29"/>
      <c r="I3602" s="93" t="str">
        <f t="shared" si="1064"/>
        <v>Cancel</v>
      </c>
      <c r="J3602" s="188" t="s">
        <v>3173</v>
      </c>
      <c r="K3602" s="29" t="s">
        <v>3174</v>
      </c>
      <c r="L3602" s="17" t="s">
        <v>92</v>
      </c>
      <c r="M3602" s="22" t="s">
        <v>60</v>
      </c>
      <c r="N3602" s="22">
        <v>1</v>
      </c>
      <c r="O3602" s="22"/>
      <c r="P3602" s="33" t="str">
        <f t="shared" si="1050"/>
        <v>MAIN UNIT</v>
      </c>
      <c r="Q3602" s="13" t="s">
        <v>68</v>
      </c>
      <c r="R3602" s="22" t="s">
        <v>62</v>
      </c>
      <c r="S3602" s="22" t="s">
        <v>49</v>
      </c>
      <c r="T3602" s="22" t="s">
        <v>1071</v>
      </c>
      <c r="U3602" s="22" t="s">
        <v>2110</v>
      </c>
      <c r="V3602" s="22" t="s">
        <v>121</v>
      </c>
      <c r="W3602" s="22" t="s">
        <v>64</v>
      </c>
      <c r="X3602" s="30">
        <v>770000</v>
      </c>
      <c r="Y3602" s="31" t="str">
        <f t="shared" si="1058"/>
        <v>1.13</v>
      </c>
      <c r="Z3602" s="18">
        <f t="shared" si="1056"/>
        <v>770000</v>
      </c>
      <c r="AA3602" s="22">
        <v>1.0920000000000001</v>
      </c>
      <c r="AB3602" s="21">
        <f t="shared" si="1073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1"/>
        <v>499582152.5142017</v>
      </c>
      <c r="AJ3602" s="27">
        <f t="shared" si="1062"/>
        <v>59520528.679470733</v>
      </c>
      <c r="AK3602" s="28">
        <f t="shared" si="1067"/>
        <v>0.11914062257814291</v>
      </c>
      <c r="AL3602" s="24"/>
      <c r="AM3602" s="24"/>
      <c r="AN3602" s="24"/>
      <c r="AO3602" s="24"/>
      <c r="AP3602" s="95" t="str">
        <f t="shared" si="1068"/>
        <v>CancelCancel</v>
      </c>
      <c r="AQ3602" s="203" t="str">
        <f t="shared" si="1069"/>
        <v>CancelCancelRMB</v>
      </c>
      <c r="AR3602" s="206" t="str">
        <f t="shared" si="1070"/>
        <v>YAMAHA_Mounter</v>
      </c>
      <c r="AS3602" s="22" t="str">
        <f t="shared" si="1071"/>
        <v/>
      </c>
      <c r="AT3602" s="24" t="str">
        <f t="shared" si="1072"/>
        <v/>
      </c>
      <c r="AU3602" s="22" t="s">
        <v>3751</v>
      </c>
    </row>
    <row r="3603" spans="1:47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4"/>
        <v>Q1</v>
      </c>
      <c r="E3603" s="33" t="s">
        <v>3172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3436</v>
      </c>
      <c r="K3603" s="29" t="s">
        <v>999</v>
      </c>
      <c r="L3603" s="17" t="s">
        <v>2620</v>
      </c>
      <c r="M3603" s="22" t="s">
        <v>60</v>
      </c>
      <c r="N3603" s="22">
        <v>1</v>
      </c>
      <c r="O3603" s="22"/>
      <c r="P3603" s="33" t="str">
        <f t="shared" si="1050"/>
        <v>MAIN UNIT</v>
      </c>
      <c r="Q3603" s="22" t="s">
        <v>61</v>
      </c>
      <c r="R3603" s="22" t="s">
        <v>2055</v>
      </c>
      <c r="S3603" s="22" t="s">
        <v>49</v>
      </c>
      <c r="T3603" s="22" t="s">
        <v>78</v>
      </c>
      <c r="U3603" s="22" t="s">
        <v>78</v>
      </c>
      <c r="V3603" s="22" t="s">
        <v>311</v>
      </c>
      <c r="W3603" s="22" t="s">
        <v>109</v>
      </c>
      <c r="X3603" s="104">
        <v>7400000</v>
      </c>
      <c r="Y3603" s="195" t="str">
        <f t="shared" si="1058"/>
        <v>1</v>
      </c>
      <c r="Z3603" s="196">
        <f t="shared" si="1056"/>
        <v>7400000</v>
      </c>
      <c r="AA3603" s="22">
        <v>5.5100000000000003E-2</v>
      </c>
      <c r="AB3603" s="197">
        <f t="shared" si="1073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1"/>
        <v>35931087.732566379</v>
      </c>
      <c r="AJ3603" s="200">
        <f t="shared" si="1062"/>
        <v>4347120.3954975223</v>
      </c>
      <c r="AK3603" s="201">
        <f t="shared" si="1067"/>
        <v>0.12098493727362117</v>
      </c>
      <c r="AL3603" s="24"/>
      <c r="AM3603" s="24"/>
      <c r="AN3603" s="24"/>
      <c r="AO3603" s="24"/>
      <c r="AP3603" s="165" t="str">
        <f t="shared" si="1068"/>
        <v>20249</v>
      </c>
      <c r="AQ3603" s="203" t="str">
        <f t="shared" si="1069"/>
        <v>20249JPY</v>
      </c>
      <c r="AR3603" s="206" t="str">
        <f t="shared" si="1070"/>
        <v>YAMAHA_Non_Mounter</v>
      </c>
      <c r="AS3603" s="22">
        <f t="shared" si="1071"/>
        <v>4</v>
      </c>
      <c r="AT3603" s="24" t="str">
        <f t="shared" si="1072"/>
        <v>4-6 months</v>
      </c>
      <c r="AU3603" s="22" t="s">
        <v>3745</v>
      </c>
    </row>
    <row r="3604" spans="1:47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4"/>
        <v>Q1</v>
      </c>
      <c r="E3604" s="33" t="s">
        <v>3172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3436</v>
      </c>
      <c r="K3604" s="29" t="s">
        <v>999</v>
      </c>
      <c r="L3604" s="17" t="s">
        <v>2620</v>
      </c>
      <c r="M3604" s="22" t="s">
        <v>60</v>
      </c>
      <c r="N3604" s="22">
        <v>1</v>
      </c>
      <c r="O3604" s="22"/>
      <c r="P3604" s="33" t="str">
        <f t="shared" si="1050"/>
        <v>MAIN UNIT</v>
      </c>
      <c r="Q3604" s="22" t="s">
        <v>61</v>
      </c>
      <c r="R3604" s="22" t="s">
        <v>2055</v>
      </c>
      <c r="S3604" s="22" t="s">
        <v>49</v>
      </c>
      <c r="T3604" s="22" t="s">
        <v>78</v>
      </c>
      <c r="U3604" s="22" t="s">
        <v>78</v>
      </c>
      <c r="V3604" s="22" t="s">
        <v>311</v>
      </c>
      <c r="W3604" s="22" t="s">
        <v>109</v>
      </c>
      <c r="X3604" s="104">
        <v>7400000</v>
      </c>
      <c r="Y3604" s="195" t="str">
        <f t="shared" ref="Y3604:Y3635" si="1074">IF(W3604="","",IF(W3604="RMB","1.13", "1"))</f>
        <v>1</v>
      </c>
      <c r="Z3604" s="196">
        <f t="shared" si="1056"/>
        <v>7400000</v>
      </c>
      <c r="AA3604" s="22">
        <v>5.5100000000000003E-2</v>
      </c>
      <c r="AB3604" s="197">
        <f t="shared" si="1073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1"/>
        <v>35931087.732566379</v>
      </c>
      <c r="AJ3604" s="200">
        <f t="shared" si="1062"/>
        <v>4347120.3954975223</v>
      </c>
      <c r="AK3604" s="201">
        <f t="shared" si="1067"/>
        <v>0.12098493727362117</v>
      </c>
      <c r="AL3604" s="24"/>
      <c r="AM3604" s="24"/>
      <c r="AN3604" s="24"/>
      <c r="AO3604" s="24"/>
      <c r="AP3604" s="165" t="str">
        <f t="shared" si="1068"/>
        <v>20249</v>
      </c>
      <c r="AQ3604" s="203" t="str">
        <f t="shared" si="1069"/>
        <v>20249JPY</v>
      </c>
      <c r="AR3604" s="206" t="str">
        <f t="shared" si="1070"/>
        <v>YAMAHA_Non_Mounter</v>
      </c>
      <c r="AS3604" s="22">
        <f t="shared" si="1071"/>
        <v>4</v>
      </c>
      <c r="AT3604" s="24" t="str">
        <f t="shared" si="1072"/>
        <v>4-6 months</v>
      </c>
      <c r="AU3604" s="22" t="s">
        <v>3745</v>
      </c>
    </row>
    <row r="3605" spans="1:47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4"/>
        <v>Q1</v>
      </c>
      <c r="E3605" s="33" t="s">
        <v>3172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3446</v>
      </c>
      <c r="K3605" s="29" t="s">
        <v>3447</v>
      </c>
      <c r="L3605" s="17" t="s">
        <v>92</v>
      </c>
      <c r="M3605" s="22" t="s">
        <v>60</v>
      </c>
      <c r="N3605" s="22">
        <v>1</v>
      </c>
      <c r="O3605" s="22"/>
      <c r="P3605" s="33" t="str">
        <f t="shared" si="1050"/>
        <v>MAIN UNIT</v>
      </c>
      <c r="Q3605" s="22" t="s">
        <v>61</v>
      </c>
      <c r="R3605" s="22" t="s">
        <v>62</v>
      </c>
      <c r="S3605" s="22" t="s">
        <v>49</v>
      </c>
      <c r="T3605" s="22" t="s">
        <v>78</v>
      </c>
      <c r="U3605" s="22" t="s">
        <v>78</v>
      </c>
      <c r="V3605" s="22" t="s">
        <v>126</v>
      </c>
      <c r="W3605" s="22" t="s">
        <v>109</v>
      </c>
      <c r="X3605" s="104">
        <v>13235000</v>
      </c>
      <c r="Y3605" s="195" t="str">
        <f t="shared" si="1074"/>
        <v>1</v>
      </c>
      <c r="Z3605" s="196">
        <f t="shared" si="1056"/>
        <v>13235000</v>
      </c>
      <c r="AA3605" s="22">
        <v>5.5599999999999997E-2</v>
      </c>
      <c r="AB3605" s="197">
        <f t="shared" si="1073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1"/>
        <v>22758096.38940867</v>
      </c>
      <c r="AJ3605" s="200">
        <f t="shared" si="1062"/>
        <v>2469357.2298956565</v>
      </c>
      <c r="AK3605" s="201">
        <f t="shared" si="1067"/>
        <v>0.10850455976822666</v>
      </c>
      <c r="AL3605" s="24"/>
      <c r="AM3605" s="24"/>
      <c r="AN3605" s="24"/>
      <c r="AO3605" s="24"/>
      <c r="AP3605" s="165" t="str">
        <f t="shared" si="1068"/>
        <v>202410</v>
      </c>
      <c r="AQ3605" s="203" t="str">
        <f t="shared" si="1069"/>
        <v>202410JPY</v>
      </c>
      <c r="AR3605" s="206" t="str">
        <f t="shared" si="1070"/>
        <v>YAMAHA_Mounter</v>
      </c>
      <c r="AS3605" s="22">
        <f t="shared" si="1071"/>
        <v>5</v>
      </c>
      <c r="AT3605" s="24" t="str">
        <f t="shared" si="1072"/>
        <v>4-6 months</v>
      </c>
      <c r="AU3605" s="22" t="s">
        <v>3746</v>
      </c>
    </row>
    <row r="3606" spans="1:47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4"/>
        <v>Q1</v>
      </c>
      <c r="E3606" s="33" t="s">
        <v>3172</v>
      </c>
      <c r="F3606" s="152" t="s">
        <v>185</v>
      </c>
      <c r="G3606" s="152" t="s">
        <v>185</v>
      </c>
      <c r="H3606" s="29"/>
      <c r="I3606" s="204" t="str">
        <f t="shared" si="1064"/>
        <v>Cancel</v>
      </c>
      <c r="J3606" s="188" t="s">
        <v>3463</v>
      </c>
      <c r="K3606" s="29" t="s">
        <v>3464</v>
      </c>
      <c r="L3606" s="17" t="s">
        <v>92</v>
      </c>
      <c r="M3606" s="22" t="s">
        <v>60</v>
      </c>
      <c r="N3606" s="22">
        <v>1</v>
      </c>
      <c r="O3606" s="22"/>
      <c r="P3606" s="33" t="str">
        <f t="shared" ref="P3606:P3640" si="1075">IF(M3606="","",IF(AND(N3606&gt;0,L3606&lt;&gt;""),"MAIN UNIT",IF(AND(O3606&gt;0,L3606&lt;&gt;""),"SERVICE/ PARTS","C66 SERVICE/OTHERS")))</f>
        <v>MAIN UNIT</v>
      </c>
      <c r="Q3606" s="22" t="s">
        <v>68</v>
      </c>
      <c r="R3606" s="22" t="s">
        <v>62</v>
      </c>
      <c r="S3606" s="22" t="s">
        <v>49</v>
      </c>
      <c r="T3606" s="22" t="s">
        <v>78</v>
      </c>
      <c r="U3606" s="22" t="s">
        <v>396</v>
      </c>
      <c r="V3606" s="22" t="s">
        <v>2011</v>
      </c>
      <c r="W3606" s="22" t="s">
        <v>109</v>
      </c>
      <c r="X3606" s="104">
        <v>13750000</v>
      </c>
      <c r="Y3606" s="195" t="str">
        <f t="shared" si="1074"/>
        <v>1</v>
      </c>
      <c r="Z3606" s="196">
        <f t="shared" si="1056"/>
        <v>13750000</v>
      </c>
      <c r="AA3606" s="22">
        <v>5.1799999999999999E-2</v>
      </c>
      <c r="AB3606" s="197">
        <f t="shared" si="1073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1"/>
        <v>4327756</v>
      </c>
      <c r="AJ3606" s="200">
        <f t="shared" si="1062"/>
        <v>519330.72</v>
      </c>
      <c r="AK3606" s="201">
        <f t="shared" si="1067"/>
        <v>0.12</v>
      </c>
      <c r="AL3606" s="24"/>
      <c r="AM3606" s="24"/>
      <c r="AN3606" s="24"/>
      <c r="AO3606" s="24"/>
      <c r="AP3606" s="165" t="str">
        <f t="shared" si="1068"/>
        <v>CancelCancel</v>
      </c>
      <c r="AQ3606" s="203" t="str">
        <f t="shared" si="1069"/>
        <v>CancelCancelJPY</v>
      </c>
      <c r="AR3606" s="206" t="str">
        <f t="shared" si="1070"/>
        <v>YAMAHA_Mounter</v>
      </c>
      <c r="AS3606" s="22" t="str">
        <f t="shared" si="1071"/>
        <v/>
      </c>
      <c r="AT3606" s="24" t="str">
        <f t="shared" si="1072"/>
        <v/>
      </c>
      <c r="AU3606" s="22" t="s">
        <v>3745</v>
      </c>
    </row>
    <row r="3607" spans="1:47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4"/>
        <v>Q1</v>
      </c>
      <c r="E3607" s="33" t="s">
        <v>3172</v>
      </c>
      <c r="F3607" s="152" t="s">
        <v>185</v>
      </c>
      <c r="G3607" s="152" t="s">
        <v>185</v>
      </c>
      <c r="H3607" s="29"/>
      <c r="I3607" s="204" t="str">
        <f t="shared" si="1064"/>
        <v>Cancel</v>
      </c>
      <c r="J3607" s="188" t="s">
        <v>3463</v>
      </c>
      <c r="K3607" s="29" t="s">
        <v>3464</v>
      </c>
      <c r="L3607" s="17" t="s">
        <v>92</v>
      </c>
      <c r="M3607" s="22" t="s">
        <v>60</v>
      </c>
      <c r="N3607" s="22">
        <v>1</v>
      </c>
      <c r="O3607" s="22"/>
      <c r="P3607" s="33" t="str">
        <f t="shared" si="1075"/>
        <v>MAIN UNIT</v>
      </c>
      <c r="Q3607" s="22" t="s">
        <v>68</v>
      </c>
      <c r="R3607" s="22" t="s">
        <v>62</v>
      </c>
      <c r="S3607" s="22" t="s">
        <v>49</v>
      </c>
      <c r="T3607" s="22" t="s">
        <v>78</v>
      </c>
      <c r="U3607" s="22" t="s">
        <v>396</v>
      </c>
      <c r="V3607" s="22" t="s">
        <v>2011</v>
      </c>
      <c r="W3607" s="22" t="s">
        <v>109</v>
      </c>
      <c r="X3607" s="104">
        <v>13750000</v>
      </c>
      <c r="Y3607" s="195" t="str">
        <f t="shared" si="1074"/>
        <v>1</v>
      </c>
      <c r="Z3607" s="196">
        <f t="shared" si="1056"/>
        <v>13750000</v>
      </c>
      <c r="AA3607" s="22">
        <v>5.1799999999999999E-2</v>
      </c>
      <c r="AB3607" s="197">
        <f t="shared" si="1073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1"/>
        <v>4327756</v>
      </c>
      <c r="AJ3607" s="200">
        <f t="shared" si="1062"/>
        <v>519330.72</v>
      </c>
      <c r="AK3607" s="201">
        <f t="shared" si="1067"/>
        <v>0.12</v>
      </c>
      <c r="AL3607" s="24"/>
      <c r="AM3607" s="24"/>
      <c r="AN3607" s="24"/>
      <c r="AO3607" s="24"/>
      <c r="AP3607" s="165" t="str">
        <f t="shared" si="1068"/>
        <v>CancelCancel</v>
      </c>
      <c r="AQ3607" s="203" t="str">
        <f t="shared" si="1069"/>
        <v>CancelCancelJPY</v>
      </c>
      <c r="AR3607" s="206" t="str">
        <f t="shared" si="1070"/>
        <v>YAMAHA_Mounter</v>
      </c>
      <c r="AS3607" s="22" t="str">
        <f t="shared" si="1071"/>
        <v/>
      </c>
      <c r="AT3607" s="24" t="str">
        <f t="shared" si="1072"/>
        <v/>
      </c>
      <c r="AU3607" s="22" t="s">
        <v>3745</v>
      </c>
    </row>
    <row r="3608" spans="1:47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4"/>
        <v>Q1</v>
      </c>
      <c r="E3608" s="33" t="s">
        <v>3172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3439</v>
      </c>
      <c r="K3608" s="29" t="s">
        <v>2561</v>
      </c>
      <c r="L3608" s="17" t="s">
        <v>67</v>
      </c>
      <c r="M3608" s="22" t="s">
        <v>60</v>
      </c>
      <c r="N3608" s="22">
        <v>1</v>
      </c>
      <c r="O3608" s="22"/>
      <c r="P3608" s="33" t="str">
        <f t="shared" si="1075"/>
        <v>MAIN UNIT</v>
      </c>
      <c r="Q3608" s="22" t="s">
        <v>61</v>
      </c>
      <c r="R3608" s="22" t="s">
        <v>62</v>
      </c>
      <c r="S3608" s="22" t="s">
        <v>50</v>
      </c>
      <c r="T3608" s="22" t="s">
        <v>325</v>
      </c>
      <c r="U3608" s="22" t="s">
        <v>70</v>
      </c>
      <c r="V3608" s="22" t="s">
        <v>1010</v>
      </c>
      <c r="W3608" s="22" t="s">
        <v>64</v>
      </c>
      <c r="X3608" s="104">
        <v>411668</v>
      </c>
      <c r="Y3608" s="195" t="str">
        <f t="shared" si="1074"/>
        <v>1.13</v>
      </c>
      <c r="Z3608" s="196">
        <f t="shared" si="1056"/>
        <v>411668</v>
      </c>
      <c r="AA3608" s="22">
        <v>1.0980000000000001</v>
      </c>
      <c r="AB3608" s="197">
        <f t="shared" si="1073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1"/>
        <v>35931087.732566379</v>
      </c>
      <c r="AJ3608" s="200">
        <f t="shared" si="1062"/>
        <v>4347120.3954975223</v>
      </c>
      <c r="AK3608" s="201">
        <f t="shared" si="1067"/>
        <v>0.12098493727362117</v>
      </c>
      <c r="AL3608" s="24"/>
      <c r="AM3608" s="24"/>
      <c r="AN3608" s="24"/>
      <c r="AO3608" s="24"/>
      <c r="AP3608" s="165" t="str">
        <f t="shared" si="1068"/>
        <v>20249</v>
      </c>
      <c r="AQ3608" s="203" t="str">
        <f t="shared" si="1069"/>
        <v>20249RMB</v>
      </c>
      <c r="AR3608" s="206" t="str">
        <f t="shared" si="1070"/>
        <v>YAMAHA_Mounter</v>
      </c>
      <c r="AS3608" s="22">
        <f t="shared" si="1071"/>
        <v>4</v>
      </c>
      <c r="AT3608" s="24" t="str">
        <f t="shared" si="1072"/>
        <v>4-6 months</v>
      </c>
      <c r="AU3608" s="22" t="s">
        <v>3240</v>
      </c>
    </row>
    <row r="3609" spans="1:47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4"/>
        <v>Q1</v>
      </c>
      <c r="E3609" s="33" t="s">
        <v>3172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3440</v>
      </c>
      <c r="K3609" s="29" t="s">
        <v>3442</v>
      </c>
      <c r="L3609" s="17" t="s">
        <v>67</v>
      </c>
      <c r="M3609" s="22" t="s">
        <v>60</v>
      </c>
      <c r="N3609" s="22">
        <v>1</v>
      </c>
      <c r="O3609" s="22"/>
      <c r="P3609" s="33" t="str">
        <f t="shared" si="1075"/>
        <v>MAIN UNIT</v>
      </c>
      <c r="Q3609" s="22" t="s">
        <v>68</v>
      </c>
      <c r="R3609" s="22" t="s">
        <v>62</v>
      </c>
      <c r="S3609" s="22" t="s">
        <v>50</v>
      </c>
      <c r="T3609" s="22" t="s">
        <v>325</v>
      </c>
      <c r="U3609" s="22" t="s">
        <v>70</v>
      </c>
      <c r="V3609" s="22" t="s">
        <v>1010</v>
      </c>
      <c r="W3609" s="22" t="s">
        <v>64</v>
      </c>
      <c r="X3609" s="104">
        <v>525000</v>
      </c>
      <c r="Y3609" s="195" t="str">
        <f t="shared" si="1074"/>
        <v>1.13</v>
      </c>
      <c r="Z3609" s="196">
        <f t="shared" si="1056"/>
        <v>525000</v>
      </c>
      <c r="AA3609" s="22">
        <v>1.0980000000000001</v>
      </c>
      <c r="AB3609" s="197">
        <f t="shared" si="1073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1"/>
        <v>35931087.732566379</v>
      </c>
      <c r="AJ3609" s="200">
        <f t="shared" si="1062"/>
        <v>4347120.3954975223</v>
      </c>
      <c r="AK3609" s="201">
        <f t="shared" si="1067"/>
        <v>0.12098493727362117</v>
      </c>
      <c r="AL3609" s="24"/>
      <c r="AM3609" s="24"/>
      <c r="AN3609" s="24"/>
      <c r="AO3609" s="24"/>
      <c r="AP3609" s="165" t="str">
        <f t="shared" si="1068"/>
        <v>20249</v>
      </c>
      <c r="AQ3609" s="203" t="str">
        <f t="shared" si="1069"/>
        <v>20249RMB</v>
      </c>
      <c r="AR3609" s="206" t="str">
        <f t="shared" si="1070"/>
        <v>YAMAHA_Mounter</v>
      </c>
      <c r="AS3609" s="22">
        <f t="shared" si="1071"/>
        <v>4</v>
      </c>
      <c r="AT3609" s="24" t="str">
        <f t="shared" si="1072"/>
        <v>4-6 months</v>
      </c>
      <c r="AU3609" s="22" t="s">
        <v>3240</v>
      </c>
    </row>
    <row r="3610" spans="1:47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4"/>
        <v>Q1</v>
      </c>
      <c r="E3610" s="33" t="s">
        <v>3172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3434</v>
      </c>
      <c r="K3610" s="29" t="s">
        <v>3435</v>
      </c>
      <c r="L3610" s="17" t="s">
        <v>67</v>
      </c>
      <c r="M3610" s="22" t="s">
        <v>60</v>
      </c>
      <c r="N3610" s="22">
        <v>1</v>
      </c>
      <c r="O3610" s="22"/>
      <c r="P3610" s="33" t="str">
        <f t="shared" si="1075"/>
        <v>MAIN UNIT</v>
      </c>
      <c r="Q3610" s="22" t="s">
        <v>61</v>
      </c>
      <c r="R3610" s="22" t="s">
        <v>62</v>
      </c>
      <c r="S3610" s="22" t="s">
        <v>49</v>
      </c>
      <c r="T3610" s="22" t="s">
        <v>78</v>
      </c>
      <c r="U3610" s="22" t="s">
        <v>78</v>
      </c>
      <c r="V3610" s="22" t="s">
        <v>311</v>
      </c>
      <c r="W3610" s="22" t="s">
        <v>109</v>
      </c>
      <c r="X3610" s="104">
        <v>8250000</v>
      </c>
      <c r="Y3610" s="195" t="str">
        <f t="shared" si="1074"/>
        <v>1</v>
      </c>
      <c r="Z3610" s="196">
        <f t="shared" si="1056"/>
        <v>8250000</v>
      </c>
      <c r="AA3610" s="22">
        <v>5.5100000000000003E-2</v>
      </c>
      <c r="AB3610" s="197">
        <f t="shared" si="1073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1"/>
        <v>35931087.732566379</v>
      </c>
      <c r="AJ3610" s="200">
        <f t="shared" si="1062"/>
        <v>4347120.3954975223</v>
      </c>
      <c r="AK3610" s="201">
        <f t="shared" si="1067"/>
        <v>0.12098493727362117</v>
      </c>
      <c r="AL3610" s="24"/>
      <c r="AM3610" s="24"/>
      <c r="AN3610" s="24"/>
      <c r="AO3610" s="24"/>
      <c r="AP3610" s="165" t="str">
        <f t="shared" si="1068"/>
        <v>20249</v>
      </c>
      <c r="AQ3610" s="203" t="str">
        <f t="shared" si="1069"/>
        <v>20249JPY</v>
      </c>
      <c r="AR3610" s="206" t="str">
        <f t="shared" si="1070"/>
        <v>YAMAHA_Mounter</v>
      </c>
      <c r="AS3610" s="22">
        <f t="shared" si="1071"/>
        <v>4</v>
      </c>
      <c r="AT3610" s="24" t="str">
        <f t="shared" si="1072"/>
        <v>4-6 months</v>
      </c>
      <c r="AU3610" s="22" t="s">
        <v>3745</v>
      </c>
    </row>
    <row r="3611" spans="1:47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4"/>
        <v>Q1</v>
      </c>
      <c r="E3611" s="33" t="str">
        <f t="shared" ref="E3611:E3619" si="1076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3466</v>
      </c>
      <c r="K3611" s="29" t="s">
        <v>3467</v>
      </c>
      <c r="L3611" s="17" t="s">
        <v>67</v>
      </c>
      <c r="M3611" s="22" t="s">
        <v>60</v>
      </c>
      <c r="N3611" s="22">
        <v>1</v>
      </c>
      <c r="O3611" s="22"/>
      <c r="P3611" s="33" t="str">
        <f t="shared" si="1075"/>
        <v>MAIN UNIT</v>
      </c>
      <c r="Q3611" s="22" t="s">
        <v>68</v>
      </c>
      <c r="R3611" s="22" t="s">
        <v>62</v>
      </c>
      <c r="S3611" s="22" t="s">
        <v>51</v>
      </c>
      <c r="T3611" s="22" t="s">
        <v>3468</v>
      </c>
      <c r="U3611" s="22" t="s">
        <v>149</v>
      </c>
      <c r="V3611" s="22" t="s">
        <v>134</v>
      </c>
      <c r="W3611" s="22" t="s">
        <v>64</v>
      </c>
      <c r="X3611" s="104">
        <v>503000</v>
      </c>
      <c r="Y3611" s="195" t="str">
        <f t="shared" si="1074"/>
        <v>1.13</v>
      </c>
      <c r="Z3611" s="196">
        <f t="shared" si="1056"/>
        <v>503000</v>
      </c>
      <c r="AA3611" s="22">
        <v>1.0980000000000001</v>
      </c>
      <c r="AB3611" s="197">
        <f t="shared" si="1073"/>
        <v>488755.75221238943</v>
      </c>
      <c r="AC3611" s="198">
        <f t="shared" si="1065"/>
        <v>5571.8155752212397</v>
      </c>
      <c r="AD3611" s="224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1"/>
        <v>35931087.732566379</v>
      </c>
      <c r="AJ3611" s="200">
        <f t="shared" si="1062"/>
        <v>4347120.3954975223</v>
      </c>
      <c r="AK3611" s="201">
        <f t="shared" si="1067"/>
        <v>0.12098493727362117</v>
      </c>
      <c r="AL3611" s="24"/>
      <c r="AM3611" s="24"/>
      <c r="AN3611" s="24"/>
      <c r="AO3611" s="24"/>
      <c r="AP3611" s="165" t="str">
        <f t="shared" si="1068"/>
        <v>20249</v>
      </c>
      <c r="AQ3611" s="203" t="str">
        <f t="shared" si="1069"/>
        <v>20249RMB</v>
      </c>
      <c r="AR3611" s="206" t="str">
        <f t="shared" si="1070"/>
        <v>YAMAHA_Mounter</v>
      </c>
      <c r="AS3611" s="22">
        <f t="shared" si="1071"/>
        <v>4</v>
      </c>
      <c r="AT3611" s="24" t="str">
        <f t="shared" si="1072"/>
        <v>4-6 months</v>
      </c>
      <c r="AU3611" s="22" t="s">
        <v>3240</v>
      </c>
    </row>
    <row r="3612" spans="1:47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4"/>
        <v>Q1</v>
      </c>
      <c r="E3612" s="33" t="str">
        <f t="shared" si="1076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3474</v>
      </c>
      <c r="K3612" s="29" t="s">
        <v>1511</v>
      </c>
      <c r="L3612" s="17" t="s">
        <v>67</v>
      </c>
      <c r="M3612" s="13" t="s">
        <v>60</v>
      </c>
      <c r="N3612" s="13">
        <v>1</v>
      </c>
      <c r="O3612" s="22"/>
      <c r="P3612" s="33" t="str">
        <f t="shared" si="1075"/>
        <v>MAIN UNIT</v>
      </c>
      <c r="Q3612" s="22" t="s">
        <v>61</v>
      </c>
      <c r="R3612" s="22" t="s">
        <v>62</v>
      </c>
      <c r="S3612" s="22" t="s">
        <v>49</v>
      </c>
      <c r="T3612" s="22" t="s">
        <v>78</v>
      </c>
      <c r="U3612" s="22" t="s">
        <v>78</v>
      </c>
      <c r="V3612" s="22" t="s">
        <v>311</v>
      </c>
      <c r="W3612" s="22" t="s">
        <v>109</v>
      </c>
      <c r="X3612" s="104">
        <v>8100000</v>
      </c>
      <c r="Y3612" s="195" t="str">
        <f t="shared" si="1074"/>
        <v>1</v>
      </c>
      <c r="Z3612" s="196">
        <f t="shared" si="1056"/>
        <v>8100000</v>
      </c>
      <c r="AA3612" s="22">
        <v>5.5100000000000003E-2</v>
      </c>
      <c r="AB3612" s="197">
        <f t="shared" si="1073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1"/>
        <v>35931087.732566379</v>
      </c>
      <c r="AJ3612" s="200">
        <f t="shared" si="1062"/>
        <v>4347120.3954975223</v>
      </c>
      <c r="AK3612" s="201">
        <f t="shared" si="1067"/>
        <v>0.12098493727362117</v>
      </c>
      <c r="AL3612" s="24"/>
      <c r="AM3612" s="24"/>
      <c r="AN3612" s="24"/>
      <c r="AO3612" s="24"/>
      <c r="AP3612" s="165" t="str">
        <f t="shared" si="1068"/>
        <v>20249</v>
      </c>
      <c r="AQ3612" s="203" t="str">
        <f t="shared" si="1069"/>
        <v>20249JPY</v>
      </c>
      <c r="AR3612" s="206" t="str">
        <f t="shared" si="1070"/>
        <v>YAMAHA_Mounter</v>
      </c>
      <c r="AS3612" s="22">
        <f t="shared" si="1071"/>
        <v>3</v>
      </c>
      <c r="AT3612" s="24" t="str">
        <f t="shared" si="1072"/>
        <v>0-3 months</v>
      </c>
      <c r="AU3612" s="22" t="s">
        <v>3745</v>
      </c>
    </row>
    <row r="3613" spans="1:47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4"/>
        <v>Q1</v>
      </c>
      <c r="E3613" s="33" t="str">
        <f t="shared" si="1076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3475</v>
      </c>
      <c r="K3613" s="29" t="s">
        <v>1605</v>
      </c>
      <c r="L3613" s="17" t="s">
        <v>67</v>
      </c>
      <c r="M3613" s="13" t="s">
        <v>60</v>
      </c>
      <c r="N3613" s="13">
        <v>1</v>
      </c>
      <c r="O3613" s="22"/>
      <c r="P3613" s="33" t="str">
        <f t="shared" si="1075"/>
        <v>MAIN UNIT</v>
      </c>
      <c r="Q3613" s="22" t="s">
        <v>61</v>
      </c>
      <c r="R3613" s="22" t="s">
        <v>62</v>
      </c>
      <c r="S3613" s="22" t="s">
        <v>49</v>
      </c>
      <c r="T3613" s="22" t="s">
        <v>78</v>
      </c>
      <c r="U3613" s="22" t="s">
        <v>78</v>
      </c>
      <c r="V3613" s="22" t="s">
        <v>126</v>
      </c>
      <c r="W3613" s="22" t="s">
        <v>109</v>
      </c>
      <c r="X3613" s="104">
        <v>7415000</v>
      </c>
      <c r="Y3613" s="195" t="str">
        <f t="shared" si="1074"/>
        <v>1</v>
      </c>
      <c r="Z3613" s="196">
        <f t="shared" si="1056"/>
        <v>7415000</v>
      </c>
      <c r="AA3613" s="22">
        <v>5.5100000000000003E-2</v>
      </c>
      <c r="AB3613" s="197">
        <f t="shared" si="1073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1"/>
        <v>35931087.732566379</v>
      </c>
      <c r="AJ3613" s="200">
        <f t="shared" si="1062"/>
        <v>4347120.3954975223</v>
      </c>
      <c r="AK3613" s="201">
        <f t="shared" si="1067"/>
        <v>0.12098493727362117</v>
      </c>
      <c r="AL3613" s="24"/>
      <c r="AM3613" s="24"/>
      <c r="AN3613" s="24"/>
      <c r="AO3613" s="24"/>
      <c r="AP3613" s="165" t="str">
        <f t="shared" si="1068"/>
        <v>20249</v>
      </c>
      <c r="AQ3613" s="203" t="str">
        <f t="shared" si="1069"/>
        <v>20249JPY</v>
      </c>
      <c r="AR3613" s="206" t="str">
        <f t="shared" si="1070"/>
        <v>YAMAHA_Mounter</v>
      </c>
      <c r="AS3613" s="22">
        <f t="shared" si="1071"/>
        <v>3</v>
      </c>
      <c r="AT3613" s="24" t="str">
        <f t="shared" si="1072"/>
        <v>0-3 months</v>
      </c>
      <c r="AU3613" s="22" t="s">
        <v>3746</v>
      </c>
    </row>
    <row r="3614" spans="1:47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4"/>
        <v>Q1</v>
      </c>
      <c r="E3614" s="33" t="str">
        <f t="shared" si="1076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3475</v>
      </c>
      <c r="K3614" s="29" t="s">
        <v>1605</v>
      </c>
      <c r="L3614" s="17" t="s">
        <v>67</v>
      </c>
      <c r="M3614" s="13" t="s">
        <v>60</v>
      </c>
      <c r="N3614" s="13">
        <v>1</v>
      </c>
      <c r="O3614" s="22"/>
      <c r="P3614" s="33" t="str">
        <f t="shared" si="1075"/>
        <v>MAIN UNIT</v>
      </c>
      <c r="Q3614" s="22" t="s">
        <v>61</v>
      </c>
      <c r="R3614" s="22" t="s">
        <v>62</v>
      </c>
      <c r="S3614" s="22" t="s">
        <v>49</v>
      </c>
      <c r="T3614" s="22" t="s">
        <v>78</v>
      </c>
      <c r="U3614" s="22" t="s">
        <v>78</v>
      </c>
      <c r="V3614" s="22" t="s">
        <v>126</v>
      </c>
      <c r="W3614" s="22" t="s">
        <v>109</v>
      </c>
      <c r="X3614" s="104">
        <v>7415000</v>
      </c>
      <c r="Y3614" s="195" t="str">
        <f t="shared" si="1074"/>
        <v>1</v>
      </c>
      <c r="Z3614" s="196">
        <f t="shared" si="1056"/>
        <v>7415000</v>
      </c>
      <c r="AA3614" s="22">
        <v>5.5100000000000003E-2</v>
      </c>
      <c r="AB3614" s="197">
        <f t="shared" si="1073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1"/>
        <v>35931087.732566379</v>
      </c>
      <c r="AJ3614" s="200">
        <f t="shared" si="1062"/>
        <v>4347120.3954975223</v>
      </c>
      <c r="AK3614" s="201">
        <f t="shared" si="1067"/>
        <v>0.12098493727362117</v>
      </c>
      <c r="AL3614" s="24"/>
      <c r="AM3614" s="24"/>
      <c r="AN3614" s="24"/>
      <c r="AO3614" s="24"/>
      <c r="AP3614" s="165" t="str">
        <f t="shared" si="1068"/>
        <v>20249</v>
      </c>
      <c r="AQ3614" s="203" t="str">
        <f t="shared" si="1069"/>
        <v>20249JPY</v>
      </c>
      <c r="AR3614" s="206" t="str">
        <f t="shared" si="1070"/>
        <v>YAMAHA_Mounter</v>
      </c>
      <c r="AS3614" s="22">
        <f t="shared" si="1071"/>
        <v>3</v>
      </c>
      <c r="AT3614" s="24" t="str">
        <f t="shared" si="1072"/>
        <v>0-3 months</v>
      </c>
      <c r="AU3614" s="22" t="s">
        <v>3746</v>
      </c>
    </row>
    <row r="3615" spans="1:47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4"/>
        <v>Q1</v>
      </c>
      <c r="E3615" s="33" t="str">
        <f t="shared" si="1076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3475</v>
      </c>
      <c r="K3615" s="29" t="s">
        <v>1605</v>
      </c>
      <c r="L3615" s="17" t="s">
        <v>67</v>
      </c>
      <c r="M3615" s="13" t="s">
        <v>60</v>
      </c>
      <c r="N3615" s="13">
        <v>1</v>
      </c>
      <c r="O3615" s="22"/>
      <c r="P3615" s="33" t="str">
        <f t="shared" si="1075"/>
        <v>MAIN UNIT</v>
      </c>
      <c r="Q3615" s="22" t="s">
        <v>61</v>
      </c>
      <c r="R3615" s="22" t="s">
        <v>62</v>
      </c>
      <c r="S3615" s="22" t="s">
        <v>49</v>
      </c>
      <c r="T3615" s="22" t="s">
        <v>78</v>
      </c>
      <c r="U3615" s="22" t="s">
        <v>78</v>
      </c>
      <c r="V3615" s="22" t="s">
        <v>126</v>
      </c>
      <c r="W3615" s="22" t="s">
        <v>109</v>
      </c>
      <c r="X3615" s="104">
        <v>7415000</v>
      </c>
      <c r="Y3615" s="195" t="str">
        <f t="shared" si="1074"/>
        <v>1</v>
      </c>
      <c r="Z3615" s="196">
        <f t="shared" si="1056"/>
        <v>7415000</v>
      </c>
      <c r="AA3615" s="22">
        <v>5.5100000000000003E-2</v>
      </c>
      <c r="AB3615" s="197">
        <f t="shared" si="1073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1"/>
        <v>35931087.732566379</v>
      </c>
      <c r="AJ3615" s="200">
        <f t="shared" si="1062"/>
        <v>4347120.3954975223</v>
      </c>
      <c r="AK3615" s="201">
        <f t="shared" si="1067"/>
        <v>0.12098493727362117</v>
      </c>
      <c r="AL3615" s="24"/>
      <c r="AM3615" s="24"/>
      <c r="AN3615" s="24"/>
      <c r="AO3615" s="24"/>
      <c r="AP3615" s="165" t="str">
        <f t="shared" si="1068"/>
        <v>20249</v>
      </c>
      <c r="AQ3615" s="203" t="str">
        <f t="shared" si="1069"/>
        <v>20249JPY</v>
      </c>
      <c r="AR3615" s="206" t="str">
        <f t="shared" si="1070"/>
        <v>YAMAHA_Mounter</v>
      </c>
      <c r="AS3615" s="22">
        <f t="shared" si="1071"/>
        <v>3</v>
      </c>
      <c r="AT3615" s="24" t="str">
        <f t="shared" si="1072"/>
        <v>0-3 months</v>
      </c>
      <c r="AU3615" s="22" t="s">
        <v>3746</v>
      </c>
    </row>
    <row r="3616" spans="1:47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4"/>
        <v>Q1</v>
      </c>
      <c r="E3616" s="33" t="str">
        <f t="shared" si="1076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3475</v>
      </c>
      <c r="K3616" s="29" t="s">
        <v>1605</v>
      </c>
      <c r="L3616" s="17" t="s">
        <v>92</v>
      </c>
      <c r="M3616" s="13" t="s">
        <v>60</v>
      </c>
      <c r="N3616" s="13">
        <v>1</v>
      </c>
      <c r="O3616" s="22"/>
      <c r="P3616" s="33" t="str">
        <f t="shared" si="1075"/>
        <v>MAIN UNIT</v>
      </c>
      <c r="Q3616" s="22" t="s">
        <v>61</v>
      </c>
      <c r="R3616" s="22" t="s">
        <v>62</v>
      </c>
      <c r="S3616" s="22" t="s">
        <v>49</v>
      </c>
      <c r="T3616" s="22" t="s">
        <v>78</v>
      </c>
      <c r="U3616" s="22" t="s">
        <v>78</v>
      </c>
      <c r="V3616" s="22" t="s">
        <v>126</v>
      </c>
      <c r="W3616" s="22" t="s">
        <v>109</v>
      </c>
      <c r="X3616" s="104">
        <v>12100000</v>
      </c>
      <c r="Y3616" s="195" t="str">
        <f t="shared" si="1074"/>
        <v>1</v>
      </c>
      <c r="Z3616" s="196">
        <f t="shared" si="1056"/>
        <v>12100000</v>
      </c>
      <c r="AA3616" s="22">
        <v>5.5100000000000003E-2</v>
      </c>
      <c r="AB3616" s="197">
        <f t="shared" si="1073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1"/>
        <v>35931087.732566379</v>
      </c>
      <c r="AJ3616" s="200">
        <f t="shared" si="1062"/>
        <v>4347120.3954975223</v>
      </c>
      <c r="AK3616" s="201">
        <f t="shared" si="1067"/>
        <v>0.12098493727362117</v>
      </c>
      <c r="AL3616" s="24"/>
      <c r="AM3616" s="24"/>
      <c r="AN3616" s="24"/>
      <c r="AO3616" s="24"/>
      <c r="AP3616" s="165" t="str">
        <f t="shared" si="1068"/>
        <v>20249</v>
      </c>
      <c r="AQ3616" s="203" t="str">
        <f t="shared" si="1069"/>
        <v>20249JPY</v>
      </c>
      <c r="AR3616" s="206" t="str">
        <f t="shared" si="1070"/>
        <v>YAMAHA_Mounter</v>
      </c>
      <c r="AS3616" s="22">
        <f t="shared" si="1071"/>
        <v>3</v>
      </c>
      <c r="AT3616" s="24" t="str">
        <f t="shared" si="1072"/>
        <v>0-3 months</v>
      </c>
      <c r="AU3616" s="22" t="s">
        <v>3746</v>
      </c>
    </row>
    <row r="3617" spans="1:47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4"/>
        <v>Q1</v>
      </c>
      <c r="E3617" s="33" t="str">
        <f t="shared" si="1076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3475</v>
      </c>
      <c r="K3617" s="29" t="s">
        <v>1605</v>
      </c>
      <c r="L3617" s="17" t="s">
        <v>92</v>
      </c>
      <c r="M3617" s="13" t="s">
        <v>60</v>
      </c>
      <c r="N3617" s="13">
        <v>1</v>
      </c>
      <c r="O3617" s="22"/>
      <c r="P3617" s="33" t="str">
        <f t="shared" si="1075"/>
        <v>MAIN UNIT</v>
      </c>
      <c r="Q3617" s="22" t="s">
        <v>61</v>
      </c>
      <c r="R3617" s="22" t="s">
        <v>62</v>
      </c>
      <c r="S3617" s="22" t="s">
        <v>49</v>
      </c>
      <c r="T3617" s="22" t="s">
        <v>78</v>
      </c>
      <c r="U3617" s="22" t="s">
        <v>78</v>
      </c>
      <c r="V3617" s="22" t="s">
        <v>126</v>
      </c>
      <c r="W3617" s="22" t="s">
        <v>109</v>
      </c>
      <c r="X3617" s="104">
        <v>12100000</v>
      </c>
      <c r="Y3617" s="195" t="str">
        <f t="shared" si="1074"/>
        <v>1</v>
      </c>
      <c r="Z3617" s="196">
        <f t="shared" si="1056"/>
        <v>12100000</v>
      </c>
      <c r="AA3617" s="22">
        <v>5.5100000000000003E-2</v>
      </c>
      <c r="AB3617" s="197">
        <f t="shared" si="1073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1"/>
        <v>35931087.732566379</v>
      </c>
      <c r="AJ3617" s="200">
        <f t="shared" si="1062"/>
        <v>4347120.3954975223</v>
      </c>
      <c r="AK3617" s="201">
        <f t="shared" si="1067"/>
        <v>0.12098493727362117</v>
      </c>
      <c r="AL3617" s="24"/>
      <c r="AM3617" s="24"/>
      <c r="AN3617" s="24"/>
      <c r="AO3617" s="24"/>
      <c r="AP3617" s="165" t="str">
        <f t="shared" si="1068"/>
        <v>20249</v>
      </c>
      <c r="AQ3617" s="203" t="str">
        <f t="shared" si="1069"/>
        <v>20249JPY</v>
      </c>
      <c r="AR3617" s="206" t="str">
        <f t="shared" si="1070"/>
        <v>YAMAHA_Mounter</v>
      </c>
      <c r="AS3617" s="22">
        <f t="shared" si="1071"/>
        <v>3</v>
      </c>
      <c r="AT3617" s="24" t="str">
        <f t="shared" si="1072"/>
        <v>0-3 months</v>
      </c>
      <c r="AU3617" s="22" t="s">
        <v>3746</v>
      </c>
    </row>
    <row r="3618" spans="1:47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4"/>
        <v>Q1</v>
      </c>
      <c r="E3618" s="33" t="str">
        <f t="shared" si="1076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3475</v>
      </c>
      <c r="K3618" s="29" t="s">
        <v>1605</v>
      </c>
      <c r="L3618" s="17" t="s">
        <v>92</v>
      </c>
      <c r="M3618" s="13" t="s">
        <v>60</v>
      </c>
      <c r="N3618" s="13">
        <v>1</v>
      </c>
      <c r="O3618" s="22"/>
      <c r="P3618" s="33" t="str">
        <f t="shared" si="1075"/>
        <v>MAIN UNIT</v>
      </c>
      <c r="Q3618" s="22" t="s">
        <v>61</v>
      </c>
      <c r="R3618" s="22" t="s">
        <v>62</v>
      </c>
      <c r="S3618" s="22" t="s">
        <v>49</v>
      </c>
      <c r="T3618" s="22" t="s">
        <v>78</v>
      </c>
      <c r="U3618" s="22" t="s">
        <v>78</v>
      </c>
      <c r="V3618" s="22" t="s">
        <v>126</v>
      </c>
      <c r="W3618" s="22" t="s">
        <v>109</v>
      </c>
      <c r="X3618" s="104">
        <v>12100000</v>
      </c>
      <c r="Y3618" s="195" t="str">
        <f t="shared" si="1074"/>
        <v>1</v>
      </c>
      <c r="Z3618" s="196">
        <f t="shared" si="1056"/>
        <v>12100000</v>
      </c>
      <c r="AA3618" s="22">
        <v>5.5100000000000003E-2</v>
      </c>
      <c r="AB3618" s="197">
        <f t="shared" si="1073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1"/>
        <v>35931087.732566379</v>
      </c>
      <c r="AJ3618" s="200">
        <f t="shared" si="1062"/>
        <v>4347120.3954975223</v>
      </c>
      <c r="AK3618" s="201">
        <f t="shared" si="1067"/>
        <v>0.12098493727362117</v>
      </c>
      <c r="AL3618" s="24"/>
      <c r="AM3618" s="24"/>
      <c r="AN3618" s="24"/>
      <c r="AO3618" s="24"/>
      <c r="AP3618" s="165" t="str">
        <f t="shared" si="1068"/>
        <v>20249</v>
      </c>
      <c r="AQ3618" s="203" t="str">
        <f t="shared" si="1069"/>
        <v>20249JPY</v>
      </c>
      <c r="AR3618" s="206" t="str">
        <f t="shared" si="1070"/>
        <v>YAMAHA_Mounter</v>
      </c>
      <c r="AS3618" s="22">
        <f t="shared" si="1071"/>
        <v>3</v>
      </c>
      <c r="AT3618" s="24" t="str">
        <f t="shared" si="1072"/>
        <v>0-3 months</v>
      </c>
      <c r="AU3618" s="22" t="s">
        <v>3746</v>
      </c>
    </row>
    <row r="3619" spans="1:47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4"/>
        <v>Q1</v>
      </c>
      <c r="E3619" s="33" t="str">
        <f t="shared" si="1076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3475</v>
      </c>
      <c r="K3619" s="29" t="s">
        <v>1605</v>
      </c>
      <c r="L3619" s="17" t="s">
        <v>92</v>
      </c>
      <c r="M3619" s="13" t="s">
        <v>60</v>
      </c>
      <c r="N3619" s="13">
        <v>1</v>
      </c>
      <c r="O3619" s="22"/>
      <c r="P3619" s="33" t="str">
        <f t="shared" si="1075"/>
        <v>MAIN UNIT</v>
      </c>
      <c r="Q3619" s="22" t="s">
        <v>61</v>
      </c>
      <c r="R3619" s="22" t="s">
        <v>62</v>
      </c>
      <c r="S3619" s="22" t="s">
        <v>49</v>
      </c>
      <c r="T3619" s="22" t="s">
        <v>78</v>
      </c>
      <c r="U3619" s="22" t="s">
        <v>78</v>
      </c>
      <c r="V3619" s="22" t="s">
        <v>126</v>
      </c>
      <c r="W3619" s="22" t="s">
        <v>109</v>
      </c>
      <c r="X3619" s="104">
        <v>12100000</v>
      </c>
      <c r="Y3619" s="195" t="str">
        <f t="shared" si="1074"/>
        <v>1</v>
      </c>
      <c r="Z3619" s="196">
        <f t="shared" si="1056"/>
        <v>12100000</v>
      </c>
      <c r="AA3619" s="22">
        <v>5.5100000000000003E-2</v>
      </c>
      <c r="AB3619" s="197">
        <f t="shared" si="1073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1"/>
        <v>35931087.732566379</v>
      </c>
      <c r="AJ3619" s="200">
        <f t="shared" si="1062"/>
        <v>4347120.3954975223</v>
      </c>
      <c r="AK3619" s="201">
        <f t="shared" si="1067"/>
        <v>0.12098493727362117</v>
      </c>
      <c r="AL3619" s="24"/>
      <c r="AM3619" s="24"/>
      <c r="AN3619" s="24"/>
      <c r="AO3619" s="24"/>
      <c r="AP3619" s="165" t="str">
        <f t="shared" si="1068"/>
        <v>20249</v>
      </c>
      <c r="AQ3619" s="203" t="str">
        <f t="shared" si="1069"/>
        <v>20249JPY</v>
      </c>
      <c r="AR3619" s="206" t="str">
        <f t="shared" si="1070"/>
        <v>YAMAHA_Mounter</v>
      </c>
      <c r="AS3619" s="22">
        <f t="shared" si="1071"/>
        <v>3</v>
      </c>
      <c r="AT3619" s="24" t="str">
        <f t="shared" si="1072"/>
        <v>0-3 months</v>
      </c>
      <c r="AU3619" s="22" t="s">
        <v>3746</v>
      </c>
    </row>
    <row r="3620" spans="1:47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4"/>
        <v>Q2</v>
      </c>
      <c r="E3620" s="33" t="s">
        <v>3172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3512</v>
      </c>
      <c r="K3620" s="29" t="s">
        <v>1466</v>
      </c>
      <c r="L3620" s="17" t="s">
        <v>92</v>
      </c>
      <c r="M3620" s="13" t="s">
        <v>60</v>
      </c>
      <c r="N3620" s="13">
        <v>1</v>
      </c>
      <c r="O3620" s="22"/>
      <c r="P3620" s="202" t="str">
        <f t="shared" si="1075"/>
        <v>MAIN UNIT</v>
      </c>
      <c r="Q3620" s="22" t="s">
        <v>61</v>
      </c>
      <c r="R3620" s="22" t="s">
        <v>62</v>
      </c>
      <c r="S3620" s="22" t="s">
        <v>49</v>
      </c>
      <c r="T3620" s="22" t="s">
        <v>78</v>
      </c>
      <c r="U3620" s="22" t="s">
        <v>120</v>
      </c>
      <c r="V3620" s="22" t="s">
        <v>1407</v>
      </c>
      <c r="W3620" s="22" t="s">
        <v>109</v>
      </c>
      <c r="X3620" s="104">
        <v>11800000</v>
      </c>
      <c r="Y3620" s="195" t="str">
        <f t="shared" si="1074"/>
        <v>1</v>
      </c>
      <c r="Z3620" s="196">
        <f t="shared" si="1056"/>
        <v>11800000</v>
      </c>
      <c r="AA3620" s="22">
        <v>5.5100000000000003E-2</v>
      </c>
      <c r="AB3620" s="197">
        <f t="shared" si="1073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1"/>
        <v>35931087.732566379</v>
      </c>
      <c r="AJ3620" s="200">
        <f t="shared" si="1062"/>
        <v>4347120.3954975223</v>
      </c>
      <c r="AK3620" s="201">
        <f t="shared" si="1067"/>
        <v>0.12098493727362117</v>
      </c>
      <c r="AL3620" s="24"/>
      <c r="AM3620" s="24"/>
      <c r="AN3620" s="24"/>
      <c r="AO3620" s="24"/>
      <c r="AP3620" s="165" t="str">
        <f t="shared" si="1068"/>
        <v>20249</v>
      </c>
      <c r="AQ3620" s="203" t="str">
        <f t="shared" si="1069"/>
        <v>20249JPY</v>
      </c>
      <c r="AR3620" s="206" t="str">
        <f t="shared" si="1070"/>
        <v>YAMAHA_Mounter</v>
      </c>
      <c r="AS3620" s="22">
        <f t="shared" si="1071"/>
        <v>2</v>
      </c>
      <c r="AT3620" s="24" t="str">
        <f t="shared" si="1072"/>
        <v>0-3 months</v>
      </c>
      <c r="AU3620" s="22" t="s">
        <v>3745</v>
      </c>
    </row>
    <row r="3621" spans="1:47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4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3500</v>
      </c>
      <c r="K3621" s="29" t="s">
        <v>3503</v>
      </c>
      <c r="L3621" s="17" t="s">
        <v>67</v>
      </c>
      <c r="M3621" s="13" t="s">
        <v>60</v>
      </c>
      <c r="N3621" s="13">
        <v>1</v>
      </c>
      <c r="O3621" s="22"/>
      <c r="P3621" s="202" t="str">
        <f t="shared" si="1075"/>
        <v>MAIN UNIT</v>
      </c>
      <c r="Q3621" s="22" t="s">
        <v>68</v>
      </c>
      <c r="R3621" s="22" t="s">
        <v>62</v>
      </c>
      <c r="S3621" s="22" t="s">
        <v>50</v>
      </c>
      <c r="T3621" s="22" t="s">
        <v>2985</v>
      </c>
      <c r="U3621" s="22" t="s">
        <v>70</v>
      </c>
      <c r="V3621" s="22" t="s">
        <v>71</v>
      </c>
      <c r="W3621" s="22" t="s">
        <v>901</v>
      </c>
      <c r="X3621" s="104">
        <v>80750</v>
      </c>
      <c r="Y3621" s="195" t="str">
        <f t="shared" si="1074"/>
        <v>1</v>
      </c>
      <c r="Z3621" s="196">
        <f t="shared" si="1056"/>
        <v>80750</v>
      </c>
      <c r="AA3621" s="22">
        <v>7.8</v>
      </c>
      <c r="AB3621" s="197">
        <f t="shared" si="1073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1"/>
        <v>32082250.320460182</v>
      </c>
      <c r="AJ3621" s="200">
        <f t="shared" si="1062"/>
        <v>4323122.9746477893</v>
      </c>
      <c r="AK3621" s="201">
        <f t="shared" si="1067"/>
        <v>0.1347512388147771</v>
      </c>
      <c r="AL3621" s="24"/>
      <c r="AM3621" s="24"/>
      <c r="AN3621" s="24"/>
      <c r="AO3621" s="24"/>
      <c r="AP3621" s="165" t="str">
        <f t="shared" si="1068"/>
        <v>202411</v>
      </c>
      <c r="AQ3621" s="203" t="str">
        <f t="shared" si="1069"/>
        <v>202411USD</v>
      </c>
      <c r="AR3621" s="206" t="str">
        <f t="shared" si="1070"/>
        <v>YAMAHA_Mounter</v>
      </c>
      <c r="AS3621" s="22">
        <f t="shared" si="1071"/>
        <v>4</v>
      </c>
      <c r="AT3621" s="24" t="str">
        <f t="shared" si="1072"/>
        <v>4-6 months</v>
      </c>
      <c r="AU3621" s="22" t="s">
        <v>3240</v>
      </c>
    </row>
    <row r="3622" spans="1:47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4"/>
        <v>Q2</v>
      </c>
      <c r="E3622" s="33" t="s">
        <v>3172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3512</v>
      </c>
      <c r="K3622" s="29" t="s">
        <v>1466</v>
      </c>
      <c r="L3622" s="17" t="s">
        <v>92</v>
      </c>
      <c r="M3622" s="13" t="s">
        <v>60</v>
      </c>
      <c r="N3622" s="13">
        <v>1</v>
      </c>
      <c r="O3622" s="22"/>
      <c r="P3622" s="202" t="str">
        <f t="shared" si="1075"/>
        <v>MAIN UNIT</v>
      </c>
      <c r="Q3622" s="22" t="s">
        <v>61</v>
      </c>
      <c r="R3622" s="22" t="s">
        <v>62</v>
      </c>
      <c r="S3622" s="22" t="s">
        <v>49</v>
      </c>
      <c r="T3622" s="22" t="s">
        <v>78</v>
      </c>
      <c r="U3622" s="22" t="s">
        <v>120</v>
      </c>
      <c r="V3622" s="22" t="s">
        <v>1407</v>
      </c>
      <c r="W3622" s="22" t="s">
        <v>109</v>
      </c>
      <c r="X3622" s="104">
        <v>11800000</v>
      </c>
      <c r="Y3622" s="195" t="str">
        <f t="shared" si="1074"/>
        <v>1</v>
      </c>
      <c r="Z3622" s="196">
        <f t="shared" si="1056"/>
        <v>11800000</v>
      </c>
      <c r="AA3622" s="22">
        <v>5.5100000000000003E-2</v>
      </c>
      <c r="AB3622" s="197">
        <f t="shared" si="1073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1"/>
        <v>35931087.732566379</v>
      </c>
      <c r="AJ3622" s="200">
        <f t="shared" si="1062"/>
        <v>4347120.3954975223</v>
      </c>
      <c r="AK3622" s="201">
        <f t="shared" si="1067"/>
        <v>0.12098493727362117</v>
      </c>
      <c r="AL3622" s="24"/>
      <c r="AM3622" s="24"/>
      <c r="AN3622" s="24"/>
      <c r="AO3622" s="24"/>
      <c r="AP3622" s="165" t="str">
        <f t="shared" si="1068"/>
        <v>20249</v>
      </c>
      <c r="AQ3622" s="203" t="str">
        <f t="shared" si="1069"/>
        <v>20249JPY</v>
      </c>
      <c r="AR3622" s="206" t="str">
        <f t="shared" si="1070"/>
        <v>YAMAHA_Mounter</v>
      </c>
      <c r="AS3622" s="22">
        <f t="shared" si="1071"/>
        <v>2</v>
      </c>
      <c r="AT3622" s="24" t="str">
        <f t="shared" si="1072"/>
        <v>0-3 months</v>
      </c>
      <c r="AU3622" s="22" t="s">
        <v>3745</v>
      </c>
    </row>
    <row r="3623" spans="1:47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4"/>
        <v>Q3</v>
      </c>
      <c r="E3623" s="33" t="str">
        <f t="shared" ref="E3623:E3654" si="1077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3157</v>
      </c>
      <c r="K3623" s="155" t="s">
        <v>3158</v>
      </c>
      <c r="L3623" s="17" t="s">
        <v>92</v>
      </c>
      <c r="M3623" s="13" t="s">
        <v>60</v>
      </c>
      <c r="N3623" s="13">
        <v>1</v>
      </c>
      <c r="O3623" s="13"/>
      <c r="P3623" s="33" t="str">
        <f t="shared" si="1075"/>
        <v>MAIN UNIT</v>
      </c>
      <c r="Q3623" s="13" t="s">
        <v>61</v>
      </c>
      <c r="R3623" s="13" t="s">
        <v>62</v>
      </c>
      <c r="S3623" s="13" t="s">
        <v>49</v>
      </c>
      <c r="T3623" s="13" t="s">
        <v>78</v>
      </c>
      <c r="U3623" s="13" t="s">
        <v>2110</v>
      </c>
      <c r="V3623" s="13" t="s">
        <v>126</v>
      </c>
      <c r="W3623" s="13" t="s">
        <v>109</v>
      </c>
      <c r="X3623" s="135">
        <v>11900000</v>
      </c>
      <c r="Y3623" s="157" t="str">
        <f t="shared" si="1074"/>
        <v>1</v>
      </c>
      <c r="Z3623" s="18">
        <f t="shared" si="1056"/>
        <v>11900000</v>
      </c>
      <c r="AA3623" s="13">
        <v>5.5100000000000003E-2</v>
      </c>
      <c r="AB3623" s="21">
        <f t="shared" si="1073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1"/>
        <v>35931087.732566379</v>
      </c>
      <c r="AJ3623" s="19">
        <f t="shared" si="1062"/>
        <v>4347120.3954975223</v>
      </c>
      <c r="AK3623" s="20">
        <f t="shared" si="1067"/>
        <v>0.12098493727362117</v>
      </c>
      <c r="AL3623" s="17"/>
      <c r="AM3623" s="17"/>
      <c r="AN3623" s="17"/>
      <c r="AO3623" s="17"/>
      <c r="AP3623" s="95" t="str">
        <f t="shared" si="1068"/>
        <v>20249</v>
      </c>
      <c r="AQ3623" s="203" t="str">
        <f t="shared" si="1069"/>
        <v>20249JPY</v>
      </c>
      <c r="AR3623" s="206" t="str">
        <f t="shared" si="1070"/>
        <v>YAMAHA_Mounter</v>
      </c>
      <c r="AS3623" s="22">
        <f t="shared" si="1071"/>
        <v>10</v>
      </c>
      <c r="AT3623" s="24" t="str">
        <f t="shared" si="1072"/>
        <v>&gt; 6 months</v>
      </c>
      <c r="AU3623" s="22" t="s">
        <v>3745</v>
      </c>
    </row>
    <row r="3624" spans="1:47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4"/>
        <v>Q1</v>
      </c>
      <c r="E3624" s="33" t="str">
        <f t="shared" si="1077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3476</v>
      </c>
      <c r="K3624" s="29" t="s">
        <v>3477</v>
      </c>
      <c r="L3624" s="17" t="s">
        <v>92</v>
      </c>
      <c r="M3624" s="13" t="s">
        <v>60</v>
      </c>
      <c r="N3624" s="13">
        <v>1</v>
      </c>
      <c r="O3624" s="22"/>
      <c r="P3624" s="33" t="str">
        <f t="shared" si="1075"/>
        <v>MAIN UNIT</v>
      </c>
      <c r="Q3624" s="22" t="s">
        <v>61</v>
      </c>
      <c r="R3624" s="22" t="s">
        <v>62</v>
      </c>
      <c r="S3624" s="22" t="s">
        <v>49</v>
      </c>
      <c r="T3624" s="22" t="s">
        <v>78</v>
      </c>
      <c r="U3624" s="22" t="s">
        <v>78</v>
      </c>
      <c r="V3624" s="22" t="s">
        <v>131</v>
      </c>
      <c r="W3624" s="22" t="s">
        <v>109</v>
      </c>
      <c r="X3624" s="104">
        <v>16164500</v>
      </c>
      <c r="Y3624" s="195" t="str">
        <f t="shared" si="1074"/>
        <v>1</v>
      </c>
      <c r="Z3624" s="196">
        <f t="shared" si="1056"/>
        <v>16164500</v>
      </c>
      <c r="AA3624" s="22">
        <v>5.5100000000000003E-2</v>
      </c>
      <c r="AB3624" s="197">
        <f t="shared" si="1073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1"/>
        <v>35931087.732566379</v>
      </c>
      <c r="AJ3624" s="200">
        <f t="shared" si="1062"/>
        <v>4347120.3954975223</v>
      </c>
      <c r="AK3624" s="201">
        <f t="shared" si="1067"/>
        <v>0.12098493727362117</v>
      </c>
      <c r="AL3624" s="24"/>
      <c r="AM3624" s="24"/>
      <c r="AN3624" s="24"/>
      <c r="AO3624" s="24"/>
      <c r="AP3624" s="165" t="str">
        <f t="shared" si="1068"/>
        <v>20249</v>
      </c>
      <c r="AQ3624" s="203" t="str">
        <f t="shared" si="1069"/>
        <v>20249JPY</v>
      </c>
      <c r="AR3624" s="206" t="str">
        <f t="shared" si="1070"/>
        <v>YAMAHA_Mounter</v>
      </c>
      <c r="AS3624" s="22">
        <f t="shared" si="1071"/>
        <v>3</v>
      </c>
      <c r="AT3624" s="24" t="str">
        <f t="shared" si="1072"/>
        <v>0-3 months</v>
      </c>
      <c r="AU3624" s="22" t="s">
        <v>3746</v>
      </c>
    </row>
    <row r="3625" spans="1:47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4"/>
        <v>Q1</v>
      </c>
      <c r="E3625" s="33" t="str">
        <f t="shared" si="1077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3476</v>
      </c>
      <c r="K3625" s="29" t="s">
        <v>3477</v>
      </c>
      <c r="L3625" s="17" t="s">
        <v>92</v>
      </c>
      <c r="M3625" s="13" t="s">
        <v>60</v>
      </c>
      <c r="N3625" s="13">
        <v>1</v>
      </c>
      <c r="O3625" s="22"/>
      <c r="P3625" s="33" t="str">
        <f t="shared" si="1075"/>
        <v>MAIN UNIT</v>
      </c>
      <c r="Q3625" s="22" t="s">
        <v>61</v>
      </c>
      <c r="R3625" s="22" t="s">
        <v>62</v>
      </c>
      <c r="S3625" s="22" t="s">
        <v>49</v>
      </c>
      <c r="T3625" s="22" t="s">
        <v>78</v>
      </c>
      <c r="U3625" s="22" t="s">
        <v>78</v>
      </c>
      <c r="V3625" s="22" t="s">
        <v>131</v>
      </c>
      <c r="W3625" s="22" t="s">
        <v>109</v>
      </c>
      <c r="X3625" s="104">
        <v>16164500</v>
      </c>
      <c r="Y3625" s="195" t="str">
        <f t="shared" si="1074"/>
        <v>1</v>
      </c>
      <c r="Z3625" s="196">
        <f t="shared" si="1056"/>
        <v>16164500</v>
      </c>
      <c r="AA3625" s="22">
        <v>5.5100000000000003E-2</v>
      </c>
      <c r="AB3625" s="197">
        <f t="shared" ref="AB3625:AB3656" si="1078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1"/>
        <v>35931087.732566379</v>
      </c>
      <c r="AJ3625" s="200">
        <f t="shared" si="1062"/>
        <v>4347120.3954975223</v>
      </c>
      <c r="AK3625" s="201">
        <f t="shared" si="1067"/>
        <v>0.12098493727362117</v>
      </c>
      <c r="AL3625" s="24"/>
      <c r="AM3625" s="24"/>
      <c r="AN3625" s="24"/>
      <c r="AO3625" s="24"/>
      <c r="AP3625" s="165" t="str">
        <f t="shared" si="1068"/>
        <v>20249</v>
      </c>
      <c r="AQ3625" s="203" t="str">
        <f t="shared" si="1069"/>
        <v>20249JPY</v>
      </c>
      <c r="AR3625" s="206" t="str">
        <f t="shared" si="1070"/>
        <v>YAMAHA_Mounter</v>
      </c>
      <c r="AS3625" s="22">
        <f t="shared" si="1071"/>
        <v>3</v>
      </c>
      <c r="AT3625" s="24" t="str">
        <f t="shared" si="1072"/>
        <v>0-3 months</v>
      </c>
      <c r="AU3625" s="22" t="s">
        <v>3746</v>
      </c>
    </row>
    <row r="3626" spans="1:47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4"/>
        <v>Q1</v>
      </c>
      <c r="E3626" s="33" t="str">
        <f t="shared" si="1077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3476</v>
      </c>
      <c r="K3626" s="29" t="s">
        <v>3477</v>
      </c>
      <c r="L3626" s="17" t="s">
        <v>92</v>
      </c>
      <c r="M3626" s="13" t="s">
        <v>60</v>
      </c>
      <c r="N3626" s="13">
        <v>1</v>
      </c>
      <c r="O3626" s="22"/>
      <c r="P3626" s="33" t="str">
        <f t="shared" si="1075"/>
        <v>MAIN UNIT</v>
      </c>
      <c r="Q3626" s="22" t="s">
        <v>61</v>
      </c>
      <c r="R3626" s="22" t="s">
        <v>62</v>
      </c>
      <c r="S3626" s="22" t="s">
        <v>49</v>
      </c>
      <c r="T3626" s="22" t="s">
        <v>78</v>
      </c>
      <c r="U3626" s="22" t="s">
        <v>78</v>
      </c>
      <c r="V3626" s="22" t="s">
        <v>131</v>
      </c>
      <c r="W3626" s="22" t="s">
        <v>109</v>
      </c>
      <c r="X3626" s="104">
        <v>16164500</v>
      </c>
      <c r="Y3626" s="195" t="str">
        <f t="shared" si="1074"/>
        <v>1</v>
      </c>
      <c r="Z3626" s="196">
        <f t="shared" si="1056"/>
        <v>16164500</v>
      </c>
      <c r="AA3626" s="22">
        <v>5.5100000000000003E-2</v>
      </c>
      <c r="AB3626" s="197">
        <f t="shared" si="1078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1"/>
        <v>35931087.732566379</v>
      </c>
      <c r="AJ3626" s="200">
        <f t="shared" si="1062"/>
        <v>4347120.3954975223</v>
      </c>
      <c r="AK3626" s="201">
        <f t="shared" si="1067"/>
        <v>0.12098493727362117</v>
      </c>
      <c r="AL3626" s="24"/>
      <c r="AM3626" s="24"/>
      <c r="AN3626" s="24"/>
      <c r="AO3626" s="24"/>
      <c r="AP3626" s="165" t="str">
        <f t="shared" si="1068"/>
        <v>20249</v>
      </c>
      <c r="AQ3626" s="203" t="str">
        <f t="shared" si="1069"/>
        <v>20249JPY</v>
      </c>
      <c r="AR3626" s="206" t="str">
        <f t="shared" si="1070"/>
        <v>YAMAHA_Mounter</v>
      </c>
      <c r="AS3626" s="22">
        <f t="shared" si="1071"/>
        <v>3</v>
      </c>
      <c r="AT3626" s="24" t="str">
        <f t="shared" si="1072"/>
        <v>0-3 months</v>
      </c>
      <c r="AU3626" s="22" t="s">
        <v>3746</v>
      </c>
    </row>
    <row r="3627" spans="1:47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4"/>
        <v>Q2</v>
      </c>
      <c r="E3627" s="33" t="str">
        <f t="shared" si="1077"/>
        <v>Cancel</v>
      </c>
      <c r="F3627" s="23" t="s">
        <v>185</v>
      </c>
      <c r="G3627" s="23" t="s">
        <v>185</v>
      </c>
      <c r="H3627" s="29"/>
      <c r="I3627" s="204" t="str">
        <f t="shared" si="1064"/>
        <v>Cancel</v>
      </c>
      <c r="J3627" s="188" t="s">
        <v>3496</v>
      </c>
      <c r="K3627" s="29" t="s">
        <v>3497</v>
      </c>
      <c r="L3627" s="17" t="s">
        <v>92</v>
      </c>
      <c r="M3627" s="13" t="s">
        <v>60</v>
      </c>
      <c r="N3627" s="13">
        <v>1</v>
      </c>
      <c r="O3627" s="22"/>
      <c r="P3627" s="202" t="str">
        <f t="shared" si="1075"/>
        <v>MAIN UNIT</v>
      </c>
      <c r="Q3627" s="22" t="s">
        <v>68</v>
      </c>
      <c r="R3627" s="22" t="s">
        <v>62</v>
      </c>
      <c r="S3627" s="22" t="s">
        <v>49</v>
      </c>
      <c r="T3627" s="22" t="s">
        <v>78</v>
      </c>
      <c r="U3627" s="22" t="s">
        <v>120</v>
      </c>
      <c r="V3627" s="22" t="s">
        <v>121</v>
      </c>
      <c r="W3627" s="22" t="s">
        <v>109</v>
      </c>
      <c r="X3627" s="104">
        <v>12300000</v>
      </c>
      <c r="Y3627" s="195" t="str">
        <f t="shared" si="1074"/>
        <v>1</v>
      </c>
      <c r="Z3627" s="196">
        <f t="shared" si="1056"/>
        <v>12300000</v>
      </c>
      <c r="AA3627" s="22">
        <v>5.1799999999999999E-2</v>
      </c>
      <c r="AB3627" s="197">
        <f t="shared" si="1078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1"/>
        <v>499582152.5142017</v>
      </c>
      <c r="AJ3627" s="200">
        <f t="shared" si="1062"/>
        <v>59520528.679470733</v>
      </c>
      <c r="AK3627" s="201">
        <f t="shared" si="1067"/>
        <v>0.11914062257814291</v>
      </c>
      <c r="AL3627" s="24"/>
      <c r="AM3627" s="24"/>
      <c r="AN3627" s="24"/>
      <c r="AO3627" s="24"/>
      <c r="AP3627" s="165" t="str">
        <f t="shared" si="1068"/>
        <v>CancelCancel</v>
      </c>
      <c r="AQ3627" s="203" t="str">
        <f t="shared" si="1069"/>
        <v>CancelCancelJPY</v>
      </c>
      <c r="AR3627" s="206" t="str">
        <f t="shared" si="1070"/>
        <v>YAMAHA_Mounter</v>
      </c>
      <c r="AS3627" s="22" t="str">
        <f t="shared" si="1071"/>
        <v/>
      </c>
      <c r="AT3627" s="24" t="str">
        <f t="shared" si="1072"/>
        <v/>
      </c>
      <c r="AU3627" s="22" t="s">
        <v>3745</v>
      </c>
    </row>
    <row r="3628" spans="1:47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4"/>
        <v>Q2</v>
      </c>
      <c r="E3628" s="33" t="str">
        <f t="shared" si="1077"/>
        <v>Cancel</v>
      </c>
      <c r="F3628" s="23" t="s">
        <v>185</v>
      </c>
      <c r="G3628" s="23" t="s">
        <v>185</v>
      </c>
      <c r="H3628" s="29"/>
      <c r="I3628" s="204" t="str">
        <f t="shared" si="1064"/>
        <v>Cancel</v>
      </c>
      <c r="J3628" s="188" t="s">
        <v>3496</v>
      </c>
      <c r="K3628" s="29" t="s">
        <v>3497</v>
      </c>
      <c r="L3628" s="17" t="s">
        <v>92</v>
      </c>
      <c r="M3628" s="13" t="s">
        <v>60</v>
      </c>
      <c r="N3628" s="13">
        <v>1</v>
      </c>
      <c r="O3628" s="22"/>
      <c r="P3628" s="202" t="str">
        <f t="shared" si="1075"/>
        <v>MAIN UNIT</v>
      </c>
      <c r="Q3628" s="22" t="s">
        <v>68</v>
      </c>
      <c r="R3628" s="22" t="s">
        <v>62</v>
      </c>
      <c r="S3628" s="22" t="s">
        <v>49</v>
      </c>
      <c r="T3628" s="22" t="s">
        <v>78</v>
      </c>
      <c r="U3628" s="22" t="s">
        <v>120</v>
      </c>
      <c r="V3628" s="22" t="s">
        <v>121</v>
      </c>
      <c r="W3628" s="22" t="s">
        <v>109</v>
      </c>
      <c r="X3628" s="104">
        <v>12300000</v>
      </c>
      <c r="Y3628" s="195" t="str">
        <f t="shared" si="1074"/>
        <v>1</v>
      </c>
      <c r="Z3628" s="196">
        <f t="shared" si="1056"/>
        <v>12300000</v>
      </c>
      <c r="AA3628" s="22">
        <v>5.1799999999999999E-2</v>
      </c>
      <c r="AB3628" s="197">
        <f t="shared" si="1078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1"/>
        <v>499582152.5142017</v>
      </c>
      <c r="AJ3628" s="200">
        <f t="shared" si="1062"/>
        <v>59520528.679470733</v>
      </c>
      <c r="AK3628" s="201">
        <f t="shared" si="1067"/>
        <v>0.11914062257814291</v>
      </c>
      <c r="AL3628" s="24"/>
      <c r="AM3628" s="24"/>
      <c r="AN3628" s="24"/>
      <c r="AO3628" s="24"/>
      <c r="AP3628" s="165" t="str">
        <f t="shared" si="1068"/>
        <v>CancelCancel</v>
      </c>
      <c r="AQ3628" s="203" t="str">
        <f t="shared" si="1069"/>
        <v>CancelCancelJPY</v>
      </c>
      <c r="AR3628" s="206" t="str">
        <f t="shared" si="1070"/>
        <v>YAMAHA_Mounter</v>
      </c>
      <c r="AS3628" s="22" t="str">
        <f t="shared" si="1071"/>
        <v/>
      </c>
      <c r="AT3628" s="24" t="str">
        <f t="shared" si="1072"/>
        <v/>
      </c>
      <c r="AU3628" s="22" t="s">
        <v>3745</v>
      </c>
    </row>
    <row r="3629" spans="1:47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4"/>
        <v>Q2</v>
      </c>
      <c r="E3629" s="33" t="str">
        <f t="shared" si="1077"/>
        <v>Cancel</v>
      </c>
      <c r="F3629" s="23" t="s">
        <v>185</v>
      </c>
      <c r="G3629" s="23" t="s">
        <v>185</v>
      </c>
      <c r="H3629" s="29"/>
      <c r="I3629" s="204" t="str">
        <f t="shared" si="1064"/>
        <v>Cancel</v>
      </c>
      <c r="J3629" s="188" t="s">
        <v>3496</v>
      </c>
      <c r="K3629" s="29" t="s">
        <v>3497</v>
      </c>
      <c r="L3629" s="17" t="s">
        <v>92</v>
      </c>
      <c r="M3629" s="13" t="s">
        <v>60</v>
      </c>
      <c r="N3629" s="13">
        <v>1</v>
      </c>
      <c r="O3629" s="22"/>
      <c r="P3629" s="202" t="str">
        <f t="shared" si="1075"/>
        <v>MAIN UNIT</v>
      </c>
      <c r="Q3629" s="22" t="s">
        <v>68</v>
      </c>
      <c r="R3629" s="22" t="s">
        <v>62</v>
      </c>
      <c r="S3629" s="22" t="s">
        <v>49</v>
      </c>
      <c r="T3629" s="22" t="s">
        <v>78</v>
      </c>
      <c r="U3629" s="22" t="s">
        <v>120</v>
      </c>
      <c r="V3629" s="22" t="s">
        <v>121</v>
      </c>
      <c r="W3629" s="22" t="s">
        <v>109</v>
      </c>
      <c r="X3629" s="104">
        <v>12300000</v>
      </c>
      <c r="Y3629" s="195" t="str">
        <f t="shared" si="1074"/>
        <v>1</v>
      </c>
      <c r="Z3629" s="196">
        <f t="shared" si="1056"/>
        <v>12300000</v>
      </c>
      <c r="AA3629" s="22">
        <v>5.1799999999999999E-2</v>
      </c>
      <c r="AB3629" s="197">
        <f t="shared" si="1078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1"/>
        <v>499582152.5142017</v>
      </c>
      <c r="AJ3629" s="200">
        <f t="shared" si="1062"/>
        <v>59520528.679470733</v>
      </c>
      <c r="AK3629" s="201">
        <f t="shared" si="1067"/>
        <v>0.11914062257814291</v>
      </c>
      <c r="AL3629" s="24"/>
      <c r="AM3629" s="24"/>
      <c r="AN3629" s="24"/>
      <c r="AO3629" s="24"/>
      <c r="AP3629" s="165" t="str">
        <f t="shared" si="1068"/>
        <v>CancelCancel</v>
      </c>
      <c r="AQ3629" s="203" t="str">
        <f t="shared" si="1069"/>
        <v>CancelCancelJPY</v>
      </c>
      <c r="AR3629" s="206" t="str">
        <f t="shared" si="1070"/>
        <v>YAMAHA_Mounter</v>
      </c>
      <c r="AS3629" s="22" t="str">
        <f t="shared" si="1071"/>
        <v/>
      </c>
      <c r="AT3629" s="24" t="str">
        <f t="shared" si="1072"/>
        <v/>
      </c>
      <c r="AU3629" s="22" t="s">
        <v>3745</v>
      </c>
    </row>
    <row r="3630" spans="1:47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4"/>
        <v>Q2</v>
      </c>
      <c r="E3630" s="33" t="str">
        <f t="shared" si="1077"/>
        <v>Cancel</v>
      </c>
      <c r="F3630" s="23" t="s">
        <v>185</v>
      </c>
      <c r="G3630" s="23" t="s">
        <v>185</v>
      </c>
      <c r="H3630" s="29"/>
      <c r="I3630" s="204" t="str">
        <f t="shared" si="1064"/>
        <v>Cancel</v>
      </c>
      <c r="J3630" s="188" t="s">
        <v>3496</v>
      </c>
      <c r="K3630" s="29" t="s">
        <v>3497</v>
      </c>
      <c r="L3630" s="17" t="s">
        <v>92</v>
      </c>
      <c r="M3630" s="13" t="s">
        <v>60</v>
      </c>
      <c r="N3630" s="13">
        <v>1</v>
      </c>
      <c r="O3630" s="22"/>
      <c r="P3630" s="202" t="str">
        <f t="shared" si="1075"/>
        <v>MAIN UNIT</v>
      </c>
      <c r="Q3630" s="22" t="s">
        <v>68</v>
      </c>
      <c r="R3630" s="22" t="s">
        <v>62</v>
      </c>
      <c r="S3630" s="22" t="s">
        <v>49</v>
      </c>
      <c r="T3630" s="22" t="s">
        <v>78</v>
      </c>
      <c r="U3630" s="22" t="s">
        <v>120</v>
      </c>
      <c r="V3630" s="22" t="s">
        <v>121</v>
      </c>
      <c r="W3630" s="22" t="s">
        <v>109</v>
      </c>
      <c r="X3630" s="104">
        <v>12300000</v>
      </c>
      <c r="Y3630" s="195" t="str">
        <f t="shared" si="1074"/>
        <v>1</v>
      </c>
      <c r="Z3630" s="196">
        <f t="shared" si="1056"/>
        <v>12300000</v>
      </c>
      <c r="AA3630" s="22">
        <v>5.1799999999999999E-2</v>
      </c>
      <c r="AB3630" s="197">
        <f t="shared" si="1078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1"/>
        <v>499582152.5142017</v>
      </c>
      <c r="AJ3630" s="200">
        <f t="shared" si="1062"/>
        <v>59520528.679470733</v>
      </c>
      <c r="AK3630" s="201">
        <f t="shared" si="1067"/>
        <v>0.11914062257814291</v>
      </c>
      <c r="AL3630" s="24"/>
      <c r="AM3630" s="24"/>
      <c r="AN3630" s="24"/>
      <c r="AO3630" s="24"/>
      <c r="AP3630" s="165" t="str">
        <f t="shared" si="1068"/>
        <v>CancelCancel</v>
      </c>
      <c r="AQ3630" s="203" t="str">
        <f t="shared" si="1069"/>
        <v>CancelCancelJPY</v>
      </c>
      <c r="AR3630" s="206" t="str">
        <f t="shared" si="1070"/>
        <v>YAMAHA_Mounter</v>
      </c>
      <c r="AS3630" s="22" t="str">
        <f t="shared" si="1071"/>
        <v/>
      </c>
      <c r="AT3630" s="24" t="str">
        <f t="shared" si="1072"/>
        <v/>
      </c>
      <c r="AU3630" s="22" t="s">
        <v>3745</v>
      </c>
    </row>
    <row r="3631" spans="1:47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4"/>
        <v>Q2</v>
      </c>
      <c r="E3631" s="33" t="str">
        <f t="shared" si="1077"/>
        <v>Cancel</v>
      </c>
      <c r="F3631" s="23" t="s">
        <v>185</v>
      </c>
      <c r="G3631" s="23" t="s">
        <v>185</v>
      </c>
      <c r="H3631" s="29"/>
      <c r="I3631" s="204" t="str">
        <f t="shared" si="1064"/>
        <v>Cancel</v>
      </c>
      <c r="J3631" s="188" t="s">
        <v>3499</v>
      </c>
      <c r="K3631" s="29" t="s">
        <v>3502</v>
      </c>
      <c r="L3631" s="17" t="s">
        <v>67</v>
      </c>
      <c r="M3631" s="13" t="s">
        <v>60</v>
      </c>
      <c r="N3631" s="13">
        <v>1</v>
      </c>
      <c r="O3631" s="22"/>
      <c r="P3631" s="202" t="str">
        <f t="shared" si="1075"/>
        <v>MAIN UNIT</v>
      </c>
      <c r="Q3631" s="22" t="s">
        <v>68</v>
      </c>
      <c r="R3631" s="22" t="s">
        <v>62</v>
      </c>
      <c r="S3631" s="22" t="s">
        <v>50</v>
      </c>
      <c r="T3631" s="22" t="s">
        <v>88</v>
      </c>
      <c r="U3631" s="22" t="s">
        <v>70</v>
      </c>
      <c r="V3631" s="22" t="s">
        <v>1400</v>
      </c>
      <c r="W3631" s="22" t="s">
        <v>64</v>
      </c>
      <c r="X3631" s="104">
        <v>455000</v>
      </c>
      <c r="Y3631" s="195" t="str">
        <f t="shared" si="1074"/>
        <v>1.13</v>
      </c>
      <c r="Z3631" s="196">
        <f t="shared" si="1056"/>
        <v>455000</v>
      </c>
      <c r="AA3631" s="22">
        <v>1.073</v>
      </c>
      <c r="AB3631" s="197">
        <f t="shared" si="1078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1"/>
        <v>499582152.5142017</v>
      </c>
      <c r="AJ3631" s="200">
        <f t="shared" si="1062"/>
        <v>59520528.679470733</v>
      </c>
      <c r="AK3631" s="201">
        <f t="shared" si="1067"/>
        <v>0.11914062257814291</v>
      </c>
      <c r="AL3631" s="24"/>
      <c r="AM3631" s="24"/>
      <c r="AN3631" s="24"/>
      <c r="AO3631" s="24"/>
      <c r="AP3631" s="165" t="str">
        <f t="shared" si="1068"/>
        <v>CancelCancel</v>
      </c>
      <c r="AQ3631" s="203" t="str">
        <f t="shared" si="1069"/>
        <v>CancelCancelRMB</v>
      </c>
      <c r="AR3631" s="206" t="str">
        <f t="shared" si="1070"/>
        <v>YAMAHA_Mounter</v>
      </c>
      <c r="AS3631" s="22" t="str">
        <f t="shared" si="1071"/>
        <v/>
      </c>
      <c r="AT3631" s="24" t="str">
        <f t="shared" si="1072"/>
        <v/>
      </c>
      <c r="AU3631" s="22" t="s">
        <v>3240</v>
      </c>
    </row>
    <row r="3632" spans="1:47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4"/>
        <v>Q2</v>
      </c>
      <c r="E3632" s="33" t="str">
        <f t="shared" si="1077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3500</v>
      </c>
      <c r="K3632" s="29" t="s">
        <v>3503</v>
      </c>
      <c r="L3632" s="17" t="s">
        <v>92</v>
      </c>
      <c r="M3632" s="13" t="s">
        <v>60</v>
      </c>
      <c r="N3632" s="13">
        <v>1</v>
      </c>
      <c r="O3632" s="22"/>
      <c r="P3632" s="202" t="str">
        <f t="shared" si="1075"/>
        <v>MAIN UNIT</v>
      </c>
      <c r="Q3632" s="22" t="s">
        <v>68</v>
      </c>
      <c r="R3632" s="22" t="s">
        <v>62</v>
      </c>
      <c r="S3632" s="22" t="s">
        <v>50</v>
      </c>
      <c r="T3632" s="22" t="s">
        <v>2985</v>
      </c>
      <c r="U3632" s="22" t="s">
        <v>70</v>
      </c>
      <c r="V3632" s="22" t="s">
        <v>71</v>
      </c>
      <c r="W3632" s="22" t="s">
        <v>901</v>
      </c>
      <c r="X3632" s="104">
        <v>166000</v>
      </c>
      <c r="Y3632" s="195" t="str">
        <f t="shared" si="1074"/>
        <v>1</v>
      </c>
      <c r="Z3632" s="196">
        <f t="shared" si="1056"/>
        <v>166000</v>
      </c>
      <c r="AA3632" s="22">
        <v>7.8</v>
      </c>
      <c r="AB3632" s="197">
        <f t="shared" si="1078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1"/>
        <v>32082250.320460182</v>
      </c>
      <c r="AJ3632" s="200">
        <f t="shared" si="1062"/>
        <v>4323122.9746477893</v>
      </c>
      <c r="AK3632" s="201">
        <f t="shared" si="1067"/>
        <v>0.1347512388147771</v>
      </c>
      <c r="AL3632" s="24"/>
      <c r="AM3632" s="24"/>
      <c r="AN3632" s="24"/>
      <c r="AO3632" s="24"/>
      <c r="AP3632" s="165" t="str">
        <f t="shared" si="1068"/>
        <v>202411</v>
      </c>
      <c r="AQ3632" s="203" t="str">
        <f t="shared" si="1069"/>
        <v>202411USD</v>
      </c>
      <c r="AR3632" s="206" t="str">
        <f t="shared" si="1070"/>
        <v>YAMAHA_Mounter</v>
      </c>
      <c r="AS3632" s="22">
        <f t="shared" si="1071"/>
        <v>4</v>
      </c>
      <c r="AT3632" s="24" t="str">
        <f t="shared" si="1072"/>
        <v>4-6 months</v>
      </c>
      <c r="AU3632" s="22" t="s">
        <v>3240</v>
      </c>
    </row>
    <row r="3633" spans="1:47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4"/>
        <v>Q1</v>
      </c>
      <c r="E3633" s="33" t="str">
        <f t="shared" si="1077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3476</v>
      </c>
      <c r="K3633" s="29" t="s">
        <v>3477</v>
      </c>
      <c r="L3633" s="17" t="s">
        <v>92</v>
      </c>
      <c r="M3633" s="13" t="s">
        <v>60</v>
      </c>
      <c r="N3633" s="13">
        <v>1</v>
      </c>
      <c r="O3633" s="22"/>
      <c r="P3633" s="33" t="str">
        <f t="shared" si="1075"/>
        <v>MAIN UNIT</v>
      </c>
      <c r="Q3633" s="22" t="s">
        <v>61</v>
      </c>
      <c r="R3633" s="22" t="s">
        <v>62</v>
      </c>
      <c r="S3633" s="22" t="s">
        <v>49</v>
      </c>
      <c r="T3633" s="22" t="s">
        <v>78</v>
      </c>
      <c r="U3633" s="22" t="s">
        <v>78</v>
      </c>
      <c r="V3633" s="22" t="s">
        <v>131</v>
      </c>
      <c r="W3633" s="22" t="s">
        <v>109</v>
      </c>
      <c r="X3633" s="104">
        <v>16164500</v>
      </c>
      <c r="Y3633" s="195" t="str">
        <f t="shared" si="1074"/>
        <v>1</v>
      </c>
      <c r="Z3633" s="196">
        <f t="shared" si="1056"/>
        <v>16164500</v>
      </c>
      <c r="AA3633" s="22">
        <v>5.5100000000000003E-2</v>
      </c>
      <c r="AB3633" s="197">
        <f t="shared" si="1078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1"/>
        <v>35931087.732566379</v>
      </c>
      <c r="AJ3633" s="200">
        <f t="shared" si="1062"/>
        <v>4347120.3954975223</v>
      </c>
      <c r="AK3633" s="201">
        <f t="shared" si="1067"/>
        <v>0.12098493727362117</v>
      </c>
      <c r="AL3633" s="24"/>
      <c r="AM3633" s="24"/>
      <c r="AN3633" s="24"/>
      <c r="AO3633" s="24"/>
      <c r="AP3633" s="165" t="str">
        <f t="shared" si="1068"/>
        <v>20249</v>
      </c>
      <c r="AQ3633" s="203" t="str">
        <f t="shared" si="1069"/>
        <v>20249JPY</v>
      </c>
      <c r="AR3633" s="206" t="str">
        <f t="shared" si="1070"/>
        <v>YAMAHA_Mounter</v>
      </c>
      <c r="AS3633" s="22">
        <f t="shared" si="1071"/>
        <v>3</v>
      </c>
      <c r="AT3633" s="24" t="str">
        <f t="shared" si="1072"/>
        <v>0-3 months</v>
      </c>
      <c r="AU3633" s="22" t="s">
        <v>3746</v>
      </c>
    </row>
    <row r="3634" spans="1:47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79">IF(B3634="","",IF(AND(C3634&gt;=10,C3634&lt;=12),"Q3",IF(AND(C3634&gt;=1,C3634&lt;=3),"Q4",IF(AND(C3634&gt;=7,C3634&lt;=9),"Q2",IF(AND(C3634&gt;=4,C3634&lt;=6),"Q1")))))</f>
        <v>Q2</v>
      </c>
      <c r="E3634" s="33" t="str">
        <f t="shared" si="1077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3501</v>
      </c>
      <c r="K3634" s="29" t="s">
        <v>3504</v>
      </c>
      <c r="L3634" s="17" t="s">
        <v>67</v>
      </c>
      <c r="M3634" s="13" t="s">
        <v>60</v>
      </c>
      <c r="N3634" s="13">
        <v>1</v>
      </c>
      <c r="O3634" s="22"/>
      <c r="P3634" s="202" t="str">
        <f t="shared" si="1075"/>
        <v>MAIN UNIT</v>
      </c>
      <c r="Q3634" s="22" t="s">
        <v>68</v>
      </c>
      <c r="R3634" s="22" t="s">
        <v>62</v>
      </c>
      <c r="S3634" s="22" t="s">
        <v>50</v>
      </c>
      <c r="T3634" s="22" t="s">
        <v>88</v>
      </c>
      <c r="U3634" s="22" t="s">
        <v>70</v>
      </c>
      <c r="V3634" s="22" t="s">
        <v>1010</v>
      </c>
      <c r="W3634" s="22" t="s">
        <v>64</v>
      </c>
      <c r="X3634" s="104">
        <v>432999</v>
      </c>
      <c r="Y3634" s="195" t="str">
        <f t="shared" si="1074"/>
        <v>1.13</v>
      </c>
      <c r="Z3634" s="196">
        <f t="shared" ref="Z3634:Z3697" si="1080">IF(X3634="","",X3634*MAX(O3634,N3634))</f>
        <v>432999</v>
      </c>
      <c r="AA3634" s="22">
        <v>1.1080000000000001</v>
      </c>
      <c r="AB3634" s="197">
        <f t="shared" si="1078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1"/>
        <v>22758096.38940867</v>
      </c>
      <c r="AJ3634" s="200">
        <f t="shared" si="1062"/>
        <v>2469357.2298956565</v>
      </c>
      <c r="AK3634" s="201">
        <f t="shared" si="1067"/>
        <v>0.10850455976822666</v>
      </c>
      <c r="AL3634" s="24"/>
      <c r="AM3634" s="24"/>
      <c r="AN3634" s="24"/>
      <c r="AO3634" s="24"/>
      <c r="AP3634" s="165" t="str">
        <f t="shared" si="1068"/>
        <v>202410</v>
      </c>
      <c r="AQ3634" s="203" t="str">
        <f t="shared" si="1069"/>
        <v>202410RMB</v>
      </c>
      <c r="AR3634" s="206" t="str">
        <f t="shared" si="1070"/>
        <v>YAMAHA_Mounter</v>
      </c>
      <c r="AS3634" s="22">
        <f t="shared" si="1071"/>
        <v>3</v>
      </c>
      <c r="AT3634" s="24" t="str">
        <f t="shared" si="1072"/>
        <v>0-3 months</v>
      </c>
      <c r="AU3634" s="22" t="s">
        <v>3240</v>
      </c>
    </row>
    <row r="3635" spans="1:47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79"/>
        <v>Q2</v>
      </c>
      <c r="E3635" s="33" t="str">
        <f t="shared" si="1077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3505</v>
      </c>
      <c r="K3635" s="29" t="s">
        <v>3506</v>
      </c>
      <c r="L3635" s="17" t="s">
        <v>67</v>
      </c>
      <c r="M3635" s="13" t="s">
        <v>60</v>
      </c>
      <c r="N3635" s="13">
        <v>1</v>
      </c>
      <c r="O3635" s="22"/>
      <c r="P3635" s="202" t="str">
        <f t="shared" si="1075"/>
        <v>MAIN UNIT</v>
      </c>
      <c r="Q3635" s="22" t="s">
        <v>61</v>
      </c>
      <c r="R3635" s="22" t="s">
        <v>62</v>
      </c>
      <c r="S3635" s="22" t="s">
        <v>52</v>
      </c>
      <c r="T3635" s="22" t="s">
        <v>141</v>
      </c>
      <c r="U3635" s="22" t="s">
        <v>1077</v>
      </c>
      <c r="V3635" s="22" t="s">
        <v>143</v>
      </c>
      <c r="W3635" s="22" t="s">
        <v>64</v>
      </c>
      <c r="X3635" s="104">
        <v>600000</v>
      </c>
      <c r="Y3635" s="195" t="str">
        <f t="shared" si="1074"/>
        <v>1.13</v>
      </c>
      <c r="Z3635" s="196">
        <f t="shared" si="1080"/>
        <v>600000</v>
      </c>
      <c r="AA3635" s="22">
        <v>1.0920000000000001</v>
      </c>
      <c r="AB3635" s="197">
        <f t="shared" si="1078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1"/>
        <v>32082250.320460182</v>
      </c>
      <c r="AJ3635" s="200">
        <f t="shared" si="1062"/>
        <v>4323122.9746477893</v>
      </c>
      <c r="AK3635" s="201">
        <f t="shared" si="1067"/>
        <v>0.1347512388147771</v>
      </c>
      <c r="AL3635" s="24"/>
      <c r="AM3635" s="24"/>
      <c r="AN3635" s="24"/>
      <c r="AO3635" s="24"/>
      <c r="AP3635" s="165" t="str">
        <f t="shared" si="1068"/>
        <v>202411</v>
      </c>
      <c r="AQ3635" s="203" t="str">
        <f t="shared" si="1069"/>
        <v>202411RMB</v>
      </c>
      <c r="AR3635" s="206" t="str">
        <f t="shared" si="1070"/>
        <v>YAMAHA_Mounter</v>
      </c>
      <c r="AS3635" s="22">
        <f t="shared" si="1071"/>
        <v>4</v>
      </c>
      <c r="AT3635" s="24" t="str">
        <f t="shared" si="1072"/>
        <v>4-6 months</v>
      </c>
      <c r="AU3635" s="22" t="s">
        <v>3240</v>
      </c>
    </row>
    <row r="3636" spans="1:47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79"/>
        <v>Q2</v>
      </c>
      <c r="E3636" s="33" t="str">
        <f t="shared" si="1077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3505</v>
      </c>
      <c r="K3636" s="29" t="s">
        <v>3506</v>
      </c>
      <c r="L3636" s="17" t="s">
        <v>67</v>
      </c>
      <c r="M3636" s="13" t="s">
        <v>60</v>
      </c>
      <c r="N3636" s="13">
        <v>1</v>
      </c>
      <c r="O3636" s="22"/>
      <c r="P3636" s="202" t="str">
        <f t="shared" si="1075"/>
        <v>MAIN UNIT</v>
      </c>
      <c r="Q3636" s="22" t="s">
        <v>61</v>
      </c>
      <c r="R3636" s="22" t="s">
        <v>62</v>
      </c>
      <c r="S3636" s="22" t="s">
        <v>52</v>
      </c>
      <c r="T3636" s="22" t="s">
        <v>141</v>
      </c>
      <c r="U3636" s="22" t="s">
        <v>1077</v>
      </c>
      <c r="V3636" s="22" t="s">
        <v>143</v>
      </c>
      <c r="W3636" s="22" t="s">
        <v>64</v>
      </c>
      <c r="X3636" s="104">
        <v>600000</v>
      </c>
      <c r="Y3636" s="195" t="str">
        <f t="shared" ref="Y3636:Y3667" si="1081">IF(W3636="","",IF(W3636="RMB","1.13", "1"))</f>
        <v>1.13</v>
      </c>
      <c r="Z3636" s="196">
        <f t="shared" si="1080"/>
        <v>600000</v>
      </c>
      <c r="AA3636" s="22">
        <v>1.0920000000000001</v>
      </c>
      <c r="AB3636" s="197">
        <f t="shared" si="1078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1"/>
        <v>32082250.320460182</v>
      </c>
      <c r="AJ3636" s="200">
        <f t="shared" si="1062"/>
        <v>4323122.9746477893</v>
      </c>
      <c r="AK3636" s="201">
        <f t="shared" si="1067"/>
        <v>0.1347512388147771</v>
      </c>
      <c r="AL3636" s="24"/>
      <c r="AM3636" s="24"/>
      <c r="AN3636" s="24"/>
      <c r="AO3636" s="24"/>
      <c r="AP3636" s="165" t="str">
        <f t="shared" si="1068"/>
        <v>202411</v>
      </c>
      <c r="AQ3636" s="203" t="str">
        <f t="shared" si="1069"/>
        <v>202411RMB</v>
      </c>
      <c r="AR3636" s="206" t="str">
        <f t="shared" si="1070"/>
        <v>YAMAHA_Mounter</v>
      </c>
      <c r="AS3636" s="22">
        <f t="shared" si="1071"/>
        <v>4</v>
      </c>
      <c r="AT3636" s="24" t="str">
        <f t="shared" si="1072"/>
        <v>4-6 months</v>
      </c>
      <c r="AU3636" s="22" t="s">
        <v>3240</v>
      </c>
    </row>
    <row r="3637" spans="1:47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79"/>
        <v>Q1</v>
      </c>
      <c r="E3637" s="33" t="str">
        <f t="shared" si="1077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3476</v>
      </c>
      <c r="K3637" s="29" t="s">
        <v>3477</v>
      </c>
      <c r="L3637" s="17" t="s">
        <v>92</v>
      </c>
      <c r="M3637" s="13" t="s">
        <v>60</v>
      </c>
      <c r="N3637" s="13">
        <v>1</v>
      </c>
      <c r="O3637" s="22"/>
      <c r="P3637" s="33" t="str">
        <f t="shared" si="1075"/>
        <v>MAIN UNIT</v>
      </c>
      <c r="Q3637" s="22" t="s">
        <v>61</v>
      </c>
      <c r="R3637" s="22" t="s">
        <v>62</v>
      </c>
      <c r="S3637" s="22" t="s">
        <v>49</v>
      </c>
      <c r="T3637" s="22" t="s">
        <v>78</v>
      </c>
      <c r="U3637" s="22" t="s">
        <v>78</v>
      </c>
      <c r="V3637" s="22" t="s">
        <v>131</v>
      </c>
      <c r="W3637" s="22" t="s">
        <v>109</v>
      </c>
      <c r="X3637" s="104">
        <v>16164500</v>
      </c>
      <c r="Y3637" s="195" t="str">
        <f t="shared" si="1081"/>
        <v>1</v>
      </c>
      <c r="Z3637" s="196">
        <f t="shared" si="1080"/>
        <v>16164500</v>
      </c>
      <c r="AA3637" s="22">
        <v>5.5100000000000003E-2</v>
      </c>
      <c r="AB3637" s="197">
        <f t="shared" si="1078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1"/>
        <v>35931087.732566379</v>
      </c>
      <c r="AJ3637" s="200">
        <f t="shared" si="1062"/>
        <v>4347120.3954975223</v>
      </c>
      <c r="AK3637" s="201">
        <f t="shared" si="1067"/>
        <v>0.12098493727362117</v>
      </c>
      <c r="AL3637" s="24"/>
      <c r="AM3637" s="24"/>
      <c r="AN3637" s="24"/>
      <c r="AO3637" s="24"/>
      <c r="AP3637" s="165" t="str">
        <f t="shared" si="1068"/>
        <v>20249</v>
      </c>
      <c r="AQ3637" s="203" t="str">
        <f t="shared" si="1069"/>
        <v>20249JPY</v>
      </c>
      <c r="AR3637" s="206" t="str">
        <f t="shared" si="1070"/>
        <v>YAMAHA_Mounter</v>
      </c>
      <c r="AS3637" s="22">
        <f t="shared" si="1071"/>
        <v>3</v>
      </c>
      <c r="AT3637" s="24" t="str">
        <f t="shared" si="1072"/>
        <v>0-3 months</v>
      </c>
      <c r="AU3637" s="22" t="s">
        <v>3746</v>
      </c>
    </row>
    <row r="3638" spans="1:47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79"/>
        <v>Q1</v>
      </c>
      <c r="E3638" s="33" t="str">
        <f t="shared" si="1077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3476</v>
      </c>
      <c r="K3638" s="29" t="s">
        <v>3477</v>
      </c>
      <c r="L3638" s="17" t="s">
        <v>92</v>
      </c>
      <c r="M3638" s="13" t="s">
        <v>60</v>
      </c>
      <c r="N3638" s="13">
        <v>1</v>
      </c>
      <c r="O3638" s="22"/>
      <c r="P3638" s="33" t="str">
        <f t="shared" si="1075"/>
        <v>MAIN UNIT</v>
      </c>
      <c r="Q3638" s="22" t="s">
        <v>61</v>
      </c>
      <c r="R3638" s="22" t="s">
        <v>62</v>
      </c>
      <c r="S3638" s="22" t="s">
        <v>49</v>
      </c>
      <c r="T3638" s="22" t="s">
        <v>78</v>
      </c>
      <c r="U3638" s="22" t="s">
        <v>78</v>
      </c>
      <c r="V3638" s="22" t="s">
        <v>131</v>
      </c>
      <c r="W3638" s="22" t="s">
        <v>109</v>
      </c>
      <c r="X3638" s="104">
        <v>16164500</v>
      </c>
      <c r="Y3638" s="195" t="str">
        <f t="shared" si="1081"/>
        <v>1</v>
      </c>
      <c r="Z3638" s="196">
        <f t="shared" si="1080"/>
        <v>16164500</v>
      </c>
      <c r="AA3638" s="22">
        <v>5.5100000000000003E-2</v>
      </c>
      <c r="AB3638" s="197">
        <f t="shared" si="1078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1"/>
        <v>35931087.732566379</v>
      </c>
      <c r="AJ3638" s="200">
        <f t="shared" si="1062"/>
        <v>4347120.3954975223</v>
      </c>
      <c r="AK3638" s="201">
        <f t="shared" si="1067"/>
        <v>0.12098493727362117</v>
      </c>
      <c r="AL3638" s="24"/>
      <c r="AM3638" s="24"/>
      <c r="AN3638" s="24"/>
      <c r="AO3638" s="24"/>
      <c r="AP3638" s="165" t="str">
        <f t="shared" si="1068"/>
        <v>20249</v>
      </c>
      <c r="AQ3638" s="203" t="str">
        <f t="shared" si="1069"/>
        <v>20249JPY</v>
      </c>
      <c r="AR3638" s="206" t="str">
        <f t="shared" si="1070"/>
        <v>YAMAHA_Mounter</v>
      </c>
      <c r="AS3638" s="22">
        <f t="shared" si="1071"/>
        <v>3</v>
      </c>
      <c r="AT3638" s="24" t="str">
        <f t="shared" si="1072"/>
        <v>0-3 months</v>
      </c>
      <c r="AU3638" s="22" t="s">
        <v>3746</v>
      </c>
    </row>
    <row r="3639" spans="1:47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79"/>
        <v>Q2</v>
      </c>
      <c r="E3639" s="33" t="str">
        <f t="shared" si="1077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3515</v>
      </c>
      <c r="K3639" s="29" t="s">
        <v>2509</v>
      </c>
      <c r="L3639" s="17" t="s">
        <v>67</v>
      </c>
      <c r="M3639" s="13" t="s">
        <v>60</v>
      </c>
      <c r="N3639" s="13">
        <v>1</v>
      </c>
      <c r="O3639" s="22"/>
      <c r="P3639" s="202" t="str">
        <f t="shared" si="1075"/>
        <v>MAIN UNIT</v>
      </c>
      <c r="Q3639" s="22" t="s">
        <v>61</v>
      </c>
      <c r="R3639" s="22" t="s">
        <v>62</v>
      </c>
      <c r="S3639" s="22" t="s">
        <v>49</v>
      </c>
      <c r="T3639" s="22" t="s">
        <v>78</v>
      </c>
      <c r="U3639" s="22" t="s">
        <v>3517</v>
      </c>
      <c r="V3639" s="22" t="s">
        <v>80</v>
      </c>
      <c r="W3639" s="22" t="s">
        <v>64</v>
      </c>
      <c r="X3639" s="104">
        <v>446700</v>
      </c>
      <c r="Y3639" s="195" t="str">
        <f t="shared" si="1081"/>
        <v>1.13</v>
      </c>
      <c r="Z3639" s="196">
        <f t="shared" si="1080"/>
        <v>446700</v>
      </c>
      <c r="AA3639" s="22">
        <v>1.1080000000000001</v>
      </c>
      <c r="AB3639" s="197">
        <f t="shared" si="1078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1"/>
        <v>22758096.38940867</v>
      </c>
      <c r="AJ3639" s="200">
        <f t="shared" si="1062"/>
        <v>2469357.2298956565</v>
      </c>
      <c r="AK3639" s="201">
        <f t="shared" si="1067"/>
        <v>0.10850455976822666</v>
      </c>
      <c r="AL3639" s="24"/>
      <c r="AM3639" s="24"/>
      <c r="AN3639" s="24"/>
      <c r="AO3639" s="24"/>
      <c r="AP3639" s="165" t="str">
        <f t="shared" si="1068"/>
        <v>202410</v>
      </c>
      <c r="AQ3639" s="203" t="str">
        <f t="shared" si="1069"/>
        <v>202410RMB</v>
      </c>
      <c r="AR3639" s="206" t="str">
        <f t="shared" si="1070"/>
        <v>YAMAHA_Mounter</v>
      </c>
      <c r="AS3639" s="22">
        <f t="shared" si="1071"/>
        <v>3</v>
      </c>
      <c r="AT3639" s="24" t="str">
        <f t="shared" si="1072"/>
        <v>0-3 months</v>
      </c>
      <c r="AU3639" s="22" t="s">
        <v>3240</v>
      </c>
    </row>
    <row r="3640" spans="1:47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79"/>
        <v>Q2</v>
      </c>
      <c r="E3640" s="33" t="str">
        <f t="shared" si="1077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3515</v>
      </c>
      <c r="K3640" s="29" t="s">
        <v>2509</v>
      </c>
      <c r="L3640" s="17" t="s">
        <v>67</v>
      </c>
      <c r="M3640" s="13" t="s">
        <v>60</v>
      </c>
      <c r="N3640" s="13">
        <v>1</v>
      </c>
      <c r="O3640" s="22"/>
      <c r="P3640" s="202" t="str">
        <f t="shared" si="1075"/>
        <v>MAIN UNIT</v>
      </c>
      <c r="Q3640" s="22" t="s">
        <v>61</v>
      </c>
      <c r="R3640" s="22" t="s">
        <v>62</v>
      </c>
      <c r="S3640" s="22" t="s">
        <v>49</v>
      </c>
      <c r="T3640" s="22" t="s">
        <v>78</v>
      </c>
      <c r="U3640" s="22" t="s">
        <v>3517</v>
      </c>
      <c r="V3640" s="22" t="s">
        <v>80</v>
      </c>
      <c r="W3640" s="22" t="s">
        <v>64</v>
      </c>
      <c r="X3640" s="104">
        <v>446700</v>
      </c>
      <c r="Y3640" s="195" t="str">
        <f t="shared" si="1081"/>
        <v>1.13</v>
      </c>
      <c r="Z3640" s="196">
        <f t="shared" si="1080"/>
        <v>446700</v>
      </c>
      <c r="AA3640" s="22">
        <v>1.1080000000000001</v>
      </c>
      <c r="AB3640" s="197">
        <f t="shared" si="1078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1"/>
        <v>22758096.38940867</v>
      </c>
      <c r="AJ3640" s="200">
        <f t="shared" si="1062"/>
        <v>2469357.2298956565</v>
      </c>
      <c r="AK3640" s="201">
        <f t="shared" si="1067"/>
        <v>0.10850455976822666</v>
      </c>
      <c r="AL3640" s="24"/>
      <c r="AM3640" s="24"/>
      <c r="AN3640" s="24"/>
      <c r="AO3640" s="24"/>
      <c r="AP3640" s="165" t="str">
        <f t="shared" si="1068"/>
        <v>202410</v>
      </c>
      <c r="AQ3640" s="203" t="str">
        <f t="shared" si="1069"/>
        <v>202410RMB</v>
      </c>
      <c r="AR3640" s="206" t="str">
        <f t="shared" si="1070"/>
        <v>YAMAHA_Mounter</v>
      </c>
      <c r="AS3640" s="22">
        <f t="shared" si="1071"/>
        <v>3</v>
      </c>
      <c r="AT3640" s="24" t="str">
        <f t="shared" si="1072"/>
        <v>0-3 months</v>
      </c>
      <c r="AU3640" s="22" t="s">
        <v>3240</v>
      </c>
    </row>
    <row r="3641" spans="1:47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79"/>
        <v>Q1</v>
      </c>
      <c r="E3641" s="33" t="str">
        <f t="shared" si="1077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3484</v>
      </c>
      <c r="K3641" s="29" t="s">
        <v>3485</v>
      </c>
      <c r="L3641" s="17" t="s">
        <v>67</v>
      </c>
      <c r="M3641" s="13" t="s">
        <v>60</v>
      </c>
      <c r="N3641" s="13">
        <v>1</v>
      </c>
      <c r="O3641" s="22"/>
      <c r="P3641" s="202"/>
      <c r="Q3641" s="22" t="s">
        <v>68</v>
      </c>
      <c r="R3641" s="22" t="s">
        <v>62</v>
      </c>
      <c r="S3641" s="22" t="s">
        <v>49</v>
      </c>
      <c r="T3641" s="22" t="s">
        <v>78</v>
      </c>
      <c r="U3641" s="22" t="s">
        <v>78</v>
      </c>
      <c r="V3641" s="22" t="s">
        <v>112</v>
      </c>
      <c r="W3641" s="22" t="s">
        <v>109</v>
      </c>
      <c r="X3641" s="104">
        <v>7500000</v>
      </c>
      <c r="Y3641" s="195" t="str">
        <f t="shared" si="1081"/>
        <v>1</v>
      </c>
      <c r="Z3641" s="196">
        <f t="shared" si="1080"/>
        <v>7500000</v>
      </c>
      <c r="AA3641" s="22">
        <v>5.5100000000000003E-2</v>
      </c>
      <c r="AB3641" s="197">
        <f t="shared" si="1078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1"/>
        <v>35931087.732566379</v>
      </c>
      <c r="AJ3641" s="200">
        <f t="shared" si="1062"/>
        <v>4347120.3954975223</v>
      </c>
      <c r="AK3641" s="201">
        <f t="shared" si="1067"/>
        <v>0.12098493727362117</v>
      </c>
      <c r="AL3641" s="24"/>
      <c r="AM3641" s="24"/>
      <c r="AN3641" s="24"/>
      <c r="AO3641" s="24"/>
      <c r="AP3641" s="165" t="str">
        <f t="shared" si="1068"/>
        <v>20249</v>
      </c>
      <c r="AQ3641" s="203" t="str">
        <f t="shared" si="1069"/>
        <v>20249JPY</v>
      </c>
      <c r="AR3641" s="206" t="str">
        <f t="shared" si="1070"/>
        <v>YAMAHA_Mounter</v>
      </c>
      <c r="AS3641" s="22">
        <f t="shared" si="1071"/>
        <v>3</v>
      </c>
      <c r="AT3641" s="24" t="str">
        <f t="shared" si="1072"/>
        <v>0-3 months</v>
      </c>
      <c r="AU3641" s="22" t="s">
        <v>3745</v>
      </c>
    </row>
    <row r="3642" spans="1:47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79"/>
        <v>Q2</v>
      </c>
      <c r="E3642" s="33" t="str">
        <f t="shared" si="1077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3486</v>
      </c>
      <c r="K3642" s="29" t="s">
        <v>3487</v>
      </c>
      <c r="L3642" s="17" t="s">
        <v>92</v>
      </c>
      <c r="M3642" s="13" t="s">
        <v>60</v>
      </c>
      <c r="N3642" s="13">
        <v>1</v>
      </c>
      <c r="O3642" s="22"/>
      <c r="P3642" s="202" t="str">
        <f t="shared" ref="P3642:P3673" si="1082">IF(M3642="","",IF(AND(N3642&gt;0,L3642&lt;&gt;""),"MAIN UNIT",IF(AND(O3642&gt;0,L3642&lt;&gt;""),"SERVICE/ PARTS","C66 SERVICE/OTHERS")))</f>
        <v>MAIN UNIT</v>
      </c>
      <c r="Q3642" s="22" t="s">
        <v>68</v>
      </c>
      <c r="R3642" s="22" t="s">
        <v>62</v>
      </c>
      <c r="S3642" s="22" t="s">
        <v>51</v>
      </c>
      <c r="T3642" s="22" t="s">
        <v>349</v>
      </c>
      <c r="U3642" s="22" t="s">
        <v>149</v>
      </c>
      <c r="V3642" s="22" t="s">
        <v>954</v>
      </c>
      <c r="W3642" s="22" t="s">
        <v>64</v>
      </c>
      <c r="X3642" s="104">
        <v>760000</v>
      </c>
      <c r="Y3642" s="195" t="str">
        <f t="shared" si="1081"/>
        <v>1.13</v>
      </c>
      <c r="Z3642" s="196">
        <f t="shared" si="1080"/>
        <v>760000</v>
      </c>
      <c r="AA3642" s="22">
        <v>1.0980000000000001</v>
      </c>
      <c r="AB3642" s="197">
        <f t="shared" si="1078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1"/>
        <v>35931087.732566379</v>
      </c>
      <c r="AJ3642" s="200">
        <f t="shared" si="1062"/>
        <v>4347120.3954975223</v>
      </c>
      <c r="AK3642" s="201">
        <f t="shared" si="1067"/>
        <v>0.12098493727362117</v>
      </c>
      <c r="AL3642" s="24"/>
      <c r="AM3642" s="24"/>
      <c r="AN3642" s="24"/>
      <c r="AO3642" s="24"/>
      <c r="AP3642" s="165" t="str">
        <f t="shared" si="1068"/>
        <v>20249</v>
      </c>
      <c r="AQ3642" s="203" t="str">
        <f t="shared" si="1069"/>
        <v>20249RMB</v>
      </c>
      <c r="AR3642" s="206" t="str">
        <f t="shared" si="1070"/>
        <v>YAMAHA_Mounter</v>
      </c>
      <c r="AS3642" s="22">
        <f t="shared" si="1071"/>
        <v>2</v>
      </c>
      <c r="AT3642" s="24" t="str">
        <f t="shared" si="1072"/>
        <v>0-3 months</v>
      </c>
      <c r="AU3642" s="22" t="s">
        <v>3240</v>
      </c>
    </row>
    <row r="3643" spans="1:47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79"/>
        <v>Q2</v>
      </c>
      <c r="E3643" s="33" t="str">
        <f t="shared" si="1077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3486</v>
      </c>
      <c r="K3643" s="29" t="s">
        <v>3487</v>
      </c>
      <c r="L3643" s="17" t="s">
        <v>67</v>
      </c>
      <c r="M3643" s="13" t="s">
        <v>60</v>
      </c>
      <c r="N3643" s="13">
        <v>1</v>
      </c>
      <c r="O3643" s="22"/>
      <c r="P3643" s="202" t="str">
        <f t="shared" si="1082"/>
        <v>MAIN UNIT</v>
      </c>
      <c r="Q3643" s="22" t="s">
        <v>68</v>
      </c>
      <c r="R3643" s="22" t="s">
        <v>62</v>
      </c>
      <c r="S3643" s="22" t="s">
        <v>51</v>
      </c>
      <c r="T3643" s="22" t="s">
        <v>349</v>
      </c>
      <c r="U3643" s="22" t="s">
        <v>149</v>
      </c>
      <c r="V3643" s="22" t="s">
        <v>954</v>
      </c>
      <c r="W3643" s="22" t="s">
        <v>64</v>
      </c>
      <c r="X3643" s="104">
        <v>550000</v>
      </c>
      <c r="Y3643" s="195" t="str">
        <f t="shared" si="1081"/>
        <v>1.13</v>
      </c>
      <c r="Z3643" s="196">
        <f t="shared" si="1080"/>
        <v>550000</v>
      </c>
      <c r="AA3643" s="22">
        <v>1.0980000000000001</v>
      </c>
      <c r="AB3643" s="197">
        <f t="shared" si="1078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1"/>
        <v>35931087.732566379</v>
      </c>
      <c r="AJ3643" s="200">
        <f t="shared" si="1062"/>
        <v>4347120.3954975223</v>
      </c>
      <c r="AK3643" s="201">
        <f t="shared" si="1067"/>
        <v>0.12098493727362117</v>
      </c>
      <c r="AL3643" s="24"/>
      <c r="AM3643" s="24"/>
      <c r="AN3643" s="24"/>
      <c r="AO3643" s="24"/>
      <c r="AP3643" s="165" t="str">
        <f t="shared" si="1068"/>
        <v>20249</v>
      </c>
      <c r="AQ3643" s="203" t="str">
        <f t="shared" si="1069"/>
        <v>20249RMB</v>
      </c>
      <c r="AR3643" s="206" t="str">
        <f t="shared" si="1070"/>
        <v>YAMAHA_Mounter</v>
      </c>
      <c r="AS3643" s="22">
        <f t="shared" si="1071"/>
        <v>2</v>
      </c>
      <c r="AT3643" s="24" t="str">
        <f t="shared" si="1072"/>
        <v>0-3 months</v>
      </c>
      <c r="AU3643" s="22" t="s">
        <v>3240</v>
      </c>
    </row>
    <row r="3644" spans="1:47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79"/>
        <v>Q2</v>
      </c>
      <c r="E3644" s="33" t="str">
        <f t="shared" si="1077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3486</v>
      </c>
      <c r="K3644" s="29" t="s">
        <v>3487</v>
      </c>
      <c r="L3644" s="17" t="s">
        <v>67</v>
      </c>
      <c r="M3644" s="13" t="s">
        <v>60</v>
      </c>
      <c r="N3644" s="13">
        <v>1</v>
      </c>
      <c r="O3644" s="22"/>
      <c r="P3644" s="202" t="str">
        <f t="shared" si="1082"/>
        <v>MAIN UNIT</v>
      </c>
      <c r="Q3644" s="22" t="s">
        <v>68</v>
      </c>
      <c r="R3644" s="22" t="s">
        <v>62</v>
      </c>
      <c r="S3644" s="22" t="s">
        <v>51</v>
      </c>
      <c r="T3644" s="22" t="s">
        <v>349</v>
      </c>
      <c r="U3644" s="22" t="s">
        <v>149</v>
      </c>
      <c r="V3644" s="22" t="s">
        <v>954</v>
      </c>
      <c r="W3644" s="22" t="s">
        <v>64</v>
      </c>
      <c r="X3644" s="104">
        <v>550000</v>
      </c>
      <c r="Y3644" s="195" t="str">
        <f t="shared" si="1081"/>
        <v>1.13</v>
      </c>
      <c r="Z3644" s="196">
        <f t="shared" si="1080"/>
        <v>550000</v>
      </c>
      <c r="AA3644" s="22">
        <v>1.0980000000000001</v>
      </c>
      <c r="AB3644" s="197">
        <f t="shared" si="1078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1"/>
        <v>35931087.732566379</v>
      </c>
      <c r="AJ3644" s="200">
        <f t="shared" si="1062"/>
        <v>4347120.3954975223</v>
      </c>
      <c r="AK3644" s="201">
        <f t="shared" si="1067"/>
        <v>0.12098493727362117</v>
      </c>
      <c r="AL3644" s="24"/>
      <c r="AM3644" s="24"/>
      <c r="AN3644" s="24"/>
      <c r="AO3644" s="24"/>
      <c r="AP3644" s="165" t="str">
        <f t="shared" si="1068"/>
        <v>20249</v>
      </c>
      <c r="AQ3644" s="203" t="str">
        <f t="shared" si="1069"/>
        <v>20249RMB</v>
      </c>
      <c r="AR3644" s="206" t="str">
        <f t="shared" si="1070"/>
        <v>YAMAHA_Mounter</v>
      </c>
      <c r="AS3644" s="22">
        <f t="shared" si="1071"/>
        <v>2</v>
      </c>
      <c r="AT3644" s="24" t="str">
        <f t="shared" si="1072"/>
        <v>0-3 months</v>
      </c>
      <c r="AU3644" s="22" t="s">
        <v>3240</v>
      </c>
    </row>
    <row r="3645" spans="1:47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79"/>
        <v>Q3</v>
      </c>
      <c r="E3645" s="33" t="str">
        <f t="shared" si="1077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3610</v>
      </c>
      <c r="K3645" s="29" t="s">
        <v>3611</v>
      </c>
      <c r="L3645" s="17" t="s">
        <v>92</v>
      </c>
      <c r="M3645" s="13" t="s">
        <v>60</v>
      </c>
      <c r="N3645" s="13">
        <v>1</v>
      </c>
      <c r="O3645" s="22"/>
      <c r="P3645" s="202" t="str">
        <f t="shared" si="1082"/>
        <v>MAIN UNIT</v>
      </c>
      <c r="Q3645" s="22" t="s">
        <v>61</v>
      </c>
      <c r="R3645" s="22" t="s">
        <v>62</v>
      </c>
      <c r="S3645" s="22" t="s">
        <v>49</v>
      </c>
      <c r="T3645" s="22" t="s">
        <v>78</v>
      </c>
      <c r="U3645" s="22" t="s">
        <v>246</v>
      </c>
      <c r="V3645" s="22" t="s">
        <v>131</v>
      </c>
      <c r="W3645" s="22" t="s">
        <v>901</v>
      </c>
      <c r="X3645" s="104">
        <v>112200</v>
      </c>
      <c r="Y3645" s="195" t="str">
        <f t="shared" si="1081"/>
        <v>1</v>
      </c>
      <c r="Z3645" s="196">
        <f t="shared" si="1080"/>
        <v>112200</v>
      </c>
      <c r="AA3645" s="22">
        <v>7.8</v>
      </c>
      <c r="AB3645" s="197">
        <f t="shared" si="1078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1"/>
        <v>32082250.320460182</v>
      </c>
      <c r="AJ3645" s="200">
        <f t="shared" si="1062"/>
        <v>4323122.9746477893</v>
      </c>
      <c r="AK3645" s="201">
        <f t="shared" si="1067"/>
        <v>0.1347512388147771</v>
      </c>
      <c r="AL3645" s="24"/>
      <c r="AM3645" s="24"/>
      <c r="AN3645" s="24"/>
      <c r="AO3645" s="24"/>
      <c r="AP3645" s="165" t="str">
        <f t="shared" si="1068"/>
        <v>202411</v>
      </c>
      <c r="AQ3645" s="203" t="str">
        <f t="shared" si="1069"/>
        <v>202411USD</v>
      </c>
      <c r="AR3645" s="206" t="str">
        <f t="shared" si="1070"/>
        <v>YAMAHA_Mounter</v>
      </c>
      <c r="AS3645" s="22">
        <f t="shared" si="1071"/>
        <v>1</v>
      </c>
      <c r="AT3645" s="24" t="str">
        <f t="shared" si="1072"/>
        <v>0-3 months</v>
      </c>
      <c r="AU3645" s="22" t="s">
        <v>3748</v>
      </c>
    </row>
    <row r="3646" spans="1:47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79"/>
        <v>Q3</v>
      </c>
      <c r="E3646" s="33" t="str">
        <f t="shared" si="1077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3610</v>
      </c>
      <c r="K3646" s="29" t="s">
        <v>3611</v>
      </c>
      <c r="L3646" s="17" t="s">
        <v>92</v>
      </c>
      <c r="M3646" s="13" t="s">
        <v>60</v>
      </c>
      <c r="N3646" s="13">
        <v>1</v>
      </c>
      <c r="O3646" s="22"/>
      <c r="P3646" s="202" t="str">
        <f t="shared" si="1082"/>
        <v>MAIN UNIT</v>
      </c>
      <c r="Q3646" s="22" t="s">
        <v>61</v>
      </c>
      <c r="R3646" s="22" t="s">
        <v>62</v>
      </c>
      <c r="S3646" s="22" t="s">
        <v>49</v>
      </c>
      <c r="T3646" s="22" t="s">
        <v>78</v>
      </c>
      <c r="U3646" s="22" t="s">
        <v>246</v>
      </c>
      <c r="V3646" s="22" t="s">
        <v>131</v>
      </c>
      <c r="W3646" s="22" t="s">
        <v>901</v>
      </c>
      <c r="X3646" s="104">
        <v>112200</v>
      </c>
      <c r="Y3646" s="195" t="str">
        <f t="shared" si="1081"/>
        <v>1</v>
      </c>
      <c r="Z3646" s="196">
        <f t="shared" si="1080"/>
        <v>112200</v>
      </c>
      <c r="AA3646" s="22">
        <v>7.8</v>
      </c>
      <c r="AB3646" s="197">
        <f t="shared" si="1078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1"/>
        <v>32082250.320460182</v>
      </c>
      <c r="AJ3646" s="200">
        <f t="shared" si="1062"/>
        <v>4323122.9746477893</v>
      </c>
      <c r="AK3646" s="201">
        <f t="shared" si="1067"/>
        <v>0.1347512388147771</v>
      </c>
      <c r="AL3646" s="24"/>
      <c r="AM3646" s="24"/>
      <c r="AN3646" s="24"/>
      <c r="AO3646" s="24"/>
      <c r="AP3646" s="165" t="str">
        <f t="shared" si="1068"/>
        <v>202411</v>
      </c>
      <c r="AQ3646" s="203" t="str">
        <f t="shared" si="1069"/>
        <v>202411USD</v>
      </c>
      <c r="AR3646" s="206" t="str">
        <f t="shared" si="1070"/>
        <v>YAMAHA_Mounter</v>
      </c>
      <c r="AS3646" s="22">
        <f t="shared" si="1071"/>
        <v>1</v>
      </c>
      <c r="AT3646" s="24" t="str">
        <f t="shared" si="1072"/>
        <v>0-3 months</v>
      </c>
      <c r="AU3646" s="22" t="s">
        <v>3748</v>
      </c>
    </row>
    <row r="3647" spans="1:47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79"/>
        <v>Q3</v>
      </c>
      <c r="E3647" s="33" t="str">
        <f t="shared" si="1077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3610</v>
      </c>
      <c r="K3647" s="29" t="s">
        <v>3611</v>
      </c>
      <c r="L3647" s="17" t="s">
        <v>67</v>
      </c>
      <c r="M3647" s="13" t="s">
        <v>60</v>
      </c>
      <c r="N3647" s="13">
        <v>1</v>
      </c>
      <c r="O3647" s="22"/>
      <c r="P3647" s="202" t="str">
        <f t="shared" si="1082"/>
        <v>MAIN UNIT</v>
      </c>
      <c r="Q3647" s="22" t="s">
        <v>61</v>
      </c>
      <c r="R3647" s="22" t="s">
        <v>62</v>
      </c>
      <c r="S3647" s="22" t="s">
        <v>49</v>
      </c>
      <c r="T3647" s="22" t="s">
        <v>78</v>
      </c>
      <c r="U3647" s="22" t="s">
        <v>246</v>
      </c>
      <c r="V3647" s="22" t="s">
        <v>131</v>
      </c>
      <c r="W3647" s="22" t="s">
        <v>901</v>
      </c>
      <c r="X3647" s="104">
        <v>77520</v>
      </c>
      <c r="Y3647" s="195" t="str">
        <f t="shared" si="1081"/>
        <v>1</v>
      </c>
      <c r="Z3647" s="196">
        <f t="shared" si="1080"/>
        <v>77520</v>
      </c>
      <c r="AA3647" s="22">
        <v>7.8</v>
      </c>
      <c r="AB3647" s="197">
        <f t="shared" si="1078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1"/>
        <v>32082250.320460182</v>
      </c>
      <c r="AJ3647" s="200">
        <f t="shared" si="1062"/>
        <v>4323122.9746477893</v>
      </c>
      <c r="AK3647" s="201">
        <f t="shared" si="1067"/>
        <v>0.1347512388147771</v>
      </c>
      <c r="AL3647" s="24"/>
      <c r="AM3647" s="24"/>
      <c r="AN3647" s="24"/>
      <c r="AO3647" s="24"/>
      <c r="AP3647" s="165" t="str">
        <f t="shared" si="1068"/>
        <v>202411</v>
      </c>
      <c r="AQ3647" s="203" t="str">
        <f t="shared" si="1069"/>
        <v>202411USD</v>
      </c>
      <c r="AR3647" s="206" t="str">
        <f t="shared" si="1070"/>
        <v>YAMAHA_Mounter</v>
      </c>
      <c r="AS3647" s="22">
        <f t="shared" si="1071"/>
        <v>1</v>
      </c>
      <c r="AT3647" s="24" t="str">
        <f t="shared" si="1072"/>
        <v>0-3 months</v>
      </c>
      <c r="AU3647" s="22" t="s">
        <v>3748</v>
      </c>
    </row>
    <row r="3648" spans="1:47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79"/>
        <v>Q3</v>
      </c>
      <c r="E3648" s="33" t="str">
        <f t="shared" si="1077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3610</v>
      </c>
      <c r="K3648" s="29" t="s">
        <v>3611</v>
      </c>
      <c r="L3648" s="17" t="s">
        <v>3351</v>
      </c>
      <c r="M3648" s="13" t="s">
        <v>60</v>
      </c>
      <c r="N3648" s="13">
        <v>1</v>
      </c>
      <c r="O3648" s="22"/>
      <c r="P3648" s="202" t="str">
        <f t="shared" si="1082"/>
        <v>MAIN UNIT</v>
      </c>
      <c r="Q3648" s="22" t="s">
        <v>61</v>
      </c>
      <c r="R3648" s="22" t="s">
        <v>2055</v>
      </c>
      <c r="S3648" s="22" t="s">
        <v>49</v>
      </c>
      <c r="T3648" s="22" t="s">
        <v>78</v>
      </c>
      <c r="U3648" s="22" t="s">
        <v>246</v>
      </c>
      <c r="V3648" s="22" t="s">
        <v>2057</v>
      </c>
      <c r="W3648" s="22" t="s">
        <v>901</v>
      </c>
      <c r="X3648" s="104">
        <v>35700</v>
      </c>
      <c r="Y3648" s="195" t="str">
        <f t="shared" si="1081"/>
        <v>1</v>
      </c>
      <c r="Z3648" s="196">
        <f t="shared" si="1080"/>
        <v>35700</v>
      </c>
      <c r="AA3648" s="22">
        <v>7.8</v>
      </c>
      <c r="AB3648" s="197">
        <f t="shared" si="1078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1"/>
        <v>32082250.320460182</v>
      </c>
      <c r="AJ3648" s="200">
        <f t="shared" si="1062"/>
        <v>4323122.9746477893</v>
      </c>
      <c r="AK3648" s="201">
        <f t="shared" si="1067"/>
        <v>0.1347512388147771</v>
      </c>
      <c r="AL3648" s="24"/>
      <c r="AM3648" s="24"/>
      <c r="AN3648" s="24"/>
      <c r="AO3648" s="24"/>
      <c r="AP3648" s="165" t="str">
        <f t="shared" si="1068"/>
        <v>202411</v>
      </c>
      <c r="AQ3648" s="203" t="str">
        <f t="shared" si="1069"/>
        <v>202411USD</v>
      </c>
      <c r="AR3648" s="206" t="str">
        <f t="shared" si="1070"/>
        <v>YAMAHA_Non_Mounter</v>
      </c>
      <c r="AS3648" s="22">
        <f t="shared" si="1071"/>
        <v>1</v>
      </c>
      <c r="AT3648" s="24" t="str">
        <f t="shared" si="1072"/>
        <v>0-3 months</v>
      </c>
      <c r="AU3648" s="22" t="s">
        <v>3748</v>
      </c>
    </row>
    <row r="3649" spans="1:47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79"/>
        <v>Q3</v>
      </c>
      <c r="E3649" s="33" t="str">
        <f t="shared" si="1077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3610</v>
      </c>
      <c r="K3649" s="29" t="s">
        <v>3611</v>
      </c>
      <c r="L3649" s="17" t="s">
        <v>3353</v>
      </c>
      <c r="M3649" s="22" t="s">
        <v>2607</v>
      </c>
      <c r="N3649" s="22">
        <v>1</v>
      </c>
      <c r="O3649" s="22"/>
      <c r="P3649" s="202" t="str">
        <f t="shared" si="1082"/>
        <v>MAIN UNIT</v>
      </c>
      <c r="Q3649" s="22" t="s">
        <v>61</v>
      </c>
      <c r="R3649" s="22" t="s">
        <v>2055</v>
      </c>
      <c r="S3649" s="22" t="s">
        <v>49</v>
      </c>
      <c r="T3649" s="22" t="s">
        <v>78</v>
      </c>
      <c r="U3649" s="22" t="s">
        <v>246</v>
      </c>
      <c r="V3649" s="22" t="s">
        <v>2057</v>
      </c>
      <c r="W3649" s="22" t="s">
        <v>901</v>
      </c>
      <c r="X3649" s="104">
        <v>80580</v>
      </c>
      <c r="Y3649" s="195" t="str">
        <f t="shared" si="1081"/>
        <v>1</v>
      </c>
      <c r="Z3649" s="196">
        <f t="shared" si="1080"/>
        <v>80580</v>
      </c>
      <c r="AA3649" s="22">
        <v>7.8</v>
      </c>
      <c r="AB3649" s="197">
        <f t="shared" si="1078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1"/>
        <v>32082250.320460182</v>
      </c>
      <c r="AJ3649" s="200">
        <f t="shared" si="1062"/>
        <v>4323122.9746477893</v>
      </c>
      <c r="AK3649" s="201">
        <f t="shared" si="1067"/>
        <v>0.1347512388147771</v>
      </c>
      <c r="AL3649" s="24"/>
      <c r="AM3649" s="24"/>
      <c r="AN3649" s="24"/>
      <c r="AO3649" s="24"/>
      <c r="AP3649" s="165" t="str">
        <f t="shared" si="1068"/>
        <v>202411</v>
      </c>
      <c r="AQ3649" s="203" t="str">
        <f t="shared" si="1069"/>
        <v>202411USD</v>
      </c>
      <c r="AR3649" s="206" t="str">
        <f t="shared" si="1070"/>
        <v>HELLER</v>
      </c>
      <c r="AS3649" s="22">
        <f t="shared" si="1071"/>
        <v>1</v>
      </c>
      <c r="AT3649" s="24" t="str">
        <f t="shared" si="1072"/>
        <v>0-3 months</v>
      </c>
      <c r="AU3649" s="22" t="s">
        <v>3748</v>
      </c>
    </row>
    <row r="3650" spans="1:47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79"/>
        <v>Q3</v>
      </c>
      <c r="E3650" s="33" t="str">
        <f t="shared" si="1077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3610</v>
      </c>
      <c r="K3650" s="29" t="s">
        <v>3611</v>
      </c>
      <c r="L3650" s="17" t="s">
        <v>2620</v>
      </c>
      <c r="M3650" s="13" t="s">
        <v>60</v>
      </c>
      <c r="N3650" s="13">
        <v>1</v>
      </c>
      <c r="O3650" s="22"/>
      <c r="P3650" s="202" t="str">
        <f t="shared" si="1082"/>
        <v>MAIN UNIT</v>
      </c>
      <c r="Q3650" s="22" t="s">
        <v>61</v>
      </c>
      <c r="R3650" s="22" t="s">
        <v>2055</v>
      </c>
      <c r="S3650" s="22" t="s">
        <v>49</v>
      </c>
      <c r="T3650" s="22" t="s">
        <v>78</v>
      </c>
      <c r="U3650" s="22" t="s">
        <v>246</v>
      </c>
      <c r="V3650" s="22" t="s">
        <v>2057</v>
      </c>
      <c r="W3650" s="22" t="s">
        <v>901</v>
      </c>
      <c r="X3650" s="104">
        <v>88230</v>
      </c>
      <c r="Y3650" s="195" t="str">
        <f t="shared" si="1081"/>
        <v>1</v>
      </c>
      <c r="Z3650" s="196">
        <f t="shared" si="1080"/>
        <v>88230</v>
      </c>
      <c r="AA3650" s="22">
        <v>7.8</v>
      </c>
      <c r="AB3650" s="197">
        <f t="shared" si="1078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ref="AI3650:AI3713" si="1083">IF(P3650="C66 SERVICE","",SUMIFS(AB:AB,F:F,F3650,G:G,G3650,E:E,E3650))</f>
        <v>32082250.320460182</v>
      </c>
      <c r="AJ3650" s="200">
        <f t="shared" ref="AJ3650:AJ3713" si="1084">IF(P3650="C66 SERVICE","",SUMIFS(AC:AC,F:F,F3650,G:G,G3650,E:E,E3650))</f>
        <v>4323122.9746477893</v>
      </c>
      <c r="AK3650" s="201">
        <f t="shared" si="1067"/>
        <v>0.1347512388147771</v>
      </c>
      <c r="AL3650" s="24"/>
      <c r="AM3650" s="24"/>
      <c r="AN3650" s="24"/>
      <c r="AO3650" s="24"/>
      <c r="AP3650" s="165" t="str">
        <f t="shared" si="1068"/>
        <v>202411</v>
      </c>
      <c r="AQ3650" s="203" t="str">
        <f t="shared" si="1069"/>
        <v>202411USD</v>
      </c>
      <c r="AR3650" s="206" t="str">
        <f t="shared" si="1070"/>
        <v>YAMAHA_Non_Mounter</v>
      </c>
      <c r="AS3650" s="22">
        <f t="shared" si="1071"/>
        <v>1</v>
      </c>
      <c r="AT3650" s="24" t="str">
        <f t="shared" si="1072"/>
        <v>0-3 months</v>
      </c>
      <c r="AU3650" s="22" t="s">
        <v>3748</v>
      </c>
    </row>
    <row r="3651" spans="1:47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79"/>
        <v>Q3</v>
      </c>
      <c r="E3651" s="33" t="str">
        <f t="shared" si="1077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3610</v>
      </c>
      <c r="K3651" s="29" t="s">
        <v>3611</v>
      </c>
      <c r="L3651" s="17" t="s">
        <v>2060</v>
      </c>
      <c r="M3651" s="22" t="s">
        <v>2054</v>
      </c>
      <c r="N3651" s="22">
        <v>1</v>
      </c>
      <c r="O3651" s="22"/>
      <c r="P3651" s="202" t="str">
        <f t="shared" si="1082"/>
        <v>MAIN UNIT</v>
      </c>
      <c r="Q3651" s="22" t="s">
        <v>61</v>
      </c>
      <c r="R3651" s="22" t="s">
        <v>2055</v>
      </c>
      <c r="S3651" s="22" t="s">
        <v>49</v>
      </c>
      <c r="T3651" s="22" t="s">
        <v>78</v>
      </c>
      <c r="U3651" s="22" t="s">
        <v>246</v>
      </c>
      <c r="V3651" s="22" t="s">
        <v>2057</v>
      </c>
      <c r="W3651" s="22" t="s">
        <v>901</v>
      </c>
      <c r="X3651" s="104">
        <v>6120</v>
      </c>
      <c r="Y3651" s="195" t="str">
        <f t="shared" si="1081"/>
        <v>1</v>
      </c>
      <c r="Z3651" s="196">
        <f t="shared" si="1080"/>
        <v>6120</v>
      </c>
      <c r="AA3651" s="22">
        <v>7.8</v>
      </c>
      <c r="AB3651" s="197">
        <f t="shared" si="1078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83"/>
        <v>32082250.320460182</v>
      </c>
      <c r="AJ3651" s="200">
        <f t="shared" si="1084"/>
        <v>4323122.9746477893</v>
      </c>
      <c r="AK3651" s="201">
        <f t="shared" si="1067"/>
        <v>0.1347512388147771</v>
      </c>
      <c r="AL3651" s="24"/>
      <c r="AM3651" s="24"/>
      <c r="AN3651" s="24"/>
      <c r="AO3651" s="24"/>
      <c r="AP3651" s="165" t="str">
        <f t="shared" si="1068"/>
        <v>202411</v>
      </c>
      <c r="AQ3651" s="203" t="str">
        <f t="shared" si="1069"/>
        <v>202411USD</v>
      </c>
      <c r="AR3651" s="206" t="str">
        <f t="shared" si="1070"/>
        <v>SOLDERSTAR</v>
      </c>
      <c r="AS3651" s="22">
        <f t="shared" si="1071"/>
        <v>1</v>
      </c>
      <c r="AT3651" s="24" t="str">
        <f t="shared" si="1072"/>
        <v>0-3 months</v>
      </c>
      <c r="AU3651" s="22" t="s">
        <v>3748</v>
      </c>
    </row>
    <row r="3652" spans="1:47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79"/>
        <v>Q2</v>
      </c>
      <c r="E3652" s="33" t="str">
        <f t="shared" si="1077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3523</v>
      </c>
      <c r="K3652" s="29" t="s">
        <v>1747</v>
      </c>
      <c r="L3652" s="24" t="s">
        <v>516</v>
      </c>
      <c r="M3652" s="13" t="s">
        <v>60</v>
      </c>
      <c r="N3652" s="13"/>
      <c r="O3652" s="22">
        <v>1</v>
      </c>
      <c r="P3652" s="202" t="str">
        <f t="shared" si="1082"/>
        <v>SERVICE/ PARTS</v>
      </c>
      <c r="Q3652" s="22" t="s">
        <v>61</v>
      </c>
      <c r="R3652" s="22" t="s">
        <v>62</v>
      </c>
      <c r="S3652" s="22" t="s">
        <v>49</v>
      </c>
      <c r="T3652" s="22" t="s">
        <v>78</v>
      </c>
      <c r="U3652" s="22" t="s">
        <v>78</v>
      </c>
      <c r="V3652" s="22" t="s">
        <v>126</v>
      </c>
      <c r="W3652" s="22" t="s">
        <v>109</v>
      </c>
      <c r="X3652" s="104">
        <v>2780000</v>
      </c>
      <c r="Y3652" s="195" t="str">
        <f t="shared" si="1081"/>
        <v>1</v>
      </c>
      <c r="Z3652" s="196">
        <f t="shared" si="1080"/>
        <v>2780000</v>
      </c>
      <c r="AA3652" s="22">
        <v>5.2900000000000003E-2</v>
      </c>
      <c r="AB3652" s="197">
        <f t="shared" si="1078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83"/>
        <v>15965524.256637167</v>
      </c>
      <c r="AJ3652" s="200">
        <f t="shared" si="1084"/>
        <v>2480116.5996584073</v>
      </c>
      <c r="AK3652" s="201">
        <f t="shared" si="1067"/>
        <v>0.15534200817911609</v>
      </c>
      <c r="AL3652" s="24"/>
      <c r="AM3652" s="24"/>
      <c r="AN3652" s="24"/>
      <c r="AO3652" s="24"/>
      <c r="AP3652" s="165" t="str">
        <f t="shared" si="1068"/>
        <v>202412</v>
      </c>
      <c r="AQ3652" s="203" t="str">
        <f t="shared" si="1069"/>
        <v>202412JPY</v>
      </c>
      <c r="AR3652" s="206" t="str">
        <f t="shared" si="1070"/>
        <v>YAMAHA_Mounter</v>
      </c>
      <c r="AS3652" s="22">
        <f t="shared" si="1071"/>
        <v>4</v>
      </c>
      <c r="AT3652" s="24" t="str">
        <f t="shared" si="1072"/>
        <v>4-6 months</v>
      </c>
      <c r="AU3652" s="22" t="s">
        <v>3240</v>
      </c>
    </row>
    <row r="3653" spans="1:47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79"/>
        <v>Q2</v>
      </c>
      <c r="E3653" s="33" t="str">
        <f t="shared" si="1077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3524</v>
      </c>
      <c r="K3653" s="29" t="s">
        <v>1901</v>
      </c>
      <c r="L3653" s="24" t="s">
        <v>92</v>
      </c>
      <c r="M3653" s="13" t="s">
        <v>60</v>
      </c>
      <c r="N3653" s="13">
        <v>1</v>
      </c>
      <c r="O3653" s="22"/>
      <c r="P3653" s="202" t="str">
        <f t="shared" si="1082"/>
        <v>MAIN UNIT</v>
      </c>
      <c r="Q3653" s="22" t="s">
        <v>61</v>
      </c>
      <c r="R3653" s="22" t="s">
        <v>62</v>
      </c>
      <c r="S3653" s="22" t="s">
        <v>49</v>
      </c>
      <c r="T3653" s="22" t="s">
        <v>78</v>
      </c>
      <c r="U3653" s="22" t="s">
        <v>464</v>
      </c>
      <c r="V3653" s="22" t="s">
        <v>131</v>
      </c>
      <c r="W3653" s="22" t="s">
        <v>109</v>
      </c>
      <c r="X3653" s="104">
        <v>16000000</v>
      </c>
      <c r="Y3653" s="195" t="str">
        <f t="shared" si="1081"/>
        <v>1</v>
      </c>
      <c r="Z3653" s="196">
        <f t="shared" si="1080"/>
        <v>16000000</v>
      </c>
      <c r="AA3653" s="22">
        <v>5.1799999999999999E-2</v>
      </c>
      <c r="AB3653" s="197">
        <f t="shared" si="1078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83"/>
        <v>32082250.320460182</v>
      </c>
      <c r="AJ3653" s="200">
        <f t="shared" si="1084"/>
        <v>4323122.9746477893</v>
      </c>
      <c r="AK3653" s="201">
        <f t="shared" si="1067"/>
        <v>0.1347512388147771</v>
      </c>
      <c r="AL3653" s="24"/>
      <c r="AM3653" s="24"/>
      <c r="AN3653" s="24"/>
      <c r="AO3653" s="24"/>
      <c r="AP3653" s="165" t="str">
        <f t="shared" si="1068"/>
        <v>202411</v>
      </c>
      <c r="AQ3653" s="203" t="str">
        <f t="shared" si="1069"/>
        <v>202411JPY</v>
      </c>
      <c r="AR3653" s="206" t="str">
        <f t="shared" si="1070"/>
        <v>YAMAHA_Mounter</v>
      </c>
      <c r="AS3653" s="22">
        <f t="shared" si="1071"/>
        <v>3</v>
      </c>
      <c r="AT3653" s="24" t="str">
        <f t="shared" si="1072"/>
        <v>0-3 months</v>
      </c>
      <c r="AU3653" s="22" t="s">
        <v>3745</v>
      </c>
    </row>
    <row r="3654" spans="1:47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79"/>
        <v>Q2</v>
      </c>
      <c r="E3654" s="33" t="str">
        <f t="shared" si="1077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3524</v>
      </c>
      <c r="K3654" s="29" t="s">
        <v>1901</v>
      </c>
      <c r="L3654" s="24" t="s">
        <v>92</v>
      </c>
      <c r="M3654" s="13" t="s">
        <v>60</v>
      </c>
      <c r="N3654" s="13">
        <v>1</v>
      </c>
      <c r="O3654" s="22"/>
      <c r="P3654" s="202" t="str">
        <f t="shared" si="1082"/>
        <v>MAIN UNIT</v>
      </c>
      <c r="Q3654" s="22" t="s">
        <v>61</v>
      </c>
      <c r="R3654" s="22" t="s">
        <v>62</v>
      </c>
      <c r="S3654" s="22" t="s">
        <v>49</v>
      </c>
      <c r="T3654" s="22" t="s">
        <v>78</v>
      </c>
      <c r="U3654" s="22" t="s">
        <v>464</v>
      </c>
      <c r="V3654" s="22" t="s">
        <v>131</v>
      </c>
      <c r="W3654" s="22" t="s">
        <v>109</v>
      </c>
      <c r="X3654" s="104">
        <v>16000000</v>
      </c>
      <c r="Y3654" s="195" t="str">
        <f t="shared" si="1081"/>
        <v>1</v>
      </c>
      <c r="Z3654" s="196">
        <f t="shared" si="1080"/>
        <v>16000000</v>
      </c>
      <c r="AA3654" s="22">
        <v>5.1799999999999999E-2</v>
      </c>
      <c r="AB3654" s="197">
        <f t="shared" si="1078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si="1083"/>
        <v>32082250.320460182</v>
      </c>
      <c r="AJ3654" s="200">
        <f t="shared" si="1084"/>
        <v>4323122.9746477893</v>
      </c>
      <c r="AK3654" s="201">
        <f t="shared" ref="AK3654:AK3717" si="1089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0">IF(F3654="","",F3654&amp;G3654)</f>
        <v>202411</v>
      </c>
      <c r="AQ3654" s="203" t="str">
        <f t="shared" ref="AQ3654:AQ3717" si="1091">IF(W3654="","",F3654&amp;G3654&amp;W3654)</f>
        <v>202411JPY</v>
      </c>
      <c r="AR3654" s="206" t="str">
        <f t="shared" ref="AR3654:AR3717" si="1092">IFERROR(IF(AND(M3654="YAMAHA", R3654="C28"), "YAMAHA_Non_Mounter", IF(AND(M3654="YAMAHA", R3654="C49"), "YAMAHA_Mounter", M3654)),"")</f>
        <v>YAMAHA_Mounter</v>
      </c>
      <c r="AS3654" s="22">
        <f t="shared" ref="AS3654:AS3717" si="1093">IFERROR(IF(OR(G3654="TBA", G3654=""), "", DATEDIF(DATE(B3654, C3654, 1), DATE(F3654, G3654, 1), "M")),"")</f>
        <v>3</v>
      </c>
      <c r="AT3654" s="24" t="str">
        <f t="shared" ref="AT3654:AT3717" si="1094">IF(ISNUMBER(AS3654), IF(AS3654&gt;=0, IF(AS3654&lt;=3, "0-3 months", IF(AS3654&lt;=6, "4-6 months", "&gt; 6 months"))), "")</f>
        <v>0-3 months</v>
      </c>
      <c r="AU3654" s="22" t="s">
        <v>3745</v>
      </c>
    </row>
    <row r="3655" spans="1:47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79"/>
        <v>Q2</v>
      </c>
      <c r="E3655" s="33" t="str">
        <f t="shared" ref="E3655:E3686" si="1095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3524</v>
      </c>
      <c r="K3655" s="29" t="s">
        <v>1901</v>
      </c>
      <c r="L3655" s="24" t="s">
        <v>92</v>
      </c>
      <c r="M3655" s="13" t="s">
        <v>60</v>
      </c>
      <c r="N3655" s="13">
        <v>1</v>
      </c>
      <c r="O3655" s="22"/>
      <c r="P3655" s="202" t="str">
        <f t="shared" si="1082"/>
        <v>MAIN UNIT</v>
      </c>
      <c r="Q3655" s="22" t="s">
        <v>61</v>
      </c>
      <c r="R3655" s="22" t="s">
        <v>62</v>
      </c>
      <c r="S3655" s="22" t="s">
        <v>49</v>
      </c>
      <c r="T3655" s="22" t="s">
        <v>78</v>
      </c>
      <c r="U3655" s="22" t="s">
        <v>464</v>
      </c>
      <c r="V3655" s="22" t="s">
        <v>131</v>
      </c>
      <c r="W3655" s="22" t="s">
        <v>109</v>
      </c>
      <c r="X3655" s="104">
        <v>16000000</v>
      </c>
      <c r="Y3655" s="195" t="str">
        <f t="shared" si="1081"/>
        <v>1</v>
      </c>
      <c r="Z3655" s="196">
        <f t="shared" si="1080"/>
        <v>16000000</v>
      </c>
      <c r="AA3655" s="22">
        <v>5.1799999999999999E-2</v>
      </c>
      <c r="AB3655" s="197">
        <f t="shared" si="1078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3"/>
        <v>32082250.320460182</v>
      </c>
      <c r="AJ3655" s="200">
        <f t="shared" si="1084"/>
        <v>4323122.9746477893</v>
      </c>
      <c r="AK3655" s="201">
        <f t="shared" si="1089"/>
        <v>0.1347512388147771</v>
      </c>
      <c r="AL3655" s="24"/>
      <c r="AM3655" s="24"/>
      <c r="AN3655" s="24"/>
      <c r="AO3655" s="24"/>
      <c r="AP3655" s="165" t="str">
        <f t="shared" si="1090"/>
        <v>202411</v>
      </c>
      <c r="AQ3655" s="203" t="str">
        <f t="shared" si="1091"/>
        <v>202411JPY</v>
      </c>
      <c r="AR3655" s="206" t="str">
        <f t="shared" si="1092"/>
        <v>YAMAHA_Mounter</v>
      </c>
      <c r="AS3655" s="22">
        <f t="shared" si="1093"/>
        <v>3</v>
      </c>
      <c r="AT3655" s="24" t="str">
        <f t="shared" si="1094"/>
        <v>0-3 months</v>
      </c>
      <c r="AU3655" s="22" t="s">
        <v>3745</v>
      </c>
    </row>
    <row r="3656" spans="1:47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79"/>
        <v>Q2</v>
      </c>
      <c r="E3656" s="33" t="str">
        <f t="shared" si="1095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3524</v>
      </c>
      <c r="K3656" s="29" t="s">
        <v>1901</v>
      </c>
      <c r="L3656" s="24" t="s">
        <v>67</v>
      </c>
      <c r="M3656" s="13" t="s">
        <v>60</v>
      </c>
      <c r="N3656" s="13">
        <v>1</v>
      </c>
      <c r="O3656" s="22"/>
      <c r="P3656" s="202" t="str">
        <f t="shared" si="1082"/>
        <v>MAIN UNIT</v>
      </c>
      <c r="Q3656" s="22" t="s">
        <v>61</v>
      </c>
      <c r="R3656" s="22" t="s">
        <v>62</v>
      </c>
      <c r="S3656" s="22" t="s">
        <v>49</v>
      </c>
      <c r="T3656" s="22" t="s">
        <v>78</v>
      </c>
      <c r="U3656" s="22" t="s">
        <v>464</v>
      </c>
      <c r="V3656" s="22" t="s">
        <v>131</v>
      </c>
      <c r="W3656" s="22" t="s">
        <v>109</v>
      </c>
      <c r="X3656" s="104">
        <v>10750000</v>
      </c>
      <c r="Y3656" s="195" t="str">
        <f t="shared" si="1081"/>
        <v>1</v>
      </c>
      <c r="Z3656" s="196">
        <f t="shared" si="1080"/>
        <v>10750000</v>
      </c>
      <c r="AA3656" s="22">
        <v>5.1799999999999999E-2</v>
      </c>
      <c r="AB3656" s="197">
        <f t="shared" si="1078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3"/>
        <v>32082250.320460182</v>
      </c>
      <c r="AJ3656" s="200">
        <f t="shared" si="1084"/>
        <v>4323122.9746477893</v>
      </c>
      <c r="AK3656" s="201">
        <f t="shared" si="1089"/>
        <v>0.1347512388147771</v>
      </c>
      <c r="AL3656" s="24"/>
      <c r="AM3656" s="24"/>
      <c r="AN3656" s="24"/>
      <c r="AO3656" s="24"/>
      <c r="AP3656" s="165" t="str">
        <f t="shared" si="1090"/>
        <v>202411</v>
      </c>
      <c r="AQ3656" s="203" t="str">
        <f t="shared" si="1091"/>
        <v>202411JPY</v>
      </c>
      <c r="AR3656" s="206" t="str">
        <f t="shared" si="1092"/>
        <v>YAMAHA_Mounter</v>
      </c>
      <c r="AS3656" s="22">
        <f t="shared" si="1093"/>
        <v>3</v>
      </c>
      <c r="AT3656" s="24" t="str">
        <f t="shared" si="1094"/>
        <v>0-3 months</v>
      </c>
      <c r="AU3656" s="22" t="s">
        <v>3745</v>
      </c>
    </row>
    <row r="3657" spans="1:47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79"/>
        <v>Q2</v>
      </c>
      <c r="E3657" s="33" t="str">
        <f t="shared" si="1095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3524</v>
      </c>
      <c r="K3657" s="29" t="s">
        <v>1901</v>
      </c>
      <c r="L3657" s="24" t="s">
        <v>67</v>
      </c>
      <c r="M3657" s="13" t="s">
        <v>60</v>
      </c>
      <c r="N3657" s="13">
        <v>1</v>
      </c>
      <c r="O3657" s="22"/>
      <c r="P3657" s="202" t="str">
        <f t="shared" si="1082"/>
        <v>MAIN UNIT</v>
      </c>
      <c r="Q3657" s="22" t="s">
        <v>61</v>
      </c>
      <c r="R3657" s="22" t="s">
        <v>62</v>
      </c>
      <c r="S3657" s="22" t="s">
        <v>49</v>
      </c>
      <c r="T3657" s="22" t="s">
        <v>78</v>
      </c>
      <c r="U3657" s="22" t="s">
        <v>464</v>
      </c>
      <c r="V3657" s="22" t="s">
        <v>131</v>
      </c>
      <c r="W3657" s="22" t="s">
        <v>109</v>
      </c>
      <c r="X3657" s="104">
        <v>10750000</v>
      </c>
      <c r="Y3657" s="195" t="str">
        <f t="shared" si="1081"/>
        <v>1</v>
      </c>
      <c r="Z3657" s="196">
        <f t="shared" si="1080"/>
        <v>10750000</v>
      </c>
      <c r="AA3657" s="22">
        <v>5.1799999999999999E-2</v>
      </c>
      <c r="AB3657" s="197">
        <f t="shared" ref="AB3657:AB3688" si="1096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3"/>
        <v>32082250.320460182</v>
      </c>
      <c r="AJ3657" s="200">
        <f t="shared" si="1084"/>
        <v>4323122.9746477893</v>
      </c>
      <c r="AK3657" s="201">
        <f t="shared" si="1089"/>
        <v>0.1347512388147771</v>
      </c>
      <c r="AL3657" s="24"/>
      <c r="AM3657" s="24"/>
      <c r="AN3657" s="24"/>
      <c r="AO3657" s="24"/>
      <c r="AP3657" s="165" t="str">
        <f t="shared" si="1090"/>
        <v>202411</v>
      </c>
      <c r="AQ3657" s="203" t="str">
        <f t="shared" si="1091"/>
        <v>202411JPY</v>
      </c>
      <c r="AR3657" s="206" t="str">
        <f t="shared" si="1092"/>
        <v>YAMAHA_Mounter</v>
      </c>
      <c r="AS3657" s="22">
        <f t="shared" si="1093"/>
        <v>3</v>
      </c>
      <c r="AT3657" s="24" t="str">
        <f t="shared" si="1094"/>
        <v>0-3 months</v>
      </c>
      <c r="AU3657" s="22" t="s">
        <v>3745</v>
      </c>
    </row>
    <row r="3658" spans="1:47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79"/>
        <v>Q2</v>
      </c>
      <c r="E3658" s="33" t="str">
        <f t="shared" si="1095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3524</v>
      </c>
      <c r="K3658" s="29" t="s">
        <v>1901</v>
      </c>
      <c r="L3658" s="24" t="s">
        <v>67</v>
      </c>
      <c r="M3658" s="13" t="s">
        <v>60</v>
      </c>
      <c r="N3658" s="13">
        <v>1</v>
      </c>
      <c r="O3658" s="22"/>
      <c r="P3658" s="202" t="str">
        <f t="shared" si="1082"/>
        <v>MAIN UNIT</v>
      </c>
      <c r="Q3658" s="22" t="s">
        <v>61</v>
      </c>
      <c r="R3658" s="22" t="s">
        <v>62</v>
      </c>
      <c r="S3658" s="22" t="s">
        <v>49</v>
      </c>
      <c r="T3658" s="22" t="s">
        <v>78</v>
      </c>
      <c r="U3658" s="22" t="s">
        <v>464</v>
      </c>
      <c r="V3658" s="22" t="s">
        <v>131</v>
      </c>
      <c r="W3658" s="22" t="s">
        <v>109</v>
      </c>
      <c r="X3658" s="104">
        <v>10750000</v>
      </c>
      <c r="Y3658" s="195" t="str">
        <f t="shared" si="1081"/>
        <v>1</v>
      </c>
      <c r="Z3658" s="196">
        <f t="shared" si="1080"/>
        <v>10750000</v>
      </c>
      <c r="AA3658" s="22">
        <v>5.1799999999999999E-2</v>
      </c>
      <c r="AB3658" s="197">
        <f t="shared" si="1096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3"/>
        <v>32082250.320460182</v>
      </c>
      <c r="AJ3658" s="200">
        <f t="shared" si="1084"/>
        <v>4323122.9746477893</v>
      </c>
      <c r="AK3658" s="201">
        <f t="shared" si="1089"/>
        <v>0.1347512388147771</v>
      </c>
      <c r="AL3658" s="24"/>
      <c r="AM3658" s="24"/>
      <c r="AN3658" s="24"/>
      <c r="AO3658" s="24"/>
      <c r="AP3658" s="165" t="str">
        <f t="shared" si="1090"/>
        <v>202411</v>
      </c>
      <c r="AQ3658" s="203" t="str">
        <f t="shared" si="1091"/>
        <v>202411JPY</v>
      </c>
      <c r="AR3658" s="206" t="str">
        <f t="shared" si="1092"/>
        <v>YAMAHA_Mounter</v>
      </c>
      <c r="AS3658" s="22">
        <f t="shared" si="1093"/>
        <v>3</v>
      </c>
      <c r="AT3658" s="24" t="str">
        <f t="shared" si="1094"/>
        <v>0-3 months</v>
      </c>
      <c r="AU3658" s="22" t="s">
        <v>3745</v>
      </c>
    </row>
    <row r="3659" spans="1:47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79"/>
        <v>Q2</v>
      </c>
      <c r="E3659" s="33" t="str">
        <f t="shared" si="1095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3524</v>
      </c>
      <c r="K3659" s="29" t="s">
        <v>1901</v>
      </c>
      <c r="L3659" s="24" t="s">
        <v>67</v>
      </c>
      <c r="M3659" s="13" t="s">
        <v>60</v>
      </c>
      <c r="N3659" s="13">
        <v>1</v>
      </c>
      <c r="O3659" s="22"/>
      <c r="P3659" s="202" t="str">
        <f t="shared" si="1082"/>
        <v>MAIN UNIT</v>
      </c>
      <c r="Q3659" s="22" t="s">
        <v>61</v>
      </c>
      <c r="R3659" s="22" t="s">
        <v>62</v>
      </c>
      <c r="S3659" s="22" t="s">
        <v>49</v>
      </c>
      <c r="T3659" s="22" t="s">
        <v>78</v>
      </c>
      <c r="U3659" s="22" t="s">
        <v>464</v>
      </c>
      <c r="V3659" s="22" t="s">
        <v>131</v>
      </c>
      <c r="W3659" s="22" t="s">
        <v>109</v>
      </c>
      <c r="X3659" s="104">
        <v>10750000</v>
      </c>
      <c r="Y3659" s="195" t="str">
        <f t="shared" si="1081"/>
        <v>1</v>
      </c>
      <c r="Z3659" s="196">
        <f t="shared" si="1080"/>
        <v>10750000</v>
      </c>
      <c r="AA3659" s="22">
        <v>5.1799999999999999E-2</v>
      </c>
      <c r="AB3659" s="197">
        <f t="shared" si="1096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3"/>
        <v>32082250.320460182</v>
      </c>
      <c r="AJ3659" s="200">
        <f t="shared" si="1084"/>
        <v>4323122.9746477893</v>
      </c>
      <c r="AK3659" s="201">
        <f t="shared" si="1089"/>
        <v>0.1347512388147771</v>
      </c>
      <c r="AL3659" s="24"/>
      <c r="AM3659" s="24"/>
      <c r="AN3659" s="24"/>
      <c r="AO3659" s="24"/>
      <c r="AP3659" s="165" t="str">
        <f t="shared" si="1090"/>
        <v>202411</v>
      </c>
      <c r="AQ3659" s="203" t="str">
        <f t="shared" si="1091"/>
        <v>202411JPY</v>
      </c>
      <c r="AR3659" s="206" t="str">
        <f t="shared" si="1092"/>
        <v>YAMAHA_Mounter</v>
      </c>
      <c r="AS3659" s="22">
        <f t="shared" si="1093"/>
        <v>3</v>
      </c>
      <c r="AT3659" s="24" t="str">
        <f t="shared" si="1094"/>
        <v>0-3 months</v>
      </c>
      <c r="AU3659" s="22" t="s">
        <v>3745</v>
      </c>
    </row>
    <row r="3660" spans="1:47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79"/>
        <v>Q2</v>
      </c>
      <c r="E3660" s="33" t="str">
        <f t="shared" si="1095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3525</v>
      </c>
      <c r="K3660" s="29" t="s">
        <v>3526</v>
      </c>
      <c r="L3660" s="24" t="s">
        <v>92</v>
      </c>
      <c r="M3660" s="13" t="s">
        <v>60</v>
      </c>
      <c r="N3660" s="13">
        <v>1</v>
      </c>
      <c r="O3660" s="22"/>
      <c r="P3660" s="202" t="str">
        <f t="shared" si="1082"/>
        <v>MAIN UNIT</v>
      </c>
      <c r="Q3660" s="22" t="s">
        <v>68</v>
      </c>
      <c r="R3660" s="22" t="s">
        <v>62</v>
      </c>
      <c r="S3660" s="22" t="s">
        <v>49</v>
      </c>
      <c r="T3660" s="22" t="s">
        <v>78</v>
      </c>
      <c r="U3660" s="22" t="s">
        <v>3527</v>
      </c>
      <c r="V3660" s="22" t="s">
        <v>121</v>
      </c>
      <c r="W3660" s="22" t="s">
        <v>109</v>
      </c>
      <c r="X3660" s="104">
        <v>13500000</v>
      </c>
      <c r="Y3660" s="195" t="str">
        <f t="shared" si="1081"/>
        <v>1</v>
      </c>
      <c r="Z3660" s="196">
        <f t="shared" si="1080"/>
        <v>13500000</v>
      </c>
      <c r="AA3660" s="22">
        <v>5.5599999999999997E-2</v>
      </c>
      <c r="AB3660" s="197">
        <f t="shared" si="1096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3"/>
        <v>22758096.38940867</v>
      </c>
      <c r="AJ3660" s="200">
        <f t="shared" si="1084"/>
        <v>2469357.2298956565</v>
      </c>
      <c r="AK3660" s="201">
        <f t="shared" si="1089"/>
        <v>0.10850455976822666</v>
      </c>
      <c r="AL3660" s="24"/>
      <c r="AM3660" s="24"/>
      <c r="AN3660" s="24"/>
      <c r="AO3660" s="24"/>
      <c r="AP3660" s="165" t="str">
        <f t="shared" si="1090"/>
        <v>202410</v>
      </c>
      <c r="AQ3660" s="203" t="str">
        <f t="shared" si="1091"/>
        <v>202410JPY</v>
      </c>
      <c r="AR3660" s="206" t="str">
        <f t="shared" si="1092"/>
        <v>YAMAHA_Mounter</v>
      </c>
      <c r="AS3660" s="22">
        <f t="shared" si="1093"/>
        <v>2</v>
      </c>
      <c r="AT3660" s="24" t="str">
        <f t="shared" si="1094"/>
        <v>0-3 months</v>
      </c>
      <c r="AU3660" s="22" t="s">
        <v>3745</v>
      </c>
    </row>
    <row r="3661" spans="1:47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79"/>
        <v>Q2</v>
      </c>
      <c r="E3661" s="33" t="str">
        <f t="shared" si="1095"/>
        <v>Cancel</v>
      </c>
      <c r="F3661" s="23" t="s">
        <v>185</v>
      </c>
      <c r="G3661" s="23" t="s">
        <v>185</v>
      </c>
      <c r="H3661" s="29"/>
      <c r="I3661" s="204" t="str">
        <f t="shared" si="1086"/>
        <v>Cancel</v>
      </c>
      <c r="J3661" s="188" t="s">
        <v>3528</v>
      </c>
      <c r="K3661" s="29" t="s">
        <v>1810</v>
      </c>
      <c r="L3661" s="24" t="s">
        <v>67</v>
      </c>
      <c r="M3661" s="13" t="s">
        <v>60</v>
      </c>
      <c r="N3661" s="13">
        <v>1</v>
      </c>
      <c r="O3661" s="22"/>
      <c r="P3661" s="202" t="str">
        <f t="shared" si="1082"/>
        <v>MAIN UNIT</v>
      </c>
      <c r="Q3661" s="22" t="s">
        <v>61</v>
      </c>
      <c r="R3661" s="22" t="s">
        <v>62</v>
      </c>
      <c r="S3661" s="22" t="s">
        <v>51</v>
      </c>
      <c r="T3661" s="22" t="s">
        <v>1915</v>
      </c>
      <c r="U3661" s="22" t="s">
        <v>149</v>
      </c>
      <c r="V3661" s="22" t="s">
        <v>134</v>
      </c>
      <c r="W3661" s="22" t="s">
        <v>64</v>
      </c>
      <c r="X3661" s="104">
        <v>530000</v>
      </c>
      <c r="Y3661" s="195" t="str">
        <f t="shared" si="1081"/>
        <v>1.13</v>
      </c>
      <c r="Z3661" s="196">
        <f t="shared" si="1080"/>
        <v>530000</v>
      </c>
      <c r="AA3661" s="22">
        <v>1.073</v>
      </c>
      <c r="AB3661" s="197">
        <f t="shared" si="1096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3"/>
        <v>499582152.5142017</v>
      </c>
      <c r="AJ3661" s="200">
        <f t="shared" si="1084"/>
        <v>59520528.679470733</v>
      </c>
      <c r="AK3661" s="201">
        <f t="shared" si="1089"/>
        <v>0.11914062257814291</v>
      </c>
      <c r="AL3661" s="24"/>
      <c r="AM3661" s="24"/>
      <c r="AN3661" s="24"/>
      <c r="AO3661" s="24"/>
      <c r="AP3661" s="165" t="str">
        <f t="shared" si="1090"/>
        <v>CancelCancel</v>
      </c>
      <c r="AQ3661" s="203" t="str">
        <f t="shared" si="1091"/>
        <v>CancelCancelRMB</v>
      </c>
      <c r="AR3661" s="206" t="str">
        <f t="shared" si="1092"/>
        <v>YAMAHA_Mounter</v>
      </c>
      <c r="AS3661" s="22" t="str">
        <f t="shared" si="1093"/>
        <v/>
      </c>
      <c r="AT3661" s="24" t="str">
        <f t="shared" si="1094"/>
        <v/>
      </c>
      <c r="AU3661" s="22" t="s">
        <v>3240</v>
      </c>
    </row>
    <row r="3662" spans="1:47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79"/>
        <v>Q2</v>
      </c>
      <c r="E3662" s="33" t="str">
        <f t="shared" si="1095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3529</v>
      </c>
      <c r="K3662" s="29" t="s">
        <v>1881</v>
      </c>
      <c r="L3662" s="24" t="s">
        <v>92</v>
      </c>
      <c r="M3662" s="13" t="s">
        <v>60</v>
      </c>
      <c r="N3662" s="13">
        <v>1</v>
      </c>
      <c r="O3662" s="22"/>
      <c r="P3662" s="202" t="str">
        <f t="shared" si="1082"/>
        <v>MAIN UNIT</v>
      </c>
      <c r="Q3662" s="22" t="s">
        <v>61</v>
      </c>
      <c r="R3662" s="22" t="s">
        <v>62</v>
      </c>
      <c r="S3662" s="22" t="s">
        <v>50</v>
      </c>
      <c r="T3662" s="22" t="s">
        <v>88</v>
      </c>
      <c r="U3662" s="22" t="s">
        <v>70</v>
      </c>
      <c r="V3662" s="22" t="s">
        <v>1010</v>
      </c>
      <c r="W3662" s="22" t="s">
        <v>64</v>
      </c>
      <c r="X3662" s="104">
        <v>620000</v>
      </c>
      <c r="Y3662" s="195" t="str">
        <f t="shared" si="1081"/>
        <v>1.13</v>
      </c>
      <c r="Z3662" s="196">
        <f t="shared" si="1080"/>
        <v>620000</v>
      </c>
      <c r="AA3662" s="22">
        <v>1.0920000000000001</v>
      </c>
      <c r="AB3662" s="197">
        <f t="shared" si="1096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3"/>
        <v>32082250.320460182</v>
      </c>
      <c r="AJ3662" s="200">
        <f t="shared" si="1084"/>
        <v>4323122.9746477893</v>
      </c>
      <c r="AK3662" s="201">
        <f t="shared" si="1089"/>
        <v>0.1347512388147771</v>
      </c>
      <c r="AL3662" s="24"/>
      <c r="AM3662" s="24"/>
      <c r="AN3662" s="24"/>
      <c r="AO3662" s="24"/>
      <c r="AP3662" s="165" t="str">
        <f t="shared" si="1090"/>
        <v>202411</v>
      </c>
      <c r="AQ3662" s="203" t="str">
        <f t="shared" si="1091"/>
        <v>202411RMB</v>
      </c>
      <c r="AR3662" s="206" t="str">
        <f t="shared" si="1092"/>
        <v>YAMAHA_Mounter</v>
      </c>
      <c r="AS3662" s="22">
        <f t="shared" si="1093"/>
        <v>3</v>
      </c>
      <c r="AT3662" s="24" t="str">
        <f t="shared" si="1094"/>
        <v>0-3 months</v>
      </c>
      <c r="AU3662" s="22" t="s">
        <v>3240</v>
      </c>
    </row>
    <row r="3663" spans="1:47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79"/>
        <v>Q2</v>
      </c>
      <c r="E3663" s="33" t="str">
        <f t="shared" si="1095"/>
        <v>Cancel</v>
      </c>
      <c r="F3663" s="23" t="s">
        <v>185</v>
      </c>
      <c r="G3663" s="152" t="s">
        <v>1622</v>
      </c>
      <c r="H3663" s="29"/>
      <c r="I3663" s="204" t="str">
        <f t="shared" si="1086"/>
        <v>Cancel</v>
      </c>
      <c r="J3663" s="188" t="s">
        <v>3530</v>
      </c>
      <c r="K3663" s="29" t="s">
        <v>1726</v>
      </c>
      <c r="L3663" s="24" t="s">
        <v>67</v>
      </c>
      <c r="M3663" s="13" t="s">
        <v>60</v>
      </c>
      <c r="N3663" s="13">
        <v>1</v>
      </c>
      <c r="O3663" s="22"/>
      <c r="P3663" s="202" t="str">
        <f t="shared" si="1082"/>
        <v>MAIN UNIT</v>
      </c>
      <c r="Q3663" s="22" t="s">
        <v>61</v>
      </c>
      <c r="R3663" s="22" t="s">
        <v>62</v>
      </c>
      <c r="S3663" s="22" t="s">
        <v>50</v>
      </c>
      <c r="T3663" s="22" t="s">
        <v>93</v>
      </c>
      <c r="U3663" s="22" t="s">
        <v>70</v>
      </c>
      <c r="V3663" s="22" t="s">
        <v>71</v>
      </c>
      <c r="W3663" s="22" t="s">
        <v>64</v>
      </c>
      <c r="X3663" s="104">
        <v>850000</v>
      </c>
      <c r="Y3663" s="195" t="str">
        <f t="shared" si="1081"/>
        <v>1.13</v>
      </c>
      <c r="Z3663" s="196">
        <f t="shared" si="1080"/>
        <v>850000</v>
      </c>
      <c r="AA3663" s="22">
        <v>1.0640000000000001</v>
      </c>
      <c r="AB3663" s="197">
        <f t="shared" si="1096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3"/>
        <v>499582152.5142017</v>
      </c>
      <c r="AJ3663" s="200">
        <f t="shared" si="1084"/>
        <v>59520528.679470733</v>
      </c>
      <c r="AK3663" s="201">
        <f t="shared" si="1089"/>
        <v>0.11914062257814291</v>
      </c>
      <c r="AL3663" s="24"/>
      <c r="AM3663" s="24"/>
      <c r="AN3663" s="24"/>
      <c r="AO3663" s="24"/>
      <c r="AP3663" s="165" t="str">
        <f t="shared" si="1090"/>
        <v>Cancelcancel</v>
      </c>
      <c r="AQ3663" s="203" t="str">
        <f t="shared" si="1091"/>
        <v>CancelcancelRMB</v>
      </c>
      <c r="AR3663" s="206" t="str">
        <f t="shared" si="1092"/>
        <v>YAMAHA_Mounter</v>
      </c>
      <c r="AS3663" s="22" t="str">
        <f t="shared" si="1093"/>
        <v/>
      </c>
      <c r="AT3663" s="24" t="str">
        <f t="shared" si="1094"/>
        <v/>
      </c>
      <c r="AU3663" s="22" t="s">
        <v>3240</v>
      </c>
    </row>
    <row r="3664" spans="1:47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79"/>
        <v>Q2</v>
      </c>
      <c r="E3664" s="33" t="str">
        <f t="shared" si="1095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3486</v>
      </c>
      <c r="K3664" s="29" t="s">
        <v>3487</v>
      </c>
      <c r="L3664" s="17" t="s">
        <v>67</v>
      </c>
      <c r="M3664" s="13" t="s">
        <v>60</v>
      </c>
      <c r="N3664" s="13">
        <v>1</v>
      </c>
      <c r="O3664" s="22"/>
      <c r="P3664" s="202" t="str">
        <f t="shared" si="1082"/>
        <v>MAIN UNIT</v>
      </c>
      <c r="Q3664" s="22" t="s">
        <v>68</v>
      </c>
      <c r="R3664" s="22" t="s">
        <v>62</v>
      </c>
      <c r="S3664" s="22" t="s">
        <v>51</v>
      </c>
      <c r="T3664" s="22" t="s">
        <v>349</v>
      </c>
      <c r="U3664" s="22" t="s">
        <v>149</v>
      </c>
      <c r="V3664" s="22" t="s">
        <v>954</v>
      </c>
      <c r="W3664" s="22" t="s">
        <v>64</v>
      </c>
      <c r="X3664" s="104">
        <v>550000</v>
      </c>
      <c r="Y3664" s="195" t="str">
        <f t="shared" si="1081"/>
        <v>1.13</v>
      </c>
      <c r="Z3664" s="196">
        <f t="shared" si="1080"/>
        <v>550000</v>
      </c>
      <c r="AA3664" s="22">
        <v>1.0980000000000001</v>
      </c>
      <c r="AB3664" s="197">
        <f t="shared" si="1096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3"/>
        <v>35931087.732566379</v>
      </c>
      <c r="AJ3664" s="200">
        <f t="shared" si="1084"/>
        <v>4347120.3954975223</v>
      </c>
      <c r="AK3664" s="201">
        <f t="shared" si="1089"/>
        <v>0.12098493727362117</v>
      </c>
      <c r="AL3664" s="24"/>
      <c r="AM3664" s="24"/>
      <c r="AN3664" s="24"/>
      <c r="AO3664" s="24"/>
      <c r="AP3664" s="165" t="str">
        <f t="shared" si="1090"/>
        <v>20249</v>
      </c>
      <c r="AQ3664" s="203" t="str">
        <f t="shared" si="1091"/>
        <v>20249RMB</v>
      </c>
      <c r="AR3664" s="206" t="str">
        <f t="shared" si="1092"/>
        <v>YAMAHA_Mounter</v>
      </c>
      <c r="AS3664" s="22">
        <f t="shared" si="1093"/>
        <v>2</v>
      </c>
      <c r="AT3664" s="24" t="str">
        <f t="shared" si="1094"/>
        <v>0-3 months</v>
      </c>
      <c r="AU3664" s="22" t="s">
        <v>3240</v>
      </c>
    </row>
    <row r="3665" spans="1:47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79"/>
        <v>Q2</v>
      </c>
      <c r="E3665" s="33" t="str">
        <f t="shared" si="1095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3518</v>
      </c>
      <c r="K3665" s="29" t="s">
        <v>3519</v>
      </c>
      <c r="L3665" s="17" t="s">
        <v>92</v>
      </c>
      <c r="M3665" s="13" t="s">
        <v>60</v>
      </c>
      <c r="N3665" s="13">
        <v>1</v>
      </c>
      <c r="O3665" s="22"/>
      <c r="P3665" s="202" t="str">
        <f t="shared" si="1082"/>
        <v>MAIN UNIT</v>
      </c>
      <c r="Q3665" s="22" t="s">
        <v>68</v>
      </c>
      <c r="R3665" s="22" t="s">
        <v>62</v>
      </c>
      <c r="S3665" s="22" t="s">
        <v>49</v>
      </c>
      <c r="T3665" s="22" t="s">
        <v>78</v>
      </c>
      <c r="U3665" s="22" t="s">
        <v>120</v>
      </c>
      <c r="V3665" s="22" t="s">
        <v>80</v>
      </c>
      <c r="W3665" s="22" t="s">
        <v>64</v>
      </c>
      <c r="X3665" s="104">
        <v>1587500.2749999999</v>
      </c>
      <c r="Y3665" s="195" t="str">
        <f t="shared" si="1081"/>
        <v>1.13</v>
      </c>
      <c r="Z3665" s="196">
        <f t="shared" si="1080"/>
        <v>1587500.2749999999</v>
      </c>
      <c r="AA3665" s="22">
        <v>1.0980000000000001</v>
      </c>
      <c r="AB3665" s="197">
        <f t="shared" si="1096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3"/>
        <v>35931087.732566379</v>
      </c>
      <c r="AJ3665" s="200">
        <f t="shared" si="1084"/>
        <v>4347120.3954975223</v>
      </c>
      <c r="AK3665" s="201">
        <f t="shared" si="1089"/>
        <v>0.12098493727362117</v>
      </c>
      <c r="AL3665" s="24"/>
      <c r="AM3665" s="24"/>
      <c r="AN3665" s="24"/>
      <c r="AO3665" s="24"/>
      <c r="AP3665" s="165" t="str">
        <f t="shared" si="1090"/>
        <v>20249</v>
      </c>
      <c r="AQ3665" s="203" t="str">
        <f t="shared" si="1091"/>
        <v>20249RMB</v>
      </c>
      <c r="AR3665" s="206" t="str">
        <f t="shared" si="1092"/>
        <v>YAMAHA_Mounter</v>
      </c>
      <c r="AS3665" s="22">
        <f t="shared" si="1093"/>
        <v>1</v>
      </c>
      <c r="AT3665" s="24" t="str">
        <f t="shared" si="1094"/>
        <v>0-3 months</v>
      </c>
      <c r="AU3665" s="22" t="s">
        <v>3751</v>
      </c>
    </row>
    <row r="3666" spans="1:47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79"/>
        <v>Q2</v>
      </c>
      <c r="E3666" s="33" t="str">
        <f t="shared" si="1095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3518</v>
      </c>
      <c r="K3666" s="29" t="s">
        <v>3519</v>
      </c>
      <c r="L3666" s="17" t="s">
        <v>92</v>
      </c>
      <c r="M3666" s="13" t="s">
        <v>60</v>
      </c>
      <c r="N3666" s="13">
        <v>1</v>
      </c>
      <c r="O3666" s="22"/>
      <c r="P3666" s="202" t="str">
        <f t="shared" si="1082"/>
        <v>MAIN UNIT</v>
      </c>
      <c r="Q3666" s="22" t="s">
        <v>68</v>
      </c>
      <c r="R3666" s="22" t="s">
        <v>62</v>
      </c>
      <c r="S3666" s="22" t="s">
        <v>49</v>
      </c>
      <c r="T3666" s="22" t="s">
        <v>78</v>
      </c>
      <c r="U3666" s="22" t="s">
        <v>120</v>
      </c>
      <c r="V3666" s="22" t="s">
        <v>80</v>
      </c>
      <c r="W3666" s="22" t="s">
        <v>64</v>
      </c>
      <c r="X3666" s="104">
        <v>1587500.2749999999</v>
      </c>
      <c r="Y3666" s="195" t="str">
        <f t="shared" si="1081"/>
        <v>1.13</v>
      </c>
      <c r="Z3666" s="196">
        <f t="shared" si="1080"/>
        <v>1587500.2749999999</v>
      </c>
      <c r="AA3666" s="22">
        <v>1.0980000000000001</v>
      </c>
      <c r="AB3666" s="197">
        <f t="shared" si="1096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3"/>
        <v>35931087.732566379</v>
      </c>
      <c r="AJ3666" s="200">
        <f t="shared" si="1084"/>
        <v>4347120.3954975223</v>
      </c>
      <c r="AK3666" s="201">
        <f t="shared" si="1089"/>
        <v>0.12098493727362117</v>
      </c>
      <c r="AL3666" s="24"/>
      <c r="AM3666" s="24"/>
      <c r="AN3666" s="24"/>
      <c r="AO3666" s="24"/>
      <c r="AP3666" s="165" t="str">
        <f t="shared" si="1090"/>
        <v>20249</v>
      </c>
      <c r="AQ3666" s="203" t="str">
        <f t="shared" si="1091"/>
        <v>20249RMB</v>
      </c>
      <c r="AR3666" s="206" t="str">
        <f t="shared" si="1092"/>
        <v>YAMAHA_Mounter</v>
      </c>
      <c r="AS3666" s="22">
        <f t="shared" si="1093"/>
        <v>1</v>
      </c>
      <c r="AT3666" s="24" t="str">
        <f t="shared" si="1094"/>
        <v>0-3 months</v>
      </c>
      <c r="AU3666" s="22" t="s">
        <v>3751</v>
      </c>
    </row>
    <row r="3667" spans="1:47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79"/>
        <v>Q2</v>
      </c>
      <c r="E3667" s="33" t="str">
        <f t="shared" si="1095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3628</v>
      </c>
      <c r="K3667" s="29" t="s">
        <v>3629</v>
      </c>
      <c r="L3667" s="24" t="s">
        <v>92</v>
      </c>
      <c r="M3667" s="13" t="s">
        <v>60</v>
      </c>
      <c r="N3667" s="13">
        <v>1</v>
      </c>
      <c r="O3667" s="22"/>
      <c r="P3667" s="202" t="str">
        <f t="shared" si="1082"/>
        <v>MAIN UNIT</v>
      </c>
      <c r="Q3667" s="22" t="s">
        <v>68</v>
      </c>
      <c r="R3667" s="22" t="s">
        <v>62</v>
      </c>
      <c r="S3667" s="22" t="s">
        <v>49</v>
      </c>
      <c r="T3667" s="22" t="s">
        <v>78</v>
      </c>
      <c r="U3667" s="22" t="s">
        <v>396</v>
      </c>
      <c r="V3667" s="22" t="s">
        <v>126</v>
      </c>
      <c r="W3667" s="22" t="s">
        <v>64</v>
      </c>
      <c r="X3667" s="104">
        <v>655000</v>
      </c>
      <c r="Y3667" s="195" t="str">
        <f t="shared" si="1081"/>
        <v>1.13</v>
      </c>
      <c r="Z3667" s="196">
        <f t="shared" si="1080"/>
        <v>655000</v>
      </c>
      <c r="AA3667" s="22">
        <v>1.0640000000000001</v>
      </c>
      <c r="AB3667" s="197">
        <f t="shared" si="1096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3"/>
        <v>16190947.162761064</v>
      </c>
      <c r="AJ3667" s="200">
        <f t="shared" si="1084"/>
        <v>2256328.1660673413</v>
      </c>
      <c r="AK3667" s="201">
        <f t="shared" si="1089"/>
        <v>0.13935739171929745</v>
      </c>
      <c r="AL3667" s="24"/>
      <c r="AM3667" s="24"/>
      <c r="AN3667" s="24"/>
      <c r="AO3667" s="24" t="s">
        <v>3560</v>
      </c>
      <c r="AP3667" s="165" t="str">
        <f t="shared" si="1090"/>
        <v>20251</v>
      </c>
      <c r="AQ3667" s="203" t="str">
        <f t="shared" si="1091"/>
        <v>20251RMB</v>
      </c>
      <c r="AR3667" s="206" t="str">
        <f t="shared" si="1092"/>
        <v>YAMAHA_Mounter</v>
      </c>
      <c r="AS3667" s="22">
        <f t="shared" si="1093"/>
        <v>4</v>
      </c>
      <c r="AT3667" s="24" t="str">
        <f t="shared" si="1094"/>
        <v>4-6 months</v>
      </c>
      <c r="AU3667" s="22" t="s">
        <v>3751</v>
      </c>
    </row>
    <row r="3668" spans="1:47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79"/>
        <v>Q2</v>
      </c>
      <c r="E3668" s="33" t="str">
        <f t="shared" si="1095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3518</v>
      </c>
      <c r="K3668" s="29" t="s">
        <v>3519</v>
      </c>
      <c r="L3668" s="17" t="s">
        <v>92</v>
      </c>
      <c r="M3668" s="13" t="s">
        <v>60</v>
      </c>
      <c r="N3668" s="13">
        <v>1</v>
      </c>
      <c r="O3668" s="22"/>
      <c r="P3668" s="202" t="str">
        <f t="shared" si="1082"/>
        <v>MAIN UNIT</v>
      </c>
      <c r="Q3668" s="22" t="s">
        <v>68</v>
      </c>
      <c r="R3668" s="22" t="s">
        <v>62</v>
      </c>
      <c r="S3668" s="22" t="s">
        <v>49</v>
      </c>
      <c r="T3668" s="22" t="s">
        <v>78</v>
      </c>
      <c r="U3668" s="22" t="s">
        <v>120</v>
      </c>
      <c r="V3668" s="22" t="s">
        <v>80</v>
      </c>
      <c r="W3668" s="22" t="s">
        <v>64</v>
      </c>
      <c r="X3668" s="104">
        <v>1587500.2749999999</v>
      </c>
      <c r="Y3668" s="195" t="str">
        <f t="shared" ref="Y3668:Y3699" si="1097">IF(W3668="","",IF(W3668="RMB","1.13", "1"))</f>
        <v>1.13</v>
      </c>
      <c r="Z3668" s="196">
        <f t="shared" si="1080"/>
        <v>1587500.2749999999</v>
      </c>
      <c r="AA3668" s="22">
        <v>1.0980000000000001</v>
      </c>
      <c r="AB3668" s="197">
        <f t="shared" si="1096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3"/>
        <v>35931087.732566379</v>
      </c>
      <c r="AJ3668" s="200">
        <f t="shared" si="1084"/>
        <v>4347120.3954975223</v>
      </c>
      <c r="AK3668" s="201">
        <f t="shared" si="1089"/>
        <v>0.12098493727362117</v>
      </c>
      <c r="AL3668" s="24"/>
      <c r="AM3668" s="24"/>
      <c r="AN3668" s="24"/>
      <c r="AO3668" s="24"/>
      <c r="AP3668" s="165" t="str">
        <f t="shared" si="1090"/>
        <v>20249</v>
      </c>
      <c r="AQ3668" s="203" t="str">
        <f t="shared" si="1091"/>
        <v>20249RMB</v>
      </c>
      <c r="AR3668" s="206" t="str">
        <f t="shared" si="1092"/>
        <v>YAMAHA_Mounter</v>
      </c>
      <c r="AS3668" s="22">
        <f t="shared" si="1093"/>
        <v>1</v>
      </c>
      <c r="AT3668" s="24" t="str">
        <f t="shared" si="1094"/>
        <v>0-3 months</v>
      </c>
      <c r="AU3668" s="22" t="s">
        <v>3751</v>
      </c>
    </row>
    <row r="3669" spans="1:47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79"/>
        <v>Q2</v>
      </c>
      <c r="E3669" s="33" t="str">
        <f t="shared" si="1095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3518</v>
      </c>
      <c r="K3669" s="29" t="s">
        <v>3519</v>
      </c>
      <c r="L3669" s="17" t="s">
        <v>92</v>
      </c>
      <c r="M3669" s="13" t="s">
        <v>60</v>
      </c>
      <c r="N3669" s="13">
        <v>1</v>
      </c>
      <c r="O3669" s="22"/>
      <c r="P3669" s="202" t="str">
        <f t="shared" si="1082"/>
        <v>MAIN UNIT</v>
      </c>
      <c r="Q3669" s="22" t="s">
        <v>68</v>
      </c>
      <c r="R3669" s="22" t="s">
        <v>62</v>
      </c>
      <c r="S3669" s="22" t="s">
        <v>49</v>
      </c>
      <c r="T3669" s="22" t="s">
        <v>78</v>
      </c>
      <c r="U3669" s="22" t="s">
        <v>120</v>
      </c>
      <c r="V3669" s="22" t="s">
        <v>80</v>
      </c>
      <c r="W3669" s="22" t="s">
        <v>64</v>
      </c>
      <c r="X3669" s="104">
        <v>1587500.2749999999</v>
      </c>
      <c r="Y3669" s="195" t="str">
        <f t="shared" si="1097"/>
        <v>1.13</v>
      </c>
      <c r="Z3669" s="196">
        <f t="shared" si="1080"/>
        <v>1587500.2749999999</v>
      </c>
      <c r="AA3669" s="22">
        <v>1.0980000000000001</v>
      </c>
      <c r="AB3669" s="197">
        <f t="shared" si="1096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3"/>
        <v>35931087.732566379</v>
      </c>
      <c r="AJ3669" s="200">
        <f t="shared" si="1084"/>
        <v>4347120.3954975223</v>
      </c>
      <c r="AK3669" s="201">
        <f t="shared" si="1089"/>
        <v>0.12098493727362117</v>
      </c>
      <c r="AL3669" s="24"/>
      <c r="AM3669" s="24"/>
      <c r="AN3669" s="24"/>
      <c r="AO3669" s="24"/>
      <c r="AP3669" s="165" t="str">
        <f t="shared" si="1090"/>
        <v>20249</v>
      </c>
      <c r="AQ3669" s="203" t="str">
        <f t="shared" si="1091"/>
        <v>20249RMB</v>
      </c>
      <c r="AR3669" s="206" t="str">
        <f t="shared" si="1092"/>
        <v>YAMAHA_Mounter</v>
      </c>
      <c r="AS3669" s="22">
        <f t="shared" si="1093"/>
        <v>1</v>
      </c>
      <c r="AT3669" s="24" t="str">
        <f t="shared" si="1094"/>
        <v>0-3 months</v>
      </c>
      <c r="AU3669" s="22" t="s">
        <v>3751</v>
      </c>
    </row>
    <row r="3670" spans="1:47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79"/>
        <v>Q2</v>
      </c>
      <c r="E3670" s="33" t="str">
        <f t="shared" si="1095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3521</v>
      </c>
      <c r="K3670" s="29" t="s">
        <v>3522</v>
      </c>
      <c r="L3670" s="17" t="s">
        <v>92</v>
      </c>
      <c r="M3670" s="13" t="s">
        <v>60</v>
      </c>
      <c r="N3670" s="13">
        <v>1</v>
      </c>
      <c r="O3670" s="22"/>
      <c r="P3670" s="202" t="str">
        <f t="shared" si="1082"/>
        <v>MAIN UNIT</v>
      </c>
      <c r="Q3670" s="22" t="s">
        <v>68</v>
      </c>
      <c r="R3670" s="22" t="s">
        <v>62</v>
      </c>
      <c r="S3670" s="22" t="s">
        <v>49</v>
      </c>
      <c r="T3670" s="22" t="s">
        <v>78</v>
      </c>
      <c r="U3670" s="22" t="s">
        <v>78</v>
      </c>
      <c r="V3670" s="22" t="s">
        <v>2011</v>
      </c>
      <c r="W3670" s="22" t="s">
        <v>109</v>
      </c>
      <c r="X3670" s="104">
        <v>12280000</v>
      </c>
      <c r="Y3670" s="195" t="str">
        <f t="shared" si="1097"/>
        <v>1</v>
      </c>
      <c r="Z3670" s="196">
        <f t="shared" si="1080"/>
        <v>12280000</v>
      </c>
      <c r="AA3670" s="22">
        <v>5.5100000000000003E-2</v>
      </c>
      <c r="AB3670" s="197">
        <f t="shared" si="1096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3"/>
        <v>35931087.732566379</v>
      </c>
      <c r="AJ3670" s="200">
        <f t="shared" si="1084"/>
        <v>4347120.3954975223</v>
      </c>
      <c r="AK3670" s="201">
        <f t="shared" si="1089"/>
        <v>0.12098493727362117</v>
      </c>
      <c r="AL3670" s="24"/>
      <c r="AM3670" s="24"/>
      <c r="AN3670" s="24"/>
      <c r="AO3670" s="24"/>
      <c r="AP3670" s="165" t="str">
        <f t="shared" si="1090"/>
        <v>20249</v>
      </c>
      <c r="AQ3670" s="203" t="str">
        <f t="shared" si="1091"/>
        <v>20249JPY</v>
      </c>
      <c r="AR3670" s="206" t="str">
        <f t="shared" si="1092"/>
        <v>YAMAHA_Mounter</v>
      </c>
      <c r="AS3670" s="22">
        <f t="shared" si="1093"/>
        <v>2</v>
      </c>
      <c r="AT3670" s="24" t="str">
        <f t="shared" si="1094"/>
        <v>0-3 months</v>
      </c>
      <c r="AU3670" s="22" t="s">
        <v>3745</v>
      </c>
    </row>
    <row r="3671" spans="1:47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79"/>
        <v>Q2</v>
      </c>
      <c r="E3671" s="33" t="str">
        <f t="shared" si="1095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3501</v>
      </c>
      <c r="K3671" s="29" t="s">
        <v>3504</v>
      </c>
      <c r="L3671" s="17" t="s">
        <v>67</v>
      </c>
      <c r="M3671" s="13" t="s">
        <v>60</v>
      </c>
      <c r="N3671" s="13">
        <v>1</v>
      </c>
      <c r="O3671" s="22"/>
      <c r="P3671" s="202" t="str">
        <f t="shared" si="1082"/>
        <v>MAIN UNIT</v>
      </c>
      <c r="Q3671" s="22" t="s">
        <v>68</v>
      </c>
      <c r="R3671" s="22" t="s">
        <v>62</v>
      </c>
      <c r="S3671" s="22" t="s">
        <v>50</v>
      </c>
      <c r="T3671" s="22" t="s">
        <v>88</v>
      </c>
      <c r="U3671" s="22" t="s">
        <v>70</v>
      </c>
      <c r="V3671" s="22" t="s">
        <v>1010</v>
      </c>
      <c r="W3671" s="22" t="s">
        <v>64</v>
      </c>
      <c r="X3671" s="104">
        <v>432999</v>
      </c>
      <c r="Y3671" s="195" t="str">
        <f t="shared" si="1097"/>
        <v>1.13</v>
      </c>
      <c r="Z3671" s="196">
        <f t="shared" si="1080"/>
        <v>432999</v>
      </c>
      <c r="AA3671" s="22">
        <v>1.0980000000000001</v>
      </c>
      <c r="AB3671" s="197">
        <f t="shared" si="1096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3"/>
        <v>35931087.732566379</v>
      </c>
      <c r="AJ3671" s="200">
        <f t="shared" si="1084"/>
        <v>4347120.3954975223</v>
      </c>
      <c r="AK3671" s="201">
        <f t="shared" si="1089"/>
        <v>0.12098493727362117</v>
      </c>
      <c r="AL3671" s="24"/>
      <c r="AM3671" s="24"/>
      <c r="AN3671" s="24"/>
      <c r="AO3671" s="24"/>
      <c r="AP3671" s="165" t="str">
        <f t="shared" si="1090"/>
        <v>20249</v>
      </c>
      <c r="AQ3671" s="203" t="str">
        <f t="shared" si="1091"/>
        <v>20249RMB</v>
      </c>
      <c r="AR3671" s="206" t="str">
        <f t="shared" si="1092"/>
        <v>YAMAHA_Mounter</v>
      </c>
      <c r="AS3671" s="22">
        <f t="shared" si="1093"/>
        <v>2</v>
      </c>
      <c r="AT3671" s="24" t="str">
        <f t="shared" si="1094"/>
        <v>0-3 months</v>
      </c>
      <c r="AU3671" s="22" t="s">
        <v>3240</v>
      </c>
    </row>
    <row r="3672" spans="1:47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79"/>
        <v>Q2</v>
      </c>
      <c r="E3672" s="33" t="str">
        <f t="shared" si="1095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3536</v>
      </c>
      <c r="K3672" s="29" t="s">
        <v>1555</v>
      </c>
      <c r="L3672" s="24" t="s">
        <v>67</v>
      </c>
      <c r="M3672" s="13" t="s">
        <v>60</v>
      </c>
      <c r="N3672" s="13">
        <v>1</v>
      </c>
      <c r="O3672" s="22"/>
      <c r="P3672" s="202" t="str">
        <f t="shared" si="1082"/>
        <v>MAIN UNIT</v>
      </c>
      <c r="Q3672" s="22" t="s">
        <v>61</v>
      </c>
      <c r="R3672" s="22" t="s">
        <v>62</v>
      </c>
      <c r="S3672" s="22" t="s">
        <v>50</v>
      </c>
      <c r="T3672" s="22" t="s">
        <v>88</v>
      </c>
      <c r="U3672" s="22" t="s">
        <v>70</v>
      </c>
      <c r="V3672" s="22" t="s">
        <v>1400</v>
      </c>
      <c r="W3672" s="22" t="s">
        <v>64</v>
      </c>
      <c r="X3672" s="104">
        <v>398000</v>
      </c>
      <c r="Y3672" s="195" t="str">
        <f t="shared" si="1097"/>
        <v>1.13</v>
      </c>
      <c r="Z3672" s="196">
        <f t="shared" si="1080"/>
        <v>398000</v>
      </c>
      <c r="AA3672" s="22">
        <v>1.1080000000000001</v>
      </c>
      <c r="AB3672" s="197">
        <f t="shared" si="1096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3"/>
        <v>22758096.38940867</v>
      </c>
      <c r="AJ3672" s="200">
        <f t="shared" si="1084"/>
        <v>2469357.2298956565</v>
      </c>
      <c r="AK3672" s="201">
        <f t="shared" si="1089"/>
        <v>0.10850455976822666</v>
      </c>
      <c r="AL3672" s="24"/>
      <c r="AM3672" s="24"/>
      <c r="AN3672" s="24"/>
      <c r="AO3672" s="24"/>
      <c r="AP3672" s="165" t="str">
        <f t="shared" si="1090"/>
        <v>202410</v>
      </c>
      <c r="AQ3672" s="203" t="str">
        <f t="shared" si="1091"/>
        <v>202410RMB</v>
      </c>
      <c r="AR3672" s="206" t="str">
        <f t="shared" si="1092"/>
        <v>YAMAHA_Mounter</v>
      </c>
      <c r="AS3672" s="22">
        <f t="shared" si="1093"/>
        <v>2</v>
      </c>
      <c r="AT3672" s="24" t="str">
        <f t="shared" si="1094"/>
        <v>0-3 months</v>
      </c>
      <c r="AU3672" s="22" t="s">
        <v>3240</v>
      </c>
    </row>
    <row r="3673" spans="1:47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79"/>
        <v>Q2</v>
      </c>
      <c r="E3673" s="33" t="str">
        <f t="shared" si="1095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3507</v>
      </c>
      <c r="K3673" s="29" t="s">
        <v>3508</v>
      </c>
      <c r="L3673" s="17" t="s">
        <v>92</v>
      </c>
      <c r="M3673" s="13" t="s">
        <v>60</v>
      </c>
      <c r="N3673" s="13">
        <v>1</v>
      </c>
      <c r="O3673" s="22"/>
      <c r="P3673" s="202" t="str">
        <f t="shared" si="1082"/>
        <v>MAIN UNIT</v>
      </c>
      <c r="Q3673" s="22" t="s">
        <v>61</v>
      </c>
      <c r="R3673" s="22" t="s">
        <v>62</v>
      </c>
      <c r="S3673" s="22" t="s">
        <v>49</v>
      </c>
      <c r="T3673" s="22" t="s">
        <v>78</v>
      </c>
      <c r="U3673" s="22" t="s">
        <v>78</v>
      </c>
      <c r="V3673" s="22" t="s">
        <v>3134</v>
      </c>
      <c r="W3673" s="22" t="s">
        <v>109</v>
      </c>
      <c r="X3673" s="104">
        <v>13210000</v>
      </c>
      <c r="Y3673" s="195" t="str">
        <f t="shared" si="1097"/>
        <v>1</v>
      </c>
      <c r="Z3673" s="196">
        <f t="shared" si="1080"/>
        <v>13210000</v>
      </c>
      <c r="AA3673" s="22">
        <v>5.5100000000000003E-2</v>
      </c>
      <c r="AB3673" s="197">
        <f t="shared" si="1096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3"/>
        <v>35931087.732566379</v>
      </c>
      <c r="AJ3673" s="200">
        <f t="shared" si="1084"/>
        <v>4347120.3954975223</v>
      </c>
      <c r="AK3673" s="201">
        <f t="shared" si="1089"/>
        <v>0.12098493727362117</v>
      </c>
      <c r="AL3673" s="24"/>
      <c r="AM3673" s="24"/>
      <c r="AN3673" s="24"/>
      <c r="AO3673" s="24"/>
      <c r="AP3673" s="165" t="str">
        <f t="shared" si="1090"/>
        <v>20249</v>
      </c>
      <c r="AQ3673" s="203" t="str">
        <f t="shared" si="1091"/>
        <v>20249JPY</v>
      </c>
      <c r="AR3673" s="206" t="str">
        <f t="shared" si="1092"/>
        <v>YAMAHA_Mounter</v>
      </c>
      <c r="AS3673" s="22">
        <f t="shared" si="1093"/>
        <v>2</v>
      </c>
      <c r="AT3673" s="24" t="str">
        <f t="shared" si="1094"/>
        <v>0-3 months</v>
      </c>
      <c r="AU3673" s="22" t="s">
        <v>3745</v>
      </c>
    </row>
    <row r="3674" spans="1:47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79"/>
        <v>Q2</v>
      </c>
      <c r="E3674" s="33" t="str">
        <f t="shared" si="1095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3509</v>
      </c>
      <c r="K3674" s="29" t="s">
        <v>3510</v>
      </c>
      <c r="L3674" s="17" t="s">
        <v>92</v>
      </c>
      <c r="M3674" s="13" t="s">
        <v>60</v>
      </c>
      <c r="N3674" s="13">
        <v>1</v>
      </c>
      <c r="O3674" s="22"/>
      <c r="P3674" s="202" t="str">
        <f t="shared" ref="P3674:P3705" si="1098">IF(M3674="","",IF(AND(N3674&gt;0,L3674&lt;&gt;""),"MAIN UNIT",IF(AND(O3674&gt;0,L3674&lt;&gt;""),"SERVICE/ PARTS","C66 SERVICE/OTHERS")))</f>
        <v>MAIN UNIT</v>
      </c>
      <c r="Q3674" s="22" t="s">
        <v>61</v>
      </c>
      <c r="R3674" s="22" t="s">
        <v>62</v>
      </c>
      <c r="S3674" s="22" t="s">
        <v>49</v>
      </c>
      <c r="T3674" s="22" t="s">
        <v>78</v>
      </c>
      <c r="U3674" s="22" t="s">
        <v>1071</v>
      </c>
      <c r="V3674" s="22" t="s">
        <v>311</v>
      </c>
      <c r="W3674" s="22" t="s">
        <v>64</v>
      </c>
      <c r="X3674" s="104">
        <v>675000</v>
      </c>
      <c r="Y3674" s="195" t="str">
        <f t="shared" si="1097"/>
        <v>1.13</v>
      </c>
      <c r="Z3674" s="196">
        <f t="shared" si="1080"/>
        <v>675000</v>
      </c>
      <c r="AA3674" s="22">
        <v>1.0980000000000001</v>
      </c>
      <c r="AB3674" s="197">
        <f t="shared" si="1096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3"/>
        <v>35931087.732566379</v>
      </c>
      <c r="AJ3674" s="200">
        <f t="shared" si="1084"/>
        <v>4347120.3954975223</v>
      </c>
      <c r="AK3674" s="201">
        <f t="shared" si="1089"/>
        <v>0.12098493727362117</v>
      </c>
      <c r="AL3674" s="24"/>
      <c r="AM3674" s="24"/>
      <c r="AN3674" s="24"/>
      <c r="AO3674" s="24"/>
      <c r="AP3674" s="165" t="str">
        <f t="shared" si="1090"/>
        <v>20249</v>
      </c>
      <c r="AQ3674" s="203" t="str">
        <f t="shared" si="1091"/>
        <v>20249RMB</v>
      </c>
      <c r="AR3674" s="206" t="str">
        <f t="shared" si="1092"/>
        <v>YAMAHA_Mounter</v>
      </c>
      <c r="AS3674" s="22">
        <f t="shared" si="1093"/>
        <v>2</v>
      </c>
      <c r="AT3674" s="24" t="str">
        <f t="shared" si="1094"/>
        <v>0-3 months</v>
      </c>
      <c r="AU3674" s="22" t="s">
        <v>3751</v>
      </c>
    </row>
    <row r="3675" spans="1:47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79"/>
        <v>Q2</v>
      </c>
      <c r="E3675" s="33" t="str">
        <f t="shared" si="1095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3537</v>
      </c>
      <c r="K3675" s="29" t="s">
        <v>167</v>
      </c>
      <c r="L3675" s="17" t="s">
        <v>2620</v>
      </c>
      <c r="M3675" s="13" t="s">
        <v>60</v>
      </c>
      <c r="N3675" s="13">
        <v>1</v>
      </c>
      <c r="O3675" s="22"/>
      <c r="P3675" s="202" t="str">
        <f t="shared" si="1098"/>
        <v>MAIN UNIT</v>
      </c>
      <c r="Q3675" s="22" t="s">
        <v>61</v>
      </c>
      <c r="R3675" s="22" t="s">
        <v>2055</v>
      </c>
      <c r="S3675" s="22" t="s">
        <v>50</v>
      </c>
      <c r="T3675" s="22" t="s">
        <v>83</v>
      </c>
      <c r="U3675" s="22" t="s">
        <v>70</v>
      </c>
      <c r="V3675" s="22" t="s">
        <v>102</v>
      </c>
      <c r="W3675" s="22" t="s">
        <v>64</v>
      </c>
      <c r="X3675" s="104">
        <v>358000</v>
      </c>
      <c r="Y3675" s="195" t="str">
        <f t="shared" si="1097"/>
        <v>1.13</v>
      </c>
      <c r="Z3675" s="196">
        <v>380666</v>
      </c>
      <c r="AA3675" s="22">
        <v>1.1080000000000001</v>
      </c>
      <c r="AB3675" s="197">
        <f t="shared" si="1096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3"/>
        <v>22758096.38940867</v>
      </c>
      <c r="AJ3675" s="200">
        <f t="shared" si="1084"/>
        <v>2469357.2298956565</v>
      </c>
      <c r="AK3675" s="201">
        <f t="shared" si="1089"/>
        <v>0.10850455976822666</v>
      </c>
      <c r="AL3675" s="24"/>
      <c r="AM3675" s="24"/>
      <c r="AN3675" s="24"/>
      <c r="AO3675" s="24"/>
      <c r="AP3675" s="165" t="str">
        <f t="shared" si="1090"/>
        <v>202410</v>
      </c>
      <c r="AQ3675" s="203" t="str">
        <f t="shared" si="1091"/>
        <v>202410RMB</v>
      </c>
      <c r="AR3675" s="206" t="str">
        <f t="shared" si="1092"/>
        <v>YAMAHA_Non_Mounter</v>
      </c>
      <c r="AS3675" s="22">
        <f t="shared" si="1093"/>
        <v>3</v>
      </c>
      <c r="AT3675" s="24" t="str">
        <f t="shared" si="1094"/>
        <v>0-3 months</v>
      </c>
      <c r="AU3675" s="22" t="s">
        <v>3240</v>
      </c>
    </row>
    <row r="3676" spans="1:47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79"/>
        <v>Q2</v>
      </c>
      <c r="E3676" s="33" t="str">
        <f t="shared" si="1095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3537</v>
      </c>
      <c r="K3676" s="29" t="s">
        <v>167</v>
      </c>
      <c r="L3676" s="17" t="s">
        <v>2620</v>
      </c>
      <c r="M3676" s="13" t="s">
        <v>60</v>
      </c>
      <c r="N3676" s="13">
        <v>1</v>
      </c>
      <c r="O3676" s="22"/>
      <c r="P3676" s="202" t="str">
        <f t="shared" si="1098"/>
        <v>MAIN UNIT</v>
      </c>
      <c r="Q3676" s="22" t="s">
        <v>61</v>
      </c>
      <c r="R3676" s="22" t="s">
        <v>2055</v>
      </c>
      <c r="S3676" s="22" t="s">
        <v>50</v>
      </c>
      <c r="T3676" s="22" t="s">
        <v>83</v>
      </c>
      <c r="U3676" s="22" t="s">
        <v>70</v>
      </c>
      <c r="V3676" s="22" t="s">
        <v>102</v>
      </c>
      <c r="W3676" s="22" t="s">
        <v>64</v>
      </c>
      <c r="X3676" s="104">
        <v>358000</v>
      </c>
      <c r="Y3676" s="195" t="str">
        <f t="shared" si="1097"/>
        <v>1.13</v>
      </c>
      <c r="Z3676" s="196">
        <v>380666</v>
      </c>
      <c r="AA3676" s="22">
        <v>1.1080000000000001</v>
      </c>
      <c r="AB3676" s="197">
        <f t="shared" si="1096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3"/>
        <v>22758096.38940867</v>
      </c>
      <c r="AJ3676" s="200">
        <f t="shared" si="1084"/>
        <v>2469357.2298956565</v>
      </c>
      <c r="AK3676" s="201">
        <f t="shared" si="1089"/>
        <v>0.10850455976822666</v>
      </c>
      <c r="AL3676" s="24"/>
      <c r="AM3676" s="24"/>
      <c r="AN3676" s="24"/>
      <c r="AO3676" s="24"/>
      <c r="AP3676" s="165" t="str">
        <f t="shared" si="1090"/>
        <v>202410</v>
      </c>
      <c r="AQ3676" s="203" t="str">
        <f t="shared" si="1091"/>
        <v>202410RMB</v>
      </c>
      <c r="AR3676" s="206" t="str">
        <f t="shared" si="1092"/>
        <v>YAMAHA_Non_Mounter</v>
      </c>
      <c r="AS3676" s="22">
        <f t="shared" si="1093"/>
        <v>3</v>
      </c>
      <c r="AT3676" s="24" t="str">
        <f t="shared" si="1094"/>
        <v>0-3 months</v>
      </c>
      <c r="AU3676" s="22" t="s">
        <v>3240</v>
      </c>
    </row>
    <row r="3677" spans="1:47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79"/>
        <v>Q2</v>
      </c>
      <c r="E3677" s="33" t="str">
        <f t="shared" si="1095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3531</v>
      </c>
      <c r="K3677" s="29" t="s">
        <v>3532</v>
      </c>
      <c r="L3677" s="24" t="s">
        <v>92</v>
      </c>
      <c r="M3677" s="13" t="s">
        <v>60</v>
      </c>
      <c r="N3677" s="13">
        <v>1</v>
      </c>
      <c r="O3677" s="22"/>
      <c r="P3677" s="202" t="str">
        <f t="shared" si="1098"/>
        <v>MAIN UNIT</v>
      </c>
      <c r="Q3677" s="22" t="s">
        <v>61</v>
      </c>
      <c r="R3677" s="22" t="s">
        <v>62</v>
      </c>
      <c r="S3677" s="22" t="s">
        <v>49</v>
      </c>
      <c r="T3677" s="22" t="s">
        <v>78</v>
      </c>
      <c r="U3677" s="22" t="s">
        <v>120</v>
      </c>
      <c r="V3677" s="22" t="s">
        <v>80</v>
      </c>
      <c r="W3677" s="22" t="s">
        <v>64</v>
      </c>
      <c r="X3677" s="104">
        <v>780000</v>
      </c>
      <c r="Y3677" s="195" t="str">
        <f t="shared" si="1097"/>
        <v>1.13</v>
      </c>
      <c r="Z3677" s="196">
        <f t="shared" si="1080"/>
        <v>780000</v>
      </c>
      <c r="AA3677" s="22">
        <v>1.0980000000000001</v>
      </c>
      <c r="AB3677" s="197">
        <f t="shared" si="1096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3"/>
        <v>35931087.732566379</v>
      </c>
      <c r="AJ3677" s="200">
        <f t="shared" si="1084"/>
        <v>4347120.3954975223</v>
      </c>
      <c r="AK3677" s="201">
        <f t="shared" si="1089"/>
        <v>0.12098493727362117</v>
      </c>
      <c r="AL3677" s="24"/>
      <c r="AM3677" s="24"/>
      <c r="AN3677" s="24"/>
      <c r="AO3677" s="24"/>
      <c r="AP3677" s="165" t="str">
        <f t="shared" si="1090"/>
        <v>20249</v>
      </c>
      <c r="AQ3677" s="203" t="str">
        <f t="shared" si="1091"/>
        <v>20249RMB</v>
      </c>
      <c r="AR3677" s="206" t="str">
        <f t="shared" si="1092"/>
        <v>YAMAHA_Mounter</v>
      </c>
      <c r="AS3677" s="22">
        <f t="shared" si="1093"/>
        <v>1</v>
      </c>
      <c r="AT3677" s="24" t="str">
        <f t="shared" si="1094"/>
        <v>0-3 months</v>
      </c>
      <c r="AU3677" s="22" t="s">
        <v>3751</v>
      </c>
    </row>
    <row r="3678" spans="1:47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79"/>
        <v>Q2</v>
      </c>
      <c r="E3678" s="33" t="str">
        <f t="shared" si="1095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3531</v>
      </c>
      <c r="K3678" s="29" t="s">
        <v>3532</v>
      </c>
      <c r="L3678" s="24" t="s">
        <v>67</v>
      </c>
      <c r="M3678" s="13" t="s">
        <v>60</v>
      </c>
      <c r="N3678" s="13">
        <v>1</v>
      </c>
      <c r="O3678" s="22"/>
      <c r="P3678" s="202" t="str">
        <f t="shared" si="1098"/>
        <v>MAIN UNIT</v>
      </c>
      <c r="Q3678" s="22" t="s">
        <v>61</v>
      </c>
      <c r="R3678" s="22" t="s">
        <v>62</v>
      </c>
      <c r="S3678" s="22" t="s">
        <v>49</v>
      </c>
      <c r="T3678" s="22" t="s">
        <v>78</v>
      </c>
      <c r="U3678" s="22" t="s">
        <v>78</v>
      </c>
      <c r="V3678" s="22" t="s">
        <v>80</v>
      </c>
      <c r="W3678" s="22" t="s">
        <v>64</v>
      </c>
      <c r="X3678" s="104">
        <v>571000</v>
      </c>
      <c r="Y3678" s="195" t="str">
        <f t="shared" si="1097"/>
        <v>1.13</v>
      </c>
      <c r="Z3678" s="196">
        <f t="shared" si="1080"/>
        <v>571000</v>
      </c>
      <c r="AA3678" s="22">
        <v>1.0980000000000001</v>
      </c>
      <c r="AB3678" s="197">
        <f t="shared" si="1096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3"/>
        <v>35931087.732566379</v>
      </c>
      <c r="AJ3678" s="200">
        <f t="shared" si="1084"/>
        <v>4347120.3954975223</v>
      </c>
      <c r="AK3678" s="201">
        <f t="shared" si="1089"/>
        <v>0.12098493727362117</v>
      </c>
      <c r="AL3678" s="24"/>
      <c r="AM3678" s="24"/>
      <c r="AN3678" s="24"/>
      <c r="AO3678" s="24"/>
      <c r="AP3678" s="165" t="str">
        <f t="shared" si="1090"/>
        <v>20249</v>
      </c>
      <c r="AQ3678" s="203" t="str">
        <f t="shared" si="1091"/>
        <v>20249RMB</v>
      </c>
      <c r="AR3678" s="206" t="str">
        <f t="shared" si="1092"/>
        <v>YAMAHA_Mounter</v>
      </c>
      <c r="AS3678" s="22">
        <f t="shared" si="1093"/>
        <v>1</v>
      </c>
      <c r="AT3678" s="24" t="str">
        <f t="shared" si="1094"/>
        <v>0-3 months</v>
      </c>
      <c r="AU3678" s="22" t="s">
        <v>3751</v>
      </c>
    </row>
    <row r="3679" spans="1:47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79"/>
        <v>Q2</v>
      </c>
      <c r="E3679" s="33" t="str">
        <f t="shared" si="1095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3534</v>
      </c>
      <c r="K3679" s="29" t="s">
        <v>3533</v>
      </c>
      <c r="L3679" s="24" t="s">
        <v>67</v>
      </c>
      <c r="M3679" s="13" t="s">
        <v>60</v>
      </c>
      <c r="N3679" s="13">
        <v>1</v>
      </c>
      <c r="O3679" s="22"/>
      <c r="P3679" s="202" t="str">
        <f t="shared" si="1098"/>
        <v>MAIN UNIT</v>
      </c>
      <c r="Q3679" s="22" t="s">
        <v>61</v>
      </c>
      <c r="R3679" s="22" t="s">
        <v>62</v>
      </c>
      <c r="S3679" s="22" t="s">
        <v>49</v>
      </c>
      <c r="T3679" s="22" t="s">
        <v>78</v>
      </c>
      <c r="U3679" s="22" t="s">
        <v>78</v>
      </c>
      <c r="V3679" s="22" t="s">
        <v>80</v>
      </c>
      <c r="W3679" s="22" t="s">
        <v>109</v>
      </c>
      <c r="X3679" s="104">
        <v>13430000</v>
      </c>
      <c r="Y3679" s="195" t="str">
        <f t="shared" si="1097"/>
        <v>1</v>
      </c>
      <c r="Z3679" s="196">
        <f t="shared" si="1080"/>
        <v>13430000</v>
      </c>
      <c r="AA3679" s="22">
        <v>5.5100000000000003E-2</v>
      </c>
      <c r="AB3679" s="197">
        <f t="shared" si="1096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3"/>
        <v>35931087.732566379</v>
      </c>
      <c r="AJ3679" s="200">
        <f t="shared" si="1084"/>
        <v>4347120.3954975223</v>
      </c>
      <c r="AK3679" s="201">
        <f t="shared" si="1089"/>
        <v>0.12098493727362117</v>
      </c>
      <c r="AL3679" s="24"/>
      <c r="AM3679" s="24"/>
      <c r="AN3679" s="24"/>
      <c r="AO3679" s="24"/>
      <c r="AP3679" s="165" t="str">
        <f t="shared" si="1090"/>
        <v>20249</v>
      </c>
      <c r="AQ3679" s="203" t="str">
        <f t="shared" si="1091"/>
        <v>20249JPY</v>
      </c>
      <c r="AR3679" s="206" t="str">
        <f t="shared" si="1092"/>
        <v>YAMAHA_Mounter</v>
      </c>
      <c r="AS3679" s="22">
        <f t="shared" si="1093"/>
        <v>1</v>
      </c>
      <c r="AT3679" s="24" t="str">
        <f t="shared" si="1094"/>
        <v>0-3 months</v>
      </c>
      <c r="AU3679" s="22" t="s">
        <v>3240</v>
      </c>
    </row>
    <row r="3680" spans="1:47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79"/>
        <v>Q2</v>
      </c>
      <c r="E3680" s="33" t="str">
        <f t="shared" si="1095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3535</v>
      </c>
      <c r="K3680" s="29" t="s">
        <v>1399</v>
      </c>
      <c r="L3680" s="24" t="s">
        <v>92</v>
      </c>
      <c r="M3680" s="13" t="s">
        <v>60</v>
      </c>
      <c r="N3680" s="13">
        <v>1</v>
      </c>
      <c r="O3680" s="22"/>
      <c r="P3680" s="202" t="str">
        <f t="shared" si="1098"/>
        <v>MAIN UNIT</v>
      </c>
      <c r="Q3680" s="22" t="s">
        <v>61</v>
      </c>
      <c r="R3680" s="22" t="s">
        <v>62</v>
      </c>
      <c r="S3680" s="22" t="s">
        <v>50</v>
      </c>
      <c r="T3680" s="22" t="s">
        <v>88</v>
      </c>
      <c r="U3680" s="22" t="s">
        <v>70</v>
      </c>
      <c r="V3680" s="22" t="s">
        <v>1400</v>
      </c>
      <c r="W3680" s="22" t="s">
        <v>64</v>
      </c>
      <c r="X3680" s="104">
        <v>672500</v>
      </c>
      <c r="Y3680" s="195" t="str">
        <f t="shared" si="1097"/>
        <v>1.13</v>
      </c>
      <c r="Z3680" s="196">
        <f t="shared" si="1080"/>
        <v>672500</v>
      </c>
      <c r="AA3680" s="22">
        <v>1.0980000000000001</v>
      </c>
      <c r="AB3680" s="197">
        <f t="shared" si="1096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3"/>
        <v>35931087.732566379</v>
      </c>
      <c r="AJ3680" s="200">
        <f t="shared" si="1084"/>
        <v>4347120.3954975223</v>
      </c>
      <c r="AK3680" s="201">
        <f t="shared" si="1089"/>
        <v>0.12098493727362117</v>
      </c>
      <c r="AL3680" s="24"/>
      <c r="AM3680" s="24"/>
      <c r="AN3680" s="24"/>
      <c r="AO3680" s="24"/>
      <c r="AP3680" s="165" t="str">
        <f t="shared" si="1090"/>
        <v>20249</v>
      </c>
      <c r="AQ3680" s="203" t="str">
        <f t="shared" si="1091"/>
        <v>20249RMB</v>
      </c>
      <c r="AR3680" s="206" t="str">
        <f t="shared" si="1092"/>
        <v>YAMAHA_Mounter</v>
      </c>
      <c r="AS3680" s="22">
        <f t="shared" si="1093"/>
        <v>1</v>
      </c>
      <c r="AT3680" s="24" t="str">
        <f t="shared" si="1094"/>
        <v>0-3 months</v>
      </c>
      <c r="AU3680" s="22" t="s">
        <v>3240</v>
      </c>
    </row>
    <row r="3681" spans="1:47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79"/>
        <v>Q2</v>
      </c>
      <c r="E3681" s="33" t="str">
        <f t="shared" si="1095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3535</v>
      </c>
      <c r="K3681" s="29" t="s">
        <v>1399</v>
      </c>
      <c r="L3681" s="24" t="s">
        <v>92</v>
      </c>
      <c r="M3681" s="13" t="s">
        <v>60</v>
      </c>
      <c r="N3681" s="13">
        <v>1</v>
      </c>
      <c r="O3681" s="22"/>
      <c r="P3681" s="202" t="str">
        <f t="shared" si="1098"/>
        <v>MAIN UNIT</v>
      </c>
      <c r="Q3681" s="22" t="s">
        <v>61</v>
      </c>
      <c r="R3681" s="22" t="s">
        <v>62</v>
      </c>
      <c r="S3681" s="22" t="s">
        <v>50</v>
      </c>
      <c r="T3681" s="22" t="s">
        <v>88</v>
      </c>
      <c r="U3681" s="22" t="s">
        <v>70</v>
      </c>
      <c r="V3681" s="22" t="s">
        <v>1400</v>
      </c>
      <c r="W3681" s="22" t="s">
        <v>64</v>
      </c>
      <c r="X3681" s="104">
        <v>672500</v>
      </c>
      <c r="Y3681" s="195" t="str">
        <f t="shared" si="1097"/>
        <v>1.13</v>
      </c>
      <c r="Z3681" s="196">
        <f t="shared" si="1080"/>
        <v>672500</v>
      </c>
      <c r="AA3681" s="22">
        <v>1.0980000000000001</v>
      </c>
      <c r="AB3681" s="197">
        <f t="shared" si="1096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3"/>
        <v>35931087.732566379</v>
      </c>
      <c r="AJ3681" s="200">
        <f t="shared" si="1084"/>
        <v>4347120.3954975223</v>
      </c>
      <c r="AK3681" s="201">
        <f t="shared" si="1089"/>
        <v>0.12098493727362117</v>
      </c>
      <c r="AL3681" s="24"/>
      <c r="AM3681" s="24"/>
      <c r="AN3681" s="24"/>
      <c r="AO3681" s="24"/>
      <c r="AP3681" s="165" t="str">
        <f t="shared" si="1090"/>
        <v>20249</v>
      </c>
      <c r="AQ3681" s="203" t="str">
        <f t="shared" si="1091"/>
        <v>20249RMB</v>
      </c>
      <c r="AR3681" s="206" t="str">
        <f t="shared" si="1092"/>
        <v>YAMAHA_Mounter</v>
      </c>
      <c r="AS3681" s="22">
        <f t="shared" si="1093"/>
        <v>1</v>
      </c>
      <c r="AT3681" s="24" t="str">
        <f t="shared" si="1094"/>
        <v>0-3 months</v>
      </c>
      <c r="AU3681" s="22" t="s">
        <v>3240</v>
      </c>
    </row>
    <row r="3682" spans="1:47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79"/>
        <v>Q2</v>
      </c>
      <c r="E3682" s="33" t="str">
        <f t="shared" si="1095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3540</v>
      </c>
      <c r="K3682" s="29" t="s">
        <v>1888</v>
      </c>
      <c r="L3682" s="24" t="s">
        <v>92</v>
      </c>
      <c r="M3682" s="13" t="s">
        <v>60</v>
      </c>
      <c r="N3682" s="13">
        <v>1</v>
      </c>
      <c r="O3682" s="22"/>
      <c r="P3682" s="202" t="str">
        <f t="shared" si="1098"/>
        <v>MAIN UNIT</v>
      </c>
      <c r="Q3682" s="22" t="s">
        <v>61</v>
      </c>
      <c r="R3682" s="22" t="s">
        <v>62</v>
      </c>
      <c r="S3682" s="22" t="s">
        <v>49</v>
      </c>
      <c r="T3682" s="22" t="s">
        <v>78</v>
      </c>
      <c r="U3682" s="22" t="s">
        <v>120</v>
      </c>
      <c r="V3682" s="22" t="s">
        <v>121</v>
      </c>
      <c r="W3682" s="22" t="s">
        <v>109</v>
      </c>
      <c r="X3682" s="104">
        <v>12200000</v>
      </c>
      <c r="Y3682" s="195" t="str">
        <f t="shared" si="1097"/>
        <v>1</v>
      </c>
      <c r="Z3682" s="196">
        <f t="shared" si="1080"/>
        <v>12200000</v>
      </c>
      <c r="AA3682" s="22">
        <v>5.1799999999999999E-2</v>
      </c>
      <c r="AB3682" s="197">
        <f t="shared" si="1096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3"/>
        <v>32082250.320460182</v>
      </c>
      <c r="AJ3682" s="200">
        <f t="shared" si="1084"/>
        <v>4323122.9746477893</v>
      </c>
      <c r="AK3682" s="201">
        <f t="shared" si="1089"/>
        <v>0.1347512388147771</v>
      </c>
      <c r="AL3682" s="24"/>
      <c r="AM3682" s="24"/>
      <c r="AN3682" s="24"/>
      <c r="AO3682" s="24"/>
      <c r="AP3682" s="165" t="str">
        <f t="shared" si="1090"/>
        <v>202411</v>
      </c>
      <c r="AQ3682" s="203" t="str">
        <f t="shared" si="1091"/>
        <v>202411JPY</v>
      </c>
      <c r="AR3682" s="206" t="str">
        <f t="shared" si="1092"/>
        <v>YAMAHA_Mounter</v>
      </c>
      <c r="AS3682" s="22">
        <f t="shared" si="1093"/>
        <v>3</v>
      </c>
      <c r="AT3682" s="24" t="str">
        <f t="shared" si="1094"/>
        <v>0-3 months</v>
      </c>
      <c r="AU3682" s="22" t="s">
        <v>3745</v>
      </c>
    </row>
    <row r="3683" spans="1:47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79"/>
        <v>Q2</v>
      </c>
      <c r="E3683" s="33" t="str">
        <f t="shared" si="1095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3540</v>
      </c>
      <c r="K3683" s="29" t="s">
        <v>1888</v>
      </c>
      <c r="L3683" s="24" t="s">
        <v>92</v>
      </c>
      <c r="M3683" s="13" t="s">
        <v>60</v>
      </c>
      <c r="N3683" s="13">
        <v>1</v>
      </c>
      <c r="O3683" s="22"/>
      <c r="P3683" s="202" t="str">
        <f t="shared" si="1098"/>
        <v>MAIN UNIT</v>
      </c>
      <c r="Q3683" s="22" t="s">
        <v>61</v>
      </c>
      <c r="R3683" s="22" t="s">
        <v>62</v>
      </c>
      <c r="S3683" s="22" t="s">
        <v>49</v>
      </c>
      <c r="T3683" s="22" t="s">
        <v>78</v>
      </c>
      <c r="U3683" s="22" t="s">
        <v>120</v>
      </c>
      <c r="V3683" s="22" t="s">
        <v>121</v>
      </c>
      <c r="W3683" s="22" t="s">
        <v>109</v>
      </c>
      <c r="X3683" s="104">
        <v>12200000</v>
      </c>
      <c r="Y3683" s="195" t="str">
        <f t="shared" si="1097"/>
        <v>1</v>
      </c>
      <c r="Z3683" s="196">
        <f t="shared" si="1080"/>
        <v>12200000</v>
      </c>
      <c r="AA3683" s="22">
        <v>5.1799999999999999E-2</v>
      </c>
      <c r="AB3683" s="197">
        <f t="shared" si="1096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3"/>
        <v>32082250.320460182</v>
      </c>
      <c r="AJ3683" s="200">
        <f t="shared" si="1084"/>
        <v>4323122.9746477893</v>
      </c>
      <c r="AK3683" s="201">
        <f t="shared" si="1089"/>
        <v>0.1347512388147771</v>
      </c>
      <c r="AL3683" s="24"/>
      <c r="AM3683" s="24"/>
      <c r="AN3683" s="24"/>
      <c r="AO3683" s="24"/>
      <c r="AP3683" s="165" t="str">
        <f t="shared" si="1090"/>
        <v>202411</v>
      </c>
      <c r="AQ3683" s="203" t="str">
        <f t="shared" si="1091"/>
        <v>202411JPY</v>
      </c>
      <c r="AR3683" s="206" t="str">
        <f t="shared" si="1092"/>
        <v>YAMAHA_Mounter</v>
      </c>
      <c r="AS3683" s="22">
        <f t="shared" si="1093"/>
        <v>3</v>
      </c>
      <c r="AT3683" s="24" t="str">
        <f t="shared" si="1094"/>
        <v>0-3 months</v>
      </c>
      <c r="AU3683" s="22" t="s">
        <v>3745</v>
      </c>
    </row>
    <row r="3684" spans="1:47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79"/>
        <v>Q2</v>
      </c>
      <c r="E3684" s="33" t="str">
        <f t="shared" si="1095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3540</v>
      </c>
      <c r="K3684" s="29" t="s">
        <v>1888</v>
      </c>
      <c r="L3684" s="24" t="s">
        <v>92</v>
      </c>
      <c r="M3684" s="13" t="s">
        <v>60</v>
      </c>
      <c r="N3684" s="13">
        <v>1</v>
      </c>
      <c r="O3684" s="22"/>
      <c r="P3684" s="202" t="str">
        <f t="shared" si="1098"/>
        <v>MAIN UNIT</v>
      </c>
      <c r="Q3684" s="22" t="s">
        <v>61</v>
      </c>
      <c r="R3684" s="22" t="s">
        <v>62</v>
      </c>
      <c r="S3684" s="22" t="s">
        <v>49</v>
      </c>
      <c r="T3684" s="22" t="s">
        <v>78</v>
      </c>
      <c r="U3684" s="22" t="s">
        <v>120</v>
      </c>
      <c r="V3684" s="22" t="s">
        <v>121</v>
      </c>
      <c r="W3684" s="22" t="s">
        <v>109</v>
      </c>
      <c r="X3684" s="104">
        <v>12200000</v>
      </c>
      <c r="Y3684" s="195" t="str">
        <f t="shared" si="1097"/>
        <v>1</v>
      </c>
      <c r="Z3684" s="196">
        <f t="shared" si="1080"/>
        <v>12200000</v>
      </c>
      <c r="AA3684" s="22">
        <v>5.1799999999999999E-2</v>
      </c>
      <c r="AB3684" s="197">
        <f t="shared" si="1096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3"/>
        <v>32082250.320460182</v>
      </c>
      <c r="AJ3684" s="200">
        <f t="shared" si="1084"/>
        <v>4323122.9746477893</v>
      </c>
      <c r="AK3684" s="201">
        <f t="shared" si="1089"/>
        <v>0.1347512388147771</v>
      </c>
      <c r="AL3684" s="24"/>
      <c r="AM3684" s="24"/>
      <c r="AN3684" s="24"/>
      <c r="AO3684" s="24"/>
      <c r="AP3684" s="165" t="str">
        <f t="shared" si="1090"/>
        <v>202411</v>
      </c>
      <c r="AQ3684" s="203" t="str">
        <f t="shared" si="1091"/>
        <v>202411JPY</v>
      </c>
      <c r="AR3684" s="206" t="str">
        <f t="shared" si="1092"/>
        <v>YAMAHA_Mounter</v>
      </c>
      <c r="AS3684" s="22">
        <f t="shared" si="1093"/>
        <v>3</v>
      </c>
      <c r="AT3684" s="24" t="str">
        <f t="shared" si="1094"/>
        <v>0-3 months</v>
      </c>
      <c r="AU3684" s="22" t="s">
        <v>3745</v>
      </c>
    </row>
    <row r="3685" spans="1:47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79"/>
        <v>Q2</v>
      </c>
      <c r="E3685" s="33" t="str">
        <f t="shared" si="1095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3540</v>
      </c>
      <c r="K3685" s="29" t="s">
        <v>1888</v>
      </c>
      <c r="L3685" s="24" t="s">
        <v>67</v>
      </c>
      <c r="M3685" s="13" t="s">
        <v>60</v>
      </c>
      <c r="N3685" s="13">
        <v>1</v>
      </c>
      <c r="O3685" s="22"/>
      <c r="P3685" s="202" t="str">
        <f t="shared" si="1098"/>
        <v>MAIN UNIT</v>
      </c>
      <c r="Q3685" s="22" t="s">
        <v>61</v>
      </c>
      <c r="R3685" s="22" t="s">
        <v>62</v>
      </c>
      <c r="S3685" s="22" t="s">
        <v>49</v>
      </c>
      <c r="T3685" s="22" t="s">
        <v>78</v>
      </c>
      <c r="U3685" s="22" t="s">
        <v>120</v>
      </c>
      <c r="V3685" s="22" t="s">
        <v>121</v>
      </c>
      <c r="W3685" s="22" t="s">
        <v>109</v>
      </c>
      <c r="X3685" s="104">
        <v>7200000</v>
      </c>
      <c r="Y3685" s="195" t="str">
        <f t="shared" si="1097"/>
        <v>1</v>
      </c>
      <c r="Z3685" s="196">
        <f t="shared" si="1080"/>
        <v>7200000</v>
      </c>
      <c r="AA3685" s="22">
        <v>5.1799999999999999E-2</v>
      </c>
      <c r="AB3685" s="197">
        <f t="shared" si="1096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3"/>
        <v>32082250.320460182</v>
      </c>
      <c r="AJ3685" s="200">
        <f t="shared" si="1084"/>
        <v>4323122.9746477893</v>
      </c>
      <c r="AK3685" s="201">
        <f t="shared" si="1089"/>
        <v>0.1347512388147771</v>
      </c>
      <c r="AL3685" s="24"/>
      <c r="AM3685" s="24"/>
      <c r="AN3685" s="24"/>
      <c r="AO3685" s="24"/>
      <c r="AP3685" s="165" t="str">
        <f t="shared" si="1090"/>
        <v>202411</v>
      </c>
      <c r="AQ3685" s="203" t="str">
        <f t="shared" si="1091"/>
        <v>202411JPY</v>
      </c>
      <c r="AR3685" s="206" t="str">
        <f t="shared" si="1092"/>
        <v>YAMAHA_Mounter</v>
      </c>
      <c r="AS3685" s="22">
        <f t="shared" si="1093"/>
        <v>3</v>
      </c>
      <c r="AT3685" s="24" t="str">
        <f t="shared" si="1094"/>
        <v>0-3 months</v>
      </c>
      <c r="AU3685" s="22" t="s">
        <v>3745</v>
      </c>
    </row>
    <row r="3686" spans="1:47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79"/>
        <v>Q2</v>
      </c>
      <c r="E3686" s="33" t="str">
        <f t="shared" si="1095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3540</v>
      </c>
      <c r="K3686" s="29" t="s">
        <v>1888</v>
      </c>
      <c r="L3686" s="24" t="s">
        <v>67</v>
      </c>
      <c r="M3686" s="13" t="s">
        <v>60</v>
      </c>
      <c r="N3686" s="13">
        <v>1</v>
      </c>
      <c r="O3686" s="22"/>
      <c r="P3686" s="202" t="str">
        <f t="shared" si="1098"/>
        <v>MAIN UNIT</v>
      </c>
      <c r="Q3686" s="22" t="s">
        <v>61</v>
      </c>
      <c r="R3686" s="22" t="s">
        <v>62</v>
      </c>
      <c r="S3686" s="22" t="s">
        <v>49</v>
      </c>
      <c r="T3686" s="22" t="s">
        <v>78</v>
      </c>
      <c r="U3686" s="22" t="s">
        <v>120</v>
      </c>
      <c r="V3686" s="22" t="s">
        <v>121</v>
      </c>
      <c r="W3686" s="22" t="s">
        <v>109</v>
      </c>
      <c r="X3686" s="104">
        <v>7200000</v>
      </c>
      <c r="Y3686" s="195" t="str">
        <f t="shared" si="1097"/>
        <v>1</v>
      </c>
      <c r="Z3686" s="196">
        <f t="shared" si="1080"/>
        <v>7200000</v>
      </c>
      <c r="AA3686" s="22">
        <v>5.1799999999999999E-2</v>
      </c>
      <c r="AB3686" s="197">
        <f t="shared" si="1096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3"/>
        <v>32082250.320460182</v>
      </c>
      <c r="AJ3686" s="200">
        <f t="shared" si="1084"/>
        <v>4323122.9746477893</v>
      </c>
      <c r="AK3686" s="201">
        <f t="shared" si="1089"/>
        <v>0.1347512388147771</v>
      </c>
      <c r="AL3686" s="24"/>
      <c r="AM3686" s="24"/>
      <c r="AN3686" s="24"/>
      <c r="AO3686" s="24"/>
      <c r="AP3686" s="165" t="str">
        <f t="shared" si="1090"/>
        <v>202411</v>
      </c>
      <c r="AQ3686" s="203" t="str">
        <f t="shared" si="1091"/>
        <v>202411JPY</v>
      </c>
      <c r="AR3686" s="206" t="str">
        <f t="shared" si="1092"/>
        <v>YAMAHA_Mounter</v>
      </c>
      <c r="AS3686" s="22">
        <f t="shared" si="1093"/>
        <v>3</v>
      </c>
      <c r="AT3686" s="24" t="str">
        <f t="shared" si="1094"/>
        <v>0-3 months</v>
      </c>
      <c r="AU3686" s="22" t="s">
        <v>3745</v>
      </c>
    </row>
    <row r="3687" spans="1:47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79"/>
        <v>Q2</v>
      </c>
      <c r="E3687" s="33" t="str">
        <f t="shared" ref="E3687:E3718" si="1099">IF(G3687="Cancel","Cancel",IF(G3687="TBA","TBA",IFERROR(IF(I3687="Q4","FY "&amp;RIGHT(F3687,2)-1&amp;"/"&amp;RIGHT(F3687,2),"FY "&amp;RIGHT(F3687,2)&amp;"/"&amp;RIGHT(F3687,2)+1),"")))</f>
        <v>Cancel</v>
      </c>
      <c r="F3687" s="23" t="s">
        <v>185</v>
      </c>
      <c r="G3687" s="23" t="s">
        <v>185</v>
      </c>
      <c r="H3687" s="29"/>
      <c r="I3687" s="204" t="str">
        <f t="shared" si="1086"/>
        <v>Cancel</v>
      </c>
      <c r="J3687" s="188" t="s">
        <v>3541</v>
      </c>
      <c r="K3687" s="29" t="s">
        <v>3542</v>
      </c>
      <c r="L3687" s="24" t="s">
        <v>92</v>
      </c>
      <c r="M3687" s="13" t="s">
        <v>60</v>
      </c>
      <c r="N3687" s="13">
        <v>1</v>
      </c>
      <c r="O3687" s="22"/>
      <c r="P3687" s="202" t="str">
        <f t="shared" si="1098"/>
        <v>MAIN UNIT</v>
      </c>
      <c r="Q3687" s="22" t="s">
        <v>68</v>
      </c>
      <c r="R3687" s="22" t="s">
        <v>62</v>
      </c>
      <c r="S3687" s="22" t="s">
        <v>49</v>
      </c>
      <c r="T3687" s="22" t="s">
        <v>78</v>
      </c>
      <c r="U3687" s="22" t="s">
        <v>1071</v>
      </c>
      <c r="V3687" s="22" t="s">
        <v>3095</v>
      </c>
      <c r="W3687" s="22" t="s">
        <v>109</v>
      </c>
      <c r="X3687" s="104">
        <v>15530000</v>
      </c>
      <c r="Y3687" s="195" t="str">
        <f t="shared" si="1097"/>
        <v>1</v>
      </c>
      <c r="Z3687" s="196">
        <f t="shared" si="1080"/>
        <v>15530000</v>
      </c>
      <c r="AA3687" s="22">
        <v>5.1799999999999999E-2</v>
      </c>
      <c r="AB3687" s="197">
        <f t="shared" si="1096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3"/>
        <v>499582152.5142017</v>
      </c>
      <c r="AJ3687" s="200">
        <f t="shared" si="1084"/>
        <v>59520528.679470733</v>
      </c>
      <c r="AK3687" s="201">
        <f t="shared" si="1089"/>
        <v>0.11914062257814291</v>
      </c>
      <c r="AL3687" s="24"/>
      <c r="AM3687" s="24"/>
      <c r="AN3687" s="24"/>
      <c r="AO3687" s="24"/>
      <c r="AP3687" s="165" t="str">
        <f t="shared" si="1090"/>
        <v>CancelCancel</v>
      </c>
      <c r="AQ3687" s="203" t="str">
        <f t="shared" si="1091"/>
        <v>CancelCancelJPY</v>
      </c>
      <c r="AR3687" s="206" t="str">
        <f t="shared" si="1092"/>
        <v>YAMAHA_Mounter</v>
      </c>
      <c r="AS3687" s="22" t="str">
        <f t="shared" si="1093"/>
        <v/>
      </c>
      <c r="AT3687" s="24" t="str">
        <f t="shared" si="1094"/>
        <v/>
      </c>
      <c r="AU3687" s="22" t="s">
        <v>3745</v>
      </c>
    </row>
    <row r="3688" spans="1:47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79"/>
        <v>Q2</v>
      </c>
      <c r="E3688" s="33" t="str">
        <f t="shared" si="1099"/>
        <v>Cancel</v>
      </c>
      <c r="F3688" s="23" t="s">
        <v>185</v>
      </c>
      <c r="G3688" s="23" t="s">
        <v>185</v>
      </c>
      <c r="H3688" s="29"/>
      <c r="I3688" s="204" t="str">
        <f t="shared" si="1086"/>
        <v>Cancel</v>
      </c>
      <c r="J3688" s="188" t="s">
        <v>3541</v>
      </c>
      <c r="K3688" s="29" t="s">
        <v>3542</v>
      </c>
      <c r="L3688" s="24" t="s">
        <v>67</v>
      </c>
      <c r="M3688" s="13" t="s">
        <v>60</v>
      </c>
      <c r="N3688" s="13">
        <v>1</v>
      </c>
      <c r="O3688" s="22"/>
      <c r="P3688" s="202" t="str">
        <f t="shared" si="1098"/>
        <v>MAIN UNIT</v>
      </c>
      <c r="Q3688" s="22" t="s">
        <v>68</v>
      </c>
      <c r="R3688" s="22" t="s">
        <v>62</v>
      </c>
      <c r="S3688" s="22" t="s">
        <v>49</v>
      </c>
      <c r="T3688" s="22" t="s">
        <v>78</v>
      </c>
      <c r="U3688" s="22" t="s">
        <v>1071</v>
      </c>
      <c r="V3688" s="22" t="s">
        <v>3095</v>
      </c>
      <c r="W3688" s="22" t="s">
        <v>109</v>
      </c>
      <c r="X3688" s="104">
        <v>8170000</v>
      </c>
      <c r="Y3688" s="195" t="str">
        <f t="shared" si="1097"/>
        <v>1</v>
      </c>
      <c r="Z3688" s="196">
        <f t="shared" si="1080"/>
        <v>8170000</v>
      </c>
      <c r="AA3688" s="22">
        <v>5.1799999999999999E-2</v>
      </c>
      <c r="AB3688" s="197">
        <f t="shared" si="1096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3"/>
        <v>499582152.5142017</v>
      </c>
      <c r="AJ3688" s="200">
        <f t="shared" si="1084"/>
        <v>59520528.679470733</v>
      </c>
      <c r="AK3688" s="201">
        <f t="shared" si="1089"/>
        <v>0.11914062257814291</v>
      </c>
      <c r="AL3688" s="24"/>
      <c r="AM3688" s="24"/>
      <c r="AN3688" s="24"/>
      <c r="AO3688" s="24"/>
      <c r="AP3688" s="165" t="str">
        <f t="shared" si="1090"/>
        <v>CancelCancel</v>
      </c>
      <c r="AQ3688" s="203" t="str">
        <f t="shared" si="1091"/>
        <v>CancelCancelJPY</v>
      </c>
      <c r="AR3688" s="206" t="str">
        <f t="shared" si="1092"/>
        <v>YAMAHA_Mounter</v>
      </c>
      <c r="AS3688" s="22" t="str">
        <f t="shared" si="1093"/>
        <v/>
      </c>
      <c r="AT3688" s="24" t="str">
        <f t="shared" si="1094"/>
        <v/>
      </c>
      <c r="AU3688" s="22" t="s">
        <v>3745</v>
      </c>
    </row>
    <row r="3689" spans="1:47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79"/>
        <v>Q2</v>
      </c>
      <c r="E3689" s="33" t="str">
        <f t="shared" si="1099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3535</v>
      </c>
      <c r="K3689" s="29" t="s">
        <v>1399</v>
      </c>
      <c r="L3689" s="24" t="s">
        <v>67</v>
      </c>
      <c r="M3689" s="13" t="s">
        <v>60</v>
      </c>
      <c r="N3689" s="13">
        <v>1</v>
      </c>
      <c r="O3689" s="22"/>
      <c r="P3689" s="202" t="str">
        <f t="shared" si="1098"/>
        <v>MAIN UNIT</v>
      </c>
      <c r="Q3689" s="22" t="s">
        <v>61</v>
      </c>
      <c r="R3689" s="22" t="s">
        <v>62</v>
      </c>
      <c r="S3689" s="22" t="s">
        <v>50</v>
      </c>
      <c r="T3689" s="22" t="s">
        <v>88</v>
      </c>
      <c r="U3689" s="22" t="s">
        <v>70</v>
      </c>
      <c r="V3689" s="22" t="s">
        <v>1400</v>
      </c>
      <c r="W3689" s="22" t="s">
        <v>64</v>
      </c>
      <c r="X3689" s="104">
        <v>397500</v>
      </c>
      <c r="Y3689" s="195" t="str">
        <f t="shared" si="1097"/>
        <v>1.13</v>
      </c>
      <c r="Z3689" s="196">
        <f t="shared" si="1080"/>
        <v>397500</v>
      </c>
      <c r="AA3689" s="22">
        <v>1.0980000000000001</v>
      </c>
      <c r="AB3689" s="197">
        <f t="shared" ref="AB3689:AB3720" si="1100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3"/>
        <v>35931087.732566379</v>
      </c>
      <c r="AJ3689" s="200">
        <f t="shared" si="1084"/>
        <v>4347120.3954975223</v>
      </c>
      <c r="AK3689" s="201">
        <f t="shared" si="1089"/>
        <v>0.12098493727362117</v>
      </c>
      <c r="AL3689" s="24"/>
      <c r="AM3689" s="24"/>
      <c r="AN3689" s="24"/>
      <c r="AO3689" s="24"/>
      <c r="AP3689" s="165" t="str">
        <f t="shared" si="1090"/>
        <v>20249</v>
      </c>
      <c r="AQ3689" s="203" t="str">
        <f t="shared" si="1091"/>
        <v>20249RMB</v>
      </c>
      <c r="AR3689" s="206" t="str">
        <f t="shared" si="1092"/>
        <v>YAMAHA_Mounter</v>
      </c>
      <c r="AS3689" s="22">
        <f t="shared" si="1093"/>
        <v>1</v>
      </c>
      <c r="AT3689" s="24" t="str">
        <f t="shared" si="1094"/>
        <v>0-3 months</v>
      </c>
      <c r="AU3689" s="22" t="s">
        <v>3240</v>
      </c>
    </row>
    <row r="3690" spans="1:47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79"/>
        <v>Q2</v>
      </c>
      <c r="E3690" s="33" t="str">
        <f t="shared" si="1099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3535</v>
      </c>
      <c r="K3690" s="29" t="s">
        <v>1399</v>
      </c>
      <c r="L3690" s="24" t="s">
        <v>67</v>
      </c>
      <c r="M3690" s="13" t="s">
        <v>60</v>
      </c>
      <c r="N3690" s="13">
        <v>1</v>
      </c>
      <c r="O3690" s="22"/>
      <c r="P3690" s="202" t="str">
        <f t="shared" si="1098"/>
        <v>MAIN UNIT</v>
      </c>
      <c r="Q3690" s="22" t="s">
        <v>61</v>
      </c>
      <c r="R3690" s="22" t="s">
        <v>62</v>
      </c>
      <c r="S3690" s="22" t="s">
        <v>50</v>
      </c>
      <c r="T3690" s="22" t="s">
        <v>88</v>
      </c>
      <c r="U3690" s="22" t="s">
        <v>70</v>
      </c>
      <c r="V3690" s="22" t="s">
        <v>1400</v>
      </c>
      <c r="W3690" s="22" t="s">
        <v>64</v>
      </c>
      <c r="X3690" s="104">
        <v>397500</v>
      </c>
      <c r="Y3690" s="195" t="str">
        <f t="shared" si="1097"/>
        <v>1.13</v>
      </c>
      <c r="Z3690" s="196">
        <f t="shared" si="1080"/>
        <v>397500</v>
      </c>
      <c r="AA3690" s="22">
        <v>1.0980000000000001</v>
      </c>
      <c r="AB3690" s="197">
        <f t="shared" si="1100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3"/>
        <v>35931087.732566379</v>
      </c>
      <c r="AJ3690" s="200">
        <f t="shared" si="1084"/>
        <v>4347120.3954975223</v>
      </c>
      <c r="AK3690" s="201">
        <f t="shared" si="1089"/>
        <v>0.12098493727362117</v>
      </c>
      <c r="AL3690" s="24"/>
      <c r="AM3690" s="24"/>
      <c r="AN3690" s="24"/>
      <c r="AO3690" s="24"/>
      <c r="AP3690" s="165" t="str">
        <f t="shared" si="1090"/>
        <v>20249</v>
      </c>
      <c r="AQ3690" s="203" t="str">
        <f t="shared" si="1091"/>
        <v>20249RMB</v>
      </c>
      <c r="AR3690" s="206" t="str">
        <f t="shared" si="1092"/>
        <v>YAMAHA_Mounter</v>
      </c>
      <c r="AS3690" s="22">
        <f t="shared" si="1093"/>
        <v>1</v>
      </c>
      <c r="AT3690" s="24" t="str">
        <f t="shared" si="1094"/>
        <v>0-3 months</v>
      </c>
      <c r="AU3690" s="22" t="s">
        <v>3240</v>
      </c>
    </row>
    <row r="3691" spans="1:47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79"/>
        <v>Q3</v>
      </c>
      <c r="E3691" s="33" t="str">
        <f t="shared" si="1099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3181</v>
      </c>
      <c r="K3691" s="29" t="s">
        <v>411</v>
      </c>
      <c r="L3691" s="17" t="s">
        <v>2620</v>
      </c>
      <c r="M3691" s="22" t="s">
        <v>60</v>
      </c>
      <c r="N3691" s="22">
        <v>1</v>
      </c>
      <c r="O3691" s="22"/>
      <c r="P3691" s="33" t="str">
        <f t="shared" si="1098"/>
        <v>MAIN UNIT</v>
      </c>
      <c r="Q3691" s="13" t="s">
        <v>61</v>
      </c>
      <c r="R3691" s="22" t="s">
        <v>2055</v>
      </c>
      <c r="S3691" s="22" t="s">
        <v>52</v>
      </c>
      <c r="T3691" s="22" t="s">
        <v>412</v>
      </c>
      <c r="U3691" s="22" t="s">
        <v>1077</v>
      </c>
      <c r="V3691" s="22" t="s">
        <v>143</v>
      </c>
      <c r="W3691" s="22" t="s">
        <v>64</v>
      </c>
      <c r="X3691" s="30">
        <v>350000</v>
      </c>
      <c r="Y3691" s="31" t="str">
        <f t="shared" si="1097"/>
        <v>1.13</v>
      </c>
      <c r="Z3691" s="18">
        <f t="shared" si="1080"/>
        <v>350000</v>
      </c>
      <c r="AA3691" s="22">
        <v>1.0980000000000001</v>
      </c>
      <c r="AB3691" s="21">
        <f t="shared" si="1100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3"/>
        <v>35931087.732566379</v>
      </c>
      <c r="AJ3691" s="27">
        <f t="shared" si="1084"/>
        <v>4347120.3954975223</v>
      </c>
      <c r="AK3691" s="28">
        <f t="shared" si="1089"/>
        <v>0.12098493727362117</v>
      </c>
      <c r="AL3691" s="24"/>
      <c r="AM3691" s="24"/>
      <c r="AN3691" s="24"/>
      <c r="AO3691" s="24"/>
      <c r="AP3691" s="95" t="str">
        <f t="shared" si="1090"/>
        <v>20249</v>
      </c>
      <c r="AQ3691" s="203" t="str">
        <f t="shared" si="1091"/>
        <v>20249RMB</v>
      </c>
      <c r="AR3691" s="206" t="str">
        <f t="shared" si="1092"/>
        <v>YAMAHA_Non_Mounter</v>
      </c>
      <c r="AS3691" s="22">
        <f t="shared" si="1093"/>
        <v>9</v>
      </c>
      <c r="AT3691" s="24" t="str">
        <f t="shared" si="1094"/>
        <v>&gt; 6 months</v>
      </c>
      <c r="AU3691" s="22" t="s">
        <v>3240</v>
      </c>
    </row>
    <row r="3692" spans="1:47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79"/>
        <v>Q2</v>
      </c>
      <c r="E3692" s="33" t="str">
        <f t="shared" si="1099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3539</v>
      </c>
      <c r="K3692" s="29" t="s">
        <v>712</v>
      </c>
      <c r="L3692" s="24" t="s">
        <v>92</v>
      </c>
      <c r="M3692" s="13" t="s">
        <v>60</v>
      </c>
      <c r="N3692" s="13">
        <v>1</v>
      </c>
      <c r="O3692" s="22"/>
      <c r="P3692" s="202" t="str">
        <f t="shared" si="1098"/>
        <v>MAIN UNIT</v>
      </c>
      <c r="Q3692" s="22" t="s">
        <v>61</v>
      </c>
      <c r="R3692" s="22" t="s">
        <v>62</v>
      </c>
      <c r="S3692" s="22" t="s">
        <v>49</v>
      </c>
      <c r="T3692" s="22" t="s">
        <v>78</v>
      </c>
      <c r="U3692" s="22" t="s">
        <v>120</v>
      </c>
      <c r="V3692" s="22" t="s">
        <v>112</v>
      </c>
      <c r="W3692" s="22" t="s">
        <v>64</v>
      </c>
      <c r="X3692" s="104">
        <v>810000</v>
      </c>
      <c r="Y3692" s="195" t="str">
        <f t="shared" si="1097"/>
        <v>1.13</v>
      </c>
      <c r="Z3692" s="196">
        <f t="shared" si="1080"/>
        <v>810000</v>
      </c>
      <c r="AA3692" s="22">
        <v>1.0980000000000001</v>
      </c>
      <c r="AB3692" s="197">
        <f t="shared" si="1100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3"/>
        <v>35931087.732566379</v>
      </c>
      <c r="AJ3692" s="200">
        <f t="shared" si="1084"/>
        <v>4347120.3954975223</v>
      </c>
      <c r="AK3692" s="201">
        <f t="shared" si="1089"/>
        <v>0.12098493727362117</v>
      </c>
      <c r="AL3692" s="24"/>
      <c r="AM3692" s="24"/>
      <c r="AN3692" s="24"/>
      <c r="AO3692" s="24"/>
      <c r="AP3692" s="165" t="str">
        <f t="shared" si="1090"/>
        <v>20249</v>
      </c>
      <c r="AQ3692" s="203" t="str">
        <f t="shared" si="1091"/>
        <v>20249RMB</v>
      </c>
      <c r="AR3692" s="206" t="str">
        <f t="shared" si="1092"/>
        <v>YAMAHA_Mounter</v>
      </c>
      <c r="AS3692" s="22">
        <f t="shared" si="1093"/>
        <v>1</v>
      </c>
      <c r="AT3692" s="24" t="str">
        <f t="shared" si="1094"/>
        <v>0-3 months</v>
      </c>
      <c r="AU3692" s="22" t="s">
        <v>3751</v>
      </c>
    </row>
    <row r="3693" spans="1:47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79"/>
        <v>Q2</v>
      </c>
      <c r="E3693" s="33" t="str">
        <f t="shared" si="1099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3543</v>
      </c>
      <c r="K3693" s="29" t="s">
        <v>2716</v>
      </c>
      <c r="L3693" s="24" t="s">
        <v>3698</v>
      </c>
      <c r="M3693" s="13" t="s">
        <v>60</v>
      </c>
      <c r="N3693" s="13">
        <v>1</v>
      </c>
      <c r="O3693" s="22"/>
      <c r="P3693" s="202" t="str">
        <f t="shared" si="1098"/>
        <v>MAIN UNIT</v>
      </c>
      <c r="Q3693" s="22" t="s">
        <v>61</v>
      </c>
      <c r="R3693" s="22" t="s">
        <v>62</v>
      </c>
      <c r="S3693" s="22" t="s">
        <v>49</v>
      </c>
      <c r="T3693" s="22" t="s">
        <v>78</v>
      </c>
      <c r="U3693" s="22" t="s">
        <v>78</v>
      </c>
      <c r="V3693" s="22" t="s">
        <v>1407</v>
      </c>
      <c r="W3693" s="22" t="s">
        <v>109</v>
      </c>
      <c r="X3693" s="104">
        <v>16400000</v>
      </c>
      <c r="Y3693" s="195" t="str">
        <f t="shared" si="1097"/>
        <v>1</v>
      </c>
      <c r="Z3693" s="196">
        <f t="shared" si="1080"/>
        <v>16400000</v>
      </c>
      <c r="AA3693" s="22">
        <v>5.1799999999999999E-2</v>
      </c>
      <c r="AB3693" s="197">
        <f t="shared" si="1100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3"/>
        <v>32082250.320460182</v>
      </c>
      <c r="AJ3693" s="200">
        <f t="shared" si="1084"/>
        <v>4323122.9746477893</v>
      </c>
      <c r="AK3693" s="201">
        <f t="shared" si="1089"/>
        <v>0.1347512388147771</v>
      </c>
      <c r="AL3693" s="24"/>
      <c r="AM3693" s="24"/>
      <c r="AN3693" s="24"/>
      <c r="AO3693" s="24"/>
      <c r="AP3693" s="165" t="str">
        <f t="shared" si="1090"/>
        <v>202411</v>
      </c>
      <c r="AQ3693" s="203" t="str">
        <f t="shared" si="1091"/>
        <v>202411JPY</v>
      </c>
      <c r="AR3693" s="206" t="str">
        <f t="shared" si="1092"/>
        <v>YAMAHA_Mounter</v>
      </c>
      <c r="AS3693" s="22">
        <f t="shared" si="1093"/>
        <v>2</v>
      </c>
      <c r="AT3693" s="24" t="str">
        <f t="shared" si="1094"/>
        <v>0-3 months</v>
      </c>
      <c r="AU3693" s="22" t="s">
        <v>3745</v>
      </c>
    </row>
    <row r="3694" spans="1:47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79"/>
        <v>Q2</v>
      </c>
      <c r="E3694" s="33" t="str">
        <f t="shared" si="1099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3544</v>
      </c>
      <c r="K3694" s="29" t="s">
        <v>2716</v>
      </c>
      <c r="L3694" s="24" t="s">
        <v>3698</v>
      </c>
      <c r="M3694" s="13" t="s">
        <v>60</v>
      </c>
      <c r="N3694" s="13">
        <v>1</v>
      </c>
      <c r="O3694" s="22"/>
      <c r="P3694" s="202" t="str">
        <f t="shared" si="1098"/>
        <v>MAIN UNIT</v>
      </c>
      <c r="Q3694" s="22" t="s">
        <v>61</v>
      </c>
      <c r="R3694" s="22" t="s">
        <v>62</v>
      </c>
      <c r="S3694" s="22" t="s">
        <v>49</v>
      </c>
      <c r="T3694" s="22" t="s">
        <v>78</v>
      </c>
      <c r="U3694" s="22" t="s">
        <v>78</v>
      </c>
      <c r="V3694" s="22" t="s">
        <v>1407</v>
      </c>
      <c r="W3694" s="22" t="s">
        <v>64</v>
      </c>
      <c r="X3694" s="104">
        <v>930000</v>
      </c>
      <c r="Y3694" s="195" t="str">
        <f t="shared" si="1097"/>
        <v>1.13</v>
      </c>
      <c r="Z3694" s="196">
        <f t="shared" si="1080"/>
        <v>930000</v>
      </c>
      <c r="AA3694" s="22">
        <v>1.1080000000000001</v>
      </c>
      <c r="AB3694" s="197">
        <f t="shared" si="1100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3"/>
        <v>22758096.38940867</v>
      </c>
      <c r="AJ3694" s="200">
        <f t="shared" si="1084"/>
        <v>2469357.2298956565</v>
      </c>
      <c r="AK3694" s="201">
        <f t="shared" si="1089"/>
        <v>0.10850455976822666</v>
      </c>
      <c r="AL3694" s="24"/>
      <c r="AM3694" s="24"/>
      <c r="AN3694" s="24"/>
      <c r="AO3694" s="24"/>
      <c r="AP3694" s="165" t="str">
        <f t="shared" si="1090"/>
        <v>202410</v>
      </c>
      <c r="AQ3694" s="203" t="str">
        <f t="shared" si="1091"/>
        <v>202410RMB</v>
      </c>
      <c r="AR3694" s="206" t="str">
        <f t="shared" si="1092"/>
        <v>YAMAHA_Mounter</v>
      </c>
      <c r="AS3694" s="22">
        <f t="shared" si="1093"/>
        <v>1</v>
      </c>
      <c r="AT3694" s="24" t="str">
        <f t="shared" si="1094"/>
        <v>0-3 months</v>
      </c>
      <c r="AU3694" s="22" t="s">
        <v>3751</v>
      </c>
    </row>
    <row r="3695" spans="1:47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79"/>
        <v>Q2</v>
      </c>
      <c r="E3695" s="33" t="str">
        <f t="shared" si="1099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3545</v>
      </c>
      <c r="K3695" s="29" t="s">
        <v>1932</v>
      </c>
      <c r="L3695" s="24" t="s">
        <v>3698</v>
      </c>
      <c r="M3695" s="13" t="s">
        <v>60</v>
      </c>
      <c r="N3695" s="22">
        <v>1</v>
      </c>
      <c r="O3695" s="22"/>
      <c r="P3695" s="202" t="str">
        <f t="shared" si="1098"/>
        <v>MAIN UNIT</v>
      </c>
      <c r="Q3695" s="22" t="s">
        <v>61</v>
      </c>
      <c r="R3695" s="22" t="s">
        <v>62</v>
      </c>
      <c r="S3695" s="22" t="s">
        <v>49</v>
      </c>
      <c r="T3695" s="22" t="s">
        <v>78</v>
      </c>
      <c r="U3695" s="22" t="s">
        <v>120</v>
      </c>
      <c r="V3695" s="22" t="s">
        <v>112</v>
      </c>
      <c r="W3695" s="22" t="s">
        <v>64</v>
      </c>
      <c r="X3695" s="104">
        <v>779936</v>
      </c>
      <c r="Y3695" s="195" t="str">
        <f t="shared" si="1097"/>
        <v>1.13</v>
      </c>
      <c r="Z3695" s="196">
        <f t="shared" si="1080"/>
        <v>779936</v>
      </c>
      <c r="AA3695" s="22">
        <v>1.0980000000000001</v>
      </c>
      <c r="AB3695" s="197">
        <f t="shared" si="1100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3"/>
        <v>35931087.732566379</v>
      </c>
      <c r="AJ3695" s="200">
        <f t="shared" si="1084"/>
        <v>4347120.3954975223</v>
      </c>
      <c r="AK3695" s="201">
        <f t="shared" si="1089"/>
        <v>0.12098493727362117</v>
      </c>
      <c r="AL3695" s="24"/>
      <c r="AM3695" s="24"/>
      <c r="AN3695" s="24"/>
      <c r="AO3695" s="24"/>
      <c r="AP3695" s="165" t="str">
        <f t="shared" si="1090"/>
        <v>20249</v>
      </c>
      <c r="AQ3695" s="203" t="str">
        <f t="shared" si="1091"/>
        <v>20249RMB</v>
      </c>
      <c r="AR3695" s="206" t="str">
        <f t="shared" si="1092"/>
        <v>YAMAHA_Mounter</v>
      </c>
      <c r="AS3695" s="22">
        <f t="shared" si="1093"/>
        <v>0</v>
      </c>
      <c r="AT3695" s="24" t="str">
        <f t="shared" si="1094"/>
        <v>0-3 months</v>
      </c>
      <c r="AU3695" s="22" t="s">
        <v>3751</v>
      </c>
    </row>
    <row r="3696" spans="1:47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79"/>
        <v>Q2</v>
      </c>
      <c r="E3696" s="33" t="str">
        <f t="shared" si="1099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3546</v>
      </c>
      <c r="K3696" s="29" t="s">
        <v>3547</v>
      </c>
      <c r="L3696" s="24" t="s">
        <v>67</v>
      </c>
      <c r="M3696" s="13" t="s">
        <v>60</v>
      </c>
      <c r="N3696" s="22">
        <v>1</v>
      </c>
      <c r="O3696" s="22"/>
      <c r="P3696" s="202" t="str">
        <f t="shared" si="1098"/>
        <v>MAIN UNIT</v>
      </c>
      <c r="Q3696" s="22" t="s">
        <v>68</v>
      </c>
      <c r="R3696" s="22" t="s">
        <v>62</v>
      </c>
      <c r="S3696" s="22" t="s">
        <v>49</v>
      </c>
      <c r="T3696" s="22" t="s">
        <v>78</v>
      </c>
      <c r="U3696" s="22" t="s">
        <v>839</v>
      </c>
      <c r="V3696" s="22" t="s">
        <v>1407</v>
      </c>
      <c r="W3696" s="22" t="s">
        <v>64</v>
      </c>
      <c r="X3696" s="104">
        <v>420000</v>
      </c>
      <c r="Y3696" s="195" t="str">
        <f t="shared" si="1097"/>
        <v>1.13</v>
      </c>
      <c r="Z3696" s="196">
        <f t="shared" si="1080"/>
        <v>420000</v>
      </c>
      <c r="AA3696" s="22">
        <v>1.1080000000000001</v>
      </c>
      <c r="AB3696" s="197">
        <f t="shared" si="1100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3"/>
        <v>22758096.38940867</v>
      </c>
      <c r="AJ3696" s="200">
        <f t="shared" si="1084"/>
        <v>2469357.2298956565</v>
      </c>
      <c r="AK3696" s="201">
        <f t="shared" si="1089"/>
        <v>0.10850455976822666</v>
      </c>
      <c r="AL3696" s="24"/>
      <c r="AM3696" s="24"/>
      <c r="AN3696" s="24"/>
      <c r="AO3696" s="24"/>
      <c r="AP3696" s="165" t="str">
        <f t="shared" si="1090"/>
        <v>202410</v>
      </c>
      <c r="AQ3696" s="203" t="str">
        <f t="shared" si="1091"/>
        <v>202410RMB</v>
      </c>
      <c r="AR3696" s="206" t="str">
        <f t="shared" si="1092"/>
        <v>YAMAHA_Mounter</v>
      </c>
      <c r="AS3696" s="22">
        <f t="shared" si="1093"/>
        <v>1</v>
      </c>
      <c r="AT3696" s="24" t="str">
        <f t="shared" si="1094"/>
        <v>0-3 months</v>
      </c>
      <c r="AU3696" s="22" t="s">
        <v>3751</v>
      </c>
    </row>
    <row r="3697" spans="1:47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79"/>
        <v>Q2</v>
      </c>
      <c r="E3697" s="33" t="str">
        <f t="shared" si="1099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3546</v>
      </c>
      <c r="K3697" s="29" t="s">
        <v>3547</v>
      </c>
      <c r="L3697" s="24" t="s">
        <v>67</v>
      </c>
      <c r="M3697" s="13" t="s">
        <v>60</v>
      </c>
      <c r="N3697" s="22">
        <v>1</v>
      </c>
      <c r="O3697" s="22"/>
      <c r="P3697" s="202" t="str">
        <f t="shared" si="1098"/>
        <v>MAIN UNIT</v>
      </c>
      <c r="Q3697" s="22" t="s">
        <v>68</v>
      </c>
      <c r="R3697" s="22" t="s">
        <v>62</v>
      </c>
      <c r="S3697" s="22" t="s">
        <v>49</v>
      </c>
      <c r="T3697" s="22" t="s">
        <v>78</v>
      </c>
      <c r="U3697" s="22" t="s">
        <v>839</v>
      </c>
      <c r="V3697" s="22" t="s">
        <v>1407</v>
      </c>
      <c r="W3697" s="22" t="s">
        <v>64</v>
      </c>
      <c r="X3697" s="104">
        <v>420000</v>
      </c>
      <c r="Y3697" s="195" t="str">
        <f t="shared" si="1097"/>
        <v>1.13</v>
      </c>
      <c r="Z3697" s="196">
        <f t="shared" si="1080"/>
        <v>420000</v>
      </c>
      <c r="AA3697" s="22">
        <v>1.1080000000000001</v>
      </c>
      <c r="AB3697" s="197">
        <f t="shared" si="1100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3"/>
        <v>22758096.38940867</v>
      </c>
      <c r="AJ3697" s="200">
        <f t="shared" si="1084"/>
        <v>2469357.2298956565</v>
      </c>
      <c r="AK3697" s="201">
        <f t="shared" si="1089"/>
        <v>0.10850455976822666</v>
      </c>
      <c r="AL3697" s="24"/>
      <c r="AM3697" s="24"/>
      <c r="AN3697" s="24"/>
      <c r="AO3697" s="24"/>
      <c r="AP3697" s="165" t="str">
        <f t="shared" si="1090"/>
        <v>202410</v>
      </c>
      <c r="AQ3697" s="203" t="str">
        <f t="shared" si="1091"/>
        <v>202410RMB</v>
      </c>
      <c r="AR3697" s="206" t="str">
        <f t="shared" si="1092"/>
        <v>YAMAHA_Mounter</v>
      </c>
      <c r="AS3697" s="22">
        <f t="shared" si="1093"/>
        <v>1</v>
      </c>
      <c r="AT3697" s="24" t="str">
        <f t="shared" si="1094"/>
        <v>0-3 months</v>
      </c>
      <c r="AU3697" s="22" t="s">
        <v>3751</v>
      </c>
    </row>
    <row r="3698" spans="1:47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1">IF(B3698="","",IF(AND(C3698&gt;=10,C3698&lt;=12),"Q3",IF(AND(C3698&gt;=1,C3698&lt;=3),"Q4",IF(AND(C3698&gt;=7,C3698&lt;=9),"Q2",IF(AND(C3698&gt;=4,C3698&lt;=6),"Q1")))))</f>
        <v>Q2</v>
      </c>
      <c r="E3698" s="33" t="str">
        <f t="shared" si="1099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3548</v>
      </c>
      <c r="K3698" s="29" t="s">
        <v>1314</v>
      </c>
      <c r="L3698" s="24" t="s">
        <v>3549</v>
      </c>
      <c r="M3698" s="13" t="s">
        <v>60</v>
      </c>
      <c r="N3698" s="22">
        <v>1</v>
      </c>
      <c r="O3698" s="22"/>
      <c r="P3698" s="202" t="str">
        <f t="shared" si="1098"/>
        <v>MAIN UNIT</v>
      </c>
      <c r="Q3698" s="22" t="s">
        <v>61</v>
      </c>
      <c r="R3698" s="22" t="s">
        <v>62</v>
      </c>
      <c r="S3698" s="22" t="s">
        <v>49</v>
      </c>
      <c r="T3698" s="22" t="s">
        <v>78</v>
      </c>
      <c r="U3698" s="22" t="s">
        <v>1071</v>
      </c>
      <c r="V3698" s="22" t="s">
        <v>80</v>
      </c>
      <c r="W3698" s="22" t="s">
        <v>901</v>
      </c>
      <c r="X3698" s="104">
        <v>71000</v>
      </c>
      <c r="Y3698" s="195" t="str">
        <f t="shared" si="1097"/>
        <v>1</v>
      </c>
      <c r="Z3698" s="196">
        <f t="shared" ref="Z3698:Z3724" si="1102">IF(X3698="","",X3698*MAX(O3698,N3698))</f>
        <v>71000</v>
      </c>
      <c r="AA3698" s="22">
        <v>7.8</v>
      </c>
      <c r="AB3698" s="197">
        <f t="shared" si="1100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3"/>
        <v>23146578.081415929</v>
      </c>
      <c r="AJ3698" s="200">
        <f t="shared" si="1084"/>
        <v>2745231.3889985834</v>
      </c>
      <c r="AK3698" s="201">
        <f t="shared" si="1089"/>
        <v>0.11860204041143742</v>
      </c>
      <c r="AL3698" s="24"/>
      <c r="AM3698" s="24"/>
      <c r="AN3698" s="24"/>
      <c r="AO3698" s="24"/>
      <c r="AP3698" s="165" t="str">
        <f t="shared" si="1090"/>
        <v>20241</v>
      </c>
      <c r="AQ3698" s="203" t="str">
        <f t="shared" si="1091"/>
        <v>20241USD</v>
      </c>
      <c r="AR3698" s="206" t="str">
        <f t="shared" si="1092"/>
        <v>YAMAHA_Mounter</v>
      </c>
      <c r="AS3698" s="22" t="str">
        <f t="shared" si="1093"/>
        <v/>
      </c>
      <c r="AT3698" s="24" t="str">
        <f t="shared" si="1094"/>
        <v/>
      </c>
      <c r="AU3698" s="22" t="s">
        <v>3746</v>
      </c>
    </row>
    <row r="3699" spans="1:47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1"/>
        <v>Q2</v>
      </c>
      <c r="E3699" s="33" t="str">
        <f t="shared" si="1099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3550</v>
      </c>
      <c r="K3699" s="29" t="s">
        <v>1314</v>
      </c>
      <c r="L3699" s="24" t="s">
        <v>3549</v>
      </c>
      <c r="M3699" s="13" t="s">
        <v>60</v>
      </c>
      <c r="N3699" s="22">
        <v>1</v>
      </c>
      <c r="O3699" s="22"/>
      <c r="P3699" s="202" t="str">
        <f t="shared" si="1098"/>
        <v>MAIN UNIT</v>
      </c>
      <c r="Q3699" s="22" t="s">
        <v>61</v>
      </c>
      <c r="R3699" s="22" t="s">
        <v>62</v>
      </c>
      <c r="S3699" s="22" t="s">
        <v>49</v>
      </c>
      <c r="T3699" s="22" t="s">
        <v>78</v>
      </c>
      <c r="U3699" s="22" t="s">
        <v>1071</v>
      </c>
      <c r="V3699" s="22" t="s">
        <v>80</v>
      </c>
      <c r="W3699" s="22" t="s">
        <v>901</v>
      </c>
      <c r="X3699" s="104">
        <v>71000</v>
      </c>
      <c r="Y3699" s="195" t="str">
        <f t="shared" si="1097"/>
        <v>1</v>
      </c>
      <c r="Z3699" s="196">
        <f t="shared" si="1102"/>
        <v>71000</v>
      </c>
      <c r="AA3699" s="22">
        <v>7.8</v>
      </c>
      <c r="AB3699" s="197">
        <f t="shared" si="1100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3"/>
        <v>23146578.081415929</v>
      </c>
      <c r="AJ3699" s="200">
        <f t="shared" si="1084"/>
        <v>2745231.3889985834</v>
      </c>
      <c r="AK3699" s="201">
        <f t="shared" si="1089"/>
        <v>0.11860204041143742</v>
      </c>
      <c r="AL3699" s="24"/>
      <c r="AM3699" s="24"/>
      <c r="AN3699" s="24"/>
      <c r="AO3699" s="24"/>
      <c r="AP3699" s="165" t="str">
        <f t="shared" si="1090"/>
        <v>20241</v>
      </c>
      <c r="AQ3699" s="203" t="str">
        <f t="shared" si="1091"/>
        <v>20241USD</v>
      </c>
      <c r="AR3699" s="206" t="str">
        <f t="shared" si="1092"/>
        <v>YAMAHA_Mounter</v>
      </c>
      <c r="AS3699" s="22" t="str">
        <f t="shared" si="1093"/>
        <v/>
      </c>
      <c r="AT3699" s="24" t="str">
        <f t="shared" si="1094"/>
        <v/>
      </c>
      <c r="AU3699" s="22" t="s">
        <v>3746</v>
      </c>
    </row>
    <row r="3700" spans="1:47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1"/>
        <v>Q2</v>
      </c>
      <c r="E3700" s="33" t="str">
        <f t="shared" si="1099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3553</v>
      </c>
      <c r="K3700" s="29" t="s">
        <v>167</v>
      </c>
      <c r="L3700" s="24" t="s">
        <v>2620</v>
      </c>
      <c r="M3700" s="13" t="s">
        <v>60</v>
      </c>
      <c r="N3700" s="22">
        <v>1</v>
      </c>
      <c r="O3700" s="22"/>
      <c r="P3700" s="202" t="str">
        <f t="shared" si="1098"/>
        <v>MAIN UNIT</v>
      </c>
      <c r="Q3700" s="22" t="s">
        <v>61</v>
      </c>
      <c r="R3700" s="22" t="s">
        <v>2055</v>
      </c>
      <c r="S3700" s="22" t="s">
        <v>50</v>
      </c>
      <c r="T3700" s="22" t="s">
        <v>83</v>
      </c>
      <c r="U3700" s="22" t="s">
        <v>70</v>
      </c>
      <c r="V3700" s="22" t="s">
        <v>102</v>
      </c>
      <c r="W3700" s="22" t="s">
        <v>64</v>
      </c>
      <c r="X3700" s="104">
        <v>375000</v>
      </c>
      <c r="Y3700" s="195" t="str">
        <f t="shared" ref="Y3700:Y3724" si="1103">IF(W3700="","",IF(W3700="RMB","1.13", "1"))</f>
        <v>1.13</v>
      </c>
      <c r="Z3700" s="196">
        <f t="shared" si="1102"/>
        <v>375000</v>
      </c>
      <c r="AA3700" s="22">
        <v>1.1080000000000001</v>
      </c>
      <c r="AB3700" s="197">
        <f t="shared" si="1100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3"/>
        <v>22758096.38940867</v>
      </c>
      <c r="AJ3700" s="200">
        <f t="shared" si="1084"/>
        <v>2469357.2298956565</v>
      </c>
      <c r="AK3700" s="201">
        <f t="shared" si="1089"/>
        <v>0.10850455976822666</v>
      </c>
      <c r="AL3700" s="24"/>
      <c r="AM3700" s="24"/>
      <c r="AN3700" s="24"/>
      <c r="AO3700" s="24"/>
      <c r="AP3700" s="165" t="str">
        <f t="shared" si="1090"/>
        <v>202410</v>
      </c>
      <c r="AQ3700" s="203" t="str">
        <f t="shared" si="1091"/>
        <v>202410RMB</v>
      </c>
      <c r="AR3700" s="206" t="str">
        <f t="shared" si="1092"/>
        <v>YAMAHA_Non_Mounter</v>
      </c>
      <c r="AS3700" s="22">
        <f t="shared" si="1093"/>
        <v>1</v>
      </c>
      <c r="AT3700" s="24" t="str">
        <f t="shared" si="1094"/>
        <v>0-3 months</v>
      </c>
      <c r="AU3700" s="22" t="s">
        <v>3240</v>
      </c>
    </row>
    <row r="3701" spans="1:47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1"/>
        <v>Q2</v>
      </c>
      <c r="E3701" s="33" t="str">
        <f t="shared" si="1099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3553</v>
      </c>
      <c r="K3701" s="29" t="s">
        <v>167</v>
      </c>
      <c r="L3701" s="24" t="s">
        <v>2620</v>
      </c>
      <c r="M3701" s="13" t="s">
        <v>60</v>
      </c>
      <c r="N3701" s="22">
        <v>1</v>
      </c>
      <c r="O3701" s="22"/>
      <c r="P3701" s="202" t="str">
        <f t="shared" si="1098"/>
        <v>MAIN UNIT</v>
      </c>
      <c r="Q3701" s="22" t="s">
        <v>61</v>
      </c>
      <c r="R3701" s="22" t="s">
        <v>2055</v>
      </c>
      <c r="S3701" s="22" t="s">
        <v>50</v>
      </c>
      <c r="T3701" s="22" t="s">
        <v>83</v>
      </c>
      <c r="U3701" s="22" t="s">
        <v>70</v>
      </c>
      <c r="V3701" s="22" t="s">
        <v>102</v>
      </c>
      <c r="W3701" s="22" t="s">
        <v>64</v>
      </c>
      <c r="X3701" s="104">
        <v>375000</v>
      </c>
      <c r="Y3701" s="195" t="str">
        <f t="shared" si="1103"/>
        <v>1.13</v>
      </c>
      <c r="Z3701" s="196">
        <f t="shared" si="1102"/>
        <v>375000</v>
      </c>
      <c r="AA3701" s="22">
        <v>1.1080000000000001</v>
      </c>
      <c r="AB3701" s="197">
        <f t="shared" si="1100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3"/>
        <v>22758096.38940867</v>
      </c>
      <c r="AJ3701" s="200">
        <f t="shared" si="1084"/>
        <v>2469357.2298956565</v>
      </c>
      <c r="AK3701" s="201">
        <f t="shared" si="1089"/>
        <v>0.10850455976822666</v>
      </c>
      <c r="AL3701" s="24"/>
      <c r="AM3701" s="24"/>
      <c r="AN3701" s="24"/>
      <c r="AO3701" s="24"/>
      <c r="AP3701" s="165" t="str">
        <f t="shared" si="1090"/>
        <v>202410</v>
      </c>
      <c r="AQ3701" s="203" t="str">
        <f t="shared" si="1091"/>
        <v>202410RMB</v>
      </c>
      <c r="AR3701" s="206" t="str">
        <f t="shared" si="1092"/>
        <v>YAMAHA_Non_Mounter</v>
      </c>
      <c r="AS3701" s="22">
        <f t="shared" si="1093"/>
        <v>1</v>
      </c>
      <c r="AT3701" s="24" t="str">
        <f t="shared" si="1094"/>
        <v>0-3 months</v>
      </c>
      <c r="AU3701" s="22" t="s">
        <v>3240</v>
      </c>
    </row>
    <row r="3702" spans="1:47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1"/>
        <v>Q2</v>
      </c>
      <c r="E3702" s="33" t="str">
        <f t="shared" si="1099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3551</v>
      </c>
      <c r="K3702" s="29" t="s">
        <v>1905</v>
      </c>
      <c r="L3702" s="24" t="s">
        <v>92</v>
      </c>
      <c r="M3702" s="13" t="s">
        <v>60</v>
      </c>
      <c r="N3702" s="22">
        <v>1</v>
      </c>
      <c r="O3702" s="22"/>
      <c r="P3702" s="202" t="str">
        <f t="shared" si="1098"/>
        <v>MAIN UNIT</v>
      </c>
      <c r="Q3702" s="22" t="s">
        <v>61</v>
      </c>
      <c r="R3702" s="22" t="s">
        <v>62</v>
      </c>
      <c r="S3702" s="22" t="s">
        <v>52</v>
      </c>
      <c r="T3702" s="22" t="s">
        <v>176</v>
      </c>
      <c r="U3702" s="22" t="s">
        <v>177</v>
      </c>
      <c r="V3702" s="22" t="s">
        <v>178</v>
      </c>
      <c r="W3702" s="22" t="s">
        <v>64</v>
      </c>
      <c r="X3702" s="104">
        <v>740000.00000320002</v>
      </c>
      <c r="Y3702" s="195" t="str">
        <f t="shared" si="1103"/>
        <v>1.13</v>
      </c>
      <c r="Z3702" s="196">
        <f t="shared" si="1102"/>
        <v>740000.00000320002</v>
      </c>
      <c r="AA3702" s="22">
        <v>1.1080000000000001</v>
      </c>
      <c r="AB3702" s="197">
        <f t="shared" si="1100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3"/>
        <v>22758096.38940867</v>
      </c>
      <c r="AJ3702" s="200">
        <f t="shared" si="1084"/>
        <v>2469357.2298956565</v>
      </c>
      <c r="AK3702" s="201">
        <f t="shared" si="1089"/>
        <v>0.10850455976822666</v>
      </c>
      <c r="AL3702" s="24"/>
      <c r="AM3702" s="24"/>
      <c r="AN3702" s="24"/>
      <c r="AO3702" s="24"/>
      <c r="AP3702" s="165" t="str">
        <f t="shared" si="1090"/>
        <v>202410</v>
      </c>
      <c r="AQ3702" s="203" t="str">
        <f t="shared" si="1091"/>
        <v>202410RMB</v>
      </c>
      <c r="AR3702" s="206" t="str">
        <f t="shared" si="1092"/>
        <v>YAMAHA_Mounter</v>
      </c>
      <c r="AS3702" s="22">
        <f t="shared" si="1093"/>
        <v>2</v>
      </c>
      <c r="AT3702" s="24" t="str">
        <f t="shared" si="1094"/>
        <v>0-3 months</v>
      </c>
      <c r="AU3702" s="22" t="s">
        <v>3240</v>
      </c>
    </row>
    <row r="3703" spans="1:47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1"/>
        <v>Q2</v>
      </c>
      <c r="E3703" s="33" t="str">
        <f t="shared" si="1099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3551</v>
      </c>
      <c r="K3703" s="29" t="s">
        <v>1905</v>
      </c>
      <c r="L3703" s="24" t="s">
        <v>92</v>
      </c>
      <c r="M3703" s="13" t="s">
        <v>60</v>
      </c>
      <c r="N3703" s="22">
        <v>1</v>
      </c>
      <c r="O3703" s="22"/>
      <c r="P3703" s="202" t="str">
        <f t="shared" si="1098"/>
        <v>MAIN UNIT</v>
      </c>
      <c r="Q3703" s="22" t="s">
        <v>61</v>
      </c>
      <c r="R3703" s="22" t="s">
        <v>62</v>
      </c>
      <c r="S3703" s="22" t="s">
        <v>52</v>
      </c>
      <c r="T3703" s="22" t="s">
        <v>176</v>
      </c>
      <c r="U3703" s="22" t="s">
        <v>177</v>
      </c>
      <c r="V3703" s="22" t="s">
        <v>178</v>
      </c>
      <c r="W3703" s="22" t="s">
        <v>64</v>
      </c>
      <c r="X3703" s="104">
        <v>740000.00000320002</v>
      </c>
      <c r="Y3703" s="195" t="str">
        <f t="shared" si="1103"/>
        <v>1.13</v>
      </c>
      <c r="Z3703" s="196">
        <f t="shared" si="1102"/>
        <v>740000.00000320002</v>
      </c>
      <c r="AA3703" s="22">
        <v>1.1080000000000001</v>
      </c>
      <c r="AB3703" s="197">
        <f t="shared" si="1100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3"/>
        <v>22758096.38940867</v>
      </c>
      <c r="AJ3703" s="200">
        <f t="shared" si="1084"/>
        <v>2469357.2298956565</v>
      </c>
      <c r="AK3703" s="201">
        <f t="shared" si="1089"/>
        <v>0.10850455976822666</v>
      </c>
      <c r="AL3703" s="24"/>
      <c r="AM3703" s="24"/>
      <c r="AN3703" s="24"/>
      <c r="AO3703" s="24"/>
      <c r="AP3703" s="165" t="str">
        <f t="shared" si="1090"/>
        <v>202410</v>
      </c>
      <c r="AQ3703" s="203" t="str">
        <f t="shared" si="1091"/>
        <v>202410RMB</v>
      </c>
      <c r="AR3703" s="206" t="str">
        <f t="shared" si="1092"/>
        <v>YAMAHA_Mounter</v>
      </c>
      <c r="AS3703" s="22">
        <f t="shared" si="1093"/>
        <v>2</v>
      </c>
      <c r="AT3703" s="24" t="str">
        <f t="shared" si="1094"/>
        <v>0-3 months</v>
      </c>
      <c r="AU3703" s="22" t="s">
        <v>3240</v>
      </c>
    </row>
    <row r="3704" spans="1:47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1"/>
        <v>Q2</v>
      </c>
      <c r="E3704" s="33" t="str">
        <f t="shared" si="1099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3551</v>
      </c>
      <c r="K3704" s="29" t="s">
        <v>1905</v>
      </c>
      <c r="L3704" s="24" t="s">
        <v>67</v>
      </c>
      <c r="M3704" s="13" t="s">
        <v>60</v>
      </c>
      <c r="N3704" s="22">
        <v>1</v>
      </c>
      <c r="O3704" s="22"/>
      <c r="P3704" s="202" t="str">
        <f t="shared" si="1098"/>
        <v>MAIN UNIT</v>
      </c>
      <c r="Q3704" s="22" t="s">
        <v>61</v>
      </c>
      <c r="R3704" s="22" t="s">
        <v>62</v>
      </c>
      <c r="S3704" s="22" t="s">
        <v>52</v>
      </c>
      <c r="T3704" s="22" t="s">
        <v>176</v>
      </c>
      <c r="U3704" s="22" t="s">
        <v>177</v>
      </c>
      <c r="V3704" s="22" t="s">
        <v>178</v>
      </c>
      <c r="W3704" s="22" t="s">
        <v>64</v>
      </c>
      <c r="X3704" s="104">
        <v>520000.00001079991</v>
      </c>
      <c r="Y3704" s="195" t="str">
        <f t="shared" si="1103"/>
        <v>1.13</v>
      </c>
      <c r="Z3704" s="196">
        <f t="shared" si="1102"/>
        <v>520000.00001079991</v>
      </c>
      <c r="AA3704" s="22">
        <v>1.1080000000000001</v>
      </c>
      <c r="AB3704" s="197">
        <f t="shared" si="1100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3"/>
        <v>22758096.38940867</v>
      </c>
      <c r="AJ3704" s="200">
        <f t="shared" si="1084"/>
        <v>2469357.2298956565</v>
      </c>
      <c r="AK3704" s="201">
        <f t="shared" si="1089"/>
        <v>0.10850455976822666</v>
      </c>
      <c r="AL3704" s="24"/>
      <c r="AM3704" s="24"/>
      <c r="AN3704" s="24"/>
      <c r="AO3704" s="24"/>
      <c r="AP3704" s="165" t="str">
        <f t="shared" si="1090"/>
        <v>202410</v>
      </c>
      <c r="AQ3704" s="203" t="str">
        <f t="shared" si="1091"/>
        <v>202410RMB</v>
      </c>
      <c r="AR3704" s="206" t="str">
        <f t="shared" si="1092"/>
        <v>YAMAHA_Mounter</v>
      </c>
      <c r="AS3704" s="22">
        <f t="shared" si="1093"/>
        <v>2</v>
      </c>
      <c r="AT3704" s="24" t="str">
        <f t="shared" si="1094"/>
        <v>0-3 months</v>
      </c>
      <c r="AU3704" s="22" t="s">
        <v>3240</v>
      </c>
    </row>
    <row r="3705" spans="1:47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1"/>
        <v>Q2</v>
      </c>
      <c r="E3705" s="33" t="str">
        <f t="shared" si="1099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3551</v>
      </c>
      <c r="K3705" s="29" t="s">
        <v>1905</v>
      </c>
      <c r="L3705" s="24" t="s">
        <v>67</v>
      </c>
      <c r="M3705" s="13" t="s">
        <v>60</v>
      </c>
      <c r="N3705" s="22">
        <v>1</v>
      </c>
      <c r="O3705" s="22"/>
      <c r="P3705" s="202" t="str">
        <f t="shared" si="1098"/>
        <v>MAIN UNIT</v>
      </c>
      <c r="Q3705" s="22" t="s">
        <v>61</v>
      </c>
      <c r="R3705" s="22" t="s">
        <v>62</v>
      </c>
      <c r="S3705" s="22" t="s">
        <v>52</v>
      </c>
      <c r="T3705" s="22" t="s">
        <v>176</v>
      </c>
      <c r="U3705" s="22" t="s">
        <v>177</v>
      </c>
      <c r="V3705" s="22" t="s">
        <v>178</v>
      </c>
      <c r="W3705" s="22" t="s">
        <v>64</v>
      </c>
      <c r="X3705" s="104">
        <v>520000.00001079991</v>
      </c>
      <c r="Y3705" s="195" t="str">
        <f t="shared" si="1103"/>
        <v>1.13</v>
      </c>
      <c r="Z3705" s="196">
        <f t="shared" si="1102"/>
        <v>520000.00001079991</v>
      </c>
      <c r="AA3705" s="22">
        <v>1.1080000000000001</v>
      </c>
      <c r="AB3705" s="197">
        <f t="shared" si="1100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3"/>
        <v>22758096.38940867</v>
      </c>
      <c r="AJ3705" s="200">
        <f t="shared" si="1084"/>
        <v>2469357.2298956565</v>
      </c>
      <c r="AK3705" s="201">
        <f t="shared" si="1089"/>
        <v>0.10850455976822666</v>
      </c>
      <c r="AL3705" s="24"/>
      <c r="AM3705" s="24"/>
      <c r="AN3705" s="24"/>
      <c r="AO3705" s="24"/>
      <c r="AP3705" s="165" t="str">
        <f t="shared" si="1090"/>
        <v>202410</v>
      </c>
      <c r="AQ3705" s="203" t="str">
        <f t="shared" si="1091"/>
        <v>202410RMB</v>
      </c>
      <c r="AR3705" s="206" t="str">
        <f t="shared" si="1092"/>
        <v>YAMAHA_Mounter</v>
      </c>
      <c r="AS3705" s="22">
        <f t="shared" si="1093"/>
        <v>2</v>
      </c>
      <c r="AT3705" s="24" t="str">
        <f t="shared" si="1094"/>
        <v>0-3 months</v>
      </c>
      <c r="AU3705" s="22" t="s">
        <v>3240</v>
      </c>
    </row>
    <row r="3706" spans="1:47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1"/>
        <v>Q2</v>
      </c>
      <c r="E3706" s="33" t="str">
        <f t="shared" si="1099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3551</v>
      </c>
      <c r="K3706" s="29" t="s">
        <v>1905</v>
      </c>
      <c r="L3706" s="24" t="s">
        <v>2620</v>
      </c>
      <c r="M3706" s="13" t="s">
        <v>60</v>
      </c>
      <c r="N3706" s="22">
        <v>1</v>
      </c>
      <c r="O3706" s="22"/>
      <c r="P3706" s="202" t="str">
        <f t="shared" ref="P3706:P3724" si="1104">IF(M3706="","",IF(AND(N3706&gt;0,L3706&lt;&gt;""),"MAIN UNIT",IF(AND(O3706&gt;0,L3706&lt;&gt;""),"SERVICE/ PARTS","C66 SERVICE/OTHERS")))</f>
        <v>MAIN UNIT</v>
      </c>
      <c r="Q3706" s="22" t="s">
        <v>61</v>
      </c>
      <c r="R3706" s="22" t="s">
        <v>2055</v>
      </c>
      <c r="S3706" s="22" t="s">
        <v>52</v>
      </c>
      <c r="T3706" s="22" t="s">
        <v>176</v>
      </c>
      <c r="U3706" s="22" t="s">
        <v>177</v>
      </c>
      <c r="V3706" s="22" t="s">
        <v>178</v>
      </c>
      <c r="W3706" s="22" t="s">
        <v>64</v>
      </c>
      <c r="X3706" s="104">
        <v>435000.00000068999</v>
      </c>
      <c r="Y3706" s="195" t="str">
        <f t="shared" si="1103"/>
        <v>1.13</v>
      </c>
      <c r="Z3706" s="196">
        <f t="shared" si="1102"/>
        <v>435000.00000068999</v>
      </c>
      <c r="AA3706" s="22">
        <v>1.1080000000000001</v>
      </c>
      <c r="AB3706" s="197">
        <f t="shared" si="1100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3"/>
        <v>22758096.38940867</v>
      </c>
      <c r="AJ3706" s="200">
        <f t="shared" si="1084"/>
        <v>2469357.2298956565</v>
      </c>
      <c r="AK3706" s="201">
        <f t="shared" si="1089"/>
        <v>0.10850455976822666</v>
      </c>
      <c r="AL3706" s="24"/>
      <c r="AM3706" s="24"/>
      <c r="AN3706" s="24"/>
      <c r="AO3706" s="24"/>
      <c r="AP3706" s="165" t="str">
        <f t="shared" si="1090"/>
        <v>202410</v>
      </c>
      <c r="AQ3706" s="203" t="str">
        <f t="shared" si="1091"/>
        <v>202410RMB</v>
      </c>
      <c r="AR3706" s="206" t="str">
        <f t="shared" si="1092"/>
        <v>YAMAHA_Non_Mounter</v>
      </c>
      <c r="AS3706" s="22">
        <f t="shared" si="1093"/>
        <v>2</v>
      </c>
      <c r="AT3706" s="24" t="str">
        <f t="shared" si="1094"/>
        <v>0-3 months</v>
      </c>
      <c r="AU3706" s="22" t="s">
        <v>3240</v>
      </c>
    </row>
    <row r="3707" spans="1:47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1"/>
        <v>Q2</v>
      </c>
      <c r="E3707" s="33" t="str">
        <f t="shared" si="1099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3552</v>
      </c>
      <c r="K3707" s="29" t="s">
        <v>2827</v>
      </c>
      <c r="L3707" s="24" t="s">
        <v>67</v>
      </c>
      <c r="M3707" s="13" t="s">
        <v>60</v>
      </c>
      <c r="N3707" s="22">
        <v>1</v>
      </c>
      <c r="O3707" s="22"/>
      <c r="P3707" s="202" t="str">
        <f t="shared" si="1104"/>
        <v>MAIN UNIT</v>
      </c>
      <c r="Q3707" s="22" t="s">
        <v>68</v>
      </c>
      <c r="R3707" s="22" t="s">
        <v>62</v>
      </c>
      <c r="S3707" s="22" t="s">
        <v>52</v>
      </c>
      <c r="T3707" s="22" t="s">
        <v>1659</v>
      </c>
      <c r="U3707" s="22" t="s">
        <v>177</v>
      </c>
      <c r="V3707" s="22" t="s">
        <v>178</v>
      </c>
      <c r="W3707" s="22" t="s">
        <v>64</v>
      </c>
      <c r="X3707" s="104">
        <v>515000</v>
      </c>
      <c r="Y3707" s="195" t="str">
        <f t="shared" si="1103"/>
        <v>1.13</v>
      </c>
      <c r="Z3707" s="196">
        <f t="shared" si="1102"/>
        <v>515000</v>
      </c>
      <c r="AA3707" s="22">
        <v>1.0760000000000001</v>
      </c>
      <c r="AB3707" s="197">
        <f t="shared" si="1100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3"/>
        <v>15965524.256637167</v>
      </c>
      <c r="AJ3707" s="200">
        <f t="shared" si="1084"/>
        <v>2480116.5996584073</v>
      </c>
      <c r="AK3707" s="201">
        <f t="shared" si="1089"/>
        <v>0.15534200817911609</v>
      </c>
      <c r="AL3707" s="24"/>
      <c r="AM3707" s="24"/>
      <c r="AN3707" s="24"/>
      <c r="AO3707" s="24"/>
      <c r="AP3707" s="165" t="str">
        <f t="shared" si="1090"/>
        <v>202412</v>
      </c>
      <c r="AQ3707" s="203" t="str">
        <f t="shared" si="1091"/>
        <v>202412RMB</v>
      </c>
      <c r="AR3707" s="206" t="str">
        <f t="shared" si="1092"/>
        <v>YAMAHA_Mounter</v>
      </c>
      <c r="AS3707" s="22">
        <f t="shared" si="1093"/>
        <v>3</v>
      </c>
      <c r="AT3707" s="24" t="str">
        <f t="shared" si="1094"/>
        <v>0-3 months</v>
      </c>
      <c r="AU3707" s="22" t="s">
        <v>3240</v>
      </c>
    </row>
    <row r="3708" spans="1:47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1"/>
        <v>Q2</v>
      </c>
      <c r="E3708" s="33" t="str">
        <f t="shared" si="1099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3554</v>
      </c>
      <c r="K3708" s="29" t="s">
        <v>91</v>
      </c>
      <c r="L3708" s="24" t="s">
        <v>92</v>
      </c>
      <c r="M3708" s="13" t="s">
        <v>60</v>
      </c>
      <c r="N3708" s="22">
        <v>1</v>
      </c>
      <c r="O3708" s="22"/>
      <c r="P3708" s="202" t="str">
        <f t="shared" si="1104"/>
        <v>MAIN UNIT</v>
      </c>
      <c r="Q3708" s="22" t="s">
        <v>61</v>
      </c>
      <c r="R3708" s="22" t="s">
        <v>62</v>
      </c>
      <c r="S3708" s="22" t="s">
        <v>50</v>
      </c>
      <c r="T3708" s="22" t="s">
        <v>83</v>
      </c>
      <c r="U3708" s="22" t="s">
        <v>70</v>
      </c>
      <c r="V3708" s="22" t="s">
        <v>94</v>
      </c>
      <c r="W3708" s="22" t="s">
        <v>64</v>
      </c>
      <c r="X3708" s="104">
        <v>800000</v>
      </c>
      <c r="Y3708" s="195" t="str">
        <f t="shared" si="1103"/>
        <v>1.13</v>
      </c>
      <c r="Z3708" s="196">
        <f t="shared" si="1102"/>
        <v>800000</v>
      </c>
      <c r="AA3708" s="22">
        <v>1.0920000000000001</v>
      </c>
      <c r="AB3708" s="197">
        <f t="shared" si="1100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3"/>
        <v>32082250.320460182</v>
      </c>
      <c r="AJ3708" s="200">
        <f t="shared" si="1084"/>
        <v>4323122.9746477893</v>
      </c>
      <c r="AK3708" s="201">
        <f t="shared" si="1089"/>
        <v>0.1347512388147771</v>
      </c>
      <c r="AL3708" s="24"/>
      <c r="AM3708" s="24"/>
      <c r="AN3708" s="24"/>
      <c r="AO3708" s="24"/>
      <c r="AP3708" s="165" t="str">
        <f t="shared" si="1090"/>
        <v>202411</v>
      </c>
      <c r="AQ3708" s="203" t="str">
        <f t="shared" si="1091"/>
        <v>202411RMB</v>
      </c>
      <c r="AR3708" s="206" t="str">
        <f t="shared" si="1092"/>
        <v>YAMAHA_Mounter</v>
      </c>
      <c r="AS3708" s="22">
        <f t="shared" si="1093"/>
        <v>2</v>
      </c>
      <c r="AT3708" s="24" t="str">
        <f t="shared" si="1094"/>
        <v>0-3 months</v>
      </c>
      <c r="AU3708" s="22" t="s">
        <v>3240</v>
      </c>
    </row>
    <row r="3709" spans="1:47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1"/>
        <v>Q2</v>
      </c>
      <c r="E3709" s="33" t="str">
        <f t="shared" si="1099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3554</v>
      </c>
      <c r="K3709" s="29" t="s">
        <v>91</v>
      </c>
      <c r="L3709" s="24" t="s">
        <v>92</v>
      </c>
      <c r="M3709" s="13" t="s">
        <v>60</v>
      </c>
      <c r="N3709" s="22">
        <v>1</v>
      </c>
      <c r="O3709" s="22"/>
      <c r="P3709" s="202" t="str">
        <f t="shared" si="1104"/>
        <v>MAIN UNIT</v>
      </c>
      <c r="Q3709" s="22" t="s">
        <v>61</v>
      </c>
      <c r="R3709" s="22" t="s">
        <v>62</v>
      </c>
      <c r="S3709" s="22" t="s">
        <v>50</v>
      </c>
      <c r="T3709" s="22" t="s">
        <v>83</v>
      </c>
      <c r="U3709" s="22" t="s">
        <v>70</v>
      </c>
      <c r="V3709" s="22" t="s">
        <v>94</v>
      </c>
      <c r="W3709" s="22" t="s">
        <v>64</v>
      </c>
      <c r="X3709" s="104">
        <v>800000</v>
      </c>
      <c r="Y3709" s="195" t="str">
        <f t="shared" si="1103"/>
        <v>1.13</v>
      </c>
      <c r="Z3709" s="196">
        <f t="shared" si="1102"/>
        <v>800000</v>
      </c>
      <c r="AA3709" s="22">
        <v>1.0920000000000001</v>
      </c>
      <c r="AB3709" s="197">
        <f t="shared" si="1100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3"/>
        <v>32082250.320460182</v>
      </c>
      <c r="AJ3709" s="200">
        <f t="shared" si="1084"/>
        <v>4323122.9746477893</v>
      </c>
      <c r="AK3709" s="201">
        <f t="shared" si="1089"/>
        <v>0.1347512388147771</v>
      </c>
      <c r="AL3709" s="24"/>
      <c r="AM3709" s="24"/>
      <c r="AN3709" s="24"/>
      <c r="AO3709" s="24"/>
      <c r="AP3709" s="165" t="str">
        <f t="shared" si="1090"/>
        <v>202411</v>
      </c>
      <c r="AQ3709" s="203" t="str">
        <f t="shared" si="1091"/>
        <v>202411RMB</v>
      </c>
      <c r="AR3709" s="206" t="str">
        <f t="shared" si="1092"/>
        <v>YAMAHA_Mounter</v>
      </c>
      <c r="AS3709" s="22">
        <f t="shared" si="1093"/>
        <v>2</v>
      </c>
      <c r="AT3709" s="24" t="str">
        <f t="shared" si="1094"/>
        <v>0-3 months</v>
      </c>
      <c r="AU3709" s="22" t="s">
        <v>3240</v>
      </c>
    </row>
    <row r="3710" spans="1:47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1"/>
        <v>Q2</v>
      </c>
      <c r="E3710" s="33" t="str">
        <f t="shared" si="1099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3554</v>
      </c>
      <c r="K3710" s="29" t="s">
        <v>91</v>
      </c>
      <c r="L3710" s="24" t="s">
        <v>67</v>
      </c>
      <c r="M3710" s="13" t="s">
        <v>60</v>
      </c>
      <c r="N3710" s="22">
        <v>1</v>
      </c>
      <c r="O3710" s="22"/>
      <c r="P3710" s="202" t="str">
        <f t="shared" si="1104"/>
        <v>MAIN UNIT</v>
      </c>
      <c r="Q3710" s="22" t="s">
        <v>61</v>
      </c>
      <c r="R3710" s="22" t="s">
        <v>62</v>
      </c>
      <c r="S3710" s="22" t="s">
        <v>50</v>
      </c>
      <c r="T3710" s="22" t="s">
        <v>83</v>
      </c>
      <c r="U3710" s="22" t="s">
        <v>70</v>
      </c>
      <c r="V3710" s="22" t="s">
        <v>94</v>
      </c>
      <c r="W3710" s="22" t="s">
        <v>64</v>
      </c>
      <c r="X3710" s="104">
        <v>540000</v>
      </c>
      <c r="Y3710" s="195" t="str">
        <f t="shared" si="1103"/>
        <v>1.13</v>
      </c>
      <c r="Z3710" s="196">
        <f t="shared" si="1102"/>
        <v>540000</v>
      </c>
      <c r="AA3710" s="22">
        <v>1.0920000000000001</v>
      </c>
      <c r="AB3710" s="197">
        <f t="shared" si="1100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3"/>
        <v>32082250.320460182</v>
      </c>
      <c r="AJ3710" s="200">
        <f t="shared" si="1084"/>
        <v>4323122.9746477893</v>
      </c>
      <c r="AK3710" s="201">
        <f t="shared" si="1089"/>
        <v>0.1347512388147771</v>
      </c>
      <c r="AL3710" s="24"/>
      <c r="AM3710" s="24"/>
      <c r="AN3710" s="24"/>
      <c r="AO3710" s="24"/>
      <c r="AP3710" s="165" t="str">
        <f t="shared" si="1090"/>
        <v>202411</v>
      </c>
      <c r="AQ3710" s="203" t="str">
        <f t="shared" si="1091"/>
        <v>202411RMB</v>
      </c>
      <c r="AR3710" s="206" t="str">
        <f t="shared" si="1092"/>
        <v>YAMAHA_Mounter</v>
      </c>
      <c r="AS3710" s="22">
        <f t="shared" si="1093"/>
        <v>2</v>
      </c>
      <c r="AT3710" s="24" t="str">
        <f t="shared" si="1094"/>
        <v>0-3 months</v>
      </c>
      <c r="AU3710" s="22" t="s">
        <v>3240</v>
      </c>
    </row>
    <row r="3711" spans="1:47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1"/>
        <v>Q2</v>
      </c>
      <c r="E3711" s="33" t="str">
        <f t="shared" si="1099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3554</v>
      </c>
      <c r="K3711" s="29" t="s">
        <v>91</v>
      </c>
      <c r="L3711" s="24" t="s">
        <v>67</v>
      </c>
      <c r="M3711" s="13" t="s">
        <v>60</v>
      </c>
      <c r="N3711" s="22">
        <v>1</v>
      </c>
      <c r="O3711" s="22"/>
      <c r="P3711" s="202" t="str">
        <f t="shared" si="1104"/>
        <v>MAIN UNIT</v>
      </c>
      <c r="Q3711" s="22" t="s">
        <v>61</v>
      </c>
      <c r="R3711" s="22" t="s">
        <v>62</v>
      </c>
      <c r="S3711" s="22" t="s">
        <v>50</v>
      </c>
      <c r="T3711" s="22" t="s">
        <v>83</v>
      </c>
      <c r="U3711" s="22" t="s">
        <v>70</v>
      </c>
      <c r="V3711" s="22" t="s">
        <v>94</v>
      </c>
      <c r="W3711" s="22" t="s">
        <v>64</v>
      </c>
      <c r="X3711" s="104">
        <v>540000</v>
      </c>
      <c r="Y3711" s="195" t="str">
        <f t="shared" si="1103"/>
        <v>1.13</v>
      </c>
      <c r="Z3711" s="196">
        <f t="shared" si="1102"/>
        <v>540000</v>
      </c>
      <c r="AA3711" s="22">
        <v>1.0920000000000001</v>
      </c>
      <c r="AB3711" s="197">
        <f t="shared" si="1100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3"/>
        <v>32082250.320460182</v>
      </c>
      <c r="AJ3711" s="200">
        <f t="shared" si="1084"/>
        <v>4323122.9746477893</v>
      </c>
      <c r="AK3711" s="201">
        <f t="shared" si="1089"/>
        <v>0.1347512388147771</v>
      </c>
      <c r="AL3711" s="24"/>
      <c r="AM3711" s="24"/>
      <c r="AN3711" s="24"/>
      <c r="AO3711" s="24"/>
      <c r="AP3711" s="165" t="str">
        <f t="shared" si="1090"/>
        <v>202411</v>
      </c>
      <c r="AQ3711" s="203" t="str">
        <f t="shared" si="1091"/>
        <v>202411RMB</v>
      </c>
      <c r="AR3711" s="206" t="str">
        <f t="shared" si="1092"/>
        <v>YAMAHA_Mounter</v>
      </c>
      <c r="AS3711" s="22">
        <f t="shared" si="1093"/>
        <v>2</v>
      </c>
      <c r="AT3711" s="24" t="str">
        <f t="shared" si="1094"/>
        <v>0-3 months</v>
      </c>
      <c r="AU3711" s="22" t="s">
        <v>3240</v>
      </c>
    </row>
    <row r="3712" spans="1:47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1"/>
        <v>Q2</v>
      </c>
      <c r="E3712" s="33" t="str">
        <f t="shared" si="1099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3554</v>
      </c>
      <c r="K3712" s="29" t="s">
        <v>91</v>
      </c>
      <c r="L3712" s="24" t="s">
        <v>2620</v>
      </c>
      <c r="M3712" s="13" t="s">
        <v>60</v>
      </c>
      <c r="N3712" s="22">
        <v>1</v>
      </c>
      <c r="O3712" s="22"/>
      <c r="P3712" s="202" t="str">
        <f t="shared" si="1104"/>
        <v>MAIN UNIT</v>
      </c>
      <c r="Q3712" s="22" t="s">
        <v>61</v>
      </c>
      <c r="R3712" s="22" t="s">
        <v>2055</v>
      </c>
      <c r="S3712" s="22" t="s">
        <v>50</v>
      </c>
      <c r="T3712" s="22" t="s">
        <v>83</v>
      </c>
      <c r="U3712" s="22" t="s">
        <v>70</v>
      </c>
      <c r="V3712" s="22" t="s">
        <v>94</v>
      </c>
      <c r="W3712" s="22" t="s">
        <v>64</v>
      </c>
      <c r="X3712" s="104">
        <v>350000</v>
      </c>
      <c r="Y3712" s="195" t="str">
        <f t="shared" si="1103"/>
        <v>1.13</v>
      </c>
      <c r="Z3712" s="196">
        <f t="shared" si="1102"/>
        <v>350000</v>
      </c>
      <c r="AA3712" s="22">
        <v>1.0920000000000001</v>
      </c>
      <c r="AB3712" s="197">
        <f t="shared" si="1100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3"/>
        <v>32082250.320460182</v>
      </c>
      <c r="AJ3712" s="200">
        <f t="shared" si="1084"/>
        <v>4323122.9746477893</v>
      </c>
      <c r="AK3712" s="201">
        <f t="shared" si="1089"/>
        <v>0.1347512388147771</v>
      </c>
      <c r="AL3712" s="24"/>
      <c r="AM3712" s="24"/>
      <c r="AN3712" s="24"/>
      <c r="AO3712" s="24"/>
      <c r="AP3712" s="165" t="str">
        <f t="shared" si="1090"/>
        <v>202411</v>
      </c>
      <c r="AQ3712" s="203" t="str">
        <f t="shared" si="1091"/>
        <v>202411RMB</v>
      </c>
      <c r="AR3712" s="206" t="str">
        <f t="shared" si="1092"/>
        <v>YAMAHA_Non_Mounter</v>
      </c>
      <c r="AS3712" s="22">
        <f t="shared" si="1093"/>
        <v>2</v>
      </c>
      <c r="AT3712" s="24" t="str">
        <f t="shared" si="1094"/>
        <v>0-3 months</v>
      </c>
      <c r="AU3712" s="22" t="s">
        <v>3240</v>
      </c>
    </row>
    <row r="3713" spans="1:47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1"/>
        <v>Q2</v>
      </c>
      <c r="E3713" s="33" t="str">
        <f t="shared" si="1099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3554</v>
      </c>
      <c r="K3713" s="29" t="s">
        <v>91</v>
      </c>
      <c r="L3713" s="24" t="s">
        <v>2620</v>
      </c>
      <c r="M3713" s="13" t="s">
        <v>60</v>
      </c>
      <c r="N3713" s="22">
        <v>1</v>
      </c>
      <c r="O3713" s="22"/>
      <c r="P3713" s="202" t="str">
        <f t="shared" si="1104"/>
        <v>MAIN UNIT</v>
      </c>
      <c r="Q3713" s="22" t="s">
        <v>61</v>
      </c>
      <c r="R3713" s="22" t="s">
        <v>2055</v>
      </c>
      <c r="S3713" s="22" t="s">
        <v>50</v>
      </c>
      <c r="T3713" s="22" t="s">
        <v>83</v>
      </c>
      <c r="U3713" s="22" t="s">
        <v>70</v>
      </c>
      <c r="V3713" s="22" t="s">
        <v>94</v>
      </c>
      <c r="W3713" s="22" t="s">
        <v>64</v>
      </c>
      <c r="X3713" s="104">
        <v>350000</v>
      </c>
      <c r="Y3713" s="195" t="str">
        <f t="shared" si="1103"/>
        <v>1.13</v>
      </c>
      <c r="Z3713" s="196">
        <f t="shared" si="1102"/>
        <v>350000</v>
      </c>
      <c r="AA3713" s="22">
        <v>1.0920000000000001</v>
      </c>
      <c r="AB3713" s="197">
        <f t="shared" si="1100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3"/>
        <v>32082250.320460182</v>
      </c>
      <c r="AJ3713" s="200">
        <f t="shared" si="1084"/>
        <v>4323122.9746477893</v>
      </c>
      <c r="AK3713" s="201">
        <f t="shared" si="1089"/>
        <v>0.1347512388147771</v>
      </c>
      <c r="AL3713" s="24"/>
      <c r="AM3713" s="24"/>
      <c r="AN3713" s="24"/>
      <c r="AO3713" s="24"/>
      <c r="AP3713" s="165" t="str">
        <f t="shared" si="1090"/>
        <v>202411</v>
      </c>
      <c r="AQ3713" s="203" t="str">
        <f t="shared" si="1091"/>
        <v>202411RMB</v>
      </c>
      <c r="AR3713" s="206" t="str">
        <f t="shared" si="1092"/>
        <v>YAMAHA_Non_Mounter</v>
      </c>
      <c r="AS3713" s="22">
        <f t="shared" si="1093"/>
        <v>2</v>
      </c>
      <c r="AT3713" s="24" t="str">
        <f t="shared" si="1094"/>
        <v>0-3 months</v>
      </c>
      <c r="AU3713" s="22" t="s">
        <v>3240</v>
      </c>
    </row>
    <row r="3714" spans="1:47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1"/>
        <v>Q2</v>
      </c>
      <c r="E3714" s="33" t="str">
        <f t="shared" si="1099"/>
        <v>Cancel</v>
      </c>
      <c r="F3714" s="23" t="s">
        <v>185</v>
      </c>
      <c r="G3714" s="23" t="s">
        <v>185</v>
      </c>
      <c r="H3714" s="29"/>
      <c r="I3714" s="204" t="str">
        <f t="shared" si="1086"/>
        <v>Cancel</v>
      </c>
      <c r="J3714" s="188" t="s">
        <v>3555</v>
      </c>
      <c r="K3714" s="29" t="s">
        <v>3557</v>
      </c>
      <c r="L3714" s="24" t="s">
        <v>67</v>
      </c>
      <c r="M3714" s="13" t="s">
        <v>60</v>
      </c>
      <c r="N3714" s="22">
        <v>1</v>
      </c>
      <c r="O3714" s="22"/>
      <c r="P3714" s="202" t="str">
        <f t="shared" si="1104"/>
        <v>MAIN UNIT</v>
      </c>
      <c r="Q3714" s="22" t="s">
        <v>61</v>
      </c>
      <c r="R3714" s="22" t="s">
        <v>62</v>
      </c>
      <c r="S3714" s="22" t="s">
        <v>50</v>
      </c>
      <c r="T3714" s="22" t="s">
        <v>168</v>
      </c>
      <c r="U3714" s="22" t="s">
        <v>89</v>
      </c>
      <c r="V3714" s="22" t="s">
        <v>84</v>
      </c>
      <c r="W3714" s="22" t="s">
        <v>64</v>
      </c>
      <c r="X3714" s="104">
        <v>460000</v>
      </c>
      <c r="Y3714" s="195" t="str">
        <f t="shared" si="1103"/>
        <v>1.13</v>
      </c>
      <c r="Z3714" s="196">
        <f t="shared" si="1102"/>
        <v>460000</v>
      </c>
      <c r="AA3714" s="22">
        <v>1.1080000000000001</v>
      </c>
      <c r="AB3714" s="197">
        <f t="shared" si="1100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ref="AI3714:AI3777" si="1105">IF(P3714="C66 SERVICE","",SUMIFS(AB:AB,F:F,F3714,G:G,G3714,E:E,E3714))</f>
        <v>499582152.5142017</v>
      </c>
      <c r="AJ3714" s="200">
        <f t="shared" ref="AJ3714:AJ3777" si="1106">IF(P3714="C66 SERVICE","",SUMIFS(AC:AC,F:F,F3714,G:G,G3714,E:E,E3714))</f>
        <v>59520528.679470733</v>
      </c>
      <c r="AK3714" s="201">
        <f t="shared" si="1089"/>
        <v>0.11914062257814291</v>
      </c>
      <c r="AL3714" s="24"/>
      <c r="AM3714" s="24"/>
      <c r="AN3714" s="24"/>
      <c r="AO3714" s="24"/>
      <c r="AP3714" s="165" t="str">
        <f t="shared" si="1090"/>
        <v>CancelCancel</v>
      </c>
      <c r="AQ3714" s="203" t="str">
        <f t="shared" si="1091"/>
        <v>CancelCancelRMB</v>
      </c>
      <c r="AR3714" s="206" t="str">
        <f t="shared" si="1092"/>
        <v>YAMAHA_Mounter</v>
      </c>
      <c r="AS3714" s="22" t="str">
        <f t="shared" si="1093"/>
        <v/>
      </c>
      <c r="AT3714" s="24" t="str">
        <f t="shared" si="1094"/>
        <v/>
      </c>
      <c r="AU3714" s="22" t="s">
        <v>3240</v>
      </c>
    </row>
    <row r="3715" spans="1:47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1"/>
        <v>Q2</v>
      </c>
      <c r="E3715" s="33" t="str">
        <f t="shared" si="1099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3556</v>
      </c>
      <c r="K3715" s="29" t="s">
        <v>579</v>
      </c>
      <c r="L3715" s="24" t="s">
        <v>1301</v>
      </c>
      <c r="M3715" s="13" t="s">
        <v>60</v>
      </c>
      <c r="N3715" s="22">
        <v>1</v>
      </c>
      <c r="O3715" s="22"/>
      <c r="P3715" s="202" t="str">
        <f t="shared" si="1104"/>
        <v>MAIN UNIT</v>
      </c>
      <c r="Q3715" s="22" t="s">
        <v>61</v>
      </c>
      <c r="R3715" s="22" t="s">
        <v>62</v>
      </c>
      <c r="S3715" s="22" t="s">
        <v>50</v>
      </c>
      <c r="T3715" s="22" t="s">
        <v>101</v>
      </c>
      <c r="U3715" s="22" t="s">
        <v>70</v>
      </c>
      <c r="V3715" s="22" t="s">
        <v>102</v>
      </c>
      <c r="W3715" s="22" t="s">
        <v>64</v>
      </c>
      <c r="X3715" s="104">
        <v>685278</v>
      </c>
      <c r="Y3715" s="195" t="str">
        <f t="shared" si="1103"/>
        <v>1.13</v>
      </c>
      <c r="Z3715" s="196">
        <f t="shared" si="1102"/>
        <v>685278</v>
      </c>
      <c r="AA3715" s="22">
        <v>1.1080000000000001</v>
      </c>
      <c r="AB3715" s="197">
        <f t="shared" si="1100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105"/>
        <v>22758096.38940867</v>
      </c>
      <c r="AJ3715" s="200">
        <f t="shared" si="1106"/>
        <v>2469357.2298956565</v>
      </c>
      <c r="AK3715" s="201">
        <f t="shared" si="1089"/>
        <v>0.10850455976822666</v>
      </c>
      <c r="AL3715" s="24"/>
      <c r="AM3715" s="24"/>
      <c r="AN3715" s="24"/>
      <c r="AO3715" s="24"/>
      <c r="AP3715" s="165" t="str">
        <f t="shared" si="1090"/>
        <v>202410</v>
      </c>
      <c r="AQ3715" s="203" t="str">
        <f t="shared" si="1091"/>
        <v>202410RMB</v>
      </c>
      <c r="AR3715" s="206" t="str">
        <f t="shared" si="1092"/>
        <v>YAMAHA_Mounter</v>
      </c>
      <c r="AS3715" s="22">
        <f t="shared" si="1093"/>
        <v>1</v>
      </c>
      <c r="AT3715" s="24" t="str">
        <f t="shared" si="1094"/>
        <v>0-3 months</v>
      </c>
      <c r="AU3715" s="22" t="s">
        <v>3240</v>
      </c>
    </row>
    <row r="3716" spans="1:47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1"/>
        <v>Q2</v>
      </c>
      <c r="E3716" s="33" t="str">
        <f t="shared" si="1099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3556</v>
      </c>
      <c r="K3716" s="29" t="s">
        <v>579</v>
      </c>
      <c r="L3716" s="24" t="s">
        <v>1301</v>
      </c>
      <c r="M3716" s="13" t="s">
        <v>60</v>
      </c>
      <c r="N3716" s="22">
        <v>1</v>
      </c>
      <c r="O3716" s="22"/>
      <c r="P3716" s="202" t="str">
        <f t="shared" si="1104"/>
        <v>MAIN UNIT</v>
      </c>
      <c r="Q3716" s="22" t="s">
        <v>61</v>
      </c>
      <c r="R3716" s="22" t="s">
        <v>62</v>
      </c>
      <c r="S3716" s="22" t="s">
        <v>50</v>
      </c>
      <c r="T3716" s="22" t="s">
        <v>101</v>
      </c>
      <c r="U3716" s="22" t="s">
        <v>70</v>
      </c>
      <c r="V3716" s="22" t="s">
        <v>102</v>
      </c>
      <c r="W3716" s="22" t="s">
        <v>64</v>
      </c>
      <c r="X3716" s="104">
        <v>685278</v>
      </c>
      <c r="Y3716" s="195" t="str">
        <f t="shared" si="1103"/>
        <v>1.13</v>
      </c>
      <c r="Z3716" s="196">
        <f t="shared" si="1102"/>
        <v>685278</v>
      </c>
      <c r="AA3716" s="22">
        <v>1.1080000000000001</v>
      </c>
      <c r="AB3716" s="197">
        <f t="shared" si="1100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105"/>
        <v>22758096.38940867</v>
      </c>
      <c r="AJ3716" s="200">
        <f t="shared" si="1106"/>
        <v>2469357.2298956565</v>
      </c>
      <c r="AK3716" s="201">
        <f t="shared" si="1089"/>
        <v>0.10850455976822666</v>
      </c>
      <c r="AL3716" s="24"/>
      <c r="AM3716" s="24"/>
      <c r="AN3716" s="24"/>
      <c r="AO3716" s="24"/>
      <c r="AP3716" s="165" t="str">
        <f t="shared" si="1090"/>
        <v>202410</v>
      </c>
      <c r="AQ3716" s="203" t="str">
        <f t="shared" si="1091"/>
        <v>202410RMB</v>
      </c>
      <c r="AR3716" s="206" t="str">
        <f t="shared" si="1092"/>
        <v>YAMAHA_Mounter</v>
      </c>
      <c r="AS3716" s="22">
        <f t="shared" si="1093"/>
        <v>1</v>
      </c>
      <c r="AT3716" s="24" t="str">
        <f t="shared" si="1094"/>
        <v>0-3 months</v>
      </c>
      <c r="AU3716" s="22" t="s">
        <v>3240</v>
      </c>
    </row>
    <row r="3717" spans="1:47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1"/>
        <v>Q2</v>
      </c>
      <c r="E3717" s="33" t="str">
        <f t="shared" si="1099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3558</v>
      </c>
      <c r="K3717" s="29" t="s">
        <v>3587</v>
      </c>
      <c r="L3717" s="24" t="s">
        <v>92</v>
      </c>
      <c r="M3717" s="13" t="s">
        <v>60</v>
      </c>
      <c r="N3717" s="22">
        <v>1</v>
      </c>
      <c r="O3717" s="22"/>
      <c r="P3717" s="202" t="str">
        <f t="shared" si="1104"/>
        <v>MAIN UNIT</v>
      </c>
      <c r="Q3717" s="22" t="s">
        <v>68</v>
      </c>
      <c r="R3717" s="22" t="s">
        <v>62</v>
      </c>
      <c r="S3717" s="22" t="s">
        <v>51</v>
      </c>
      <c r="T3717" s="22" t="s">
        <v>3559</v>
      </c>
      <c r="U3717" s="22" t="s">
        <v>149</v>
      </c>
      <c r="V3717" s="22" t="s">
        <v>134</v>
      </c>
      <c r="W3717" s="22" t="s">
        <v>64</v>
      </c>
      <c r="X3717" s="104">
        <v>820000</v>
      </c>
      <c r="Y3717" s="195" t="str">
        <f t="shared" si="1103"/>
        <v>1.13</v>
      </c>
      <c r="Z3717" s="196">
        <f t="shared" si="1102"/>
        <v>820000</v>
      </c>
      <c r="AA3717" s="22">
        <v>1.0640000000000001</v>
      </c>
      <c r="AB3717" s="197">
        <f t="shared" si="1100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105"/>
        <v>32082250.320460182</v>
      </c>
      <c r="AJ3717" s="200">
        <f t="shared" si="1106"/>
        <v>4323122.9746477893</v>
      </c>
      <c r="AK3717" s="201">
        <f t="shared" si="1089"/>
        <v>0.1347512388147771</v>
      </c>
      <c r="AL3717" s="24"/>
      <c r="AM3717" s="24"/>
      <c r="AN3717" s="24"/>
      <c r="AO3717" s="24"/>
      <c r="AP3717" s="165" t="str">
        <f t="shared" si="1090"/>
        <v>202411</v>
      </c>
      <c r="AQ3717" s="203" t="str">
        <f t="shared" si="1091"/>
        <v>202411RMB</v>
      </c>
      <c r="AR3717" s="206" t="str">
        <f t="shared" si="1092"/>
        <v>YAMAHA_Mounter</v>
      </c>
      <c r="AS3717" s="22">
        <f t="shared" si="1093"/>
        <v>2</v>
      </c>
      <c r="AT3717" s="24" t="str">
        <f t="shared" si="1094"/>
        <v>0-3 months</v>
      </c>
      <c r="AU3717" s="22" t="s">
        <v>3240</v>
      </c>
    </row>
    <row r="3718" spans="1:47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1"/>
        <v>Q2</v>
      </c>
      <c r="E3718" s="33" t="str">
        <f t="shared" si="1099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3558</v>
      </c>
      <c r="K3718" s="29" t="s">
        <v>3587</v>
      </c>
      <c r="L3718" s="24" t="s">
        <v>67</v>
      </c>
      <c r="M3718" s="13" t="s">
        <v>60</v>
      </c>
      <c r="N3718" s="22">
        <v>1</v>
      </c>
      <c r="O3718" s="22"/>
      <c r="P3718" s="202" t="str">
        <f t="shared" si="1104"/>
        <v>MAIN UNIT</v>
      </c>
      <c r="Q3718" s="22" t="s">
        <v>68</v>
      </c>
      <c r="R3718" s="22" t="s">
        <v>62</v>
      </c>
      <c r="S3718" s="22" t="s">
        <v>51</v>
      </c>
      <c r="T3718" s="22" t="s">
        <v>3559</v>
      </c>
      <c r="U3718" s="22" t="s">
        <v>149</v>
      </c>
      <c r="V3718" s="22" t="s">
        <v>134</v>
      </c>
      <c r="W3718" s="22" t="s">
        <v>64</v>
      </c>
      <c r="X3718" s="104">
        <v>723360</v>
      </c>
      <c r="Y3718" s="195" t="str">
        <f t="shared" si="1103"/>
        <v>1.13</v>
      </c>
      <c r="Z3718" s="196">
        <f t="shared" si="1102"/>
        <v>723360</v>
      </c>
      <c r="AA3718" s="22">
        <v>1.0640000000000001</v>
      </c>
      <c r="AB3718" s="197">
        <f t="shared" si="1100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si="1105"/>
        <v>32082250.320460182</v>
      </c>
      <c r="AJ3718" s="200">
        <f t="shared" si="1106"/>
        <v>4323122.9746477893</v>
      </c>
      <c r="AK3718" s="201">
        <f t="shared" ref="AK3718:AK3724" si="1111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2">IF(F3718="","",F3718&amp;G3718)</f>
        <v>202411</v>
      </c>
      <c r="AQ3718" s="203" t="str">
        <f t="shared" ref="AQ3718:AQ3724" si="1113">IF(W3718="","",F3718&amp;G3718&amp;W3718)</f>
        <v>202411RMB</v>
      </c>
      <c r="AR3718" s="206" t="str">
        <f t="shared" ref="AR3718:AR3724" si="1114">IFERROR(IF(AND(M3718="YAMAHA", R3718="C28"), "YAMAHA_Non_Mounter", IF(AND(M3718="YAMAHA", R3718="C49"), "YAMAHA_Mounter", M3718)),"")</f>
        <v>YAMAHA_Mounter</v>
      </c>
      <c r="AS3718" s="22">
        <f t="shared" ref="AS3718:AS3724" si="1115">IFERROR(IF(OR(G3718="TBA", G3718=""), "", DATEDIF(DATE(B3718, C3718, 1), DATE(F3718, G3718, 1), "M")),"")</f>
        <v>2</v>
      </c>
      <c r="AT3718" s="24" t="str">
        <f t="shared" ref="AT3718:AT3724" si="1116">IF(ISNUMBER(AS3718), IF(AS3718&gt;=0, IF(AS3718&lt;=3, "0-3 months", IF(AS3718&lt;=6, "4-6 months", "&gt; 6 months"))), "")</f>
        <v>0-3 months</v>
      </c>
      <c r="AU3718" s="22" t="s">
        <v>3240</v>
      </c>
    </row>
    <row r="3719" spans="1:47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1"/>
        <v>Q2</v>
      </c>
      <c r="E3719" s="33" t="str">
        <f t="shared" ref="E3719:E3720" si="1117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3561</v>
      </c>
      <c r="K3719" s="29" t="s">
        <v>1890</v>
      </c>
      <c r="L3719" s="24" t="s">
        <v>92</v>
      </c>
      <c r="M3719" s="13" t="s">
        <v>60</v>
      </c>
      <c r="N3719" s="22">
        <v>1</v>
      </c>
      <c r="O3719" s="22"/>
      <c r="P3719" s="202" t="str">
        <f t="shared" si="1104"/>
        <v>MAIN UNIT</v>
      </c>
      <c r="Q3719" s="22" t="s">
        <v>61</v>
      </c>
      <c r="R3719" s="22" t="s">
        <v>62</v>
      </c>
      <c r="S3719" s="22" t="s">
        <v>49</v>
      </c>
      <c r="T3719" s="22" t="s">
        <v>78</v>
      </c>
      <c r="U3719" s="22" t="s">
        <v>78</v>
      </c>
      <c r="V3719" s="22" t="s">
        <v>112</v>
      </c>
      <c r="W3719" s="22" t="s">
        <v>64</v>
      </c>
      <c r="X3719" s="104">
        <v>645000</v>
      </c>
      <c r="Y3719" s="195" t="str">
        <f t="shared" si="1103"/>
        <v>1.13</v>
      </c>
      <c r="Z3719" s="196">
        <f t="shared" si="1102"/>
        <v>645000</v>
      </c>
      <c r="AA3719" s="22">
        <v>1.1080000000000001</v>
      </c>
      <c r="AB3719" s="197">
        <f t="shared" si="1100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05"/>
        <v>22758096.38940867</v>
      </c>
      <c r="AJ3719" s="200">
        <f t="shared" si="1106"/>
        <v>2469357.2298956565</v>
      </c>
      <c r="AK3719" s="201">
        <f t="shared" si="1111"/>
        <v>0.10850455976822666</v>
      </c>
      <c r="AL3719" s="24"/>
      <c r="AM3719" s="24"/>
      <c r="AN3719" s="24"/>
      <c r="AO3719" s="24"/>
      <c r="AP3719" s="165" t="str">
        <f t="shared" si="1112"/>
        <v>202410</v>
      </c>
      <c r="AQ3719" s="203" t="str">
        <f t="shared" si="1113"/>
        <v>202410RMB</v>
      </c>
      <c r="AR3719" s="206" t="str">
        <f t="shared" si="1114"/>
        <v>YAMAHA_Mounter</v>
      </c>
      <c r="AS3719" s="22">
        <f t="shared" si="1115"/>
        <v>1</v>
      </c>
      <c r="AT3719" s="24" t="str">
        <f t="shared" si="1116"/>
        <v>0-3 months</v>
      </c>
      <c r="AU3719" s="22" t="s">
        <v>3751</v>
      </c>
    </row>
    <row r="3720" spans="1:47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1"/>
        <v>Q2</v>
      </c>
      <c r="E3720" s="33" t="str">
        <f t="shared" si="1117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3561</v>
      </c>
      <c r="K3720" s="29" t="s">
        <v>1890</v>
      </c>
      <c r="L3720" s="24" t="s">
        <v>92</v>
      </c>
      <c r="M3720" s="13" t="s">
        <v>60</v>
      </c>
      <c r="N3720" s="22">
        <v>1</v>
      </c>
      <c r="O3720" s="22"/>
      <c r="P3720" s="202" t="str">
        <f t="shared" si="1104"/>
        <v>MAIN UNIT</v>
      </c>
      <c r="Q3720" s="22" t="s">
        <v>61</v>
      </c>
      <c r="R3720" s="22" t="s">
        <v>62</v>
      </c>
      <c r="S3720" s="22" t="s">
        <v>49</v>
      </c>
      <c r="T3720" s="22" t="s">
        <v>78</v>
      </c>
      <c r="U3720" s="22" t="s">
        <v>78</v>
      </c>
      <c r="V3720" s="22" t="s">
        <v>112</v>
      </c>
      <c r="W3720" s="22" t="s">
        <v>64</v>
      </c>
      <c r="X3720" s="104">
        <v>645000</v>
      </c>
      <c r="Y3720" s="195" t="str">
        <f t="shared" si="1103"/>
        <v>1.13</v>
      </c>
      <c r="Z3720" s="196">
        <f t="shared" si="1102"/>
        <v>645000</v>
      </c>
      <c r="AA3720" s="22">
        <v>1.1080000000000001</v>
      </c>
      <c r="AB3720" s="197">
        <f t="shared" si="1100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05"/>
        <v>22758096.38940867</v>
      </c>
      <c r="AJ3720" s="200">
        <f t="shared" si="1106"/>
        <v>2469357.2298956565</v>
      </c>
      <c r="AK3720" s="201">
        <f t="shared" si="1111"/>
        <v>0.10850455976822666</v>
      </c>
      <c r="AL3720" s="24"/>
      <c r="AM3720" s="24"/>
      <c r="AN3720" s="24"/>
      <c r="AO3720" s="24"/>
      <c r="AP3720" s="165" t="str">
        <f t="shared" si="1112"/>
        <v>202410</v>
      </c>
      <c r="AQ3720" s="203" t="str">
        <f t="shared" si="1113"/>
        <v>202410RMB</v>
      </c>
      <c r="AR3720" s="206" t="str">
        <f t="shared" si="1114"/>
        <v>YAMAHA_Mounter</v>
      </c>
      <c r="AS3720" s="22">
        <f t="shared" si="1115"/>
        <v>1</v>
      </c>
      <c r="AT3720" s="24" t="str">
        <f t="shared" si="1116"/>
        <v>0-3 months</v>
      </c>
      <c r="AU3720" s="22" t="s">
        <v>3751</v>
      </c>
    </row>
    <row r="3721" spans="1:47" ht="39.6">
      <c r="A3721" s="33" t="str">
        <f t="shared" si="1107"/>
        <v/>
      </c>
      <c r="B3721" s="23"/>
      <c r="C3721" s="23"/>
      <c r="D3721" s="202" t="str">
        <f t="shared" si="1101"/>
        <v/>
      </c>
      <c r="E3721" s="33" t="s">
        <v>3172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43</v>
      </c>
      <c r="M3721" s="22" t="s">
        <v>43</v>
      </c>
      <c r="N3721" s="22">
        <v>0</v>
      </c>
      <c r="O3721" s="22"/>
      <c r="P3721" s="202" t="str">
        <f t="shared" si="1104"/>
        <v>C66 SERVICE/OTHERS</v>
      </c>
      <c r="Q3721" s="22" t="s">
        <v>45</v>
      </c>
      <c r="R3721" s="22" t="s">
        <v>45</v>
      </c>
      <c r="S3721" s="22" t="s">
        <v>52</v>
      </c>
      <c r="T3721" s="22"/>
      <c r="U3721" s="22"/>
      <c r="V3721" s="22"/>
      <c r="W3721" s="22"/>
      <c r="X3721" s="104"/>
      <c r="Y3721" s="195" t="str">
        <f t="shared" si="1103"/>
        <v/>
      </c>
      <c r="Z3721" s="196" t="str">
        <f t="shared" si="1102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05"/>
        <v>35931087.732566379</v>
      </c>
      <c r="AJ3721" s="200">
        <f t="shared" si="1106"/>
        <v>4347120.3954975223</v>
      </c>
      <c r="AK3721" s="201">
        <f t="shared" si="1111"/>
        <v>0.12098493727362117</v>
      </c>
      <c r="AL3721" s="24"/>
      <c r="AM3721" s="24"/>
      <c r="AN3721" s="24"/>
      <c r="AO3721" s="24"/>
      <c r="AP3721" s="165" t="str">
        <f t="shared" si="1112"/>
        <v>20249</v>
      </c>
      <c r="AQ3721" s="203" t="str">
        <f t="shared" si="1113"/>
        <v/>
      </c>
      <c r="AR3721" s="206" t="str">
        <f t="shared" si="1114"/>
        <v>C66 SERVICE</v>
      </c>
      <c r="AS3721" s="22" t="str">
        <f t="shared" si="1115"/>
        <v/>
      </c>
      <c r="AT3721" s="24" t="str">
        <f t="shared" si="1116"/>
        <v/>
      </c>
      <c r="AU3721" s="22">
        <v>0</v>
      </c>
    </row>
    <row r="3722" spans="1:47" ht="39.6">
      <c r="A3722" s="33" t="str">
        <f t="shared" si="1107"/>
        <v/>
      </c>
      <c r="B3722" s="23"/>
      <c r="C3722" s="23"/>
      <c r="D3722" s="202" t="str">
        <f t="shared" si="1101"/>
        <v/>
      </c>
      <c r="E3722" s="33" t="s">
        <v>3172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43</v>
      </c>
      <c r="M3722" s="22" t="s">
        <v>43</v>
      </c>
      <c r="N3722" s="22">
        <v>0</v>
      </c>
      <c r="O3722" s="22"/>
      <c r="P3722" s="202" t="str">
        <f t="shared" si="1104"/>
        <v>C66 SERVICE/OTHERS</v>
      </c>
      <c r="Q3722" s="22" t="s">
        <v>45</v>
      </c>
      <c r="R3722" s="22" t="s">
        <v>45</v>
      </c>
      <c r="S3722" s="22" t="s">
        <v>51</v>
      </c>
      <c r="T3722" s="22"/>
      <c r="U3722" s="22"/>
      <c r="V3722" s="22"/>
      <c r="W3722" s="22"/>
      <c r="X3722" s="104"/>
      <c r="Y3722" s="195" t="str">
        <f t="shared" si="1103"/>
        <v/>
      </c>
      <c r="Z3722" s="196" t="str">
        <f t="shared" si="1102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05"/>
        <v>35931087.732566379</v>
      </c>
      <c r="AJ3722" s="200">
        <f t="shared" si="1106"/>
        <v>4347120.3954975223</v>
      </c>
      <c r="AK3722" s="201">
        <f t="shared" si="1111"/>
        <v>0.12098493727362117</v>
      </c>
      <c r="AL3722" s="24"/>
      <c r="AM3722" s="24"/>
      <c r="AN3722" s="24"/>
      <c r="AO3722" s="24"/>
      <c r="AP3722" s="165" t="str">
        <f t="shared" si="1112"/>
        <v>20249</v>
      </c>
      <c r="AQ3722" s="203" t="str">
        <f t="shared" si="1113"/>
        <v/>
      </c>
      <c r="AR3722" s="206" t="str">
        <f t="shared" si="1114"/>
        <v>C66 SERVICE</v>
      </c>
      <c r="AS3722" s="22" t="str">
        <f t="shared" si="1115"/>
        <v/>
      </c>
      <c r="AT3722" s="24" t="str">
        <f t="shared" si="1116"/>
        <v/>
      </c>
      <c r="AU3722" s="22">
        <v>0</v>
      </c>
    </row>
    <row r="3723" spans="1:47" ht="39.6">
      <c r="A3723" s="33" t="str">
        <f t="shared" si="1107"/>
        <v/>
      </c>
      <c r="B3723" s="23"/>
      <c r="C3723" s="23"/>
      <c r="D3723" s="202" t="str">
        <f t="shared" si="1101"/>
        <v/>
      </c>
      <c r="E3723" s="33" t="s">
        <v>3172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43</v>
      </c>
      <c r="M3723" s="22" t="s">
        <v>43</v>
      </c>
      <c r="N3723" s="22">
        <v>0</v>
      </c>
      <c r="O3723" s="22"/>
      <c r="P3723" s="202" t="str">
        <f t="shared" si="1104"/>
        <v>C66 SERVICE/OTHERS</v>
      </c>
      <c r="Q3723" s="22" t="s">
        <v>45</v>
      </c>
      <c r="R3723" s="22" t="s">
        <v>45</v>
      </c>
      <c r="S3723" s="22" t="s">
        <v>50</v>
      </c>
      <c r="T3723" s="22"/>
      <c r="U3723" s="22"/>
      <c r="V3723" s="22"/>
      <c r="W3723" s="22"/>
      <c r="X3723" s="104"/>
      <c r="Y3723" s="195" t="str">
        <f t="shared" si="1103"/>
        <v/>
      </c>
      <c r="Z3723" s="196" t="str">
        <f t="shared" si="1102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05"/>
        <v>35931087.732566379</v>
      </c>
      <c r="AJ3723" s="200">
        <f t="shared" si="1106"/>
        <v>4347120.3954975223</v>
      </c>
      <c r="AK3723" s="201">
        <f t="shared" si="1111"/>
        <v>0.12098493727362117</v>
      </c>
      <c r="AL3723" s="24"/>
      <c r="AM3723" s="24"/>
      <c r="AN3723" s="24"/>
      <c r="AO3723" s="24"/>
      <c r="AP3723" s="165" t="str">
        <f t="shared" si="1112"/>
        <v>20249</v>
      </c>
      <c r="AQ3723" s="203" t="str">
        <f t="shared" si="1113"/>
        <v/>
      </c>
      <c r="AR3723" s="206" t="str">
        <f t="shared" si="1114"/>
        <v>C66 SERVICE</v>
      </c>
      <c r="AS3723" s="22" t="str">
        <f t="shared" si="1115"/>
        <v/>
      </c>
      <c r="AT3723" s="24" t="str">
        <f t="shared" si="1116"/>
        <v/>
      </c>
      <c r="AU3723" s="22">
        <v>0</v>
      </c>
    </row>
    <row r="3724" spans="1:47" ht="39.6">
      <c r="A3724" s="33" t="str">
        <f t="shared" si="1107"/>
        <v/>
      </c>
      <c r="B3724" s="23"/>
      <c r="C3724" s="23"/>
      <c r="D3724" s="202" t="str">
        <f t="shared" si="1101"/>
        <v/>
      </c>
      <c r="E3724" s="33" t="s">
        <v>3172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43</v>
      </c>
      <c r="M3724" s="22" t="s">
        <v>43</v>
      </c>
      <c r="N3724" s="22">
        <v>0</v>
      </c>
      <c r="O3724" s="22"/>
      <c r="P3724" s="202" t="str">
        <f t="shared" si="1104"/>
        <v>C66 SERVICE/OTHERS</v>
      </c>
      <c r="Q3724" s="22" t="s">
        <v>45</v>
      </c>
      <c r="R3724" s="22" t="s">
        <v>45</v>
      </c>
      <c r="S3724" s="22" t="s">
        <v>49</v>
      </c>
      <c r="T3724" s="22"/>
      <c r="U3724" s="22"/>
      <c r="V3724" s="22"/>
      <c r="W3724" s="22"/>
      <c r="X3724" s="104"/>
      <c r="Y3724" s="195" t="str">
        <f t="shared" si="1103"/>
        <v/>
      </c>
      <c r="Z3724" s="196" t="str">
        <f t="shared" si="1102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05"/>
        <v>35931087.732566379</v>
      </c>
      <c r="AJ3724" s="200">
        <f t="shared" si="1106"/>
        <v>4347120.3954975223</v>
      </c>
      <c r="AK3724" s="201">
        <f t="shared" si="1111"/>
        <v>0.12098493727362117</v>
      </c>
      <c r="AL3724" s="24"/>
      <c r="AM3724" s="24"/>
      <c r="AN3724" s="24"/>
      <c r="AO3724" s="24"/>
      <c r="AP3724" s="165" t="str">
        <f t="shared" si="1112"/>
        <v>20249</v>
      </c>
      <c r="AQ3724" s="203" t="str">
        <f t="shared" si="1113"/>
        <v/>
      </c>
      <c r="AR3724" s="206" t="str">
        <f t="shared" si="1114"/>
        <v>C66 SERVICE</v>
      </c>
      <c r="AS3724" s="22" t="str">
        <f t="shared" si="1115"/>
        <v/>
      </c>
      <c r="AT3724" s="24" t="str">
        <f t="shared" si="1116"/>
        <v/>
      </c>
      <c r="AU3724" s="22">
        <v>0</v>
      </c>
    </row>
    <row r="3725" spans="1:47">
      <c r="A3725" s="33" t="str">
        <f t="shared" ref="A3725:A3743" si="1118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19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0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1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3562</v>
      </c>
      <c r="K3725" s="29" t="s">
        <v>3563</v>
      </c>
      <c r="L3725" s="17" t="s">
        <v>2956</v>
      </c>
      <c r="M3725" s="22" t="s">
        <v>2832</v>
      </c>
      <c r="N3725" s="22">
        <v>1</v>
      </c>
      <c r="O3725" s="22"/>
      <c r="P3725" s="202" t="str">
        <f t="shared" ref="P3725:P3744" si="1122">IF(M3725="","",IF(AND(N3725&gt;0,L3725&lt;&gt;""),"MAIN UNIT",IF(AND(O3725&gt;0,L3725&lt;&gt;""),"SERVICE/ PARTS","C66 SERVICE/OTHERS")))</f>
        <v>MAIN UNIT</v>
      </c>
      <c r="Q3725" s="22" t="s">
        <v>68</v>
      </c>
      <c r="R3725" s="22" t="s">
        <v>2055</v>
      </c>
      <c r="S3725" s="22" t="s">
        <v>49</v>
      </c>
      <c r="T3725" s="22" t="s">
        <v>78</v>
      </c>
      <c r="U3725" s="22" t="s">
        <v>78</v>
      </c>
      <c r="V3725" s="22" t="s">
        <v>3566</v>
      </c>
      <c r="W3725" s="22" t="s">
        <v>64</v>
      </c>
      <c r="X3725" s="104">
        <v>355000</v>
      </c>
      <c r="Y3725" s="195" t="str">
        <f t="shared" ref="Y3725:Y3763" si="1123">IF(W3725="","",IF(W3725="RMB","1.13", "1"))</f>
        <v>1.13</v>
      </c>
      <c r="Z3725" s="196">
        <f t="shared" ref="Z3725:Z3761" si="1124">IF(X3725="","",X3725*MAX(O3725,N3725))</f>
        <v>355000</v>
      </c>
      <c r="AA3725" s="22">
        <v>1.1080000000000001</v>
      </c>
      <c r="AB3725" s="197">
        <f t="shared" ref="AB3725:AB3729" si="1125">IF(AND(R3725&lt;&gt;"C66",R3725&lt;&gt;""),Z3725/Y3725*AA3725,"")</f>
        <v>348088.49557522131</v>
      </c>
      <c r="AC3725" s="198">
        <f t="shared" ref="AC3725:AC3743" si="1126">IF(R3725&lt;&gt;"",AB3725*AD3725,"")</f>
        <v>-120682.28141592923</v>
      </c>
      <c r="AD3725" s="169">
        <v>-0.34670000000000001</v>
      </c>
      <c r="AE3725" s="199">
        <f t="shared" ref="AE3725:AE3743" si="1127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si="1105"/>
        <v>22758096.38940867</v>
      </c>
      <c r="AJ3725" s="200">
        <f t="shared" si="1106"/>
        <v>2469357.2298956565</v>
      </c>
      <c r="AK3725" s="201">
        <f t="shared" ref="AK3725:AK3743" si="1128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29">IF(F3725="","",F3725&amp;G3725)</f>
        <v>202410</v>
      </c>
      <c r="AQ3725" s="203" t="str">
        <f t="shared" ref="AQ3725:AQ3743" si="1130">IF(W3725="","",F3725&amp;G3725&amp;W3725)</f>
        <v>202410RMB</v>
      </c>
      <c r="AR3725" s="206" t="str">
        <f t="shared" ref="AR3725:AR3743" si="1131">IFERROR(IF(AND(M3725="YAMAHA", R3725="C28"), "YAMAHA_Non_Mounter", IF(AND(M3725="YAMAHA", R3725="C49"), "YAMAHA_Mounter", M3725)),"")</f>
        <v>PEMTRON</v>
      </c>
      <c r="AS3725" s="22">
        <f t="shared" ref="AS3725:AS3743" si="1132">IFERROR(IF(OR(G3725="TBA", G3725=""), "", DATEDIF(DATE(B3725, C3725, 1), DATE(F3725, G3725, 1), "M")),"")</f>
        <v>0</v>
      </c>
      <c r="AT3725" s="24" t="str">
        <f t="shared" ref="AT3725:AT3743" si="1133">IF(ISNUMBER(AS3725), IF(AS3725&gt;=0, IF(AS3725&lt;=3, "0-3 months", IF(AS3725&lt;=6, "4-6 months", "&gt; 6 months"))), "")</f>
        <v>0-3 months</v>
      </c>
      <c r="AU3725" s="22" t="s">
        <v>3751</v>
      </c>
    </row>
    <row r="3726" spans="1:47">
      <c r="A3726" s="33" t="str">
        <f t="shared" si="1118"/>
        <v>FY 24/25</v>
      </c>
      <c r="B3726" s="23">
        <v>2024</v>
      </c>
      <c r="C3726" s="23">
        <v>10</v>
      </c>
      <c r="D3726" s="202" t="str">
        <f t="shared" si="1119"/>
        <v>Q3</v>
      </c>
      <c r="E3726" s="33" t="str">
        <f t="shared" si="1120"/>
        <v>FY 24/25</v>
      </c>
      <c r="F3726" s="23">
        <v>2025</v>
      </c>
      <c r="G3726" s="23">
        <v>1</v>
      </c>
      <c r="H3726" s="29"/>
      <c r="I3726" s="204" t="str">
        <f t="shared" si="1121"/>
        <v>Q4</v>
      </c>
      <c r="J3726" s="188" t="s">
        <v>3564</v>
      </c>
      <c r="K3726" s="29" t="s">
        <v>3565</v>
      </c>
      <c r="L3726" s="24" t="s">
        <v>92</v>
      </c>
      <c r="M3726" s="13" t="s">
        <v>60</v>
      </c>
      <c r="N3726" s="22">
        <v>1</v>
      </c>
      <c r="O3726" s="22"/>
      <c r="P3726" s="202" t="str">
        <f t="shared" si="1122"/>
        <v>MAIN UNIT</v>
      </c>
      <c r="Q3726" s="22" t="s">
        <v>68</v>
      </c>
      <c r="R3726" s="22" t="s">
        <v>62</v>
      </c>
      <c r="S3726" s="22" t="s">
        <v>49</v>
      </c>
      <c r="T3726" s="22" t="s">
        <v>78</v>
      </c>
      <c r="U3726" s="22" t="s">
        <v>396</v>
      </c>
      <c r="V3726" s="22" t="s">
        <v>112</v>
      </c>
      <c r="W3726" s="22" t="s">
        <v>64</v>
      </c>
      <c r="X3726" s="104">
        <v>855000</v>
      </c>
      <c r="Y3726" s="195" t="str">
        <f t="shared" si="1123"/>
        <v>1.13</v>
      </c>
      <c r="Z3726" s="196">
        <f t="shared" si="1124"/>
        <v>855000</v>
      </c>
      <c r="AA3726" s="22">
        <v>1.0640000000000001</v>
      </c>
      <c r="AB3726" s="197">
        <f t="shared" si="1125"/>
        <v>805061.94690265495</v>
      </c>
      <c r="AC3726" s="198">
        <f t="shared" si="1126"/>
        <v>100793.7557522124</v>
      </c>
      <c r="AD3726" s="169">
        <v>0.12520000000000001</v>
      </c>
      <c r="AE3726" s="199">
        <f t="shared" si="1127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05"/>
        <v>16190947.162761064</v>
      </c>
      <c r="AJ3726" s="200">
        <f t="shared" si="1106"/>
        <v>2256328.1660673413</v>
      </c>
      <c r="AK3726" s="201">
        <f t="shared" si="1128"/>
        <v>0.13935739171929745</v>
      </c>
      <c r="AL3726" s="24"/>
      <c r="AM3726" s="24"/>
      <c r="AN3726" s="24"/>
      <c r="AO3726" s="24"/>
      <c r="AP3726" s="165" t="str">
        <f t="shared" si="1129"/>
        <v>20251</v>
      </c>
      <c r="AQ3726" s="203" t="str">
        <f t="shared" si="1130"/>
        <v>20251RMB</v>
      </c>
      <c r="AR3726" s="206" t="str">
        <f t="shared" si="1131"/>
        <v>YAMAHA_Mounter</v>
      </c>
      <c r="AS3726" s="22">
        <f t="shared" si="1132"/>
        <v>3</v>
      </c>
      <c r="AT3726" s="24" t="str">
        <f t="shared" si="1133"/>
        <v>0-3 months</v>
      </c>
      <c r="AU3726" s="22" t="s">
        <v>3751</v>
      </c>
    </row>
    <row r="3727" spans="1:47">
      <c r="A3727" s="33" t="str">
        <f t="shared" si="1118"/>
        <v>FY 24/25</v>
      </c>
      <c r="B3727" s="23">
        <v>2024</v>
      </c>
      <c r="C3727" s="23">
        <v>10</v>
      </c>
      <c r="D3727" s="202" t="str">
        <f t="shared" si="1119"/>
        <v>Q3</v>
      </c>
      <c r="E3727" s="33" t="str">
        <f t="shared" si="1120"/>
        <v>FY 24/25</v>
      </c>
      <c r="F3727" s="23">
        <v>2024</v>
      </c>
      <c r="G3727" s="23">
        <v>11</v>
      </c>
      <c r="H3727" s="29"/>
      <c r="I3727" s="204" t="str">
        <f t="shared" si="1121"/>
        <v>Q3</v>
      </c>
      <c r="J3727" s="188" t="s">
        <v>3567</v>
      </c>
      <c r="K3727" s="29" t="s">
        <v>2561</v>
      </c>
      <c r="L3727" s="24" t="s">
        <v>92</v>
      </c>
      <c r="M3727" s="13" t="s">
        <v>60</v>
      </c>
      <c r="N3727" s="22">
        <v>1</v>
      </c>
      <c r="O3727" s="22"/>
      <c r="P3727" s="202" t="str">
        <f t="shared" si="1122"/>
        <v>MAIN UNIT</v>
      </c>
      <c r="Q3727" s="22" t="s">
        <v>61</v>
      </c>
      <c r="R3727" s="22" t="s">
        <v>62</v>
      </c>
      <c r="S3727" s="22" t="s">
        <v>50</v>
      </c>
      <c r="T3727" s="22" t="s">
        <v>325</v>
      </c>
      <c r="U3727" s="22" t="s">
        <v>70</v>
      </c>
      <c r="V3727" s="22" t="s">
        <v>1010</v>
      </c>
      <c r="W3727" s="22" t="s">
        <v>64</v>
      </c>
      <c r="X3727" s="104">
        <v>759998</v>
      </c>
      <c r="Y3727" s="195" t="str">
        <f t="shared" si="1123"/>
        <v>1.13</v>
      </c>
      <c r="Z3727" s="196">
        <f t="shared" si="1124"/>
        <v>759998</v>
      </c>
      <c r="AA3727" s="22">
        <v>1.0920000000000001</v>
      </c>
      <c r="AB3727" s="197">
        <f t="shared" si="1125"/>
        <v>734440.54513274354</v>
      </c>
      <c r="AC3727" s="198">
        <f t="shared" si="1126"/>
        <v>76455.2607483186</v>
      </c>
      <c r="AD3727" s="169">
        <v>0.1041</v>
      </c>
      <c r="AE3727" s="199">
        <f t="shared" si="1127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05"/>
        <v>32082250.320460182</v>
      </c>
      <c r="AJ3727" s="200">
        <f t="shared" si="1106"/>
        <v>4323122.9746477893</v>
      </c>
      <c r="AK3727" s="201">
        <f t="shared" si="1128"/>
        <v>0.1347512388147771</v>
      </c>
      <c r="AL3727" s="24"/>
      <c r="AM3727" s="24"/>
      <c r="AN3727" s="24"/>
      <c r="AO3727" s="24"/>
      <c r="AP3727" s="165" t="str">
        <f t="shared" si="1129"/>
        <v>202411</v>
      </c>
      <c r="AQ3727" s="203" t="str">
        <f t="shared" si="1130"/>
        <v>202411RMB</v>
      </c>
      <c r="AR3727" s="206" t="str">
        <f t="shared" si="1131"/>
        <v>YAMAHA_Mounter</v>
      </c>
      <c r="AS3727" s="22">
        <f t="shared" si="1132"/>
        <v>1</v>
      </c>
      <c r="AT3727" s="24" t="str">
        <f t="shared" si="1133"/>
        <v>0-3 months</v>
      </c>
      <c r="AU3727" s="22" t="s">
        <v>3240</v>
      </c>
    </row>
    <row r="3728" spans="1:47">
      <c r="A3728" s="33" t="str">
        <f t="shared" si="1118"/>
        <v>FY 24/25</v>
      </c>
      <c r="B3728" s="23">
        <v>2024</v>
      </c>
      <c r="C3728" s="23">
        <v>10</v>
      </c>
      <c r="D3728" s="202" t="str">
        <f t="shared" si="1119"/>
        <v>Q3</v>
      </c>
      <c r="E3728" s="33" t="str">
        <f t="shared" si="1120"/>
        <v>FY 24/25</v>
      </c>
      <c r="F3728" s="23">
        <v>2024</v>
      </c>
      <c r="G3728" s="23">
        <v>12</v>
      </c>
      <c r="H3728" s="29"/>
      <c r="I3728" s="204" t="str">
        <f t="shared" si="1121"/>
        <v>Q3</v>
      </c>
      <c r="J3728" s="188" t="s">
        <v>3568</v>
      </c>
      <c r="K3728" s="29" t="s">
        <v>3571</v>
      </c>
      <c r="L3728" s="24" t="s">
        <v>2620</v>
      </c>
      <c r="M3728" s="13" t="s">
        <v>60</v>
      </c>
      <c r="N3728" s="22">
        <v>1</v>
      </c>
      <c r="O3728" s="22"/>
      <c r="P3728" s="202" t="str">
        <f t="shared" si="1122"/>
        <v>MAIN UNIT</v>
      </c>
      <c r="Q3728" s="22" t="s">
        <v>61</v>
      </c>
      <c r="R3728" s="22" t="s">
        <v>2055</v>
      </c>
      <c r="S3728" s="22" t="s">
        <v>50</v>
      </c>
      <c r="T3728" s="22" t="s">
        <v>238</v>
      </c>
      <c r="U3728" s="22" t="s">
        <v>70</v>
      </c>
      <c r="V3728" s="22" t="s">
        <v>71</v>
      </c>
      <c r="W3728" s="22" t="s">
        <v>64</v>
      </c>
      <c r="X3728" s="104">
        <v>370000</v>
      </c>
      <c r="Y3728" s="195" t="str">
        <f t="shared" si="1123"/>
        <v>1.13</v>
      </c>
      <c r="Z3728" s="196">
        <f t="shared" si="1124"/>
        <v>370000</v>
      </c>
      <c r="AA3728" s="22">
        <v>1.0760000000000001</v>
      </c>
      <c r="AB3728" s="197">
        <f t="shared" si="1125"/>
        <v>352318.58407079655</v>
      </c>
      <c r="AC3728" s="198">
        <f t="shared" si="1126"/>
        <v>42278.230088495584</v>
      </c>
      <c r="AD3728" s="169">
        <v>0.12</v>
      </c>
      <c r="AE3728" s="199">
        <f t="shared" si="1127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05"/>
        <v>15965524.256637167</v>
      </c>
      <c r="AJ3728" s="200">
        <f t="shared" si="1106"/>
        <v>2480116.5996584073</v>
      </c>
      <c r="AK3728" s="201">
        <f t="shared" si="1128"/>
        <v>0.15534200817911609</v>
      </c>
      <c r="AL3728" s="24"/>
      <c r="AM3728" s="24"/>
      <c r="AN3728" s="24"/>
      <c r="AO3728" s="24"/>
      <c r="AP3728" s="165" t="str">
        <f t="shared" si="1129"/>
        <v>202412</v>
      </c>
      <c r="AQ3728" s="203" t="str">
        <f t="shared" si="1130"/>
        <v>202412RMB</v>
      </c>
      <c r="AR3728" s="206" t="str">
        <f t="shared" si="1131"/>
        <v>YAMAHA_Non_Mounter</v>
      </c>
      <c r="AS3728" s="22">
        <f t="shared" si="1132"/>
        <v>2</v>
      </c>
      <c r="AT3728" s="24" t="str">
        <f t="shared" si="1133"/>
        <v>0-3 months</v>
      </c>
      <c r="AU3728" s="22" t="s">
        <v>3240</v>
      </c>
    </row>
    <row r="3729" spans="1:47">
      <c r="A3729" s="33" t="str">
        <f t="shared" si="1118"/>
        <v>FY 24/25</v>
      </c>
      <c r="B3729" s="23">
        <v>2024</v>
      </c>
      <c r="C3729" s="23">
        <v>10</v>
      </c>
      <c r="D3729" s="202" t="str">
        <f t="shared" si="1119"/>
        <v>Q3</v>
      </c>
      <c r="E3729" s="33" t="str">
        <f t="shared" si="1120"/>
        <v>FY 24/25</v>
      </c>
      <c r="F3729" s="23">
        <v>2024</v>
      </c>
      <c r="G3729" s="23">
        <v>12</v>
      </c>
      <c r="H3729" s="29"/>
      <c r="I3729" s="204" t="str">
        <f t="shared" si="1121"/>
        <v>Q3</v>
      </c>
      <c r="J3729" s="188" t="s">
        <v>3569</v>
      </c>
      <c r="K3729" s="29" t="s">
        <v>3572</v>
      </c>
      <c r="L3729" s="24" t="s">
        <v>2620</v>
      </c>
      <c r="M3729" s="13" t="s">
        <v>60</v>
      </c>
      <c r="N3729" s="22">
        <v>1</v>
      </c>
      <c r="O3729" s="22"/>
      <c r="P3729" s="202" t="str">
        <f t="shared" si="1122"/>
        <v>MAIN UNIT</v>
      </c>
      <c r="Q3729" s="22" t="s">
        <v>61</v>
      </c>
      <c r="R3729" s="22" t="s">
        <v>2055</v>
      </c>
      <c r="S3729" s="22" t="s">
        <v>50</v>
      </c>
      <c r="T3729" s="22" t="s">
        <v>238</v>
      </c>
      <c r="U3729" s="22" t="s">
        <v>70</v>
      </c>
      <c r="V3729" s="22" t="s">
        <v>71</v>
      </c>
      <c r="W3729" s="22" t="s">
        <v>64</v>
      </c>
      <c r="X3729" s="104">
        <v>368000</v>
      </c>
      <c r="Y3729" s="195" t="str">
        <f t="shared" si="1123"/>
        <v>1.13</v>
      </c>
      <c r="Z3729" s="196">
        <f t="shared" si="1124"/>
        <v>368000</v>
      </c>
      <c r="AA3729" s="22">
        <v>1.0760000000000001</v>
      </c>
      <c r="AB3729" s="197">
        <f t="shared" si="1125"/>
        <v>350414.15929203545</v>
      </c>
      <c r="AC3729" s="198">
        <f t="shared" si="1126"/>
        <v>62583.968849557532</v>
      </c>
      <c r="AD3729" s="169">
        <v>0.17860000000000001</v>
      </c>
      <c r="AE3729" s="199">
        <f t="shared" si="1127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05"/>
        <v>15965524.256637167</v>
      </c>
      <c r="AJ3729" s="200">
        <f t="shared" si="1106"/>
        <v>2480116.5996584073</v>
      </c>
      <c r="AK3729" s="201">
        <f t="shared" si="1128"/>
        <v>0.15534200817911609</v>
      </c>
      <c r="AL3729" s="24"/>
      <c r="AM3729" s="24"/>
      <c r="AN3729" s="24"/>
      <c r="AO3729" s="24"/>
      <c r="AP3729" s="165" t="str">
        <f t="shared" si="1129"/>
        <v>202412</v>
      </c>
      <c r="AQ3729" s="203" t="str">
        <f t="shared" si="1130"/>
        <v>202412RMB</v>
      </c>
      <c r="AR3729" s="206" t="str">
        <f t="shared" si="1131"/>
        <v>YAMAHA_Non_Mounter</v>
      </c>
      <c r="AS3729" s="22">
        <f t="shared" si="1132"/>
        <v>2</v>
      </c>
      <c r="AT3729" s="24" t="str">
        <f t="shared" si="1133"/>
        <v>0-3 months</v>
      </c>
      <c r="AU3729" s="22" t="s">
        <v>3240</v>
      </c>
    </row>
    <row r="3730" spans="1:47">
      <c r="A3730" s="33" t="str">
        <f t="shared" si="1118"/>
        <v>FY 24/25</v>
      </c>
      <c r="B3730" s="23">
        <v>2024</v>
      </c>
      <c r="C3730" s="23">
        <v>10</v>
      </c>
      <c r="D3730" s="202" t="str">
        <f t="shared" si="1119"/>
        <v>Q3</v>
      </c>
      <c r="E3730" s="33" t="str">
        <f t="shared" si="1120"/>
        <v>FY 24/25</v>
      </c>
      <c r="F3730" s="23">
        <v>2024</v>
      </c>
      <c r="G3730" s="23">
        <v>11</v>
      </c>
      <c r="H3730" s="29"/>
      <c r="I3730" s="204" t="str">
        <f t="shared" si="1121"/>
        <v>Q3</v>
      </c>
      <c r="J3730" s="188" t="s">
        <v>3570</v>
      </c>
      <c r="K3730" s="29" t="s">
        <v>579</v>
      </c>
      <c r="L3730" s="24" t="s">
        <v>2620</v>
      </c>
      <c r="M3730" s="13" t="s">
        <v>60</v>
      </c>
      <c r="N3730" s="22">
        <v>1</v>
      </c>
      <c r="O3730" s="22"/>
      <c r="P3730" s="202" t="str">
        <f t="shared" si="1122"/>
        <v>MAIN UNIT</v>
      </c>
      <c r="Q3730" s="22" t="s">
        <v>61</v>
      </c>
      <c r="R3730" s="22" t="s">
        <v>2055</v>
      </c>
      <c r="S3730" s="22" t="s">
        <v>50</v>
      </c>
      <c r="T3730" s="22" t="s">
        <v>101</v>
      </c>
      <c r="U3730" s="22" t="s">
        <v>70</v>
      </c>
      <c r="V3730" s="22" t="s">
        <v>102</v>
      </c>
      <c r="W3730" s="22" t="s">
        <v>64</v>
      </c>
      <c r="X3730" s="104">
        <v>347000</v>
      </c>
      <c r="Y3730" s="195" t="str">
        <f t="shared" si="1123"/>
        <v>1.13</v>
      </c>
      <c r="Z3730" s="196">
        <f t="shared" si="1124"/>
        <v>347000</v>
      </c>
      <c r="AA3730" s="22">
        <v>1.0920000000000001</v>
      </c>
      <c r="AB3730" s="197">
        <f t="shared" ref="AB3730:AB3793" si="1134">IF(AND(R3730&lt;&gt;"C66",R3730&lt;&gt;""),Z3730/Y3730*AA3730,"")</f>
        <v>335330.97345132747</v>
      </c>
      <c r="AC3730" s="198">
        <f t="shared" si="1126"/>
        <v>50031.381238938062</v>
      </c>
      <c r="AD3730" s="169">
        <v>0.1492</v>
      </c>
      <c r="AE3730" s="199">
        <f t="shared" si="1127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05"/>
        <v>32082250.320460182</v>
      </c>
      <c r="AJ3730" s="200">
        <f t="shared" si="1106"/>
        <v>4323122.9746477893</v>
      </c>
      <c r="AK3730" s="201">
        <f t="shared" si="1128"/>
        <v>0.1347512388147771</v>
      </c>
      <c r="AL3730" s="24"/>
      <c r="AM3730" s="24"/>
      <c r="AN3730" s="24"/>
      <c r="AO3730" s="24"/>
      <c r="AP3730" s="165" t="str">
        <f t="shared" si="1129"/>
        <v>202411</v>
      </c>
      <c r="AQ3730" s="203" t="str">
        <f t="shared" si="1130"/>
        <v>202411RMB</v>
      </c>
      <c r="AR3730" s="206" t="str">
        <f t="shared" si="1131"/>
        <v>YAMAHA_Non_Mounter</v>
      </c>
      <c r="AS3730" s="22">
        <f t="shared" si="1132"/>
        <v>1</v>
      </c>
      <c r="AT3730" s="24" t="str">
        <f t="shared" si="1133"/>
        <v>0-3 months</v>
      </c>
      <c r="AU3730" s="22" t="s">
        <v>3240</v>
      </c>
    </row>
    <row r="3731" spans="1:47">
      <c r="A3731" s="33" t="str">
        <f t="shared" si="1118"/>
        <v>FY 24/25</v>
      </c>
      <c r="B3731" s="23">
        <v>2024</v>
      </c>
      <c r="C3731" s="23">
        <v>10</v>
      </c>
      <c r="D3731" s="202" t="str">
        <f t="shared" si="1119"/>
        <v>Q3</v>
      </c>
      <c r="E3731" s="33" t="str">
        <f t="shared" si="1120"/>
        <v>FY 24/25</v>
      </c>
      <c r="F3731" s="23">
        <v>2024</v>
      </c>
      <c r="G3731" s="23">
        <v>11</v>
      </c>
      <c r="H3731" s="29"/>
      <c r="I3731" s="204" t="str">
        <f t="shared" si="1121"/>
        <v>Q3</v>
      </c>
      <c r="J3731" s="188" t="s">
        <v>3573</v>
      </c>
      <c r="K3731" s="29" t="s">
        <v>1005</v>
      </c>
      <c r="L3731" s="24" t="s">
        <v>92</v>
      </c>
      <c r="M3731" s="13" t="s">
        <v>60</v>
      </c>
      <c r="N3731" s="22">
        <v>1</v>
      </c>
      <c r="O3731" s="22"/>
      <c r="P3731" s="202" t="str">
        <f t="shared" si="1122"/>
        <v>MAIN UNIT</v>
      </c>
      <c r="Q3731" s="22" t="s">
        <v>61</v>
      </c>
      <c r="R3731" s="22" t="s">
        <v>62</v>
      </c>
      <c r="S3731" s="22" t="s">
        <v>49</v>
      </c>
      <c r="T3731" s="22" t="s">
        <v>78</v>
      </c>
      <c r="U3731" s="22" t="s">
        <v>78</v>
      </c>
      <c r="V3731" s="22" t="s">
        <v>112</v>
      </c>
      <c r="W3731" s="22" t="s">
        <v>64</v>
      </c>
      <c r="X3731" s="104">
        <v>677000</v>
      </c>
      <c r="Y3731" s="195" t="str">
        <f t="shared" si="1123"/>
        <v>1.13</v>
      </c>
      <c r="Z3731" s="196">
        <f t="shared" si="1124"/>
        <v>677000</v>
      </c>
      <c r="AA3731" s="22">
        <v>1.1080000000000001</v>
      </c>
      <c r="AB3731" s="197">
        <f t="shared" si="1134"/>
        <v>663819.46902654879</v>
      </c>
      <c r="AC3731" s="198">
        <f t="shared" si="1126"/>
        <v>68771.696991150457</v>
      </c>
      <c r="AD3731" s="169">
        <v>0.1036</v>
      </c>
      <c r="AE3731" s="199">
        <f t="shared" si="1127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05"/>
        <v>32082250.320460182</v>
      </c>
      <c r="AJ3731" s="200">
        <f t="shared" si="1106"/>
        <v>4323122.9746477893</v>
      </c>
      <c r="AK3731" s="201">
        <f t="shared" si="1128"/>
        <v>0.1347512388147771</v>
      </c>
      <c r="AL3731" s="24"/>
      <c r="AM3731" s="24"/>
      <c r="AN3731" s="24"/>
      <c r="AO3731" s="24"/>
      <c r="AP3731" s="165" t="str">
        <f t="shared" si="1129"/>
        <v>202411</v>
      </c>
      <c r="AQ3731" s="203" t="str">
        <f t="shared" si="1130"/>
        <v>202411RMB</v>
      </c>
      <c r="AR3731" s="206" t="str">
        <f t="shared" si="1131"/>
        <v>YAMAHA_Mounter</v>
      </c>
      <c r="AS3731" s="22">
        <f t="shared" si="1132"/>
        <v>1</v>
      </c>
      <c r="AT3731" s="24" t="str">
        <f t="shared" si="1133"/>
        <v>0-3 months</v>
      </c>
      <c r="AU3731" s="22" t="s">
        <v>3751</v>
      </c>
    </row>
    <row r="3732" spans="1:47">
      <c r="A3732" s="33" t="str">
        <f t="shared" si="1118"/>
        <v>FY 24/25</v>
      </c>
      <c r="B3732" s="23">
        <v>2024</v>
      </c>
      <c r="C3732" s="23">
        <v>10</v>
      </c>
      <c r="D3732" s="202" t="str">
        <f t="shared" si="1119"/>
        <v>Q3</v>
      </c>
      <c r="E3732" s="33" t="str">
        <f t="shared" si="1120"/>
        <v>FY 24/25</v>
      </c>
      <c r="F3732" s="23">
        <v>2024</v>
      </c>
      <c r="G3732" s="23">
        <v>11</v>
      </c>
      <c r="H3732" s="29"/>
      <c r="I3732" s="204" t="str">
        <f t="shared" si="1121"/>
        <v>Q3</v>
      </c>
      <c r="J3732" s="188" t="s">
        <v>3574</v>
      </c>
      <c r="K3732" s="29" t="s">
        <v>3575</v>
      </c>
      <c r="L3732" s="24" t="s">
        <v>92</v>
      </c>
      <c r="M3732" s="13" t="s">
        <v>60</v>
      </c>
      <c r="N3732" s="22">
        <v>1</v>
      </c>
      <c r="O3732" s="22"/>
      <c r="P3732" s="202" t="str">
        <f t="shared" si="1122"/>
        <v>MAIN UNIT</v>
      </c>
      <c r="Q3732" s="22" t="s">
        <v>68</v>
      </c>
      <c r="R3732" s="22" t="s">
        <v>62</v>
      </c>
      <c r="S3732" s="22" t="s">
        <v>49</v>
      </c>
      <c r="T3732" s="22" t="s">
        <v>78</v>
      </c>
      <c r="U3732" s="22" t="s">
        <v>936</v>
      </c>
      <c r="V3732" s="22" t="s">
        <v>3134</v>
      </c>
      <c r="W3732" s="22" t="s">
        <v>109</v>
      </c>
      <c r="X3732" s="104">
        <v>11974790</v>
      </c>
      <c r="Y3732" s="195" t="str">
        <f t="shared" si="1123"/>
        <v>1</v>
      </c>
      <c r="Z3732" s="196">
        <f t="shared" si="1124"/>
        <v>11974790</v>
      </c>
      <c r="AA3732" s="22">
        <v>5.5599999999999997E-2</v>
      </c>
      <c r="AB3732" s="197">
        <f t="shared" si="1134"/>
        <v>665798.32399999991</v>
      </c>
      <c r="AC3732" s="198">
        <f t="shared" si="1126"/>
        <v>79895.798879999988</v>
      </c>
      <c r="AD3732" s="169">
        <v>0.12</v>
      </c>
      <c r="AE3732" s="199">
        <f t="shared" si="1127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05"/>
        <v>32082250.320460182</v>
      </c>
      <c r="AJ3732" s="200">
        <f t="shared" si="1106"/>
        <v>4323122.9746477893</v>
      </c>
      <c r="AK3732" s="201">
        <f t="shared" si="1128"/>
        <v>0.1347512388147771</v>
      </c>
      <c r="AL3732" s="24"/>
      <c r="AM3732" s="24"/>
      <c r="AN3732" s="24"/>
      <c r="AO3732" s="24"/>
      <c r="AP3732" s="165" t="str">
        <f t="shared" si="1129"/>
        <v>202411</v>
      </c>
      <c r="AQ3732" s="203" t="str">
        <f t="shared" si="1130"/>
        <v>202411JPY</v>
      </c>
      <c r="AR3732" s="206" t="str">
        <f t="shared" si="1131"/>
        <v>YAMAHA_Mounter</v>
      </c>
      <c r="AS3732" s="22">
        <f t="shared" si="1132"/>
        <v>1</v>
      </c>
      <c r="AT3732" s="24" t="str">
        <f t="shared" si="1133"/>
        <v>0-3 months</v>
      </c>
      <c r="AU3732" s="22" t="s">
        <v>3746</v>
      </c>
    </row>
    <row r="3733" spans="1:47">
      <c r="A3733" s="33" t="str">
        <f t="shared" si="1118"/>
        <v>FY 24/25</v>
      </c>
      <c r="B3733" s="23">
        <v>2024</v>
      </c>
      <c r="C3733" s="23">
        <v>10</v>
      </c>
      <c r="D3733" s="202" t="str">
        <f t="shared" si="1119"/>
        <v>Q3</v>
      </c>
      <c r="E3733" s="33" t="str">
        <f t="shared" si="1120"/>
        <v>FY 24/25</v>
      </c>
      <c r="F3733" s="23">
        <v>2024</v>
      </c>
      <c r="G3733" s="23">
        <v>11</v>
      </c>
      <c r="H3733" s="29"/>
      <c r="I3733" s="204" t="str">
        <f t="shared" si="1121"/>
        <v>Q3</v>
      </c>
      <c r="J3733" s="188" t="s">
        <v>3574</v>
      </c>
      <c r="K3733" s="29" t="s">
        <v>3575</v>
      </c>
      <c r="L3733" s="24" t="s">
        <v>67</v>
      </c>
      <c r="M3733" s="13" t="s">
        <v>60</v>
      </c>
      <c r="N3733" s="22">
        <v>1</v>
      </c>
      <c r="O3733" s="22"/>
      <c r="P3733" s="202" t="str">
        <f t="shared" si="1122"/>
        <v>MAIN UNIT</v>
      </c>
      <c r="Q3733" s="22" t="s">
        <v>68</v>
      </c>
      <c r="R3733" s="22" t="s">
        <v>62</v>
      </c>
      <c r="S3733" s="22" t="s">
        <v>49</v>
      </c>
      <c r="T3733" s="22" t="s">
        <v>78</v>
      </c>
      <c r="U3733" s="22" t="s">
        <v>936</v>
      </c>
      <c r="V3733" s="22" t="s">
        <v>3134</v>
      </c>
      <c r="W3733" s="22" t="s">
        <v>109</v>
      </c>
      <c r="X3733" s="104">
        <v>10000000</v>
      </c>
      <c r="Y3733" s="195" t="str">
        <f t="shared" si="1123"/>
        <v>1</v>
      </c>
      <c r="Z3733" s="196">
        <f t="shared" si="1124"/>
        <v>10000000</v>
      </c>
      <c r="AA3733" s="22">
        <v>5.5599999999999997E-2</v>
      </c>
      <c r="AB3733" s="197">
        <f t="shared" si="1134"/>
        <v>556000</v>
      </c>
      <c r="AC3733" s="198">
        <f t="shared" si="1126"/>
        <v>66720</v>
      </c>
      <c r="AD3733" s="169">
        <v>0.12</v>
      </c>
      <c r="AE3733" s="199">
        <f t="shared" si="1127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05"/>
        <v>32082250.320460182</v>
      </c>
      <c r="AJ3733" s="200">
        <f t="shared" si="1106"/>
        <v>4323122.9746477893</v>
      </c>
      <c r="AK3733" s="201">
        <f t="shared" si="1128"/>
        <v>0.1347512388147771</v>
      </c>
      <c r="AL3733" s="24"/>
      <c r="AM3733" s="24"/>
      <c r="AN3733" s="24"/>
      <c r="AO3733" s="24"/>
      <c r="AP3733" s="165" t="str">
        <f t="shared" si="1129"/>
        <v>202411</v>
      </c>
      <c r="AQ3733" s="203" t="str">
        <f t="shared" si="1130"/>
        <v>202411JPY</v>
      </c>
      <c r="AR3733" s="206" t="str">
        <f t="shared" si="1131"/>
        <v>YAMAHA_Mounter</v>
      </c>
      <c r="AS3733" s="22">
        <f t="shared" si="1132"/>
        <v>1</v>
      </c>
      <c r="AT3733" s="24" t="str">
        <f t="shared" si="1133"/>
        <v>0-3 months</v>
      </c>
      <c r="AU3733" s="22" t="s">
        <v>3746</v>
      </c>
    </row>
    <row r="3734" spans="1:47">
      <c r="A3734" s="33" t="str">
        <f t="shared" si="1118"/>
        <v>FY 24/25</v>
      </c>
      <c r="B3734" s="23">
        <v>2024</v>
      </c>
      <c r="C3734" s="23">
        <v>10</v>
      </c>
      <c r="D3734" s="202" t="str">
        <f t="shared" si="1119"/>
        <v>Q3</v>
      </c>
      <c r="E3734" s="33" t="str">
        <f t="shared" si="1120"/>
        <v>FY 24/25</v>
      </c>
      <c r="F3734" s="23">
        <v>2024</v>
      </c>
      <c r="G3734" s="23">
        <v>11</v>
      </c>
      <c r="H3734" s="29"/>
      <c r="I3734" s="204" t="str">
        <f t="shared" si="1121"/>
        <v>Q3</v>
      </c>
      <c r="J3734" s="188" t="s">
        <v>3576</v>
      </c>
      <c r="K3734" s="29" t="s">
        <v>3577</v>
      </c>
      <c r="L3734" s="24" t="s">
        <v>67</v>
      </c>
      <c r="M3734" s="13" t="s">
        <v>60</v>
      </c>
      <c r="N3734" s="22">
        <v>1</v>
      </c>
      <c r="O3734" s="22"/>
      <c r="P3734" s="202" t="str">
        <f t="shared" si="1122"/>
        <v>MAIN UNIT</v>
      </c>
      <c r="Q3734" s="22" t="s">
        <v>68</v>
      </c>
      <c r="R3734" s="22" t="s">
        <v>62</v>
      </c>
      <c r="S3734" s="22" t="s">
        <v>49</v>
      </c>
      <c r="T3734" s="22" t="s">
        <v>78</v>
      </c>
      <c r="U3734" s="22" t="s">
        <v>78</v>
      </c>
      <c r="V3734" s="22" t="s">
        <v>311</v>
      </c>
      <c r="W3734" s="22" t="s">
        <v>64</v>
      </c>
      <c r="X3734" s="104">
        <v>390000</v>
      </c>
      <c r="Y3734" s="195" t="str">
        <f t="shared" si="1123"/>
        <v>1.13</v>
      </c>
      <c r="Z3734" s="196">
        <f t="shared" si="1124"/>
        <v>390000</v>
      </c>
      <c r="AA3734" s="22">
        <v>1.1080000000000001</v>
      </c>
      <c r="AB3734" s="197">
        <f t="shared" si="1134"/>
        <v>382407.07964601775</v>
      </c>
      <c r="AC3734" s="198">
        <f t="shared" si="1126"/>
        <v>45888.849557522131</v>
      </c>
      <c r="AD3734" s="169">
        <v>0.12</v>
      </c>
      <c r="AE3734" s="199">
        <f t="shared" si="1127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05"/>
        <v>32082250.320460182</v>
      </c>
      <c r="AJ3734" s="200">
        <f t="shared" si="1106"/>
        <v>4323122.9746477893</v>
      </c>
      <c r="AK3734" s="201">
        <f t="shared" si="1128"/>
        <v>0.1347512388147771</v>
      </c>
      <c r="AL3734" s="24"/>
      <c r="AM3734" s="24"/>
      <c r="AN3734" s="24"/>
      <c r="AO3734" s="24"/>
      <c r="AP3734" s="165" t="str">
        <f t="shared" si="1129"/>
        <v>202411</v>
      </c>
      <c r="AQ3734" s="203" t="str">
        <f t="shared" si="1130"/>
        <v>202411RMB</v>
      </c>
      <c r="AR3734" s="206" t="str">
        <f t="shared" si="1131"/>
        <v>YAMAHA_Mounter</v>
      </c>
      <c r="AS3734" s="22">
        <f t="shared" si="1132"/>
        <v>1</v>
      </c>
      <c r="AT3734" s="24" t="str">
        <f t="shared" si="1133"/>
        <v>0-3 months</v>
      </c>
      <c r="AU3734" s="22" t="s">
        <v>3751</v>
      </c>
    </row>
    <row r="3735" spans="1:47">
      <c r="A3735" s="33" t="str">
        <f t="shared" si="1118"/>
        <v>FY 24/25</v>
      </c>
      <c r="B3735" s="23">
        <v>2024</v>
      </c>
      <c r="C3735" s="23">
        <v>10</v>
      </c>
      <c r="D3735" s="202" t="str">
        <f t="shared" si="1119"/>
        <v>Q3</v>
      </c>
      <c r="E3735" s="33" t="str">
        <f t="shared" si="1120"/>
        <v>FY 24/25</v>
      </c>
      <c r="F3735" s="23">
        <v>2024</v>
      </c>
      <c r="G3735" s="23">
        <v>12</v>
      </c>
      <c r="H3735" s="29"/>
      <c r="I3735" s="204" t="str">
        <f t="shared" si="1121"/>
        <v>Q3</v>
      </c>
      <c r="J3735" s="188" t="s">
        <v>3578</v>
      </c>
      <c r="K3735" s="29" t="s">
        <v>3579</v>
      </c>
      <c r="L3735" s="24" t="s">
        <v>3580</v>
      </c>
      <c r="M3735" s="22" t="s">
        <v>2607</v>
      </c>
      <c r="N3735" s="22">
        <v>1</v>
      </c>
      <c r="O3735" s="22"/>
      <c r="P3735" s="202" t="str">
        <f t="shared" si="1122"/>
        <v>MAIN UNIT</v>
      </c>
      <c r="Q3735" s="22" t="s">
        <v>68</v>
      </c>
      <c r="R3735" s="22" t="s">
        <v>2055</v>
      </c>
      <c r="S3735" s="22" t="s">
        <v>49</v>
      </c>
      <c r="T3735" s="22" t="s">
        <v>78</v>
      </c>
      <c r="U3735" s="22" t="s">
        <v>78</v>
      </c>
      <c r="V3735" s="22" t="s">
        <v>2534</v>
      </c>
      <c r="W3735" s="22" t="s">
        <v>64</v>
      </c>
      <c r="X3735" s="104">
        <v>452000</v>
      </c>
      <c r="Y3735" s="195" t="str">
        <f t="shared" si="1123"/>
        <v>1.13</v>
      </c>
      <c r="Z3735" s="196">
        <f t="shared" si="1124"/>
        <v>452000</v>
      </c>
      <c r="AA3735" s="22">
        <v>1.0760000000000001</v>
      </c>
      <c r="AB3735" s="197">
        <f t="shared" si="1134"/>
        <v>430400.00000000012</v>
      </c>
      <c r="AC3735" s="198">
        <f t="shared" si="1126"/>
        <v>51346.720000000016</v>
      </c>
      <c r="AD3735" s="169">
        <v>0.1193</v>
      </c>
      <c r="AE3735" s="199">
        <f t="shared" si="1127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05"/>
        <v>15965524.256637167</v>
      </c>
      <c r="AJ3735" s="200">
        <f t="shared" si="1106"/>
        <v>2480116.5996584073</v>
      </c>
      <c r="AK3735" s="201">
        <f t="shared" si="1128"/>
        <v>0.15534200817911609</v>
      </c>
      <c r="AL3735" s="24"/>
      <c r="AM3735" s="24"/>
      <c r="AN3735" s="24"/>
      <c r="AO3735" s="24"/>
      <c r="AP3735" s="165" t="str">
        <f t="shared" si="1129"/>
        <v>202412</v>
      </c>
      <c r="AQ3735" s="203" t="str">
        <f t="shared" si="1130"/>
        <v>202412RMB</v>
      </c>
      <c r="AR3735" s="206" t="str">
        <f t="shared" si="1131"/>
        <v>HELLER</v>
      </c>
      <c r="AS3735" s="22">
        <f t="shared" si="1132"/>
        <v>2</v>
      </c>
      <c r="AT3735" s="24" t="str">
        <f t="shared" si="1133"/>
        <v>0-3 months</v>
      </c>
      <c r="AU3735" s="22" t="s">
        <v>3751</v>
      </c>
    </row>
    <row r="3736" spans="1:47">
      <c r="A3736" s="33" t="str">
        <f t="shared" si="1118"/>
        <v>FY 24/25</v>
      </c>
      <c r="B3736" s="23">
        <v>2024</v>
      </c>
      <c r="C3736" s="23">
        <v>10</v>
      </c>
      <c r="D3736" s="202" t="str">
        <f t="shared" si="1119"/>
        <v>Q3</v>
      </c>
      <c r="E3736" s="33" t="str">
        <f t="shared" ref="E3736:E3799" si="1135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1"/>
        <v>Q3</v>
      </c>
      <c r="J3736" s="188" t="s">
        <v>3581</v>
      </c>
      <c r="K3736" s="29" t="s">
        <v>1428</v>
      </c>
      <c r="L3736" s="24" t="s">
        <v>92</v>
      </c>
      <c r="M3736" s="13" t="s">
        <v>60</v>
      </c>
      <c r="N3736" s="22">
        <v>1</v>
      </c>
      <c r="O3736" s="22"/>
      <c r="P3736" s="202" t="str">
        <f t="shared" si="1122"/>
        <v>MAIN UNIT</v>
      </c>
      <c r="Q3736" s="22" t="s">
        <v>61</v>
      </c>
      <c r="R3736" s="22" t="s">
        <v>62</v>
      </c>
      <c r="S3736" s="22" t="s">
        <v>49</v>
      </c>
      <c r="T3736" s="22" t="s">
        <v>78</v>
      </c>
      <c r="U3736" s="22" t="s">
        <v>3517</v>
      </c>
      <c r="V3736" s="22" t="s">
        <v>112</v>
      </c>
      <c r="W3736" s="22" t="s">
        <v>109</v>
      </c>
      <c r="X3736" s="104">
        <v>14350000</v>
      </c>
      <c r="Y3736" s="195" t="str">
        <f t="shared" si="1123"/>
        <v>1</v>
      </c>
      <c r="Z3736" s="196">
        <f t="shared" si="1124"/>
        <v>14350000</v>
      </c>
      <c r="AA3736" s="22">
        <v>5.5599999999999997E-2</v>
      </c>
      <c r="AB3736" s="197">
        <f t="shared" si="1134"/>
        <v>797860</v>
      </c>
      <c r="AC3736" s="198">
        <f t="shared" si="1126"/>
        <v>120875.79</v>
      </c>
      <c r="AD3736" s="169">
        <v>0.1515</v>
      </c>
      <c r="AE3736" s="199">
        <f t="shared" si="1127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05"/>
        <v>22758096.38940867</v>
      </c>
      <c r="AJ3736" s="200">
        <f t="shared" si="1106"/>
        <v>2469357.2298956565</v>
      </c>
      <c r="AK3736" s="201">
        <f t="shared" si="1128"/>
        <v>0.10850455976822666</v>
      </c>
      <c r="AL3736" s="24"/>
      <c r="AM3736" s="24"/>
      <c r="AN3736" s="24"/>
      <c r="AO3736" s="24"/>
      <c r="AP3736" s="165" t="str">
        <f t="shared" si="1129"/>
        <v>202410</v>
      </c>
      <c r="AQ3736" s="203" t="str">
        <f t="shared" si="1130"/>
        <v>202410JPY</v>
      </c>
      <c r="AR3736" s="206" t="str">
        <f t="shared" si="1131"/>
        <v>YAMAHA_Mounter</v>
      </c>
      <c r="AS3736" s="22">
        <f t="shared" si="1132"/>
        <v>0</v>
      </c>
      <c r="AT3736" s="24" t="str">
        <f t="shared" si="1133"/>
        <v>0-3 months</v>
      </c>
      <c r="AU3736" s="22" t="s">
        <v>3745</v>
      </c>
    </row>
    <row r="3737" spans="1:47">
      <c r="A3737" s="33" t="str">
        <f t="shared" si="1118"/>
        <v>FY 24/25</v>
      </c>
      <c r="B3737" s="23">
        <v>2024</v>
      </c>
      <c r="C3737" s="23">
        <v>10</v>
      </c>
      <c r="D3737" s="202" t="str">
        <f t="shared" si="1119"/>
        <v>Q3</v>
      </c>
      <c r="E3737" s="33" t="str">
        <f t="shared" si="1135"/>
        <v>FY 24/25</v>
      </c>
      <c r="F3737" s="23">
        <v>2025</v>
      </c>
      <c r="G3737" s="23">
        <v>2</v>
      </c>
      <c r="H3737" s="29"/>
      <c r="I3737" s="204" t="str">
        <f t="shared" si="1121"/>
        <v>Q4</v>
      </c>
      <c r="J3737" s="188" t="s">
        <v>3582</v>
      </c>
      <c r="K3737" s="29" t="s">
        <v>167</v>
      </c>
      <c r="L3737" s="24" t="s">
        <v>2620</v>
      </c>
      <c r="M3737" s="13" t="s">
        <v>60</v>
      </c>
      <c r="N3737" s="22">
        <v>1</v>
      </c>
      <c r="O3737" s="22"/>
      <c r="P3737" s="202" t="str">
        <f t="shared" si="1122"/>
        <v>MAIN UNIT</v>
      </c>
      <c r="Q3737" s="22" t="s">
        <v>61</v>
      </c>
      <c r="R3737" s="22" t="s">
        <v>2055</v>
      </c>
      <c r="S3737" s="22" t="s">
        <v>50</v>
      </c>
      <c r="T3737" s="22" t="s">
        <v>83</v>
      </c>
      <c r="U3737" s="22" t="s">
        <v>70</v>
      </c>
      <c r="V3737" s="22" t="s">
        <v>102</v>
      </c>
      <c r="W3737" s="22" t="s">
        <v>64</v>
      </c>
      <c r="X3737" s="104">
        <v>375000</v>
      </c>
      <c r="Y3737" s="195" t="str">
        <f t="shared" si="1123"/>
        <v>1.13</v>
      </c>
      <c r="Z3737" s="196">
        <f t="shared" si="1124"/>
        <v>375000</v>
      </c>
      <c r="AA3737" s="22">
        <v>1.073</v>
      </c>
      <c r="AB3737" s="197">
        <f t="shared" si="1134"/>
        <v>356084.0707964602</v>
      </c>
      <c r="AC3737" s="198">
        <f t="shared" si="1126"/>
        <v>65839.944690265489</v>
      </c>
      <c r="AD3737" s="170">
        <v>0.18490000000000001</v>
      </c>
      <c r="AE3737" s="199">
        <f t="shared" si="1127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05"/>
        <v>30691842.970796466</v>
      </c>
      <c r="AJ3737" s="200">
        <f t="shared" si="1106"/>
        <v>4088324.205777524</v>
      </c>
      <c r="AK3737" s="201">
        <f t="shared" si="1128"/>
        <v>0.1332055624573473</v>
      </c>
      <c r="AL3737" s="24"/>
      <c r="AM3737" s="24"/>
      <c r="AN3737" s="24"/>
      <c r="AO3737" s="24"/>
      <c r="AP3737" s="165" t="str">
        <f t="shared" si="1129"/>
        <v>20252</v>
      </c>
      <c r="AQ3737" s="203" t="str">
        <f t="shared" si="1130"/>
        <v>20252RMB</v>
      </c>
      <c r="AR3737" s="206" t="str">
        <f t="shared" si="1131"/>
        <v>YAMAHA_Non_Mounter</v>
      </c>
      <c r="AS3737" s="22">
        <f t="shared" si="1132"/>
        <v>4</v>
      </c>
      <c r="AT3737" s="24" t="str">
        <f t="shared" si="1133"/>
        <v>4-6 months</v>
      </c>
      <c r="AU3737" s="22" t="s">
        <v>3240</v>
      </c>
    </row>
    <row r="3738" spans="1:47">
      <c r="A3738" s="33" t="str">
        <f t="shared" si="1118"/>
        <v>FY 24/25</v>
      </c>
      <c r="B3738" s="23">
        <v>2024</v>
      </c>
      <c r="C3738" s="23">
        <v>9</v>
      </c>
      <c r="D3738" s="202" t="str">
        <f t="shared" si="1119"/>
        <v>Q2</v>
      </c>
      <c r="E3738" s="33" t="str">
        <f t="shared" si="1135"/>
        <v>FY 24/25</v>
      </c>
      <c r="F3738" s="23">
        <v>2024</v>
      </c>
      <c r="G3738" s="23">
        <v>10</v>
      </c>
      <c r="H3738" s="29"/>
      <c r="I3738" s="204" t="str">
        <f t="shared" si="1121"/>
        <v>Q3</v>
      </c>
      <c r="J3738" s="188" t="s">
        <v>3583</v>
      </c>
      <c r="K3738" s="29" t="s">
        <v>167</v>
      </c>
      <c r="L3738" s="24" t="s">
        <v>92</v>
      </c>
      <c r="M3738" s="13" t="s">
        <v>60</v>
      </c>
      <c r="N3738" s="22">
        <v>1</v>
      </c>
      <c r="O3738" s="22"/>
      <c r="P3738" s="202" t="str">
        <f t="shared" si="1122"/>
        <v>MAIN UNIT</v>
      </c>
      <c r="Q3738" s="22" t="s">
        <v>61</v>
      </c>
      <c r="R3738" s="22" t="s">
        <v>62</v>
      </c>
      <c r="S3738" s="22" t="s">
        <v>50</v>
      </c>
      <c r="T3738" s="22" t="s">
        <v>83</v>
      </c>
      <c r="U3738" s="22" t="s">
        <v>70</v>
      </c>
      <c r="V3738" s="22" t="s">
        <v>102</v>
      </c>
      <c r="W3738" s="22" t="s">
        <v>64</v>
      </c>
      <c r="X3738" s="104">
        <v>920000</v>
      </c>
      <c r="Y3738" s="195" t="str">
        <f t="shared" si="1123"/>
        <v>1.13</v>
      </c>
      <c r="Z3738" s="196">
        <f t="shared" si="1124"/>
        <v>920000</v>
      </c>
      <c r="AA3738" s="22">
        <v>1.1080000000000001</v>
      </c>
      <c r="AB3738" s="197">
        <f t="shared" si="1134"/>
        <v>902088.49557522137</v>
      </c>
      <c r="AC3738" s="198">
        <f t="shared" si="1126"/>
        <v>93546.576991150461</v>
      </c>
      <c r="AD3738" s="169">
        <v>0.1037</v>
      </c>
      <c r="AE3738" s="199">
        <f t="shared" si="1127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05"/>
        <v>22758096.38940867</v>
      </c>
      <c r="AJ3738" s="200">
        <f t="shared" si="1106"/>
        <v>2469357.2298956565</v>
      </c>
      <c r="AK3738" s="201">
        <f t="shared" si="1128"/>
        <v>0.10850455976822666</v>
      </c>
      <c r="AL3738" s="24"/>
      <c r="AM3738" s="24"/>
      <c r="AN3738" s="24"/>
      <c r="AO3738" s="24"/>
      <c r="AP3738" s="165" t="str">
        <f t="shared" si="1129"/>
        <v>202410</v>
      </c>
      <c r="AQ3738" s="203" t="str">
        <f t="shared" si="1130"/>
        <v>202410RMB</v>
      </c>
      <c r="AR3738" s="206" t="str">
        <f t="shared" si="1131"/>
        <v>YAMAHA_Mounter</v>
      </c>
      <c r="AS3738" s="22">
        <f t="shared" si="1132"/>
        <v>1</v>
      </c>
      <c r="AT3738" s="24" t="str">
        <f t="shared" si="1133"/>
        <v>0-3 months</v>
      </c>
      <c r="AU3738" s="22" t="s">
        <v>3240</v>
      </c>
    </row>
    <row r="3739" spans="1:47">
      <c r="A3739" s="33" t="str">
        <f t="shared" si="1118"/>
        <v>FY 24/25</v>
      </c>
      <c r="B3739" s="23">
        <v>2024</v>
      </c>
      <c r="C3739" s="23">
        <v>9</v>
      </c>
      <c r="D3739" s="202" t="str">
        <f t="shared" si="1119"/>
        <v>Q2</v>
      </c>
      <c r="E3739" s="33" t="str">
        <f t="shared" si="1135"/>
        <v>FY 24/25</v>
      </c>
      <c r="F3739" s="23">
        <v>2024</v>
      </c>
      <c r="G3739" s="23">
        <v>10</v>
      </c>
      <c r="H3739" s="29"/>
      <c r="I3739" s="204" t="str">
        <f t="shared" si="1121"/>
        <v>Q3</v>
      </c>
      <c r="J3739" s="188" t="s">
        <v>3583</v>
      </c>
      <c r="K3739" s="29" t="s">
        <v>167</v>
      </c>
      <c r="L3739" s="24" t="s">
        <v>92</v>
      </c>
      <c r="M3739" s="13" t="s">
        <v>60</v>
      </c>
      <c r="N3739" s="22">
        <v>1</v>
      </c>
      <c r="O3739" s="22"/>
      <c r="P3739" s="202" t="str">
        <f t="shared" si="1122"/>
        <v>MAIN UNIT</v>
      </c>
      <c r="Q3739" s="22" t="s">
        <v>61</v>
      </c>
      <c r="R3739" s="22" t="s">
        <v>62</v>
      </c>
      <c r="S3739" s="22" t="s">
        <v>50</v>
      </c>
      <c r="T3739" s="22" t="s">
        <v>83</v>
      </c>
      <c r="U3739" s="22" t="s">
        <v>70</v>
      </c>
      <c r="V3739" s="22" t="s">
        <v>102</v>
      </c>
      <c r="W3739" s="22" t="s">
        <v>64</v>
      </c>
      <c r="X3739" s="104">
        <v>920000</v>
      </c>
      <c r="Y3739" s="195" t="str">
        <f t="shared" si="1123"/>
        <v>1.13</v>
      </c>
      <c r="Z3739" s="196">
        <f t="shared" si="1124"/>
        <v>920000</v>
      </c>
      <c r="AA3739" s="22">
        <v>1.1080000000000001</v>
      </c>
      <c r="AB3739" s="197">
        <f t="shared" si="1134"/>
        <v>902088.49557522137</v>
      </c>
      <c r="AC3739" s="198">
        <f t="shared" si="1126"/>
        <v>93546.576991150461</v>
      </c>
      <c r="AD3739" s="169">
        <v>0.1037</v>
      </c>
      <c r="AE3739" s="199">
        <f t="shared" si="1127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05"/>
        <v>22758096.38940867</v>
      </c>
      <c r="AJ3739" s="200">
        <f t="shared" si="1106"/>
        <v>2469357.2298956565</v>
      </c>
      <c r="AK3739" s="201">
        <f t="shared" si="1128"/>
        <v>0.10850455976822666</v>
      </c>
      <c r="AL3739" s="24"/>
      <c r="AM3739" s="24"/>
      <c r="AN3739" s="24"/>
      <c r="AO3739" s="24"/>
      <c r="AP3739" s="165" t="str">
        <f t="shared" si="1129"/>
        <v>202410</v>
      </c>
      <c r="AQ3739" s="203" t="str">
        <f t="shared" si="1130"/>
        <v>202410RMB</v>
      </c>
      <c r="AR3739" s="206" t="str">
        <f t="shared" si="1131"/>
        <v>YAMAHA_Mounter</v>
      </c>
      <c r="AS3739" s="22">
        <f t="shared" si="1132"/>
        <v>1</v>
      </c>
      <c r="AT3739" s="24" t="str">
        <f t="shared" si="1133"/>
        <v>0-3 months</v>
      </c>
      <c r="AU3739" s="22" t="s">
        <v>3240</v>
      </c>
    </row>
    <row r="3740" spans="1:47">
      <c r="A3740" s="33" t="str">
        <f t="shared" si="1118"/>
        <v>FY 24/25</v>
      </c>
      <c r="B3740" s="23">
        <v>2024</v>
      </c>
      <c r="C3740" s="23">
        <v>9</v>
      </c>
      <c r="D3740" s="202" t="str">
        <f t="shared" si="1119"/>
        <v>Q2</v>
      </c>
      <c r="E3740" s="33" t="str">
        <f t="shared" si="1135"/>
        <v>FY 24/25</v>
      </c>
      <c r="F3740" s="23">
        <v>2024</v>
      </c>
      <c r="G3740" s="23">
        <v>10</v>
      </c>
      <c r="H3740" s="29"/>
      <c r="I3740" s="204" t="str">
        <f t="shared" si="1121"/>
        <v>Q3</v>
      </c>
      <c r="J3740" s="188" t="s">
        <v>3583</v>
      </c>
      <c r="K3740" s="29" t="s">
        <v>167</v>
      </c>
      <c r="L3740" s="24" t="s">
        <v>92</v>
      </c>
      <c r="M3740" s="13" t="s">
        <v>60</v>
      </c>
      <c r="N3740" s="22">
        <v>1</v>
      </c>
      <c r="O3740" s="22"/>
      <c r="P3740" s="202" t="str">
        <f t="shared" si="1122"/>
        <v>MAIN UNIT</v>
      </c>
      <c r="Q3740" s="22" t="s">
        <v>61</v>
      </c>
      <c r="R3740" s="22" t="s">
        <v>62</v>
      </c>
      <c r="S3740" s="22" t="s">
        <v>50</v>
      </c>
      <c r="T3740" s="22" t="s">
        <v>83</v>
      </c>
      <c r="U3740" s="22" t="s">
        <v>70</v>
      </c>
      <c r="V3740" s="22" t="s">
        <v>102</v>
      </c>
      <c r="W3740" s="22" t="s">
        <v>64</v>
      </c>
      <c r="X3740" s="104">
        <v>920000</v>
      </c>
      <c r="Y3740" s="195" t="str">
        <f t="shared" si="1123"/>
        <v>1.13</v>
      </c>
      <c r="Z3740" s="196">
        <f t="shared" si="1124"/>
        <v>920000</v>
      </c>
      <c r="AA3740" s="22">
        <v>1.1080000000000001</v>
      </c>
      <c r="AB3740" s="197">
        <f t="shared" si="1134"/>
        <v>902088.49557522137</v>
      </c>
      <c r="AC3740" s="198">
        <f t="shared" si="1126"/>
        <v>93546.576991150461</v>
      </c>
      <c r="AD3740" s="169">
        <v>0.1037</v>
      </c>
      <c r="AE3740" s="199">
        <f t="shared" si="1127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05"/>
        <v>22758096.38940867</v>
      </c>
      <c r="AJ3740" s="200">
        <f t="shared" si="1106"/>
        <v>2469357.2298956565</v>
      </c>
      <c r="AK3740" s="201">
        <f t="shared" si="1128"/>
        <v>0.10850455976822666</v>
      </c>
      <c r="AL3740" s="24"/>
      <c r="AM3740" s="24"/>
      <c r="AN3740" s="24"/>
      <c r="AO3740" s="24"/>
      <c r="AP3740" s="165" t="str">
        <f t="shared" si="1129"/>
        <v>202410</v>
      </c>
      <c r="AQ3740" s="203" t="str">
        <f t="shared" si="1130"/>
        <v>202410RMB</v>
      </c>
      <c r="AR3740" s="206" t="str">
        <f t="shared" si="1131"/>
        <v>YAMAHA_Mounter</v>
      </c>
      <c r="AS3740" s="22">
        <f t="shared" si="1132"/>
        <v>1</v>
      </c>
      <c r="AT3740" s="24" t="str">
        <f t="shared" si="1133"/>
        <v>0-3 months</v>
      </c>
      <c r="AU3740" s="22" t="s">
        <v>3240</v>
      </c>
    </row>
    <row r="3741" spans="1:47">
      <c r="A3741" s="33" t="str">
        <f t="shared" si="1118"/>
        <v>FY 24/25</v>
      </c>
      <c r="B3741" s="23">
        <v>2024</v>
      </c>
      <c r="C3741" s="23">
        <v>9</v>
      </c>
      <c r="D3741" s="202" t="str">
        <f t="shared" si="1119"/>
        <v>Q2</v>
      </c>
      <c r="E3741" s="33" t="str">
        <f t="shared" si="1135"/>
        <v>FY 24/25</v>
      </c>
      <c r="F3741" s="23">
        <v>2024</v>
      </c>
      <c r="G3741" s="23">
        <v>10</v>
      </c>
      <c r="H3741" s="29"/>
      <c r="I3741" s="204" t="str">
        <f t="shared" si="1121"/>
        <v>Q3</v>
      </c>
      <c r="J3741" s="188" t="s">
        <v>3583</v>
      </c>
      <c r="K3741" s="29" t="s">
        <v>167</v>
      </c>
      <c r="L3741" s="24" t="s">
        <v>67</v>
      </c>
      <c r="M3741" s="13" t="s">
        <v>60</v>
      </c>
      <c r="N3741" s="22">
        <v>1</v>
      </c>
      <c r="O3741" s="22"/>
      <c r="P3741" s="202" t="str">
        <f t="shared" si="1122"/>
        <v>MAIN UNIT</v>
      </c>
      <c r="Q3741" s="22" t="s">
        <v>61</v>
      </c>
      <c r="R3741" s="22" t="s">
        <v>62</v>
      </c>
      <c r="S3741" s="22" t="s">
        <v>50</v>
      </c>
      <c r="T3741" s="22" t="s">
        <v>83</v>
      </c>
      <c r="U3741" s="22" t="s">
        <v>70</v>
      </c>
      <c r="V3741" s="22" t="s">
        <v>102</v>
      </c>
      <c r="W3741" s="22" t="s">
        <v>64</v>
      </c>
      <c r="X3741" s="104">
        <v>707040</v>
      </c>
      <c r="Y3741" s="195" t="str">
        <f t="shared" si="1123"/>
        <v>1.13</v>
      </c>
      <c r="Z3741" s="196">
        <f t="shared" si="1124"/>
        <v>707040</v>
      </c>
      <c r="AA3741" s="22">
        <v>1.1080000000000001</v>
      </c>
      <c r="AB3741" s="197">
        <f t="shared" si="1134"/>
        <v>693274.61946902669</v>
      </c>
      <c r="AC3741" s="198">
        <f t="shared" si="1126"/>
        <v>71892.578038938067</v>
      </c>
      <c r="AD3741" s="169">
        <v>0.1037</v>
      </c>
      <c r="AE3741" s="199">
        <f t="shared" si="1127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05"/>
        <v>22758096.38940867</v>
      </c>
      <c r="AJ3741" s="200">
        <f t="shared" si="1106"/>
        <v>2469357.2298956565</v>
      </c>
      <c r="AK3741" s="201">
        <f t="shared" si="1128"/>
        <v>0.10850455976822666</v>
      </c>
      <c r="AL3741" s="24"/>
      <c r="AM3741" s="24"/>
      <c r="AN3741" s="24"/>
      <c r="AO3741" s="24"/>
      <c r="AP3741" s="165" t="str">
        <f t="shared" si="1129"/>
        <v>202410</v>
      </c>
      <c r="AQ3741" s="203" t="str">
        <f t="shared" si="1130"/>
        <v>202410RMB</v>
      </c>
      <c r="AR3741" s="206" t="str">
        <f t="shared" si="1131"/>
        <v>YAMAHA_Mounter</v>
      </c>
      <c r="AS3741" s="22">
        <f t="shared" si="1132"/>
        <v>1</v>
      </c>
      <c r="AT3741" s="24" t="str">
        <f t="shared" si="1133"/>
        <v>0-3 months</v>
      </c>
      <c r="AU3741" s="22" t="s">
        <v>3240</v>
      </c>
    </row>
    <row r="3742" spans="1:47">
      <c r="A3742" s="33" t="str">
        <f t="shared" si="1118"/>
        <v>FY 24/25</v>
      </c>
      <c r="B3742" s="23">
        <v>2024</v>
      </c>
      <c r="C3742" s="23">
        <v>9</v>
      </c>
      <c r="D3742" s="202" t="str">
        <f t="shared" si="1119"/>
        <v>Q2</v>
      </c>
      <c r="E3742" s="33" t="str">
        <f t="shared" si="1135"/>
        <v>FY 24/25</v>
      </c>
      <c r="F3742" s="23">
        <v>2024</v>
      </c>
      <c r="G3742" s="23">
        <v>10</v>
      </c>
      <c r="H3742" s="29"/>
      <c r="I3742" s="204" t="str">
        <f t="shared" si="1121"/>
        <v>Q3</v>
      </c>
      <c r="J3742" s="188" t="s">
        <v>3583</v>
      </c>
      <c r="K3742" s="29" t="s">
        <v>167</v>
      </c>
      <c r="L3742" s="24" t="s">
        <v>67</v>
      </c>
      <c r="M3742" s="13" t="s">
        <v>60</v>
      </c>
      <c r="N3742" s="22">
        <v>1</v>
      </c>
      <c r="O3742" s="22"/>
      <c r="P3742" s="202" t="str">
        <f t="shared" si="1122"/>
        <v>MAIN UNIT</v>
      </c>
      <c r="Q3742" s="22" t="s">
        <v>61</v>
      </c>
      <c r="R3742" s="22" t="s">
        <v>62</v>
      </c>
      <c r="S3742" s="22" t="s">
        <v>50</v>
      </c>
      <c r="T3742" s="22" t="s">
        <v>83</v>
      </c>
      <c r="U3742" s="22" t="s">
        <v>70</v>
      </c>
      <c r="V3742" s="22" t="s">
        <v>102</v>
      </c>
      <c r="W3742" s="22" t="s">
        <v>64</v>
      </c>
      <c r="X3742" s="104">
        <v>707040</v>
      </c>
      <c r="Y3742" s="195" t="str">
        <f t="shared" si="1123"/>
        <v>1.13</v>
      </c>
      <c r="Z3742" s="196">
        <f t="shared" si="1124"/>
        <v>707040</v>
      </c>
      <c r="AA3742" s="22">
        <v>1.1080000000000001</v>
      </c>
      <c r="AB3742" s="197">
        <f t="shared" si="1134"/>
        <v>693274.61946902669</v>
      </c>
      <c r="AC3742" s="198">
        <f t="shared" si="1126"/>
        <v>71892.578038938067</v>
      </c>
      <c r="AD3742" s="169">
        <v>0.1037</v>
      </c>
      <c r="AE3742" s="199">
        <f t="shared" si="1127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05"/>
        <v>22758096.38940867</v>
      </c>
      <c r="AJ3742" s="200">
        <f t="shared" si="1106"/>
        <v>2469357.2298956565</v>
      </c>
      <c r="AK3742" s="201">
        <f t="shared" si="1128"/>
        <v>0.10850455976822666</v>
      </c>
      <c r="AL3742" s="24"/>
      <c r="AM3742" s="24"/>
      <c r="AN3742" s="24"/>
      <c r="AO3742" s="24"/>
      <c r="AP3742" s="165" t="str">
        <f t="shared" si="1129"/>
        <v>202410</v>
      </c>
      <c r="AQ3742" s="203" t="str">
        <f t="shared" si="1130"/>
        <v>202410RMB</v>
      </c>
      <c r="AR3742" s="206" t="str">
        <f t="shared" si="1131"/>
        <v>YAMAHA_Mounter</v>
      </c>
      <c r="AS3742" s="22">
        <f t="shared" si="1132"/>
        <v>1</v>
      </c>
      <c r="AT3742" s="24" t="str">
        <f t="shared" si="1133"/>
        <v>0-3 months</v>
      </c>
      <c r="AU3742" s="22" t="s">
        <v>3240</v>
      </c>
    </row>
    <row r="3743" spans="1:47">
      <c r="A3743" s="33" t="str">
        <f t="shared" si="1118"/>
        <v>FY 24/25</v>
      </c>
      <c r="B3743" s="23">
        <v>2024</v>
      </c>
      <c r="C3743" s="23">
        <v>9</v>
      </c>
      <c r="D3743" s="202" t="str">
        <f t="shared" si="1119"/>
        <v>Q2</v>
      </c>
      <c r="E3743" s="33" t="str">
        <f t="shared" si="1135"/>
        <v>FY 24/25</v>
      </c>
      <c r="F3743" s="23">
        <v>2024</v>
      </c>
      <c r="G3743" s="23">
        <v>10</v>
      </c>
      <c r="H3743" s="29"/>
      <c r="I3743" s="204" t="str">
        <f t="shared" si="1121"/>
        <v>Q3</v>
      </c>
      <c r="J3743" s="188" t="s">
        <v>3583</v>
      </c>
      <c r="K3743" s="29" t="s">
        <v>167</v>
      </c>
      <c r="L3743" s="24" t="s">
        <v>67</v>
      </c>
      <c r="M3743" s="13" t="s">
        <v>60</v>
      </c>
      <c r="N3743" s="22">
        <v>1</v>
      </c>
      <c r="O3743" s="22"/>
      <c r="P3743" s="202" t="str">
        <f t="shared" si="1122"/>
        <v>MAIN UNIT</v>
      </c>
      <c r="Q3743" s="22" t="s">
        <v>61</v>
      </c>
      <c r="R3743" s="22" t="s">
        <v>62</v>
      </c>
      <c r="S3743" s="22" t="s">
        <v>50</v>
      </c>
      <c r="T3743" s="22" t="s">
        <v>83</v>
      </c>
      <c r="U3743" s="22" t="s">
        <v>70</v>
      </c>
      <c r="V3743" s="22" t="s">
        <v>102</v>
      </c>
      <c r="W3743" s="22" t="s">
        <v>64</v>
      </c>
      <c r="X3743" s="104">
        <v>707040</v>
      </c>
      <c r="Y3743" s="195" t="str">
        <f t="shared" si="1123"/>
        <v>1.13</v>
      </c>
      <c r="Z3743" s="196">
        <f t="shared" si="1124"/>
        <v>707040</v>
      </c>
      <c r="AA3743" s="22">
        <v>1.1080000000000001</v>
      </c>
      <c r="AB3743" s="197">
        <f t="shared" si="1134"/>
        <v>693274.61946902669</v>
      </c>
      <c r="AC3743" s="198">
        <f t="shared" si="1126"/>
        <v>71892.578038938067</v>
      </c>
      <c r="AD3743" s="169">
        <v>0.1037</v>
      </c>
      <c r="AE3743" s="199">
        <f t="shared" si="1127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05"/>
        <v>22758096.38940867</v>
      </c>
      <c r="AJ3743" s="200">
        <f t="shared" si="1106"/>
        <v>2469357.2298956565</v>
      </c>
      <c r="AK3743" s="201">
        <f t="shared" si="1128"/>
        <v>0.10850455976822666</v>
      </c>
      <c r="AL3743" s="24"/>
      <c r="AM3743" s="24"/>
      <c r="AN3743" s="24"/>
      <c r="AO3743" s="24"/>
      <c r="AP3743" s="165" t="str">
        <f t="shared" si="1129"/>
        <v>202410</v>
      </c>
      <c r="AQ3743" s="203" t="str">
        <f t="shared" si="1130"/>
        <v>202410RMB</v>
      </c>
      <c r="AR3743" s="206" t="str">
        <f t="shared" si="1131"/>
        <v>YAMAHA_Mounter</v>
      </c>
      <c r="AS3743" s="22">
        <f t="shared" si="1132"/>
        <v>1</v>
      </c>
      <c r="AT3743" s="24" t="str">
        <f t="shared" si="1133"/>
        <v>0-3 months</v>
      </c>
      <c r="AU3743" s="22" t="s">
        <v>3240</v>
      </c>
    </row>
    <row r="3744" spans="1:47">
      <c r="A3744" s="33" t="str">
        <f t="shared" ref="A3744:A3807" si="1136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19"/>
        <v>Q2</v>
      </c>
      <c r="E3744" s="33" t="str">
        <f t="shared" si="1135"/>
        <v>FY 24/25</v>
      </c>
      <c r="F3744" s="23">
        <v>2024</v>
      </c>
      <c r="G3744" s="23">
        <v>12</v>
      </c>
      <c r="H3744" s="29"/>
      <c r="I3744" s="204" t="str">
        <f t="shared" ref="I3744:I3807" si="1137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3584</v>
      </c>
      <c r="K3744" s="29" t="s">
        <v>167</v>
      </c>
      <c r="L3744" s="24" t="s">
        <v>2620</v>
      </c>
      <c r="M3744" s="13" t="s">
        <v>60</v>
      </c>
      <c r="N3744" s="22">
        <v>1</v>
      </c>
      <c r="O3744" s="22"/>
      <c r="P3744" s="202" t="str">
        <f t="shared" si="1122"/>
        <v>MAIN UNIT</v>
      </c>
      <c r="Q3744" s="22" t="s">
        <v>61</v>
      </c>
      <c r="R3744" s="22" t="s">
        <v>2055</v>
      </c>
      <c r="S3744" s="22" t="s">
        <v>50</v>
      </c>
      <c r="T3744" s="22" t="s">
        <v>83</v>
      </c>
      <c r="U3744" s="22" t="s">
        <v>70</v>
      </c>
      <c r="V3744" s="22" t="s">
        <v>102</v>
      </c>
      <c r="W3744" s="22" t="s">
        <v>64</v>
      </c>
      <c r="X3744" s="104">
        <v>375000</v>
      </c>
      <c r="Y3744" s="195" t="str">
        <f t="shared" si="1123"/>
        <v>1.13</v>
      </c>
      <c r="Z3744" s="196">
        <f t="shared" si="1124"/>
        <v>375000</v>
      </c>
      <c r="AA3744" s="22">
        <v>1.0760000000000001</v>
      </c>
      <c r="AB3744" s="197">
        <f t="shared" si="1134"/>
        <v>357079.64601769921</v>
      </c>
      <c r="AC3744" s="198">
        <f t="shared" ref="AC3744:AC3807" si="1138">IF(R3744&lt;&gt;"",AB3744*AD3744,"")</f>
        <v>60774.955752212401</v>
      </c>
      <c r="AD3744" s="169">
        <v>0.17019999999999999</v>
      </c>
      <c r="AE3744" s="199">
        <f t="shared" ref="AE3744:AE3807" si="1139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05"/>
        <v>15965524.256637167</v>
      </c>
      <c r="AJ3744" s="200">
        <f t="shared" si="1106"/>
        <v>2480116.5996584073</v>
      </c>
      <c r="AK3744" s="201">
        <f t="shared" ref="AK3744:AK3807" si="1140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1">IF(F3744="","",F3744&amp;G3744)</f>
        <v>202412</v>
      </c>
      <c r="AQ3744" s="203" t="str">
        <f t="shared" ref="AQ3744:AQ3807" si="1142">IF(W3744="","",F3744&amp;G3744&amp;W3744)</f>
        <v>202412RMB</v>
      </c>
      <c r="AR3744" s="206" t="str">
        <f t="shared" ref="AR3744:AR3807" si="1143">IFERROR(IF(AND(M3744="YAMAHA", R3744="C28"), "YAMAHA_Non_Mounter", IF(AND(M3744="YAMAHA", R3744="C49"), "YAMAHA_Mounter", M3744)),"")</f>
        <v>YAMAHA_Non_Mounter</v>
      </c>
      <c r="AS3744" s="22">
        <f t="shared" ref="AS3744:AS3807" si="1144">IFERROR(IF(OR(G3744="TBA", G3744=""), "", DATEDIF(DATE(B3744, C3744, 1), DATE(F3744, G3744, 1), "M")),"")</f>
        <v>3</v>
      </c>
      <c r="AT3744" s="24" t="str">
        <f t="shared" ref="AT3744:AT3807" si="1145">IF(ISNUMBER(AS3744), IF(AS3744&gt;=0, IF(AS3744&lt;=3, "0-3 months", IF(AS3744&lt;=6, "4-6 months", "&gt; 6 months"))), "")</f>
        <v>0-3 months</v>
      </c>
      <c r="AU3744" s="22" t="s">
        <v>3240</v>
      </c>
    </row>
    <row r="3745" spans="1:47">
      <c r="A3745" s="33" t="str">
        <f t="shared" si="1136"/>
        <v>FY 24/25</v>
      </c>
      <c r="B3745" s="23">
        <v>2024</v>
      </c>
      <c r="C3745" s="23">
        <v>9</v>
      </c>
      <c r="D3745" s="202" t="str">
        <f t="shared" si="1119"/>
        <v>Q2</v>
      </c>
      <c r="E3745" s="33" t="str">
        <f t="shared" si="1135"/>
        <v>FY 24/25</v>
      </c>
      <c r="F3745" s="23">
        <v>2024</v>
      </c>
      <c r="G3745" s="23">
        <v>12</v>
      </c>
      <c r="H3745" s="29"/>
      <c r="I3745" s="204" t="str">
        <f t="shared" si="1137"/>
        <v>Q3</v>
      </c>
      <c r="J3745" s="188" t="s">
        <v>3584</v>
      </c>
      <c r="K3745" s="29" t="s">
        <v>167</v>
      </c>
      <c r="L3745" s="24" t="s">
        <v>2620</v>
      </c>
      <c r="M3745" s="13" t="s">
        <v>60</v>
      </c>
      <c r="N3745" s="22">
        <v>1</v>
      </c>
      <c r="O3745" s="22"/>
      <c r="P3745" s="202" t="str">
        <f t="shared" ref="P3745:P3808" si="1146">IF(M3745="","",IF(AND(N3745&gt;0,L3745&lt;&gt;""),"MAIN UNIT",IF(AND(O3745&gt;0,L3745&lt;&gt;""),"SERVICE/ PARTS","C66 SERVICE/OTHERS")))</f>
        <v>MAIN UNIT</v>
      </c>
      <c r="Q3745" s="22" t="s">
        <v>61</v>
      </c>
      <c r="R3745" s="22" t="s">
        <v>2055</v>
      </c>
      <c r="S3745" s="22" t="s">
        <v>50</v>
      </c>
      <c r="T3745" s="22" t="s">
        <v>83</v>
      </c>
      <c r="U3745" s="22" t="s">
        <v>70</v>
      </c>
      <c r="V3745" s="22" t="s">
        <v>102</v>
      </c>
      <c r="W3745" s="22" t="s">
        <v>64</v>
      </c>
      <c r="X3745" s="104">
        <v>375000</v>
      </c>
      <c r="Y3745" s="195" t="str">
        <f t="shared" si="1123"/>
        <v>1.13</v>
      </c>
      <c r="Z3745" s="196">
        <f t="shared" si="1124"/>
        <v>375000</v>
      </c>
      <c r="AA3745" s="22">
        <v>1.0760000000000001</v>
      </c>
      <c r="AB3745" s="197">
        <f t="shared" si="1134"/>
        <v>357079.64601769921</v>
      </c>
      <c r="AC3745" s="198">
        <f t="shared" si="1138"/>
        <v>60774.955752212401</v>
      </c>
      <c r="AD3745" s="169">
        <v>0.17019999999999999</v>
      </c>
      <c r="AE3745" s="199">
        <f t="shared" si="1139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05"/>
        <v>15965524.256637167</v>
      </c>
      <c r="AJ3745" s="200">
        <f t="shared" si="1106"/>
        <v>2480116.5996584073</v>
      </c>
      <c r="AK3745" s="201">
        <f t="shared" si="1140"/>
        <v>0.15534200817911609</v>
      </c>
      <c r="AL3745" s="24"/>
      <c r="AM3745" s="24"/>
      <c r="AN3745" s="24"/>
      <c r="AO3745" s="24"/>
      <c r="AP3745" s="165" t="str">
        <f t="shared" si="1141"/>
        <v>202412</v>
      </c>
      <c r="AQ3745" s="203" t="str">
        <f t="shared" si="1142"/>
        <v>202412RMB</v>
      </c>
      <c r="AR3745" s="206" t="str">
        <f t="shared" si="1143"/>
        <v>YAMAHA_Non_Mounter</v>
      </c>
      <c r="AS3745" s="22">
        <f t="shared" si="1144"/>
        <v>3</v>
      </c>
      <c r="AT3745" s="24" t="str">
        <f t="shared" si="1145"/>
        <v>0-3 months</v>
      </c>
      <c r="AU3745" s="22" t="s">
        <v>3240</v>
      </c>
    </row>
    <row r="3746" spans="1:47">
      <c r="A3746" s="33" t="str">
        <f t="shared" si="1136"/>
        <v>FY 24/25</v>
      </c>
      <c r="B3746" s="23">
        <v>2024</v>
      </c>
      <c r="C3746" s="23">
        <v>9</v>
      </c>
      <c r="D3746" s="202" t="str">
        <f t="shared" si="1119"/>
        <v>Q2</v>
      </c>
      <c r="E3746" s="33" t="str">
        <f t="shared" si="1135"/>
        <v>FY 24/25</v>
      </c>
      <c r="F3746" s="23">
        <v>2024</v>
      </c>
      <c r="G3746" s="23">
        <v>12</v>
      </c>
      <c r="H3746" s="29"/>
      <c r="I3746" s="204" t="str">
        <f t="shared" si="1137"/>
        <v>Q3</v>
      </c>
      <c r="J3746" s="188" t="s">
        <v>3584</v>
      </c>
      <c r="K3746" s="29" t="s">
        <v>167</v>
      </c>
      <c r="L3746" s="24" t="s">
        <v>2620</v>
      </c>
      <c r="M3746" s="13" t="s">
        <v>60</v>
      </c>
      <c r="N3746" s="22">
        <v>1</v>
      </c>
      <c r="O3746" s="22"/>
      <c r="P3746" s="202" t="str">
        <f t="shared" si="1146"/>
        <v>MAIN UNIT</v>
      </c>
      <c r="Q3746" s="22" t="s">
        <v>61</v>
      </c>
      <c r="R3746" s="22" t="s">
        <v>2055</v>
      </c>
      <c r="S3746" s="22" t="s">
        <v>50</v>
      </c>
      <c r="T3746" s="22" t="s">
        <v>83</v>
      </c>
      <c r="U3746" s="22" t="s">
        <v>70</v>
      </c>
      <c r="V3746" s="22" t="s">
        <v>102</v>
      </c>
      <c r="W3746" s="22" t="s">
        <v>64</v>
      </c>
      <c r="X3746" s="104">
        <v>375000</v>
      </c>
      <c r="Y3746" s="195" t="str">
        <f t="shared" si="1123"/>
        <v>1.13</v>
      </c>
      <c r="Z3746" s="196">
        <f t="shared" si="1124"/>
        <v>375000</v>
      </c>
      <c r="AA3746" s="22">
        <v>1.0760000000000001</v>
      </c>
      <c r="AB3746" s="197">
        <f t="shared" si="1134"/>
        <v>357079.64601769921</v>
      </c>
      <c r="AC3746" s="198">
        <f t="shared" si="1138"/>
        <v>60774.955752212401</v>
      </c>
      <c r="AD3746" s="169">
        <v>0.17019999999999999</v>
      </c>
      <c r="AE3746" s="199">
        <f t="shared" si="1139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05"/>
        <v>15965524.256637167</v>
      </c>
      <c r="AJ3746" s="200">
        <f t="shared" si="1106"/>
        <v>2480116.5996584073</v>
      </c>
      <c r="AK3746" s="201">
        <f t="shared" si="1140"/>
        <v>0.15534200817911609</v>
      </c>
      <c r="AL3746" s="24"/>
      <c r="AM3746" s="24"/>
      <c r="AN3746" s="24"/>
      <c r="AO3746" s="24"/>
      <c r="AP3746" s="165" t="str">
        <f t="shared" si="1141"/>
        <v>202412</v>
      </c>
      <c r="AQ3746" s="203" t="str">
        <f t="shared" si="1142"/>
        <v>202412RMB</v>
      </c>
      <c r="AR3746" s="206" t="str">
        <f t="shared" si="1143"/>
        <v>YAMAHA_Non_Mounter</v>
      </c>
      <c r="AS3746" s="22">
        <f t="shared" si="1144"/>
        <v>3</v>
      </c>
      <c r="AT3746" s="24" t="str">
        <f t="shared" si="1145"/>
        <v>0-3 months</v>
      </c>
      <c r="AU3746" s="22" t="s">
        <v>3240</v>
      </c>
    </row>
    <row r="3747" spans="1:47">
      <c r="A3747" s="33" t="str">
        <f t="shared" si="1136"/>
        <v>FY 24/25</v>
      </c>
      <c r="B3747" s="23">
        <v>2024</v>
      </c>
      <c r="C3747" s="23">
        <v>9</v>
      </c>
      <c r="D3747" s="202" t="str">
        <f t="shared" si="1119"/>
        <v>Q2</v>
      </c>
      <c r="E3747" s="33" t="str">
        <f t="shared" si="1135"/>
        <v>FY 24/25</v>
      </c>
      <c r="F3747" s="23">
        <v>2024</v>
      </c>
      <c r="G3747" s="23">
        <v>12</v>
      </c>
      <c r="H3747" s="29"/>
      <c r="I3747" s="204" t="str">
        <f t="shared" si="1137"/>
        <v>Q3</v>
      </c>
      <c r="J3747" s="188" t="s">
        <v>3585</v>
      </c>
      <c r="K3747" s="29" t="s">
        <v>167</v>
      </c>
      <c r="L3747" s="24" t="s">
        <v>2620</v>
      </c>
      <c r="M3747" s="13" t="s">
        <v>60</v>
      </c>
      <c r="N3747" s="22">
        <v>1</v>
      </c>
      <c r="O3747" s="22"/>
      <c r="P3747" s="202" t="str">
        <f t="shared" si="1146"/>
        <v>MAIN UNIT</v>
      </c>
      <c r="Q3747" s="22" t="s">
        <v>61</v>
      </c>
      <c r="R3747" s="22" t="s">
        <v>2055</v>
      </c>
      <c r="S3747" s="22" t="s">
        <v>50</v>
      </c>
      <c r="T3747" s="22" t="s">
        <v>83</v>
      </c>
      <c r="U3747" s="22" t="s">
        <v>70</v>
      </c>
      <c r="V3747" s="22" t="s">
        <v>102</v>
      </c>
      <c r="W3747" s="22" t="s">
        <v>64</v>
      </c>
      <c r="X3747" s="104">
        <v>375000</v>
      </c>
      <c r="Y3747" s="195" t="str">
        <f t="shared" si="1123"/>
        <v>1.13</v>
      </c>
      <c r="Z3747" s="196">
        <f t="shared" si="1124"/>
        <v>375000</v>
      </c>
      <c r="AA3747" s="22">
        <v>1.0760000000000001</v>
      </c>
      <c r="AB3747" s="197">
        <f t="shared" si="1134"/>
        <v>357079.64601769921</v>
      </c>
      <c r="AC3747" s="198">
        <f t="shared" si="1138"/>
        <v>65881.194690265504</v>
      </c>
      <c r="AD3747" s="169">
        <v>0.1845</v>
      </c>
      <c r="AE3747" s="199">
        <f t="shared" si="1139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05"/>
        <v>15965524.256637167</v>
      </c>
      <c r="AJ3747" s="200">
        <f t="shared" si="1106"/>
        <v>2480116.5996584073</v>
      </c>
      <c r="AK3747" s="201">
        <f t="shared" si="1140"/>
        <v>0.15534200817911609</v>
      </c>
      <c r="AL3747" s="24"/>
      <c r="AM3747" s="24"/>
      <c r="AN3747" s="24"/>
      <c r="AO3747" s="24"/>
      <c r="AP3747" s="165" t="str">
        <f t="shared" si="1141"/>
        <v>202412</v>
      </c>
      <c r="AQ3747" s="203" t="str">
        <f t="shared" si="1142"/>
        <v>202412RMB</v>
      </c>
      <c r="AR3747" s="206" t="str">
        <f t="shared" si="1143"/>
        <v>YAMAHA_Non_Mounter</v>
      </c>
      <c r="AS3747" s="22">
        <f t="shared" si="1144"/>
        <v>3</v>
      </c>
      <c r="AT3747" s="24" t="str">
        <f t="shared" si="1145"/>
        <v>0-3 months</v>
      </c>
      <c r="AU3747" s="22" t="s">
        <v>3240</v>
      </c>
    </row>
    <row r="3748" spans="1:47">
      <c r="A3748" s="33" t="str">
        <f t="shared" si="1136"/>
        <v>FY 24/25</v>
      </c>
      <c r="B3748" s="23">
        <v>2024</v>
      </c>
      <c r="C3748" s="23">
        <v>9</v>
      </c>
      <c r="D3748" s="202" t="str">
        <f t="shared" si="1119"/>
        <v>Q2</v>
      </c>
      <c r="E3748" s="33" t="str">
        <f t="shared" si="1135"/>
        <v>FY 24/25</v>
      </c>
      <c r="F3748" s="23">
        <v>2024</v>
      </c>
      <c r="G3748" s="23">
        <v>12</v>
      </c>
      <c r="H3748" s="29"/>
      <c r="I3748" s="204" t="str">
        <f t="shared" si="1137"/>
        <v>Q3</v>
      </c>
      <c r="J3748" s="188" t="s">
        <v>3585</v>
      </c>
      <c r="K3748" s="29" t="s">
        <v>167</v>
      </c>
      <c r="L3748" s="24" t="s">
        <v>2620</v>
      </c>
      <c r="M3748" s="13" t="s">
        <v>60</v>
      </c>
      <c r="N3748" s="22">
        <v>1</v>
      </c>
      <c r="O3748" s="22"/>
      <c r="P3748" s="202" t="str">
        <f t="shared" si="1146"/>
        <v>MAIN UNIT</v>
      </c>
      <c r="Q3748" s="22" t="s">
        <v>61</v>
      </c>
      <c r="R3748" s="22" t="s">
        <v>2055</v>
      </c>
      <c r="S3748" s="22" t="s">
        <v>50</v>
      </c>
      <c r="T3748" s="22" t="s">
        <v>83</v>
      </c>
      <c r="U3748" s="22" t="s">
        <v>70</v>
      </c>
      <c r="V3748" s="22" t="s">
        <v>102</v>
      </c>
      <c r="W3748" s="22" t="s">
        <v>64</v>
      </c>
      <c r="X3748" s="104">
        <v>375000</v>
      </c>
      <c r="Y3748" s="195" t="str">
        <f t="shared" si="1123"/>
        <v>1.13</v>
      </c>
      <c r="Z3748" s="196">
        <f t="shared" si="1124"/>
        <v>375000</v>
      </c>
      <c r="AA3748" s="22">
        <v>1.0760000000000001</v>
      </c>
      <c r="AB3748" s="197">
        <f t="shared" si="1134"/>
        <v>357079.64601769921</v>
      </c>
      <c r="AC3748" s="198">
        <f t="shared" si="1138"/>
        <v>65881.194690265504</v>
      </c>
      <c r="AD3748" s="169">
        <v>0.1845</v>
      </c>
      <c r="AE3748" s="199">
        <f t="shared" si="1139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05"/>
        <v>15965524.256637167</v>
      </c>
      <c r="AJ3748" s="200">
        <f t="shared" si="1106"/>
        <v>2480116.5996584073</v>
      </c>
      <c r="AK3748" s="201">
        <f t="shared" si="1140"/>
        <v>0.15534200817911609</v>
      </c>
      <c r="AL3748" s="24"/>
      <c r="AM3748" s="24"/>
      <c r="AN3748" s="24"/>
      <c r="AO3748" s="24"/>
      <c r="AP3748" s="165" t="str">
        <f t="shared" si="1141"/>
        <v>202412</v>
      </c>
      <c r="AQ3748" s="203" t="str">
        <f t="shared" si="1142"/>
        <v>202412RMB</v>
      </c>
      <c r="AR3748" s="206" t="str">
        <f t="shared" si="1143"/>
        <v>YAMAHA_Non_Mounter</v>
      </c>
      <c r="AS3748" s="22">
        <f t="shared" si="1144"/>
        <v>3</v>
      </c>
      <c r="AT3748" s="24" t="str">
        <f t="shared" si="1145"/>
        <v>0-3 months</v>
      </c>
      <c r="AU3748" s="22" t="s">
        <v>3240</v>
      </c>
    </row>
    <row r="3749" spans="1:47">
      <c r="A3749" s="33" t="str">
        <f t="shared" si="1136"/>
        <v>FY 24/25</v>
      </c>
      <c r="B3749" s="23">
        <v>2024</v>
      </c>
      <c r="C3749" s="23">
        <v>9</v>
      </c>
      <c r="D3749" s="202" t="str">
        <f t="shared" si="1119"/>
        <v>Q2</v>
      </c>
      <c r="E3749" s="33" t="str">
        <f t="shared" si="1135"/>
        <v>FY 24/25</v>
      </c>
      <c r="F3749" s="23">
        <v>2024</v>
      </c>
      <c r="G3749" s="23">
        <v>12</v>
      </c>
      <c r="H3749" s="29"/>
      <c r="I3749" s="204" t="str">
        <f t="shared" si="1137"/>
        <v>Q3</v>
      </c>
      <c r="J3749" s="188" t="s">
        <v>3585</v>
      </c>
      <c r="K3749" s="29" t="s">
        <v>167</v>
      </c>
      <c r="L3749" s="24" t="s">
        <v>2620</v>
      </c>
      <c r="M3749" s="13" t="s">
        <v>60</v>
      </c>
      <c r="N3749" s="22">
        <v>1</v>
      </c>
      <c r="O3749" s="22"/>
      <c r="P3749" s="202" t="str">
        <f t="shared" si="1146"/>
        <v>MAIN UNIT</v>
      </c>
      <c r="Q3749" s="22" t="s">
        <v>61</v>
      </c>
      <c r="R3749" s="22" t="s">
        <v>2055</v>
      </c>
      <c r="S3749" s="22" t="s">
        <v>50</v>
      </c>
      <c r="T3749" s="22" t="s">
        <v>83</v>
      </c>
      <c r="U3749" s="22" t="s">
        <v>70</v>
      </c>
      <c r="V3749" s="22" t="s">
        <v>102</v>
      </c>
      <c r="W3749" s="22" t="s">
        <v>64</v>
      </c>
      <c r="X3749" s="104">
        <v>375000</v>
      </c>
      <c r="Y3749" s="195" t="str">
        <f t="shared" si="1123"/>
        <v>1.13</v>
      </c>
      <c r="Z3749" s="196">
        <f t="shared" si="1124"/>
        <v>375000</v>
      </c>
      <c r="AA3749" s="22">
        <v>1.0760000000000001</v>
      </c>
      <c r="AB3749" s="197">
        <f t="shared" si="1134"/>
        <v>357079.64601769921</v>
      </c>
      <c r="AC3749" s="198">
        <f t="shared" si="1138"/>
        <v>65881.194690265504</v>
      </c>
      <c r="AD3749" s="169">
        <v>0.1845</v>
      </c>
      <c r="AE3749" s="199">
        <f t="shared" si="1139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05"/>
        <v>15965524.256637167</v>
      </c>
      <c r="AJ3749" s="200">
        <f t="shared" si="1106"/>
        <v>2480116.5996584073</v>
      </c>
      <c r="AK3749" s="201">
        <f t="shared" si="1140"/>
        <v>0.15534200817911609</v>
      </c>
      <c r="AL3749" s="24"/>
      <c r="AM3749" s="24"/>
      <c r="AN3749" s="24"/>
      <c r="AO3749" s="24"/>
      <c r="AP3749" s="165" t="str">
        <f t="shared" si="1141"/>
        <v>202412</v>
      </c>
      <c r="AQ3749" s="203" t="str">
        <f t="shared" si="1142"/>
        <v>202412RMB</v>
      </c>
      <c r="AR3749" s="206" t="str">
        <f t="shared" si="1143"/>
        <v>YAMAHA_Non_Mounter</v>
      </c>
      <c r="AS3749" s="22">
        <f t="shared" si="1144"/>
        <v>3</v>
      </c>
      <c r="AT3749" s="24" t="str">
        <f t="shared" si="1145"/>
        <v>0-3 months</v>
      </c>
      <c r="AU3749" s="22" t="s">
        <v>3240</v>
      </c>
    </row>
    <row r="3750" spans="1:47">
      <c r="A3750" s="33" t="str">
        <f t="shared" si="1136"/>
        <v>FY 24/25</v>
      </c>
      <c r="B3750" s="23">
        <v>2024</v>
      </c>
      <c r="C3750" s="23">
        <v>10</v>
      </c>
      <c r="D3750" s="202" t="str">
        <f t="shared" si="1119"/>
        <v>Q3</v>
      </c>
      <c r="E3750" s="33" t="str">
        <f t="shared" si="1135"/>
        <v>FY 24/25</v>
      </c>
      <c r="F3750" s="23">
        <v>2025</v>
      </c>
      <c r="G3750" s="23">
        <v>2</v>
      </c>
      <c r="H3750" s="29"/>
      <c r="I3750" s="204" t="str">
        <f t="shared" si="1137"/>
        <v>Q4</v>
      </c>
      <c r="J3750" s="188" t="s">
        <v>3586</v>
      </c>
      <c r="K3750" s="29" t="s">
        <v>3163</v>
      </c>
      <c r="L3750" s="24" t="s">
        <v>92</v>
      </c>
      <c r="M3750" s="13" t="s">
        <v>60</v>
      </c>
      <c r="N3750" s="22">
        <v>1</v>
      </c>
      <c r="O3750" s="22"/>
      <c r="P3750" s="202" t="str">
        <f t="shared" si="1146"/>
        <v>MAIN UNIT</v>
      </c>
      <c r="Q3750" s="22" t="s">
        <v>61</v>
      </c>
      <c r="R3750" s="22" t="s">
        <v>62</v>
      </c>
      <c r="S3750" s="22" t="s">
        <v>49</v>
      </c>
      <c r="T3750" s="22" t="s">
        <v>78</v>
      </c>
      <c r="U3750" s="22" t="s">
        <v>2533</v>
      </c>
      <c r="V3750" s="22" t="s">
        <v>126</v>
      </c>
      <c r="W3750" s="22" t="s">
        <v>109</v>
      </c>
      <c r="X3750" s="104">
        <v>14000000</v>
      </c>
      <c r="Y3750" s="195" t="str">
        <f t="shared" si="1123"/>
        <v>1</v>
      </c>
      <c r="Z3750" s="196">
        <f t="shared" si="1124"/>
        <v>14000000</v>
      </c>
      <c r="AA3750" s="22">
        <v>5.11E-2</v>
      </c>
      <c r="AB3750" s="197">
        <f t="shared" si="1134"/>
        <v>715400</v>
      </c>
      <c r="AC3750" s="198">
        <f t="shared" si="1138"/>
        <v>84345.66</v>
      </c>
      <c r="AD3750" s="170">
        <v>0.1179</v>
      </c>
      <c r="AE3750" s="199">
        <f t="shared" si="1139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05"/>
        <v>30691842.970796466</v>
      </c>
      <c r="AJ3750" s="200">
        <f t="shared" si="1106"/>
        <v>4088324.205777524</v>
      </c>
      <c r="AK3750" s="201">
        <f t="shared" si="1140"/>
        <v>0.1332055624573473</v>
      </c>
      <c r="AL3750" s="24"/>
      <c r="AM3750" s="24"/>
      <c r="AN3750" s="24"/>
      <c r="AO3750" s="24"/>
      <c r="AP3750" s="165" t="str">
        <f t="shared" si="1141"/>
        <v>20252</v>
      </c>
      <c r="AQ3750" s="203" t="str">
        <f t="shared" si="1142"/>
        <v>20252JPY</v>
      </c>
      <c r="AR3750" s="206" t="str">
        <f t="shared" si="1143"/>
        <v>YAMAHA_Mounter</v>
      </c>
      <c r="AS3750" s="22">
        <f t="shared" si="1144"/>
        <v>4</v>
      </c>
      <c r="AT3750" s="24" t="str">
        <f t="shared" si="1145"/>
        <v>4-6 months</v>
      </c>
      <c r="AU3750" s="22" t="s">
        <v>3745</v>
      </c>
    </row>
    <row r="3751" spans="1:47">
      <c r="A3751" s="33" t="str">
        <f t="shared" si="1136"/>
        <v>FY 24/25</v>
      </c>
      <c r="B3751" s="23">
        <v>2024</v>
      </c>
      <c r="C3751" s="23">
        <v>10</v>
      </c>
      <c r="D3751" s="202" t="str">
        <f t="shared" si="1119"/>
        <v>Q3</v>
      </c>
      <c r="E3751" s="33" t="str">
        <f t="shared" si="1135"/>
        <v>FY 24/25</v>
      </c>
      <c r="F3751" s="23">
        <v>2025</v>
      </c>
      <c r="G3751" s="23">
        <v>2</v>
      </c>
      <c r="H3751" s="29"/>
      <c r="I3751" s="204" t="str">
        <f t="shared" si="1137"/>
        <v>Q4</v>
      </c>
      <c r="J3751" s="188" t="s">
        <v>3586</v>
      </c>
      <c r="K3751" s="29" t="s">
        <v>3163</v>
      </c>
      <c r="L3751" s="24" t="s">
        <v>92</v>
      </c>
      <c r="M3751" s="13" t="s">
        <v>60</v>
      </c>
      <c r="N3751" s="22">
        <v>1</v>
      </c>
      <c r="O3751" s="22"/>
      <c r="P3751" s="202" t="str">
        <f t="shared" si="1146"/>
        <v>MAIN UNIT</v>
      </c>
      <c r="Q3751" s="22" t="s">
        <v>61</v>
      </c>
      <c r="R3751" s="22" t="s">
        <v>62</v>
      </c>
      <c r="S3751" s="22" t="s">
        <v>49</v>
      </c>
      <c r="T3751" s="22" t="s">
        <v>78</v>
      </c>
      <c r="U3751" s="22" t="s">
        <v>2533</v>
      </c>
      <c r="V3751" s="22" t="s">
        <v>126</v>
      </c>
      <c r="W3751" s="22" t="s">
        <v>109</v>
      </c>
      <c r="X3751" s="104">
        <v>14000000</v>
      </c>
      <c r="Y3751" s="195" t="str">
        <f t="shared" si="1123"/>
        <v>1</v>
      </c>
      <c r="Z3751" s="196">
        <f t="shared" si="1124"/>
        <v>14000000</v>
      </c>
      <c r="AA3751" s="22">
        <v>5.11E-2</v>
      </c>
      <c r="AB3751" s="197">
        <f t="shared" si="1134"/>
        <v>715400</v>
      </c>
      <c r="AC3751" s="198">
        <f t="shared" si="1138"/>
        <v>84345.66</v>
      </c>
      <c r="AD3751" s="170">
        <v>0.1179</v>
      </c>
      <c r="AE3751" s="199">
        <f t="shared" si="1139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05"/>
        <v>30691842.970796466</v>
      </c>
      <c r="AJ3751" s="200">
        <f t="shared" si="1106"/>
        <v>4088324.205777524</v>
      </c>
      <c r="AK3751" s="201">
        <f t="shared" si="1140"/>
        <v>0.1332055624573473</v>
      </c>
      <c r="AL3751" s="24"/>
      <c r="AM3751" s="24"/>
      <c r="AN3751" s="24"/>
      <c r="AO3751" s="24"/>
      <c r="AP3751" s="165" t="str">
        <f t="shared" si="1141"/>
        <v>20252</v>
      </c>
      <c r="AQ3751" s="203" t="str">
        <f t="shared" si="1142"/>
        <v>20252JPY</v>
      </c>
      <c r="AR3751" s="206" t="str">
        <f t="shared" si="1143"/>
        <v>YAMAHA_Mounter</v>
      </c>
      <c r="AS3751" s="22">
        <f t="shared" si="1144"/>
        <v>4</v>
      </c>
      <c r="AT3751" s="24" t="str">
        <f t="shared" si="1145"/>
        <v>4-6 months</v>
      </c>
      <c r="AU3751" s="22" t="s">
        <v>3745</v>
      </c>
    </row>
    <row r="3752" spans="1:47">
      <c r="A3752" s="33" t="str">
        <f t="shared" si="1136"/>
        <v>FY 24/25</v>
      </c>
      <c r="B3752" s="23">
        <v>2024</v>
      </c>
      <c r="C3752" s="23">
        <v>10</v>
      </c>
      <c r="D3752" s="202" t="str">
        <f t="shared" si="1119"/>
        <v>Q3</v>
      </c>
      <c r="E3752" s="33" t="str">
        <f t="shared" si="1135"/>
        <v>FY 24/25</v>
      </c>
      <c r="F3752" s="23">
        <v>2025</v>
      </c>
      <c r="G3752" s="23">
        <v>2</v>
      </c>
      <c r="H3752" s="29"/>
      <c r="I3752" s="204" t="str">
        <f t="shared" si="1137"/>
        <v>Q4</v>
      </c>
      <c r="J3752" s="188" t="s">
        <v>3586</v>
      </c>
      <c r="K3752" s="29" t="s">
        <v>3163</v>
      </c>
      <c r="L3752" s="24" t="s">
        <v>92</v>
      </c>
      <c r="M3752" s="13" t="s">
        <v>60</v>
      </c>
      <c r="N3752" s="22">
        <v>1</v>
      </c>
      <c r="O3752" s="22"/>
      <c r="P3752" s="202" t="str">
        <f t="shared" si="1146"/>
        <v>MAIN UNIT</v>
      </c>
      <c r="Q3752" s="22" t="s">
        <v>61</v>
      </c>
      <c r="R3752" s="22" t="s">
        <v>62</v>
      </c>
      <c r="S3752" s="22" t="s">
        <v>49</v>
      </c>
      <c r="T3752" s="22" t="s">
        <v>78</v>
      </c>
      <c r="U3752" s="22" t="s">
        <v>2533</v>
      </c>
      <c r="V3752" s="22" t="s">
        <v>126</v>
      </c>
      <c r="W3752" s="22" t="s">
        <v>109</v>
      </c>
      <c r="X3752" s="104">
        <v>14000000</v>
      </c>
      <c r="Y3752" s="195" t="str">
        <f t="shared" si="1123"/>
        <v>1</v>
      </c>
      <c r="Z3752" s="196">
        <f t="shared" si="1124"/>
        <v>14000000</v>
      </c>
      <c r="AA3752" s="22">
        <v>5.11E-2</v>
      </c>
      <c r="AB3752" s="197">
        <f t="shared" si="1134"/>
        <v>715400</v>
      </c>
      <c r="AC3752" s="198">
        <f t="shared" si="1138"/>
        <v>84345.66</v>
      </c>
      <c r="AD3752" s="170">
        <v>0.1179</v>
      </c>
      <c r="AE3752" s="199">
        <f t="shared" si="1139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05"/>
        <v>30691842.970796466</v>
      </c>
      <c r="AJ3752" s="200">
        <f t="shared" si="1106"/>
        <v>4088324.205777524</v>
      </c>
      <c r="AK3752" s="201">
        <f t="shared" si="1140"/>
        <v>0.1332055624573473</v>
      </c>
      <c r="AL3752" s="24"/>
      <c r="AM3752" s="24"/>
      <c r="AN3752" s="24"/>
      <c r="AO3752" s="24"/>
      <c r="AP3752" s="165" t="str">
        <f t="shared" si="1141"/>
        <v>20252</v>
      </c>
      <c r="AQ3752" s="203" t="str">
        <f t="shared" si="1142"/>
        <v>20252JPY</v>
      </c>
      <c r="AR3752" s="206" t="str">
        <f t="shared" si="1143"/>
        <v>YAMAHA_Mounter</v>
      </c>
      <c r="AS3752" s="22">
        <f t="shared" si="1144"/>
        <v>4</v>
      </c>
      <c r="AT3752" s="24" t="str">
        <f t="shared" si="1145"/>
        <v>4-6 months</v>
      </c>
      <c r="AU3752" s="22" t="s">
        <v>3745</v>
      </c>
    </row>
    <row r="3753" spans="1:47">
      <c r="A3753" s="33" t="str">
        <f t="shared" si="1136"/>
        <v>FY 24/25</v>
      </c>
      <c r="B3753" s="23">
        <v>2024</v>
      </c>
      <c r="C3753" s="23">
        <v>10</v>
      </c>
      <c r="D3753" s="202" t="str">
        <f t="shared" si="1119"/>
        <v>Q3</v>
      </c>
      <c r="E3753" s="33" t="str">
        <f t="shared" si="1135"/>
        <v>FY 24/25</v>
      </c>
      <c r="F3753" s="23">
        <v>2025</v>
      </c>
      <c r="G3753" s="23">
        <v>2</v>
      </c>
      <c r="H3753" s="29"/>
      <c r="I3753" s="204" t="str">
        <f t="shared" si="1137"/>
        <v>Q4</v>
      </c>
      <c r="J3753" s="188" t="s">
        <v>3586</v>
      </c>
      <c r="K3753" s="29" t="s">
        <v>3163</v>
      </c>
      <c r="L3753" s="24" t="s">
        <v>92</v>
      </c>
      <c r="M3753" s="13" t="s">
        <v>60</v>
      </c>
      <c r="N3753" s="22">
        <v>1</v>
      </c>
      <c r="O3753" s="22"/>
      <c r="P3753" s="202" t="str">
        <f t="shared" si="1146"/>
        <v>MAIN UNIT</v>
      </c>
      <c r="Q3753" s="22" t="s">
        <v>61</v>
      </c>
      <c r="R3753" s="22" t="s">
        <v>62</v>
      </c>
      <c r="S3753" s="22" t="s">
        <v>49</v>
      </c>
      <c r="T3753" s="22" t="s">
        <v>78</v>
      </c>
      <c r="U3753" s="22" t="s">
        <v>2533</v>
      </c>
      <c r="V3753" s="22" t="s">
        <v>126</v>
      </c>
      <c r="W3753" s="22" t="s">
        <v>109</v>
      </c>
      <c r="X3753" s="104">
        <v>14000000</v>
      </c>
      <c r="Y3753" s="195" t="str">
        <f t="shared" si="1123"/>
        <v>1</v>
      </c>
      <c r="Z3753" s="196">
        <f t="shared" si="1124"/>
        <v>14000000</v>
      </c>
      <c r="AA3753" s="22">
        <v>5.11E-2</v>
      </c>
      <c r="AB3753" s="197">
        <f t="shared" si="1134"/>
        <v>715400</v>
      </c>
      <c r="AC3753" s="198">
        <f t="shared" si="1138"/>
        <v>84345.66</v>
      </c>
      <c r="AD3753" s="170">
        <v>0.1179</v>
      </c>
      <c r="AE3753" s="199">
        <f t="shared" si="1139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05"/>
        <v>30691842.970796466</v>
      </c>
      <c r="AJ3753" s="200">
        <f t="shared" si="1106"/>
        <v>4088324.205777524</v>
      </c>
      <c r="AK3753" s="201">
        <f t="shared" si="1140"/>
        <v>0.1332055624573473</v>
      </c>
      <c r="AL3753" s="24"/>
      <c r="AM3753" s="24"/>
      <c r="AN3753" s="24"/>
      <c r="AO3753" s="24"/>
      <c r="AP3753" s="165" t="str">
        <f t="shared" si="1141"/>
        <v>20252</v>
      </c>
      <c r="AQ3753" s="203" t="str">
        <f t="shared" si="1142"/>
        <v>20252JPY</v>
      </c>
      <c r="AR3753" s="206" t="str">
        <f t="shared" si="1143"/>
        <v>YAMAHA_Mounter</v>
      </c>
      <c r="AS3753" s="22">
        <f t="shared" si="1144"/>
        <v>4</v>
      </c>
      <c r="AT3753" s="24" t="str">
        <f t="shared" si="1145"/>
        <v>4-6 months</v>
      </c>
      <c r="AU3753" s="22" t="s">
        <v>3745</v>
      </c>
    </row>
    <row r="3754" spans="1:47">
      <c r="A3754" s="33" t="str">
        <f t="shared" si="1136"/>
        <v>FY 24/25</v>
      </c>
      <c r="B3754" s="23">
        <v>2024</v>
      </c>
      <c r="C3754" s="23">
        <v>10</v>
      </c>
      <c r="D3754" s="202" t="str">
        <f t="shared" si="1119"/>
        <v>Q3</v>
      </c>
      <c r="E3754" s="33" t="str">
        <f t="shared" si="1135"/>
        <v>FY 24/25</v>
      </c>
      <c r="F3754" s="23">
        <v>2025</v>
      </c>
      <c r="G3754" s="23">
        <v>1</v>
      </c>
      <c r="H3754" s="29"/>
      <c r="I3754" s="204" t="str">
        <f t="shared" si="1137"/>
        <v>Q4</v>
      </c>
      <c r="J3754" s="188" t="s">
        <v>3652</v>
      </c>
      <c r="K3754" s="29" t="s">
        <v>3611</v>
      </c>
      <c r="L3754" s="24" t="s">
        <v>92</v>
      </c>
      <c r="M3754" s="13" t="s">
        <v>60</v>
      </c>
      <c r="N3754" s="22">
        <v>1</v>
      </c>
      <c r="O3754" s="22"/>
      <c r="P3754" s="202" t="str">
        <f t="shared" si="1146"/>
        <v>MAIN UNIT</v>
      </c>
      <c r="Q3754" s="22" t="s">
        <v>61</v>
      </c>
      <c r="R3754" s="22" t="s">
        <v>62</v>
      </c>
      <c r="S3754" s="22" t="s">
        <v>49</v>
      </c>
      <c r="T3754" s="22" t="s">
        <v>78</v>
      </c>
      <c r="U3754" s="22" t="s">
        <v>246</v>
      </c>
      <c r="V3754" s="22" t="s">
        <v>131</v>
      </c>
      <c r="W3754" s="22" t="s">
        <v>901</v>
      </c>
      <c r="X3754" s="104">
        <v>105570</v>
      </c>
      <c r="Y3754" s="195" t="str">
        <f t="shared" si="1123"/>
        <v>1</v>
      </c>
      <c r="Z3754" s="196">
        <f t="shared" si="1124"/>
        <v>105570</v>
      </c>
      <c r="AA3754" s="22">
        <v>7.8</v>
      </c>
      <c r="AB3754" s="197">
        <f t="shared" si="1134"/>
        <v>823446</v>
      </c>
      <c r="AC3754" s="198">
        <f t="shared" si="1138"/>
        <v>138338.92800000001</v>
      </c>
      <c r="AD3754" s="169">
        <v>0.16800000000000001</v>
      </c>
      <c r="AE3754" s="199">
        <f t="shared" si="1139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05"/>
        <v>16190947.162761064</v>
      </c>
      <c r="AJ3754" s="200">
        <f t="shared" si="1106"/>
        <v>2256328.1660673413</v>
      </c>
      <c r="AK3754" s="201">
        <f t="shared" si="1140"/>
        <v>0.13935739171929745</v>
      </c>
      <c r="AL3754" s="24"/>
      <c r="AM3754" s="24"/>
      <c r="AN3754" s="24"/>
      <c r="AO3754" s="24"/>
      <c r="AP3754" s="165" t="str">
        <f t="shared" si="1141"/>
        <v>20251</v>
      </c>
      <c r="AQ3754" s="203" t="str">
        <f t="shared" si="1142"/>
        <v>20251USD</v>
      </c>
      <c r="AR3754" s="206" t="str">
        <f t="shared" si="1143"/>
        <v>YAMAHA_Mounter</v>
      </c>
      <c r="AS3754" s="22">
        <f t="shared" si="1144"/>
        <v>3</v>
      </c>
      <c r="AT3754" s="24" t="str">
        <f t="shared" si="1145"/>
        <v>0-3 months</v>
      </c>
      <c r="AU3754" s="22" t="s">
        <v>3748</v>
      </c>
    </row>
    <row r="3755" spans="1:47">
      <c r="A3755" s="33" t="str">
        <f t="shared" si="1136"/>
        <v>FY 24/25</v>
      </c>
      <c r="B3755" s="23">
        <v>2024</v>
      </c>
      <c r="C3755" s="23">
        <v>10</v>
      </c>
      <c r="D3755" s="202" t="str">
        <f t="shared" si="1119"/>
        <v>Q3</v>
      </c>
      <c r="E3755" s="33" t="str">
        <f t="shared" si="1135"/>
        <v>FY 24/25</v>
      </c>
      <c r="F3755" s="23">
        <v>2025</v>
      </c>
      <c r="G3755" s="23">
        <v>1</v>
      </c>
      <c r="H3755" s="29"/>
      <c r="I3755" s="204" t="str">
        <f t="shared" si="1137"/>
        <v>Q4</v>
      </c>
      <c r="J3755" s="188" t="s">
        <v>3652</v>
      </c>
      <c r="K3755" s="29" t="s">
        <v>3611</v>
      </c>
      <c r="L3755" s="24" t="s">
        <v>92</v>
      </c>
      <c r="M3755" s="13" t="s">
        <v>60</v>
      </c>
      <c r="N3755" s="22">
        <v>1</v>
      </c>
      <c r="O3755" s="22"/>
      <c r="P3755" s="202" t="str">
        <f t="shared" si="1146"/>
        <v>MAIN UNIT</v>
      </c>
      <c r="Q3755" s="22" t="s">
        <v>61</v>
      </c>
      <c r="R3755" s="22" t="s">
        <v>62</v>
      </c>
      <c r="S3755" s="22" t="s">
        <v>49</v>
      </c>
      <c r="T3755" s="22" t="s">
        <v>78</v>
      </c>
      <c r="U3755" s="22" t="s">
        <v>246</v>
      </c>
      <c r="V3755" s="22" t="s">
        <v>131</v>
      </c>
      <c r="W3755" s="22" t="s">
        <v>901</v>
      </c>
      <c r="X3755" s="104">
        <v>105570</v>
      </c>
      <c r="Y3755" s="195" t="str">
        <f t="shared" si="1123"/>
        <v>1</v>
      </c>
      <c r="Z3755" s="196">
        <f t="shared" si="1124"/>
        <v>105570</v>
      </c>
      <c r="AA3755" s="22">
        <v>7.8</v>
      </c>
      <c r="AB3755" s="197">
        <f t="shared" si="1134"/>
        <v>823446</v>
      </c>
      <c r="AC3755" s="198">
        <f t="shared" si="1138"/>
        <v>138338.92800000001</v>
      </c>
      <c r="AD3755" s="169">
        <v>0.16800000000000001</v>
      </c>
      <c r="AE3755" s="199">
        <f t="shared" si="1139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05"/>
        <v>16190947.162761064</v>
      </c>
      <c r="AJ3755" s="200">
        <f t="shared" si="1106"/>
        <v>2256328.1660673413</v>
      </c>
      <c r="AK3755" s="201">
        <f t="shared" si="1140"/>
        <v>0.13935739171929745</v>
      </c>
      <c r="AL3755" s="24"/>
      <c r="AM3755" s="24"/>
      <c r="AN3755" s="24"/>
      <c r="AO3755" s="24"/>
      <c r="AP3755" s="165" t="str">
        <f t="shared" si="1141"/>
        <v>20251</v>
      </c>
      <c r="AQ3755" s="203" t="str">
        <f t="shared" si="1142"/>
        <v>20251USD</v>
      </c>
      <c r="AR3755" s="206" t="str">
        <f t="shared" si="1143"/>
        <v>YAMAHA_Mounter</v>
      </c>
      <c r="AS3755" s="22">
        <f t="shared" si="1144"/>
        <v>3</v>
      </c>
      <c r="AT3755" s="24" t="str">
        <f t="shared" si="1145"/>
        <v>0-3 months</v>
      </c>
      <c r="AU3755" s="22" t="s">
        <v>3748</v>
      </c>
    </row>
    <row r="3756" spans="1:47">
      <c r="A3756" s="33" t="str">
        <f t="shared" si="1136"/>
        <v>FY 24/25</v>
      </c>
      <c r="B3756" s="23">
        <v>2024</v>
      </c>
      <c r="C3756" s="23">
        <v>10</v>
      </c>
      <c r="D3756" s="202" t="str">
        <f t="shared" si="1119"/>
        <v>Q3</v>
      </c>
      <c r="E3756" s="33" t="str">
        <f t="shared" si="1135"/>
        <v>FY 24/25</v>
      </c>
      <c r="F3756" s="23">
        <v>2025</v>
      </c>
      <c r="G3756" s="23">
        <v>1</v>
      </c>
      <c r="H3756" s="29"/>
      <c r="I3756" s="204" t="str">
        <f t="shared" si="1137"/>
        <v>Q4</v>
      </c>
      <c r="J3756" s="188" t="s">
        <v>3652</v>
      </c>
      <c r="K3756" s="29" t="s">
        <v>3611</v>
      </c>
      <c r="L3756" s="24" t="s">
        <v>67</v>
      </c>
      <c r="M3756" s="13" t="s">
        <v>60</v>
      </c>
      <c r="N3756" s="22">
        <v>1</v>
      </c>
      <c r="O3756" s="22"/>
      <c r="P3756" s="202" t="str">
        <f t="shared" si="1146"/>
        <v>MAIN UNIT</v>
      </c>
      <c r="Q3756" s="22" t="s">
        <v>61</v>
      </c>
      <c r="R3756" s="22" t="s">
        <v>62</v>
      </c>
      <c r="S3756" s="22" t="s">
        <v>49</v>
      </c>
      <c r="T3756" s="22" t="s">
        <v>78</v>
      </c>
      <c r="U3756" s="22" t="s">
        <v>246</v>
      </c>
      <c r="V3756" s="22" t="s">
        <v>131</v>
      </c>
      <c r="W3756" s="22" t="s">
        <v>901</v>
      </c>
      <c r="X3756" s="104">
        <v>73440</v>
      </c>
      <c r="Y3756" s="195" t="str">
        <f t="shared" si="1123"/>
        <v>1</v>
      </c>
      <c r="Z3756" s="196">
        <f t="shared" si="1124"/>
        <v>73440</v>
      </c>
      <c r="AA3756" s="22">
        <v>7.8</v>
      </c>
      <c r="AB3756" s="197">
        <f t="shared" si="1134"/>
        <v>572832</v>
      </c>
      <c r="AC3756" s="198">
        <f t="shared" si="1138"/>
        <v>96235.776000000013</v>
      </c>
      <c r="AD3756" s="169">
        <v>0.16800000000000001</v>
      </c>
      <c r="AE3756" s="199">
        <f t="shared" si="1139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05"/>
        <v>16190947.162761064</v>
      </c>
      <c r="AJ3756" s="200">
        <f t="shared" si="1106"/>
        <v>2256328.1660673413</v>
      </c>
      <c r="AK3756" s="201">
        <f t="shared" si="1140"/>
        <v>0.13935739171929745</v>
      </c>
      <c r="AL3756" s="24"/>
      <c r="AM3756" s="24"/>
      <c r="AN3756" s="24"/>
      <c r="AO3756" s="24"/>
      <c r="AP3756" s="165" t="str">
        <f t="shared" si="1141"/>
        <v>20251</v>
      </c>
      <c r="AQ3756" s="203" t="str">
        <f t="shared" si="1142"/>
        <v>20251USD</v>
      </c>
      <c r="AR3756" s="206" t="str">
        <f t="shared" si="1143"/>
        <v>YAMAHA_Mounter</v>
      </c>
      <c r="AS3756" s="22">
        <f t="shared" si="1144"/>
        <v>3</v>
      </c>
      <c r="AT3756" s="24" t="str">
        <f t="shared" si="1145"/>
        <v>0-3 months</v>
      </c>
      <c r="AU3756" s="22" t="s">
        <v>3748</v>
      </c>
    </row>
    <row r="3757" spans="1:47">
      <c r="A3757" s="33" t="str">
        <f t="shared" si="1136"/>
        <v>cancel</v>
      </c>
      <c r="B3757" s="23" t="s">
        <v>185</v>
      </c>
      <c r="C3757" s="23" t="s">
        <v>185</v>
      </c>
      <c r="D3757" s="202" t="b">
        <f t="shared" si="1119"/>
        <v>0</v>
      </c>
      <c r="E3757" s="33" t="str">
        <f t="shared" si="1135"/>
        <v>Cancel</v>
      </c>
      <c r="F3757" s="23" t="s">
        <v>185</v>
      </c>
      <c r="G3757" s="23" t="s">
        <v>185</v>
      </c>
      <c r="H3757" s="29"/>
      <c r="I3757" s="204" t="str">
        <f t="shared" si="1137"/>
        <v>Cancel</v>
      </c>
      <c r="J3757" s="188" t="s">
        <v>3588</v>
      </c>
      <c r="K3757" s="29" t="s">
        <v>989</v>
      </c>
      <c r="L3757" s="17" t="s">
        <v>3351</v>
      </c>
      <c r="M3757" s="13" t="s">
        <v>60</v>
      </c>
      <c r="N3757" s="22">
        <v>1</v>
      </c>
      <c r="O3757" s="22"/>
      <c r="P3757" s="202" t="str">
        <f t="shared" si="1146"/>
        <v>MAIN UNIT</v>
      </c>
      <c r="Q3757" s="22" t="s">
        <v>61</v>
      </c>
      <c r="R3757" s="22" t="s">
        <v>2055</v>
      </c>
      <c r="S3757" s="22" t="s">
        <v>49</v>
      </c>
      <c r="T3757" s="22" t="s">
        <v>78</v>
      </c>
      <c r="U3757" s="22" t="s">
        <v>246</v>
      </c>
      <c r="V3757" s="22" t="s">
        <v>3590</v>
      </c>
      <c r="W3757" s="22" t="s">
        <v>901</v>
      </c>
      <c r="X3757" s="104">
        <v>35000</v>
      </c>
      <c r="Y3757" s="195" t="str">
        <f t="shared" si="1123"/>
        <v>1</v>
      </c>
      <c r="Z3757" s="196">
        <f t="shared" si="1124"/>
        <v>35000</v>
      </c>
      <c r="AA3757" s="22">
        <v>7.8</v>
      </c>
      <c r="AB3757" s="197">
        <f t="shared" si="1134"/>
        <v>273000</v>
      </c>
      <c r="AC3757" s="198">
        <f t="shared" si="1138"/>
        <v>32760</v>
      </c>
      <c r="AD3757" s="169">
        <v>0.12</v>
      </c>
      <c r="AE3757" s="199">
        <f t="shared" si="1139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05"/>
        <v>499582152.5142017</v>
      </c>
      <c r="AJ3757" s="200">
        <f t="shared" si="1106"/>
        <v>59520528.679470733</v>
      </c>
      <c r="AK3757" s="201">
        <f t="shared" si="1140"/>
        <v>0.11914062257814291</v>
      </c>
      <c r="AL3757" s="24"/>
      <c r="AM3757" s="24"/>
      <c r="AN3757" s="24"/>
      <c r="AO3757" s="24"/>
      <c r="AP3757" s="165" t="str">
        <f t="shared" si="1141"/>
        <v>CancelCancel</v>
      </c>
      <c r="AQ3757" s="203" t="str">
        <f t="shared" si="1142"/>
        <v>CancelCancelUSD</v>
      </c>
      <c r="AR3757" s="206" t="str">
        <f t="shared" si="1143"/>
        <v>YAMAHA_Non_Mounter</v>
      </c>
      <c r="AS3757" s="22" t="str">
        <f t="shared" si="1144"/>
        <v/>
      </c>
      <c r="AT3757" s="24" t="str">
        <f t="shared" si="1145"/>
        <v/>
      </c>
      <c r="AU3757" s="22" t="s">
        <v>3240</v>
      </c>
    </row>
    <row r="3758" spans="1:47">
      <c r="A3758" s="33" t="str">
        <f t="shared" si="1136"/>
        <v>cancel</v>
      </c>
      <c r="B3758" s="23" t="s">
        <v>185</v>
      </c>
      <c r="C3758" s="23" t="s">
        <v>185</v>
      </c>
      <c r="D3758" s="202" t="b">
        <f t="shared" si="1119"/>
        <v>0</v>
      </c>
      <c r="E3758" s="33" t="str">
        <f t="shared" si="1135"/>
        <v>Cancel</v>
      </c>
      <c r="F3758" s="23" t="s">
        <v>185</v>
      </c>
      <c r="G3758" s="23" t="s">
        <v>185</v>
      </c>
      <c r="H3758" s="29"/>
      <c r="I3758" s="204" t="str">
        <f t="shared" si="1137"/>
        <v>Cancel</v>
      </c>
      <c r="J3758" s="188" t="s">
        <v>3589</v>
      </c>
      <c r="K3758" s="29" t="s">
        <v>989</v>
      </c>
      <c r="L3758" s="24" t="s">
        <v>2620</v>
      </c>
      <c r="M3758" s="13" t="s">
        <v>60</v>
      </c>
      <c r="N3758" s="22">
        <v>1</v>
      </c>
      <c r="O3758" s="22"/>
      <c r="P3758" s="202" t="str">
        <f t="shared" si="1146"/>
        <v>MAIN UNIT</v>
      </c>
      <c r="Q3758" s="22" t="s">
        <v>61</v>
      </c>
      <c r="R3758" s="22" t="s">
        <v>2055</v>
      </c>
      <c r="S3758" s="22" t="s">
        <v>49</v>
      </c>
      <c r="T3758" s="22" t="s">
        <v>78</v>
      </c>
      <c r="U3758" s="22" t="s">
        <v>246</v>
      </c>
      <c r="V3758" s="22" t="s">
        <v>3590</v>
      </c>
      <c r="W3758" s="22" t="s">
        <v>901</v>
      </c>
      <c r="X3758" s="104">
        <v>82500</v>
      </c>
      <c r="Y3758" s="195" t="str">
        <f t="shared" si="1123"/>
        <v>1</v>
      </c>
      <c r="Z3758" s="196">
        <f t="shared" si="1124"/>
        <v>82500</v>
      </c>
      <c r="AA3758" s="22">
        <v>7.8</v>
      </c>
      <c r="AB3758" s="197">
        <f t="shared" si="1134"/>
        <v>643500</v>
      </c>
      <c r="AC3758" s="198">
        <f t="shared" si="1138"/>
        <v>77220</v>
      </c>
      <c r="AD3758" s="169">
        <v>0.12</v>
      </c>
      <c r="AE3758" s="199">
        <f t="shared" si="1139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05"/>
        <v>499582152.5142017</v>
      </c>
      <c r="AJ3758" s="200">
        <f t="shared" si="1106"/>
        <v>59520528.679470733</v>
      </c>
      <c r="AK3758" s="201">
        <f t="shared" si="1140"/>
        <v>0.11914062257814291</v>
      </c>
      <c r="AL3758" s="24"/>
      <c r="AM3758" s="24"/>
      <c r="AN3758" s="24"/>
      <c r="AO3758" s="24"/>
      <c r="AP3758" s="165" t="str">
        <f t="shared" si="1141"/>
        <v>CancelCancel</v>
      </c>
      <c r="AQ3758" s="203" t="str">
        <f t="shared" si="1142"/>
        <v>CancelCancelUSD</v>
      </c>
      <c r="AR3758" s="206" t="str">
        <f t="shared" si="1143"/>
        <v>YAMAHA_Non_Mounter</v>
      </c>
      <c r="AS3758" s="22" t="str">
        <f t="shared" si="1144"/>
        <v/>
      </c>
      <c r="AT3758" s="24" t="str">
        <f t="shared" si="1145"/>
        <v/>
      </c>
      <c r="AU3758" s="22" t="s">
        <v>3240</v>
      </c>
    </row>
    <row r="3759" spans="1:47">
      <c r="A3759" s="33" t="str">
        <f t="shared" si="1136"/>
        <v>FY 24/25</v>
      </c>
      <c r="B3759" s="23">
        <v>2024</v>
      </c>
      <c r="C3759" s="23">
        <v>10</v>
      </c>
      <c r="D3759" s="33" t="str">
        <f t="shared" si="1119"/>
        <v>Q3</v>
      </c>
      <c r="E3759" s="33" t="str">
        <f t="shared" si="1135"/>
        <v>FY 24/25</v>
      </c>
      <c r="F3759" s="23">
        <v>2025</v>
      </c>
      <c r="G3759" s="23">
        <v>2</v>
      </c>
      <c r="H3759" s="29"/>
      <c r="I3759" s="93" t="str">
        <f t="shared" si="1137"/>
        <v>Q4</v>
      </c>
      <c r="J3759" s="188" t="s">
        <v>3591</v>
      </c>
      <c r="K3759" s="29" t="s">
        <v>3592</v>
      </c>
      <c r="L3759" s="24" t="s">
        <v>92</v>
      </c>
      <c r="M3759" s="13" t="s">
        <v>60</v>
      </c>
      <c r="N3759" s="22">
        <v>1</v>
      </c>
      <c r="O3759" s="22"/>
      <c r="P3759" s="33" t="str">
        <f t="shared" si="1146"/>
        <v>MAIN UNIT</v>
      </c>
      <c r="Q3759" s="22" t="s">
        <v>68</v>
      </c>
      <c r="R3759" s="22" t="s">
        <v>62</v>
      </c>
      <c r="S3759" s="22" t="s">
        <v>49</v>
      </c>
      <c r="T3759" s="22" t="s">
        <v>78</v>
      </c>
      <c r="U3759" s="22" t="s">
        <v>78</v>
      </c>
      <c r="V3759" s="22" t="s">
        <v>121</v>
      </c>
      <c r="W3759" s="22" t="s">
        <v>109</v>
      </c>
      <c r="X3759" s="104">
        <v>13800000</v>
      </c>
      <c r="Y3759" s="31" t="str">
        <f t="shared" si="1123"/>
        <v>1</v>
      </c>
      <c r="Z3759" s="230">
        <f t="shared" si="1124"/>
        <v>13800000</v>
      </c>
      <c r="AA3759" s="22">
        <v>5.11E-2</v>
      </c>
      <c r="AB3759" s="231">
        <f t="shared" si="1134"/>
        <v>705180</v>
      </c>
      <c r="AC3759" s="25">
        <f t="shared" si="1138"/>
        <v>92942.724000000002</v>
      </c>
      <c r="AD3759" s="170">
        <v>0.1318</v>
      </c>
      <c r="AE3759" s="26">
        <f t="shared" si="1139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05"/>
        <v>30691842.970796466</v>
      </c>
      <c r="AJ3759" s="27">
        <f t="shared" si="1106"/>
        <v>4088324.205777524</v>
      </c>
      <c r="AK3759" s="232">
        <f t="shared" si="1140"/>
        <v>0.1332055624573473</v>
      </c>
      <c r="AL3759" s="24"/>
      <c r="AM3759" s="24"/>
      <c r="AN3759" s="24"/>
      <c r="AO3759" s="24"/>
      <c r="AP3759" s="165" t="str">
        <f t="shared" si="1141"/>
        <v>20252</v>
      </c>
      <c r="AQ3759" s="233" t="str">
        <f t="shared" si="1142"/>
        <v>20252JPY</v>
      </c>
      <c r="AR3759" s="234" t="str">
        <f t="shared" si="1143"/>
        <v>YAMAHA_Mounter</v>
      </c>
      <c r="AS3759" s="22">
        <f t="shared" si="1144"/>
        <v>4</v>
      </c>
      <c r="AT3759" s="24" t="str">
        <f t="shared" si="1145"/>
        <v>4-6 months</v>
      </c>
      <c r="AU3759" s="22" t="s">
        <v>3745</v>
      </c>
    </row>
    <row r="3760" spans="1:47">
      <c r="A3760" s="33" t="str">
        <f t="shared" si="1136"/>
        <v>FY 24/25</v>
      </c>
      <c r="B3760" s="23">
        <v>2024</v>
      </c>
      <c r="C3760" s="23">
        <v>10</v>
      </c>
      <c r="D3760" s="33" t="str">
        <f t="shared" si="1119"/>
        <v>Q3</v>
      </c>
      <c r="E3760" s="33" t="str">
        <f t="shared" si="1135"/>
        <v>FY 24/25</v>
      </c>
      <c r="F3760" s="23">
        <v>2025</v>
      </c>
      <c r="G3760" s="23">
        <v>2</v>
      </c>
      <c r="H3760" s="29"/>
      <c r="I3760" s="93" t="str">
        <f t="shared" si="1137"/>
        <v>Q4</v>
      </c>
      <c r="J3760" s="188" t="s">
        <v>3591</v>
      </c>
      <c r="K3760" s="29" t="s">
        <v>3592</v>
      </c>
      <c r="L3760" s="24" t="s">
        <v>92</v>
      </c>
      <c r="M3760" s="13" t="s">
        <v>60</v>
      </c>
      <c r="N3760" s="22">
        <v>1</v>
      </c>
      <c r="O3760" s="22"/>
      <c r="P3760" s="33" t="str">
        <f t="shared" si="1146"/>
        <v>MAIN UNIT</v>
      </c>
      <c r="Q3760" s="22" t="s">
        <v>68</v>
      </c>
      <c r="R3760" s="22" t="s">
        <v>62</v>
      </c>
      <c r="S3760" s="22" t="s">
        <v>49</v>
      </c>
      <c r="T3760" s="22" t="s">
        <v>78</v>
      </c>
      <c r="U3760" s="22" t="s">
        <v>78</v>
      </c>
      <c r="V3760" s="22" t="s">
        <v>121</v>
      </c>
      <c r="W3760" s="22" t="s">
        <v>109</v>
      </c>
      <c r="X3760" s="104">
        <v>13800000</v>
      </c>
      <c r="Y3760" s="31" t="str">
        <f t="shared" si="1123"/>
        <v>1</v>
      </c>
      <c r="Z3760" s="230">
        <f t="shared" si="1124"/>
        <v>13800000</v>
      </c>
      <c r="AA3760" s="22">
        <v>5.11E-2</v>
      </c>
      <c r="AB3760" s="231">
        <f t="shared" si="1134"/>
        <v>705180</v>
      </c>
      <c r="AC3760" s="25">
        <f t="shared" si="1138"/>
        <v>92942.724000000002</v>
      </c>
      <c r="AD3760" s="170">
        <v>0.1318</v>
      </c>
      <c r="AE3760" s="26">
        <f t="shared" si="1139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05"/>
        <v>30691842.970796466</v>
      </c>
      <c r="AJ3760" s="27">
        <f t="shared" si="1106"/>
        <v>4088324.205777524</v>
      </c>
      <c r="AK3760" s="232">
        <f t="shared" si="1140"/>
        <v>0.1332055624573473</v>
      </c>
      <c r="AL3760" s="24"/>
      <c r="AM3760" s="24"/>
      <c r="AN3760" s="24"/>
      <c r="AO3760" s="24"/>
      <c r="AP3760" s="165" t="str">
        <f t="shared" si="1141"/>
        <v>20252</v>
      </c>
      <c r="AQ3760" s="233" t="str">
        <f t="shared" si="1142"/>
        <v>20252JPY</v>
      </c>
      <c r="AR3760" s="234" t="str">
        <f t="shared" si="1143"/>
        <v>YAMAHA_Mounter</v>
      </c>
      <c r="AS3760" s="22">
        <f t="shared" si="1144"/>
        <v>4</v>
      </c>
      <c r="AT3760" s="24" t="str">
        <f t="shared" si="1145"/>
        <v>4-6 months</v>
      </c>
      <c r="AU3760" s="22" t="s">
        <v>3745</v>
      </c>
    </row>
    <row r="3761" spans="1:47">
      <c r="A3761" s="33" t="str">
        <f t="shared" si="1136"/>
        <v>FY 24/25</v>
      </c>
      <c r="B3761" s="23">
        <v>2024</v>
      </c>
      <c r="C3761" s="23">
        <v>10</v>
      </c>
      <c r="D3761" s="33" t="str">
        <f t="shared" si="1119"/>
        <v>Q3</v>
      </c>
      <c r="E3761" s="33" t="str">
        <f t="shared" si="1135"/>
        <v>FY 24/25</v>
      </c>
      <c r="F3761" s="23">
        <v>2025</v>
      </c>
      <c r="G3761" s="23">
        <v>2</v>
      </c>
      <c r="H3761" s="29"/>
      <c r="I3761" s="93" t="str">
        <f t="shared" si="1137"/>
        <v>Q4</v>
      </c>
      <c r="J3761" s="188" t="s">
        <v>3591</v>
      </c>
      <c r="K3761" s="29" t="s">
        <v>3592</v>
      </c>
      <c r="L3761" s="24" t="s">
        <v>92</v>
      </c>
      <c r="M3761" s="13" t="s">
        <v>60</v>
      </c>
      <c r="N3761" s="22">
        <v>1</v>
      </c>
      <c r="O3761" s="22"/>
      <c r="P3761" s="33" t="str">
        <f t="shared" si="1146"/>
        <v>MAIN UNIT</v>
      </c>
      <c r="Q3761" s="22" t="s">
        <v>68</v>
      </c>
      <c r="R3761" s="22" t="s">
        <v>62</v>
      </c>
      <c r="S3761" s="22" t="s">
        <v>49</v>
      </c>
      <c r="T3761" s="22" t="s">
        <v>78</v>
      </c>
      <c r="U3761" s="22" t="s">
        <v>78</v>
      </c>
      <c r="V3761" s="22" t="s">
        <v>121</v>
      </c>
      <c r="W3761" s="22" t="s">
        <v>109</v>
      </c>
      <c r="X3761" s="104">
        <v>13800000</v>
      </c>
      <c r="Y3761" s="31" t="str">
        <f t="shared" si="1123"/>
        <v>1</v>
      </c>
      <c r="Z3761" s="230">
        <f t="shared" si="1124"/>
        <v>13800000</v>
      </c>
      <c r="AA3761" s="22">
        <v>5.11E-2</v>
      </c>
      <c r="AB3761" s="231">
        <f t="shared" si="1134"/>
        <v>705180</v>
      </c>
      <c r="AC3761" s="25">
        <f t="shared" si="1138"/>
        <v>92942.724000000002</v>
      </c>
      <c r="AD3761" s="170">
        <v>0.1318</v>
      </c>
      <c r="AE3761" s="26">
        <f t="shared" si="1139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05"/>
        <v>30691842.970796466</v>
      </c>
      <c r="AJ3761" s="27">
        <f t="shared" si="1106"/>
        <v>4088324.205777524</v>
      </c>
      <c r="AK3761" s="232">
        <f t="shared" si="1140"/>
        <v>0.1332055624573473</v>
      </c>
      <c r="AL3761" s="24"/>
      <c r="AM3761" s="24"/>
      <c r="AN3761" s="24"/>
      <c r="AO3761" s="24"/>
      <c r="AP3761" s="165" t="str">
        <f t="shared" si="1141"/>
        <v>20252</v>
      </c>
      <c r="AQ3761" s="233" t="str">
        <f t="shared" si="1142"/>
        <v>20252JPY</v>
      </c>
      <c r="AR3761" s="234" t="str">
        <f t="shared" si="1143"/>
        <v>YAMAHA_Mounter</v>
      </c>
      <c r="AS3761" s="22">
        <f t="shared" si="1144"/>
        <v>4</v>
      </c>
      <c r="AT3761" s="24" t="str">
        <f t="shared" si="1145"/>
        <v>4-6 months</v>
      </c>
      <c r="AU3761" s="22" t="s">
        <v>3745</v>
      </c>
    </row>
    <row r="3762" spans="1:47">
      <c r="A3762" s="33" t="str">
        <f t="shared" si="1136"/>
        <v>FY 24/25</v>
      </c>
      <c r="B3762" s="23">
        <v>2024</v>
      </c>
      <c r="C3762" s="23">
        <v>10</v>
      </c>
      <c r="D3762" s="33" t="str">
        <f t="shared" ref="D3762:D3825" si="1147">IF(B3762="","",IF(AND(C3762&gt;=10,C3762&lt;=12),"Q3",IF(AND(C3762&gt;=1,C3762&lt;=3),"Q4",IF(AND(C3762&gt;=7,C3762&lt;=9),"Q2",IF(AND(C3762&gt;=4,C3762&lt;=6),"Q1")))))</f>
        <v>Q3</v>
      </c>
      <c r="E3762" s="33" t="str">
        <f t="shared" si="1135"/>
        <v>FY 24/25</v>
      </c>
      <c r="F3762" s="23">
        <v>2025</v>
      </c>
      <c r="G3762" s="23">
        <v>2</v>
      </c>
      <c r="H3762" s="29"/>
      <c r="I3762" s="93" t="str">
        <f t="shared" si="1137"/>
        <v>Q4</v>
      </c>
      <c r="J3762" s="188" t="s">
        <v>3591</v>
      </c>
      <c r="K3762" s="29" t="s">
        <v>3592</v>
      </c>
      <c r="L3762" s="24" t="s">
        <v>92</v>
      </c>
      <c r="M3762" s="13" t="s">
        <v>60</v>
      </c>
      <c r="N3762" s="22">
        <v>1</v>
      </c>
      <c r="O3762" s="22"/>
      <c r="P3762" s="33" t="str">
        <f t="shared" si="1146"/>
        <v>MAIN UNIT</v>
      </c>
      <c r="Q3762" s="22" t="s">
        <v>68</v>
      </c>
      <c r="R3762" s="22" t="s">
        <v>62</v>
      </c>
      <c r="S3762" s="22" t="s">
        <v>49</v>
      </c>
      <c r="T3762" s="22" t="s">
        <v>78</v>
      </c>
      <c r="U3762" s="22" t="s">
        <v>78</v>
      </c>
      <c r="V3762" s="22" t="s">
        <v>121</v>
      </c>
      <c r="W3762" s="22" t="s">
        <v>109</v>
      </c>
      <c r="X3762" s="104">
        <v>13800000</v>
      </c>
      <c r="Y3762" s="31" t="str">
        <f t="shared" si="1123"/>
        <v>1</v>
      </c>
      <c r="Z3762" s="230">
        <f t="shared" ref="Z3762:Z3825" si="1148">IF(X3762="","",X3762*MAX(O3762,N3762))</f>
        <v>13800000</v>
      </c>
      <c r="AA3762" s="22">
        <v>5.11E-2</v>
      </c>
      <c r="AB3762" s="231">
        <f t="shared" si="1134"/>
        <v>705180</v>
      </c>
      <c r="AC3762" s="25">
        <f t="shared" si="1138"/>
        <v>92942.724000000002</v>
      </c>
      <c r="AD3762" s="170">
        <v>0.1318</v>
      </c>
      <c r="AE3762" s="26">
        <f t="shared" si="1139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05"/>
        <v>30691842.970796466</v>
      </c>
      <c r="AJ3762" s="27">
        <f t="shared" si="1106"/>
        <v>4088324.205777524</v>
      </c>
      <c r="AK3762" s="232">
        <f t="shared" si="1140"/>
        <v>0.1332055624573473</v>
      </c>
      <c r="AL3762" s="24"/>
      <c r="AM3762" s="24"/>
      <c r="AN3762" s="24"/>
      <c r="AO3762" s="24"/>
      <c r="AP3762" s="165" t="str">
        <f t="shared" si="1141"/>
        <v>20252</v>
      </c>
      <c r="AQ3762" s="233" t="str">
        <f t="shared" si="1142"/>
        <v>20252JPY</v>
      </c>
      <c r="AR3762" s="234" t="str">
        <f t="shared" si="1143"/>
        <v>YAMAHA_Mounter</v>
      </c>
      <c r="AS3762" s="22">
        <f t="shared" si="1144"/>
        <v>4</v>
      </c>
      <c r="AT3762" s="24" t="str">
        <f t="shared" si="1145"/>
        <v>4-6 months</v>
      </c>
      <c r="AU3762" s="22" t="s">
        <v>3745</v>
      </c>
    </row>
    <row r="3763" spans="1:47">
      <c r="A3763" s="33" t="str">
        <f t="shared" si="1136"/>
        <v>FY 24/25</v>
      </c>
      <c r="B3763" s="23">
        <v>2024</v>
      </c>
      <c r="C3763" s="23">
        <v>10</v>
      </c>
      <c r="D3763" s="33" t="str">
        <f t="shared" si="1147"/>
        <v>Q3</v>
      </c>
      <c r="E3763" s="33" t="str">
        <f t="shared" si="1135"/>
        <v>FY 24/25</v>
      </c>
      <c r="F3763" s="23">
        <v>2025</v>
      </c>
      <c r="G3763" s="23">
        <v>2</v>
      </c>
      <c r="H3763" s="29"/>
      <c r="I3763" s="93" t="str">
        <f t="shared" si="1137"/>
        <v>Q4</v>
      </c>
      <c r="J3763" s="188" t="s">
        <v>3591</v>
      </c>
      <c r="K3763" s="29" t="s">
        <v>3592</v>
      </c>
      <c r="L3763" s="24" t="s">
        <v>92</v>
      </c>
      <c r="M3763" s="13" t="s">
        <v>60</v>
      </c>
      <c r="N3763" s="22">
        <v>1</v>
      </c>
      <c r="O3763" s="22"/>
      <c r="P3763" s="33" t="str">
        <f t="shared" si="1146"/>
        <v>MAIN UNIT</v>
      </c>
      <c r="Q3763" s="22" t="s">
        <v>68</v>
      </c>
      <c r="R3763" s="22" t="s">
        <v>62</v>
      </c>
      <c r="S3763" s="22" t="s">
        <v>49</v>
      </c>
      <c r="T3763" s="22" t="s">
        <v>78</v>
      </c>
      <c r="U3763" s="22" t="s">
        <v>78</v>
      </c>
      <c r="V3763" s="22" t="s">
        <v>121</v>
      </c>
      <c r="W3763" s="22" t="s">
        <v>109</v>
      </c>
      <c r="X3763" s="104">
        <v>13800000</v>
      </c>
      <c r="Y3763" s="31" t="str">
        <f t="shared" si="1123"/>
        <v>1</v>
      </c>
      <c r="Z3763" s="230">
        <f t="shared" si="1148"/>
        <v>13800000</v>
      </c>
      <c r="AA3763" s="22">
        <v>5.11E-2</v>
      </c>
      <c r="AB3763" s="231">
        <f t="shared" si="1134"/>
        <v>705180</v>
      </c>
      <c r="AC3763" s="25">
        <f t="shared" si="1138"/>
        <v>92942.724000000002</v>
      </c>
      <c r="AD3763" s="170">
        <v>0.1318</v>
      </c>
      <c r="AE3763" s="26">
        <f t="shared" si="1139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05"/>
        <v>30691842.970796466</v>
      </c>
      <c r="AJ3763" s="27">
        <f t="shared" si="1106"/>
        <v>4088324.205777524</v>
      </c>
      <c r="AK3763" s="232">
        <f t="shared" si="1140"/>
        <v>0.1332055624573473</v>
      </c>
      <c r="AL3763" s="24"/>
      <c r="AM3763" s="24"/>
      <c r="AN3763" s="24"/>
      <c r="AO3763" s="24"/>
      <c r="AP3763" s="165" t="str">
        <f t="shared" si="1141"/>
        <v>20252</v>
      </c>
      <c r="AQ3763" s="233" t="str">
        <f t="shared" si="1142"/>
        <v>20252JPY</v>
      </c>
      <c r="AR3763" s="234" t="str">
        <f t="shared" si="1143"/>
        <v>YAMAHA_Mounter</v>
      </c>
      <c r="AS3763" s="22">
        <f t="shared" si="1144"/>
        <v>4</v>
      </c>
      <c r="AT3763" s="24" t="str">
        <f t="shared" si="1145"/>
        <v>4-6 months</v>
      </c>
      <c r="AU3763" s="22" t="s">
        <v>3745</v>
      </c>
    </row>
    <row r="3764" spans="1:47">
      <c r="A3764" s="33" t="str">
        <f t="shared" si="1136"/>
        <v>FY 24/25</v>
      </c>
      <c r="B3764" s="23">
        <v>2024</v>
      </c>
      <c r="C3764" s="23">
        <v>10</v>
      </c>
      <c r="D3764" s="33" t="str">
        <f t="shared" si="1147"/>
        <v>Q3</v>
      </c>
      <c r="E3764" s="33" t="str">
        <f t="shared" si="1135"/>
        <v>FY 24/25</v>
      </c>
      <c r="F3764" s="23">
        <v>2025</v>
      </c>
      <c r="G3764" s="23">
        <v>2</v>
      </c>
      <c r="H3764" s="29"/>
      <c r="I3764" s="93" t="str">
        <f t="shared" si="1137"/>
        <v>Q4</v>
      </c>
      <c r="J3764" s="188" t="s">
        <v>3591</v>
      </c>
      <c r="K3764" s="29" t="s">
        <v>3592</v>
      </c>
      <c r="L3764" s="24" t="s">
        <v>92</v>
      </c>
      <c r="M3764" s="13" t="s">
        <v>60</v>
      </c>
      <c r="N3764" s="22">
        <v>1</v>
      </c>
      <c r="O3764" s="22"/>
      <c r="P3764" s="33" t="str">
        <f t="shared" si="1146"/>
        <v>MAIN UNIT</v>
      </c>
      <c r="Q3764" s="22" t="s">
        <v>68</v>
      </c>
      <c r="R3764" s="22" t="s">
        <v>62</v>
      </c>
      <c r="S3764" s="22" t="s">
        <v>49</v>
      </c>
      <c r="T3764" s="22" t="s">
        <v>78</v>
      </c>
      <c r="U3764" s="22" t="s">
        <v>78</v>
      </c>
      <c r="V3764" s="22" t="s">
        <v>121</v>
      </c>
      <c r="W3764" s="22" t="s">
        <v>109</v>
      </c>
      <c r="X3764" s="104">
        <v>13800000</v>
      </c>
      <c r="Y3764" s="31" t="str">
        <f t="shared" ref="Y3764:Y3827" si="1149">IF(W3764="","",IF(W3764="RMB","1.13", "1"))</f>
        <v>1</v>
      </c>
      <c r="Z3764" s="230">
        <f t="shared" si="1148"/>
        <v>13800000</v>
      </c>
      <c r="AA3764" s="22">
        <v>5.11E-2</v>
      </c>
      <c r="AB3764" s="231">
        <f t="shared" si="1134"/>
        <v>705180</v>
      </c>
      <c r="AC3764" s="25">
        <f t="shared" si="1138"/>
        <v>92942.724000000002</v>
      </c>
      <c r="AD3764" s="170">
        <v>0.1318</v>
      </c>
      <c r="AE3764" s="26">
        <f t="shared" si="1139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05"/>
        <v>30691842.970796466</v>
      </c>
      <c r="AJ3764" s="27">
        <f t="shared" si="1106"/>
        <v>4088324.205777524</v>
      </c>
      <c r="AK3764" s="232">
        <f t="shared" si="1140"/>
        <v>0.1332055624573473</v>
      </c>
      <c r="AL3764" s="24"/>
      <c r="AM3764" s="24"/>
      <c r="AN3764" s="24"/>
      <c r="AO3764" s="24"/>
      <c r="AP3764" s="165" t="str">
        <f t="shared" si="1141"/>
        <v>20252</v>
      </c>
      <c r="AQ3764" s="233" t="str">
        <f t="shared" si="1142"/>
        <v>20252JPY</v>
      </c>
      <c r="AR3764" s="234" t="str">
        <f t="shared" si="1143"/>
        <v>YAMAHA_Mounter</v>
      </c>
      <c r="AS3764" s="22">
        <f t="shared" si="1144"/>
        <v>4</v>
      </c>
      <c r="AT3764" s="24" t="str">
        <f t="shared" si="1145"/>
        <v>4-6 months</v>
      </c>
      <c r="AU3764" s="22" t="s">
        <v>3745</v>
      </c>
    </row>
    <row r="3765" spans="1:47">
      <c r="A3765" s="33" t="str">
        <f t="shared" si="1136"/>
        <v>FY 24/25</v>
      </c>
      <c r="B3765" s="23">
        <v>2024</v>
      </c>
      <c r="C3765" s="23">
        <v>10</v>
      </c>
      <c r="D3765" s="33" t="str">
        <f t="shared" si="1147"/>
        <v>Q3</v>
      </c>
      <c r="E3765" s="33" t="str">
        <f t="shared" si="1135"/>
        <v>FY 24/25</v>
      </c>
      <c r="F3765" s="23">
        <v>2025</v>
      </c>
      <c r="G3765" s="23">
        <v>2</v>
      </c>
      <c r="H3765" s="29"/>
      <c r="I3765" s="93" t="str">
        <f t="shared" si="1137"/>
        <v>Q4</v>
      </c>
      <c r="J3765" s="188" t="s">
        <v>3591</v>
      </c>
      <c r="K3765" s="29" t="s">
        <v>3592</v>
      </c>
      <c r="L3765" s="24" t="s">
        <v>67</v>
      </c>
      <c r="M3765" s="13" t="s">
        <v>60</v>
      </c>
      <c r="N3765" s="22">
        <v>1</v>
      </c>
      <c r="O3765" s="22"/>
      <c r="P3765" s="33" t="str">
        <f t="shared" si="1146"/>
        <v>MAIN UNIT</v>
      </c>
      <c r="Q3765" s="22" t="s">
        <v>68</v>
      </c>
      <c r="R3765" s="22" t="s">
        <v>62</v>
      </c>
      <c r="S3765" s="22" t="s">
        <v>49</v>
      </c>
      <c r="T3765" s="22" t="s">
        <v>78</v>
      </c>
      <c r="U3765" s="22" t="s">
        <v>78</v>
      </c>
      <c r="V3765" s="22" t="s">
        <v>121</v>
      </c>
      <c r="W3765" s="22" t="s">
        <v>109</v>
      </c>
      <c r="X3765" s="104">
        <v>9920000</v>
      </c>
      <c r="Y3765" s="31" t="str">
        <f t="shared" si="1149"/>
        <v>1</v>
      </c>
      <c r="Z3765" s="230">
        <f t="shared" si="1148"/>
        <v>9920000</v>
      </c>
      <c r="AA3765" s="22">
        <v>5.11E-2</v>
      </c>
      <c r="AB3765" s="231">
        <f t="shared" si="1134"/>
        <v>506912</v>
      </c>
      <c r="AC3765" s="25">
        <f t="shared" si="1138"/>
        <v>66811.001600000003</v>
      </c>
      <c r="AD3765" s="170">
        <v>0.1318</v>
      </c>
      <c r="AE3765" s="26">
        <f t="shared" si="1139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05"/>
        <v>30691842.970796466</v>
      </c>
      <c r="AJ3765" s="27">
        <f t="shared" si="1106"/>
        <v>4088324.205777524</v>
      </c>
      <c r="AK3765" s="232">
        <f t="shared" si="1140"/>
        <v>0.1332055624573473</v>
      </c>
      <c r="AL3765" s="24"/>
      <c r="AM3765" s="24"/>
      <c r="AN3765" s="24"/>
      <c r="AO3765" s="24"/>
      <c r="AP3765" s="165" t="str">
        <f t="shared" si="1141"/>
        <v>20252</v>
      </c>
      <c r="AQ3765" s="233" t="str">
        <f t="shared" si="1142"/>
        <v>20252JPY</v>
      </c>
      <c r="AR3765" s="234" t="str">
        <f t="shared" si="1143"/>
        <v>YAMAHA_Mounter</v>
      </c>
      <c r="AS3765" s="22">
        <f t="shared" si="1144"/>
        <v>4</v>
      </c>
      <c r="AT3765" s="24" t="str">
        <f t="shared" si="1145"/>
        <v>4-6 months</v>
      </c>
      <c r="AU3765" s="22" t="s">
        <v>3745</v>
      </c>
    </row>
    <row r="3766" spans="1:47">
      <c r="A3766" s="33" t="str">
        <f t="shared" si="1136"/>
        <v>FY 24/25</v>
      </c>
      <c r="B3766" s="23">
        <v>2024</v>
      </c>
      <c r="C3766" s="23">
        <v>10</v>
      </c>
      <c r="D3766" s="33" t="str">
        <f t="shared" si="1147"/>
        <v>Q3</v>
      </c>
      <c r="E3766" s="33" t="str">
        <f t="shared" si="1135"/>
        <v>FY 24/25</v>
      </c>
      <c r="F3766" s="23">
        <v>2025</v>
      </c>
      <c r="G3766" s="23">
        <v>2</v>
      </c>
      <c r="H3766" s="29"/>
      <c r="I3766" s="93" t="str">
        <f t="shared" si="1137"/>
        <v>Q4</v>
      </c>
      <c r="J3766" s="188" t="s">
        <v>3591</v>
      </c>
      <c r="K3766" s="29" t="s">
        <v>3592</v>
      </c>
      <c r="L3766" s="24" t="s">
        <v>67</v>
      </c>
      <c r="M3766" s="13" t="s">
        <v>60</v>
      </c>
      <c r="N3766" s="22">
        <v>1</v>
      </c>
      <c r="O3766" s="22"/>
      <c r="P3766" s="33" t="str">
        <f t="shared" si="1146"/>
        <v>MAIN UNIT</v>
      </c>
      <c r="Q3766" s="22" t="s">
        <v>68</v>
      </c>
      <c r="R3766" s="22" t="s">
        <v>62</v>
      </c>
      <c r="S3766" s="22" t="s">
        <v>49</v>
      </c>
      <c r="T3766" s="22" t="s">
        <v>78</v>
      </c>
      <c r="U3766" s="22" t="s">
        <v>78</v>
      </c>
      <c r="V3766" s="22" t="s">
        <v>121</v>
      </c>
      <c r="W3766" s="22" t="s">
        <v>109</v>
      </c>
      <c r="X3766" s="104">
        <v>9920000</v>
      </c>
      <c r="Y3766" s="31" t="str">
        <f t="shared" si="1149"/>
        <v>1</v>
      </c>
      <c r="Z3766" s="230">
        <f t="shared" si="1148"/>
        <v>9920000</v>
      </c>
      <c r="AA3766" s="22">
        <v>5.11E-2</v>
      </c>
      <c r="AB3766" s="231">
        <f t="shared" si="1134"/>
        <v>506912</v>
      </c>
      <c r="AC3766" s="25">
        <f t="shared" si="1138"/>
        <v>66811.001600000003</v>
      </c>
      <c r="AD3766" s="170">
        <v>0.1318</v>
      </c>
      <c r="AE3766" s="26">
        <f t="shared" si="1139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05"/>
        <v>30691842.970796466</v>
      </c>
      <c r="AJ3766" s="27">
        <f t="shared" si="1106"/>
        <v>4088324.205777524</v>
      </c>
      <c r="AK3766" s="232">
        <f t="shared" si="1140"/>
        <v>0.1332055624573473</v>
      </c>
      <c r="AL3766" s="24"/>
      <c r="AM3766" s="24"/>
      <c r="AN3766" s="24"/>
      <c r="AO3766" s="24"/>
      <c r="AP3766" s="165" t="str">
        <f t="shared" si="1141"/>
        <v>20252</v>
      </c>
      <c r="AQ3766" s="233" t="str">
        <f t="shared" si="1142"/>
        <v>20252JPY</v>
      </c>
      <c r="AR3766" s="234" t="str">
        <f t="shared" si="1143"/>
        <v>YAMAHA_Mounter</v>
      </c>
      <c r="AS3766" s="22">
        <f t="shared" si="1144"/>
        <v>4</v>
      </c>
      <c r="AT3766" s="24" t="str">
        <f t="shared" si="1145"/>
        <v>4-6 months</v>
      </c>
      <c r="AU3766" s="22" t="s">
        <v>3745</v>
      </c>
    </row>
    <row r="3767" spans="1:47">
      <c r="A3767" s="33" t="str">
        <f t="shared" si="1136"/>
        <v>FY 24/25</v>
      </c>
      <c r="B3767" s="23">
        <v>2024</v>
      </c>
      <c r="C3767" s="23">
        <v>10</v>
      </c>
      <c r="D3767" s="33" t="str">
        <f t="shared" si="1147"/>
        <v>Q3</v>
      </c>
      <c r="E3767" s="33" t="str">
        <f t="shared" si="1135"/>
        <v>FY 24/25</v>
      </c>
      <c r="F3767" s="23">
        <v>2025</v>
      </c>
      <c r="G3767" s="23">
        <v>2</v>
      </c>
      <c r="H3767" s="29"/>
      <c r="I3767" s="93" t="str">
        <f t="shared" si="1137"/>
        <v>Q4</v>
      </c>
      <c r="J3767" s="188" t="s">
        <v>3591</v>
      </c>
      <c r="K3767" s="29" t="s">
        <v>3592</v>
      </c>
      <c r="L3767" s="24" t="s">
        <v>67</v>
      </c>
      <c r="M3767" s="13" t="s">
        <v>60</v>
      </c>
      <c r="N3767" s="22">
        <v>1</v>
      </c>
      <c r="O3767" s="22"/>
      <c r="P3767" s="33" t="str">
        <f t="shared" si="1146"/>
        <v>MAIN UNIT</v>
      </c>
      <c r="Q3767" s="22" t="s">
        <v>68</v>
      </c>
      <c r="R3767" s="22" t="s">
        <v>62</v>
      </c>
      <c r="S3767" s="22" t="s">
        <v>49</v>
      </c>
      <c r="T3767" s="22" t="s">
        <v>78</v>
      </c>
      <c r="U3767" s="22" t="s">
        <v>78</v>
      </c>
      <c r="V3767" s="22" t="s">
        <v>121</v>
      </c>
      <c r="W3767" s="22" t="s">
        <v>109</v>
      </c>
      <c r="X3767" s="104">
        <v>9920000</v>
      </c>
      <c r="Y3767" s="31" t="str">
        <f t="shared" si="1149"/>
        <v>1</v>
      </c>
      <c r="Z3767" s="230">
        <f t="shared" si="1148"/>
        <v>9920000</v>
      </c>
      <c r="AA3767" s="22">
        <v>5.11E-2</v>
      </c>
      <c r="AB3767" s="231">
        <f t="shared" si="1134"/>
        <v>506912</v>
      </c>
      <c r="AC3767" s="25">
        <f t="shared" si="1138"/>
        <v>66811.001600000003</v>
      </c>
      <c r="AD3767" s="170">
        <v>0.1318</v>
      </c>
      <c r="AE3767" s="26">
        <f t="shared" si="1139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05"/>
        <v>30691842.970796466</v>
      </c>
      <c r="AJ3767" s="27">
        <f t="shared" si="1106"/>
        <v>4088324.205777524</v>
      </c>
      <c r="AK3767" s="232">
        <f t="shared" si="1140"/>
        <v>0.1332055624573473</v>
      </c>
      <c r="AL3767" s="24"/>
      <c r="AM3767" s="24"/>
      <c r="AN3767" s="24"/>
      <c r="AO3767" s="24"/>
      <c r="AP3767" s="165" t="str">
        <f t="shared" si="1141"/>
        <v>20252</v>
      </c>
      <c r="AQ3767" s="233" t="str">
        <f t="shared" si="1142"/>
        <v>20252JPY</v>
      </c>
      <c r="AR3767" s="234" t="str">
        <f t="shared" si="1143"/>
        <v>YAMAHA_Mounter</v>
      </c>
      <c r="AS3767" s="22">
        <f t="shared" si="1144"/>
        <v>4</v>
      </c>
      <c r="AT3767" s="24" t="str">
        <f t="shared" si="1145"/>
        <v>4-6 months</v>
      </c>
      <c r="AU3767" s="22" t="s">
        <v>3745</v>
      </c>
    </row>
    <row r="3768" spans="1:47">
      <c r="A3768" s="33" t="str">
        <f t="shared" si="1136"/>
        <v>FY 24/25</v>
      </c>
      <c r="B3768" s="23">
        <v>2024</v>
      </c>
      <c r="C3768" s="23">
        <v>10</v>
      </c>
      <c r="D3768" s="33" t="str">
        <f t="shared" si="1147"/>
        <v>Q3</v>
      </c>
      <c r="E3768" s="33" t="str">
        <f t="shared" si="1135"/>
        <v>FY 24/25</v>
      </c>
      <c r="F3768" s="23">
        <v>2025</v>
      </c>
      <c r="G3768" s="23">
        <v>2</v>
      </c>
      <c r="H3768" s="29"/>
      <c r="I3768" s="93" t="str">
        <f t="shared" si="1137"/>
        <v>Q4</v>
      </c>
      <c r="J3768" s="188" t="s">
        <v>3591</v>
      </c>
      <c r="K3768" s="29" t="s">
        <v>3592</v>
      </c>
      <c r="L3768" s="24" t="s">
        <v>67</v>
      </c>
      <c r="M3768" s="13" t="s">
        <v>60</v>
      </c>
      <c r="N3768" s="22">
        <v>1</v>
      </c>
      <c r="O3768" s="22"/>
      <c r="P3768" s="33" t="str">
        <f t="shared" si="1146"/>
        <v>MAIN UNIT</v>
      </c>
      <c r="Q3768" s="22" t="s">
        <v>68</v>
      </c>
      <c r="R3768" s="22" t="s">
        <v>62</v>
      </c>
      <c r="S3768" s="22" t="s">
        <v>49</v>
      </c>
      <c r="T3768" s="22" t="s">
        <v>78</v>
      </c>
      <c r="U3768" s="22" t="s">
        <v>78</v>
      </c>
      <c r="V3768" s="22" t="s">
        <v>121</v>
      </c>
      <c r="W3768" s="22" t="s">
        <v>109</v>
      </c>
      <c r="X3768" s="104">
        <v>9920000</v>
      </c>
      <c r="Y3768" s="31" t="str">
        <f t="shared" si="1149"/>
        <v>1</v>
      </c>
      <c r="Z3768" s="230">
        <f t="shared" si="1148"/>
        <v>9920000</v>
      </c>
      <c r="AA3768" s="22">
        <v>5.11E-2</v>
      </c>
      <c r="AB3768" s="231">
        <f t="shared" si="1134"/>
        <v>506912</v>
      </c>
      <c r="AC3768" s="25">
        <f t="shared" si="1138"/>
        <v>66811.001600000003</v>
      </c>
      <c r="AD3768" s="170">
        <v>0.1318</v>
      </c>
      <c r="AE3768" s="26">
        <f t="shared" si="1139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05"/>
        <v>30691842.970796466</v>
      </c>
      <c r="AJ3768" s="27">
        <f t="shared" si="1106"/>
        <v>4088324.205777524</v>
      </c>
      <c r="AK3768" s="232">
        <f t="shared" si="1140"/>
        <v>0.1332055624573473</v>
      </c>
      <c r="AL3768" s="24"/>
      <c r="AM3768" s="24"/>
      <c r="AN3768" s="24"/>
      <c r="AO3768" s="24"/>
      <c r="AP3768" s="165" t="str">
        <f t="shared" si="1141"/>
        <v>20252</v>
      </c>
      <c r="AQ3768" s="233" t="str">
        <f t="shared" si="1142"/>
        <v>20252JPY</v>
      </c>
      <c r="AR3768" s="234" t="str">
        <f t="shared" si="1143"/>
        <v>YAMAHA_Mounter</v>
      </c>
      <c r="AS3768" s="22">
        <f t="shared" si="1144"/>
        <v>4</v>
      </c>
      <c r="AT3768" s="24" t="str">
        <f t="shared" si="1145"/>
        <v>4-6 months</v>
      </c>
      <c r="AU3768" s="22" t="s">
        <v>3745</v>
      </c>
    </row>
    <row r="3769" spans="1:47">
      <c r="A3769" s="33" t="str">
        <f t="shared" si="1136"/>
        <v>FY 24/25</v>
      </c>
      <c r="B3769" s="23">
        <v>2024</v>
      </c>
      <c r="C3769" s="23">
        <v>10</v>
      </c>
      <c r="D3769" s="33" t="str">
        <f t="shared" si="1147"/>
        <v>Q3</v>
      </c>
      <c r="E3769" s="33" t="str">
        <f t="shared" si="1135"/>
        <v>FY 24/25</v>
      </c>
      <c r="F3769" s="23">
        <v>2025</v>
      </c>
      <c r="G3769" s="23">
        <v>2</v>
      </c>
      <c r="H3769" s="29"/>
      <c r="I3769" s="93" t="str">
        <f t="shared" si="1137"/>
        <v>Q4</v>
      </c>
      <c r="J3769" s="188" t="s">
        <v>3591</v>
      </c>
      <c r="K3769" s="29" t="s">
        <v>3592</v>
      </c>
      <c r="L3769" s="24" t="s">
        <v>67</v>
      </c>
      <c r="M3769" s="13" t="s">
        <v>60</v>
      </c>
      <c r="N3769" s="22">
        <v>1</v>
      </c>
      <c r="O3769" s="22"/>
      <c r="P3769" s="33" t="str">
        <f t="shared" si="1146"/>
        <v>MAIN UNIT</v>
      </c>
      <c r="Q3769" s="22" t="s">
        <v>68</v>
      </c>
      <c r="R3769" s="22" t="s">
        <v>62</v>
      </c>
      <c r="S3769" s="22" t="s">
        <v>49</v>
      </c>
      <c r="T3769" s="22" t="s">
        <v>78</v>
      </c>
      <c r="U3769" s="22" t="s">
        <v>78</v>
      </c>
      <c r="V3769" s="22" t="s">
        <v>121</v>
      </c>
      <c r="W3769" s="22" t="s">
        <v>109</v>
      </c>
      <c r="X3769" s="104">
        <v>9920000</v>
      </c>
      <c r="Y3769" s="31" t="str">
        <f t="shared" si="1149"/>
        <v>1</v>
      </c>
      <c r="Z3769" s="230">
        <f t="shared" si="1148"/>
        <v>9920000</v>
      </c>
      <c r="AA3769" s="22">
        <v>5.11E-2</v>
      </c>
      <c r="AB3769" s="231">
        <f t="shared" si="1134"/>
        <v>506912</v>
      </c>
      <c r="AC3769" s="25">
        <f t="shared" si="1138"/>
        <v>66811.001600000003</v>
      </c>
      <c r="AD3769" s="170">
        <v>0.1318</v>
      </c>
      <c r="AE3769" s="26">
        <f t="shared" si="1139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05"/>
        <v>30691842.970796466</v>
      </c>
      <c r="AJ3769" s="27">
        <f t="shared" si="1106"/>
        <v>4088324.205777524</v>
      </c>
      <c r="AK3769" s="232">
        <f t="shared" si="1140"/>
        <v>0.1332055624573473</v>
      </c>
      <c r="AL3769" s="24"/>
      <c r="AM3769" s="24"/>
      <c r="AN3769" s="24"/>
      <c r="AO3769" s="24"/>
      <c r="AP3769" s="165" t="str">
        <f t="shared" si="1141"/>
        <v>20252</v>
      </c>
      <c r="AQ3769" s="233" t="str">
        <f t="shared" si="1142"/>
        <v>20252JPY</v>
      </c>
      <c r="AR3769" s="234" t="str">
        <f t="shared" si="1143"/>
        <v>YAMAHA_Mounter</v>
      </c>
      <c r="AS3769" s="22">
        <f t="shared" si="1144"/>
        <v>4</v>
      </c>
      <c r="AT3769" s="24" t="str">
        <f t="shared" si="1145"/>
        <v>4-6 months</v>
      </c>
      <c r="AU3769" s="22" t="s">
        <v>3745</v>
      </c>
    </row>
    <row r="3770" spans="1:47">
      <c r="A3770" s="33" t="str">
        <f t="shared" si="1136"/>
        <v>FY 24/25</v>
      </c>
      <c r="B3770" s="23">
        <v>2024</v>
      </c>
      <c r="C3770" s="23">
        <v>10</v>
      </c>
      <c r="D3770" s="33" t="str">
        <f t="shared" si="1147"/>
        <v>Q3</v>
      </c>
      <c r="E3770" s="33" t="str">
        <f t="shared" si="1135"/>
        <v>FY 24/25</v>
      </c>
      <c r="F3770" s="23">
        <v>2025</v>
      </c>
      <c r="G3770" s="23">
        <v>2</v>
      </c>
      <c r="H3770" s="29"/>
      <c r="I3770" s="93" t="str">
        <f t="shared" si="1137"/>
        <v>Q4</v>
      </c>
      <c r="J3770" s="188" t="s">
        <v>3593</v>
      </c>
      <c r="K3770" s="29" t="s">
        <v>3592</v>
      </c>
      <c r="L3770" s="24" t="s">
        <v>2620</v>
      </c>
      <c r="M3770" s="13" t="s">
        <v>60</v>
      </c>
      <c r="N3770" s="22">
        <v>1</v>
      </c>
      <c r="O3770" s="22"/>
      <c r="P3770" s="33" t="str">
        <f t="shared" si="1146"/>
        <v>MAIN UNIT</v>
      </c>
      <c r="Q3770" s="22" t="s">
        <v>68</v>
      </c>
      <c r="R3770" s="22" t="s">
        <v>2055</v>
      </c>
      <c r="S3770" s="22" t="s">
        <v>49</v>
      </c>
      <c r="T3770" s="22" t="s">
        <v>78</v>
      </c>
      <c r="U3770" s="22" t="s">
        <v>78</v>
      </c>
      <c r="V3770" s="22" t="s">
        <v>121</v>
      </c>
      <c r="W3770" s="22" t="s">
        <v>109</v>
      </c>
      <c r="X3770" s="104">
        <v>7800000</v>
      </c>
      <c r="Y3770" s="31" t="str">
        <f t="shared" si="1149"/>
        <v>1</v>
      </c>
      <c r="Z3770" s="230">
        <f t="shared" si="1148"/>
        <v>7800000</v>
      </c>
      <c r="AA3770" s="22">
        <v>5.11E-2</v>
      </c>
      <c r="AB3770" s="231">
        <f t="shared" si="1134"/>
        <v>398580</v>
      </c>
      <c r="AC3770" s="25">
        <f t="shared" si="1138"/>
        <v>51934.974000000002</v>
      </c>
      <c r="AD3770" s="170">
        <v>0.1303</v>
      </c>
      <c r="AE3770" s="26">
        <f t="shared" si="1139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05"/>
        <v>30691842.970796466</v>
      </c>
      <c r="AJ3770" s="27">
        <f t="shared" si="1106"/>
        <v>4088324.205777524</v>
      </c>
      <c r="AK3770" s="232">
        <f t="shared" si="1140"/>
        <v>0.1332055624573473</v>
      </c>
      <c r="AL3770" s="24"/>
      <c r="AM3770" s="24"/>
      <c r="AN3770" s="24"/>
      <c r="AO3770" s="24"/>
      <c r="AP3770" s="165" t="str">
        <f t="shared" si="1141"/>
        <v>20252</v>
      </c>
      <c r="AQ3770" s="233" t="str">
        <f t="shared" si="1142"/>
        <v>20252JPY</v>
      </c>
      <c r="AR3770" s="234" t="str">
        <f t="shared" si="1143"/>
        <v>YAMAHA_Non_Mounter</v>
      </c>
      <c r="AS3770" s="22">
        <f t="shared" si="1144"/>
        <v>4</v>
      </c>
      <c r="AT3770" s="24" t="str">
        <f t="shared" si="1145"/>
        <v>4-6 months</v>
      </c>
      <c r="AU3770" s="22" t="s">
        <v>3745</v>
      </c>
    </row>
    <row r="3771" spans="1:47">
      <c r="A3771" s="33" t="str">
        <f t="shared" si="1136"/>
        <v>FY 24/25</v>
      </c>
      <c r="B3771" s="23">
        <v>2024</v>
      </c>
      <c r="C3771" s="23">
        <v>11</v>
      </c>
      <c r="D3771" s="33" t="str">
        <f t="shared" si="1147"/>
        <v>Q3</v>
      </c>
      <c r="E3771" s="33" t="str">
        <f t="shared" si="1135"/>
        <v>FY 24/25</v>
      </c>
      <c r="F3771" s="23">
        <v>2024</v>
      </c>
      <c r="G3771" s="23">
        <v>11</v>
      </c>
      <c r="H3771" s="29"/>
      <c r="I3771" s="93" t="str">
        <f t="shared" si="1137"/>
        <v>Q3</v>
      </c>
      <c r="J3771" s="188" t="s">
        <v>3594</v>
      </c>
      <c r="K3771" s="29" t="s">
        <v>791</v>
      </c>
      <c r="L3771" s="24" t="s">
        <v>92</v>
      </c>
      <c r="M3771" s="13" t="s">
        <v>60</v>
      </c>
      <c r="N3771" s="22">
        <v>1</v>
      </c>
      <c r="O3771" s="22"/>
      <c r="P3771" s="33" t="str">
        <f t="shared" si="1146"/>
        <v>MAIN UNIT</v>
      </c>
      <c r="Q3771" s="22" t="s">
        <v>61</v>
      </c>
      <c r="R3771" s="22" t="s">
        <v>62</v>
      </c>
      <c r="S3771" s="22" t="s">
        <v>49</v>
      </c>
      <c r="T3771" s="22" t="s">
        <v>78</v>
      </c>
      <c r="U3771" s="22" t="s">
        <v>78</v>
      </c>
      <c r="V3771" s="22" t="s">
        <v>80</v>
      </c>
      <c r="W3771" s="22" t="s">
        <v>109</v>
      </c>
      <c r="X3771" s="104">
        <v>13500000</v>
      </c>
      <c r="Y3771" s="31" t="str">
        <f t="shared" si="1149"/>
        <v>1</v>
      </c>
      <c r="Z3771" s="230">
        <f t="shared" si="1148"/>
        <v>13500000</v>
      </c>
      <c r="AA3771" s="22">
        <v>5.5599999999999997E-2</v>
      </c>
      <c r="AB3771" s="231">
        <f t="shared" si="1134"/>
        <v>750600</v>
      </c>
      <c r="AC3771" s="25">
        <f t="shared" si="1138"/>
        <v>68304.599999999991</v>
      </c>
      <c r="AD3771" s="169">
        <v>9.0999999999999998E-2</v>
      </c>
      <c r="AE3771" s="26">
        <f t="shared" si="1139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05"/>
        <v>32082250.320460182</v>
      </c>
      <c r="AJ3771" s="27">
        <f t="shared" si="1106"/>
        <v>4323122.9746477893</v>
      </c>
      <c r="AK3771" s="232">
        <f t="shared" si="1140"/>
        <v>0.1347512388147771</v>
      </c>
      <c r="AL3771" s="24"/>
      <c r="AM3771" s="24"/>
      <c r="AN3771" s="24"/>
      <c r="AO3771" s="24"/>
      <c r="AP3771" s="165" t="str">
        <f t="shared" si="1141"/>
        <v>202411</v>
      </c>
      <c r="AQ3771" s="233" t="str">
        <f t="shared" si="1142"/>
        <v>202411JPY</v>
      </c>
      <c r="AR3771" s="234" t="str">
        <f t="shared" si="1143"/>
        <v>YAMAHA_Mounter</v>
      </c>
      <c r="AS3771" s="22">
        <f t="shared" si="1144"/>
        <v>0</v>
      </c>
      <c r="AT3771" s="24" t="str">
        <f t="shared" si="1145"/>
        <v>0-3 months</v>
      </c>
      <c r="AU3771" s="22" t="s">
        <v>3745</v>
      </c>
    </row>
    <row r="3772" spans="1:47">
      <c r="A3772" s="33" t="str">
        <f t="shared" si="1136"/>
        <v>FY 24/25</v>
      </c>
      <c r="B3772" s="23">
        <v>2024</v>
      </c>
      <c r="C3772" s="23">
        <v>11</v>
      </c>
      <c r="D3772" s="33" t="str">
        <f t="shared" si="1147"/>
        <v>Q3</v>
      </c>
      <c r="E3772" s="33" t="str">
        <f t="shared" si="1135"/>
        <v>FY 24/25</v>
      </c>
      <c r="F3772" s="23">
        <v>2024</v>
      </c>
      <c r="G3772" s="23">
        <v>11</v>
      </c>
      <c r="H3772" s="29"/>
      <c r="I3772" s="93" t="str">
        <f t="shared" si="1137"/>
        <v>Q3</v>
      </c>
      <c r="J3772" s="188" t="s">
        <v>3594</v>
      </c>
      <c r="K3772" s="29" t="s">
        <v>791</v>
      </c>
      <c r="L3772" s="24" t="s">
        <v>92</v>
      </c>
      <c r="M3772" s="13" t="s">
        <v>60</v>
      </c>
      <c r="N3772" s="22">
        <v>1</v>
      </c>
      <c r="O3772" s="22"/>
      <c r="P3772" s="33" t="str">
        <f t="shared" si="1146"/>
        <v>MAIN UNIT</v>
      </c>
      <c r="Q3772" s="22" t="s">
        <v>61</v>
      </c>
      <c r="R3772" s="22" t="s">
        <v>62</v>
      </c>
      <c r="S3772" s="22" t="s">
        <v>49</v>
      </c>
      <c r="T3772" s="22" t="s">
        <v>78</v>
      </c>
      <c r="U3772" s="22" t="s">
        <v>78</v>
      </c>
      <c r="V3772" s="22" t="s">
        <v>80</v>
      </c>
      <c r="W3772" s="22" t="s">
        <v>109</v>
      </c>
      <c r="X3772" s="104">
        <v>13500000</v>
      </c>
      <c r="Y3772" s="31" t="str">
        <f t="shared" si="1149"/>
        <v>1</v>
      </c>
      <c r="Z3772" s="230">
        <f t="shared" si="1148"/>
        <v>13500000</v>
      </c>
      <c r="AA3772" s="22">
        <v>5.5599999999999997E-2</v>
      </c>
      <c r="AB3772" s="231">
        <f t="shared" si="1134"/>
        <v>750600</v>
      </c>
      <c r="AC3772" s="25">
        <f t="shared" si="1138"/>
        <v>68304.599999999991</v>
      </c>
      <c r="AD3772" s="169">
        <v>9.0999999999999998E-2</v>
      </c>
      <c r="AE3772" s="26">
        <f t="shared" si="1139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05"/>
        <v>32082250.320460182</v>
      </c>
      <c r="AJ3772" s="27">
        <f t="shared" si="1106"/>
        <v>4323122.9746477893</v>
      </c>
      <c r="AK3772" s="232">
        <f t="shared" si="1140"/>
        <v>0.1347512388147771</v>
      </c>
      <c r="AL3772" s="24"/>
      <c r="AM3772" s="24"/>
      <c r="AN3772" s="24"/>
      <c r="AO3772" s="24"/>
      <c r="AP3772" s="165" t="str">
        <f t="shared" si="1141"/>
        <v>202411</v>
      </c>
      <c r="AQ3772" s="233" t="str">
        <f t="shared" si="1142"/>
        <v>202411JPY</v>
      </c>
      <c r="AR3772" s="234" t="str">
        <f t="shared" si="1143"/>
        <v>YAMAHA_Mounter</v>
      </c>
      <c r="AS3772" s="22">
        <f t="shared" si="1144"/>
        <v>0</v>
      </c>
      <c r="AT3772" s="24" t="str">
        <f t="shared" si="1145"/>
        <v>0-3 months</v>
      </c>
      <c r="AU3772" s="22" t="s">
        <v>3745</v>
      </c>
    </row>
    <row r="3773" spans="1:47">
      <c r="A3773" s="33" t="str">
        <f t="shared" si="1136"/>
        <v>FY 24/25</v>
      </c>
      <c r="B3773" s="23">
        <v>2024</v>
      </c>
      <c r="C3773" s="23">
        <v>11</v>
      </c>
      <c r="D3773" s="33" t="str">
        <f t="shared" si="1147"/>
        <v>Q3</v>
      </c>
      <c r="E3773" s="33" t="str">
        <f t="shared" si="1135"/>
        <v>FY 24/25</v>
      </c>
      <c r="F3773" s="23">
        <v>2024</v>
      </c>
      <c r="G3773" s="23">
        <v>11</v>
      </c>
      <c r="H3773" s="29"/>
      <c r="I3773" s="93" t="str">
        <f t="shared" si="1137"/>
        <v>Q3</v>
      </c>
      <c r="J3773" s="188" t="s">
        <v>3594</v>
      </c>
      <c r="K3773" s="29" t="s">
        <v>791</v>
      </c>
      <c r="L3773" s="24" t="s">
        <v>67</v>
      </c>
      <c r="M3773" s="13" t="s">
        <v>60</v>
      </c>
      <c r="N3773" s="22">
        <v>1</v>
      </c>
      <c r="O3773" s="22"/>
      <c r="P3773" s="33" t="str">
        <f t="shared" si="1146"/>
        <v>MAIN UNIT</v>
      </c>
      <c r="Q3773" s="22" t="s">
        <v>61</v>
      </c>
      <c r="R3773" s="22" t="s">
        <v>62</v>
      </c>
      <c r="S3773" s="22" t="s">
        <v>49</v>
      </c>
      <c r="T3773" s="22" t="s">
        <v>78</v>
      </c>
      <c r="U3773" s="22" t="s">
        <v>78</v>
      </c>
      <c r="V3773" s="22" t="s">
        <v>80</v>
      </c>
      <c r="W3773" s="22" t="s">
        <v>109</v>
      </c>
      <c r="X3773" s="104">
        <v>9500000</v>
      </c>
      <c r="Y3773" s="31" t="str">
        <f t="shared" si="1149"/>
        <v>1</v>
      </c>
      <c r="Z3773" s="230">
        <f t="shared" si="1148"/>
        <v>9500000</v>
      </c>
      <c r="AA3773" s="22">
        <v>5.5599999999999997E-2</v>
      </c>
      <c r="AB3773" s="231">
        <f t="shared" si="1134"/>
        <v>528200</v>
      </c>
      <c r="AC3773" s="25">
        <f t="shared" si="1138"/>
        <v>48066.2</v>
      </c>
      <c r="AD3773" s="169">
        <v>9.0999999999999998E-2</v>
      </c>
      <c r="AE3773" s="26">
        <f t="shared" si="1139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05"/>
        <v>32082250.320460182</v>
      </c>
      <c r="AJ3773" s="27">
        <f t="shared" si="1106"/>
        <v>4323122.9746477893</v>
      </c>
      <c r="AK3773" s="232">
        <f t="shared" si="1140"/>
        <v>0.1347512388147771</v>
      </c>
      <c r="AL3773" s="24"/>
      <c r="AM3773" s="24"/>
      <c r="AN3773" s="24"/>
      <c r="AO3773" s="24"/>
      <c r="AP3773" s="165" t="str">
        <f t="shared" si="1141"/>
        <v>202411</v>
      </c>
      <c r="AQ3773" s="233" t="str">
        <f t="shared" si="1142"/>
        <v>202411JPY</v>
      </c>
      <c r="AR3773" s="234" t="str">
        <f t="shared" si="1143"/>
        <v>YAMAHA_Mounter</v>
      </c>
      <c r="AS3773" s="22">
        <f t="shared" si="1144"/>
        <v>0</v>
      </c>
      <c r="AT3773" s="24" t="str">
        <f t="shared" si="1145"/>
        <v>0-3 months</v>
      </c>
      <c r="AU3773" s="22" t="s">
        <v>3745</v>
      </c>
    </row>
    <row r="3774" spans="1:47">
      <c r="A3774" s="33" t="str">
        <f t="shared" si="1136"/>
        <v>FY 24/25</v>
      </c>
      <c r="B3774" s="23">
        <v>2024</v>
      </c>
      <c r="C3774" s="23">
        <v>11</v>
      </c>
      <c r="D3774" s="33" t="str">
        <f t="shared" si="1147"/>
        <v>Q3</v>
      </c>
      <c r="E3774" s="33" t="str">
        <f t="shared" si="1135"/>
        <v>FY 23/24</v>
      </c>
      <c r="F3774" s="23">
        <v>2024</v>
      </c>
      <c r="G3774" s="23">
        <v>1</v>
      </c>
      <c r="H3774" s="29"/>
      <c r="I3774" s="93" t="str">
        <f t="shared" si="1137"/>
        <v>Q4</v>
      </c>
      <c r="J3774" s="188" t="s">
        <v>3595</v>
      </c>
      <c r="K3774" s="29" t="s">
        <v>256</v>
      </c>
      <c r="L3774" s="24" t="s">
        <v>67</v>
      </c>
      <c r="M3774" s="13" t="s">
        <v>60</v>
      </c>
      <c r="N3774" s="22">
        <v>1</v>
      </c>
      <c r="O3774" s="22"/>
      <c r="P3774" s="33" t="str">
        <f t="shared" si="1146"/>
        <v>MAIN UNIT</v>
      </c>
      <c r="Q3774" s="22" t="s">
        <v>61</v>
      </c>
      <c r="R3774" s="22" t="s">
        <v>62</v>
      </c>
      <c r="S3774" s="22" t="s">
        <v>50</v>
      </c>
      <c r="T3774" s="22" t="s">
        <v>101</v>
      </c>
      <c r="U3774" s="22" t="s">
        <v>70</v>
      </c>
      <c r="V3774" s="22" t="s">
        <v>71</v>
      </c>
      <c r="W3774" s="22" t="s">
        <v>64</v>
      </c>
      <c r="X3774" s="104">
        <v>480000</v>
      </c>
      <c r="Y3774" s="31" t="str">
        <f t="shared" si="1149"/>
        <v>1.13</v>
      </c>
      <c r="Z3774" s="230">
        <f t="shared" si="1148"/>
        <v>480000</v>
      </c>
      <c r="AA3774" s="22">
        <v>1.0920000000000001</v>
      </c>
      <c r="AB3774" s="231">
        <f t="shared" si="1134"/>
        <v>463858.40707964607</v>
      </c>
      <c r="AC3774" s="25">
        <f t="shared" si="1138"/>
        <v>55663.008849557526</v>
      </c>
      <c r="AD3774" s="169">
        <v>0.12</v>
      </c>
      <c r="AE3774" s="26">
        <f t="shared" si="1139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05"/>
        <v>23146578.081415929</v>
      </c>
      <c r="AJ3774" s="27">
        <f t="shared" si="1106"/>
        <v>2745231.3889985834</v>
      </c>
      <c r="AK3774" s="232">
        <f t="shared" si="1140"/>
        <v>0.11860204041143742</v>
      </c>
      <c r="AL3774" s="24"/>
      <c r="AM3774" s="24"/>
      <c r="AN3774" s="24"/>
      <c r="AO3774" s="24"/>
      <c r="AP3774" s="165" t="str">
        <f t="shared" si="1141"/>
        <v>20241</v>
      </c>
      <c r="AQ3774" s="233" t="str">
        <f t="shared" si="1142"/>
        <v>20241RMB</v>
      </c>
      <c r="AR3774" s="234" t="str">
        <f t="shared" si="1143"/>
        <v>YAMAHA_Mounter</v>
      </c>
      <c r="AS3774" s="22" t="str">
        <f t="shared" si="1144"/>
        <v/>
      </c>
      <c r="AT3774" s="24" t="str">
        <f t="shared" si="1145"/>
        <v/>
      </c>
      <c r="AU3774" s="22" t="s">
        <v>3240</v>
      </c>
    </row>
    <row r="3775" spans="1:47">
      <c r="A3775" s="33" t="str">
        <f t="shared" si="1136"/>
        <v>FY 24/25</v>
      </c>
      <c r="B3775" s="23">
        <v>2024</v>
      </c>
      <c r="C3775" s="23">
        <v>11</v>
      </c>
      <c r="D3775" s="33" t="str">
        <f t="shared" si="1147"/>
        <v>Q3</v>
      </c>
      <c r="E3775" s="33" t="str">
        <f t="shared" si="1135"/>
        <v>FY 24/25</v>
      </c>
      <c r="F3775" s="23">
        <v>2024</v>
      </c>
      <c r="G3775" s="23">
        <v>12</v>
      </c>
      <c r="H3775" s="29"/>
      <c r="I3775" s="93" t="str">
        <f t="shared" si="1137"/>
        <v>Q3</v>
      </c>
      <c r="J3775" s="188" t="s">
        <v>3596</v>
      </c>
      <c r="K3775" s="29" t="s">
        <v>1381</v>
      </c>
      <c r="L3775" s="24" t="s">
        <v>67</v>
      </c>
      <c r="M3775" s="13" t="s">
        <v>60</v>
      </c>
      <c r="N3775" s="22">
        <v>1</v>
      </c>
      <c r="O3775" s="22"/>
      <c r="P3775" s="33" t="str">
        <f t="shared" si="1146"/>
        <v>MAIN UNIT</v>
      </c>
      <c r="Q3775" s="22" t="s">
        <v>61</v>
      </c>
      <c r="R3775" s="22" t="s">
        <v>62</v>
      </c>
      <c r="S3775" s="22" t="s">
        <v>50</v>
      </c>
      <c r="T3775" s="22" t="s">
        <v>88</v>
      </c>
      <c r="U3775" s="22" t="s">
        <v>70</v>
      </c>
      <c r="V3775" s="22" t="s">
        <v>94</v>
      </c>
      <c r="W3775" s="22" t="s">
        <v>64</v>
      </c>
      <c r="X3775" s="104">
        <v>410000</v>
      </c>
      <c r="Y3775" s="31" t="str">
        <f t="shared" si="1149"/>
        <v>1.13</v>
      </c>
      <c r="Z3775" s="230">
        <f t="shared" si="1148"/>
        <v>410000</v>
      </c>
      <c r="AA3775" s="22">
        <v>1.0760000000000001</v>
      </c>
      <c r="AB3775" s="231">
        <f t="shared" si="1134"/>
        <v>390407.07964601781</v>
      </c>
      <c r="AC3775" s="25">
        <f t="shared" si="1138"/>
        <v>32442.828318584077</v>
      </c>
      <c r="AD3775" s="169">
        <v>8.3099999999999993E-2</v>
      </c>
      <c r="AE3775" s="26">
        <f t="shared" si="1139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05"/>
        <v>15965524.256637167</v>
      </c>
      <c r="AJ3775" s="27">
        <f t="shared" si="1106"/>
        <v>2480116.5996584073</v>
      </c>
      <c r="AK3775" s="232">
        <f t="shared" si="1140"/>
        <v>0.15534200817911609</v>
      </c>
      <c r="AL3775" s="24"/>
      <c r="AM3775" s="24"/>
      <c r="AN3775" s="24"/>
      <c r="AO3775" s="24"/>
      <c r="AP3775" s="165" t="str">
        <f t="shared" si="1141"/>
        <v>202412</v>
      </c>
      <c r="AQ3775" s="233" t="str">
        <f t="shared" si="1142"/>
        <v>202412RMB</v>
      </c>
      <c r="AR3775" s="234" t="str">
        <f t="shared" si="1143"/>
        <v>YAMAHA_Mounter</v>
      </c>
      <c r="AS3775" s="22">
        <f t="shared" si="1144"/>
        <v>1</v>
      </c>
      <c r="AT3775" s="24" t="str">
        <f t="shared" si="1145"/>
        <v>0-3 months</v>
      </c>
      <c r="AU3775" s="22" t="s">
        <v>3240</v>
      </c>
    </row>
    <row r="3776" spans="1:47">
      <c r="A3776" s="33" t="str">
        <f t="shared" si="1136"/>
        <v>FY 24/25</v>
      </c>
      <c r="B3776" s="23">
        <v>2024</v>
      </c>
      <c r="C3776" s="23">
        <v>11</v>
      </c>
      <c r="D3776" s="33" t="str">
        <f t="shared" si="1147"/>
        <v>Q3</v>
      </c>
      <c r="E3776" s="33" t="str">
        <f t="shared" si="1135"/>
        <v>FY 24/25</v>
      </c>
      <c r="F3776" s="23">
        <v>2024</v>
      </c>
      <c r="G3776" s="23">
        <v>11</v>
      </c>
      <c r="H3776" s="29"/>
      <c r="I3776" s="93" t="str">
        <f t="shared" si="1137"/>
        <v>Q3</v>
      </c>
      <c r="J3776" s="188" t="s">
        <v>3597</v>
      </c>
      <c r="K3776" s="29" t="s">
        <v>3598</v>
      </c>
      <c r="L3776" s="24" t="s">
        <v>92</v>
      </c>
      <c r="M3776" s="13" t="s">
        <v>60</v>
      </c>
      <c r="N3776" s="22">
        <v>1</v>
      </c>
      <c r="O3776" s="22"/>
      <c r="P3776" s="33" t="str">
        <f t="shared" si="1146"/>
        <v>MAIN UNIT</v>
      </c>
      <c r="Q3776" s="22" t="s">
        <v>61</v>
      </c>
      <c r="R3776" s="22" t="s">
        <v>62</v>
      </c>
      <c r="S3776" s="22" t="s">
        <v>49</v>
      </c>
      <c r="T3776" s="22" t="s">
        <v>78</v>
      </c>
      <c r="U3776" s="22" t="s">
        <v>78</v>
      </c>
      <c r="V3776" s="22" t="s">
        <v>80</v>
      </c>
      <c r="W3776" s="22" t="s">
        <v>109</v>
      </c>
      <c r="X3776" s="104">
        <v>12000000</v>
      </c>
      <c r="Y3776" s="31" t="str">
        <f t="shared" si="1149"/>
        <v>1</v>
      </c>
      <c r="Z3776" s="230">
        <f t="shared" si="1148"/>
        <v>12000000</v>
      </c>
      <c r="AA3776" s="22">
        <v>5.1799999999999999E-2</v>
      </c>
      <c r="AB3776" s="231">
        <f t="shared" si="1134"/>
        <v>621600</v>
      </c>
      <c r="AC3776" s="25">
        <f t="shared" si="1138"/>
        <v>63216.72</v>
      </c>
      <c r="AD3776" s="169">
        <v>0.1017</v>
      </c>
      <c r="AE3776" s="26">
        <f t="shared" si="1139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05"/>
        <v>32082250.320460182</v>
      </c>
      <c r="AJ3776" s="27">
        <f t="shared" si="1106"/>
        <v>4323122.9746477893</v>
      </c>
      <c r="AK3776" s="232">
        <f t="shared" si="1140"/>
        <v>0.1347512388147771</v>
      </c>
      <c r="AL3776" s="24"/>
      <c r="AM3776" s="24"/>
      <c r="AN3776" s="24"/>
      <c r="AO3776" s="24"/>
      <c r="AP3776" s="165" t="str">
        <f t="shared" si="1141"/>
        <v>202411</v>
      </c>
      <c r="AQ3776" s="233" t="str">
        <f t="shared" si="1142"/>
        <v>202411JPY</v>
      </c>
      <c r="AR3776" s="234" t="str">
        <f t="shared" si="1143"/>
        <v>YAMAHA_Mounter</v>
      </c>
      <c r="AS3776" s="22">
        <f t="shared" si="1144"/>
        <v>0</v>
      </c>
      <c r="AT3776" s="24" t="str">
        <f t="shared" si="1145"/>
        <v>0-3 months</v>
      </c>
      <c r="AU3776" s="22" t="s">
        <v>3745</v>
      </c>
    </row>
    <row r="3777" spans="1:47" ht="39.6">
      <c r="A3777" s="33" t="str">
        <f t="shared" si="1136"/>
        <v/>
      </c>
      <c r="B3777" s="23"/>
      <c r="C3777" s="23"/>
      <c r="D3777" s="33" t="str">
        <f t="shared" si="1147"/>
        <v/>
      </c>
      <c r="E3777" s="33" t="s">
        <v>3172</v>
      </c>
      <c r="F3777" s="23">
        <v>2024</v>
      </c>
      <c r="G3777" s="23">
        <v>10</v>
      </c>
      <c r="H3777" s="29"/>
      <c r="I3777" s="93" t="str">
        <f t="shared" si="1137"/>
        <v>Q3</v>
      </c>
      <c r="J3777" s="188"/>
      <c r="K3777" s="29"/>
      <c r="L3777" s="24" t="s">
        <v>43</v>
      </c>
      <c r="M3777" s="13" t="s">
        <v>43</v>
      </c>
      <c r="N3777" s="22">
        <v>0</v>
      </c>
      <c r="O3777" s="22"/>
      <c r="P3777" s="33" t="str">
        <f t="shared" si="1146"/>
        <v>C66 SERVICE/OTHERS</v>
      </c>
      <c r="Q3777" s="22" t="s">
        <v>45</v>
      </c>
      <c r="R3777" s="22" t="s">
        <v>45</v>
      </c>
      <c r="S3777" s="22" t="s">
        <v>52</v>
      </c>
      <c r="T3777" s="22"/>
      <c r="U3777" s="22"/>
      <c r="V3777" s="22"/>
      <c r="W3777" s="22"/>
      <c r="X3777" s="104"/>
      <c r="Y3777" s="31" t="str">
        <f t="shared" si="1149"/>
        <v/>
      </c>
      <c r="Z3777" s="230" t="str">
        <f t="shared" si="1148"/>
        <v/>
      </c>
      <c r="AA3777" s="22"/>
      <c r="AB3777" s="231">
        <v>0</v>
      </c>
      <c r="AC3777" s="25">
        <f t="shared" si="1138"/>
        <v>0</v>
      </c>
      <c r="AD3777" s="169">
        <v>0.3</v>
      </c>
      <c r="AE3777" s="26">
        <f t="shared" si="1139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05"/>
        <v>22758096.38940867</v>
      </c>
      <c r="AJ3777" s="27">
        <f t="shared" si="1106"/>
        <v>2469357.2298956565</v>
      </c>
      <c r="AK3777" s="232">
        <f t="shared" si="1140"/>
        <v>0.10850455976822666</v>
      </c>
      <c r="AL3777" s="24"/>
      <c r="AM3777" s="24"/>
      <c r="AN3777" s="24"/>
      <c r="AO3777" s="24"/>
      <c r="AP3777" s="165" t="str">
        <f t="shared" si="1141"/>
        <v>202410</v>
      </c>
      <c r="AQ3777" s="233" t="str">
        <f t="shared" si="1142"/>
        <v/>
      </c>
      <c r="AR3777" s="234" t="str">
        <f t="shared" si="1143"/>
        <v>C66 SERVICE</v>
      </c>
      <c r="AS3777" s="22" t="str">
        <f t="shared" si="1144"/>
        <v/>
      </c>
      <c r="AT3777" s="24" t="str">
        <f t="shared" si="1145"/>
        <v/>
      </c>
      <c r="AU3777" s="22">
        <v>0</v>
      </c>
    </row>
    <row r="3778" spans="1:47" ht="39.6">
      <c r="A3778" s="33" t="str">
        <f t="shared" si="1136"/>
        <v/>
      </c>
      <c r="B3778" s="23"/>
      <c r="C3778" s="23"/>
      <c r="D3778" s="33" t="str">
        <f t="shared" si="1147"/>
        <v/>
      </c>
      <c r="E3778" s="33" t="s">
        <v>3172</v>
      </c>
      <c r="F3778" s="23">
        <v>2024</v>
      </c>
      <c r="G3778" s="23">
        <v>10</v>
      </c>
      <c r="H3778" s="29"/>
      <c r="I3778" s="93" t="str">
        <f t="shared" si="1137"/>
        <v>Q3</v>
      </c>
      <c r="J3778" s="188"/>
      <c r="K3778" s="29"/>
      <c r="L3778" s="24" t="s">
        <v>43</v>
      </c>
      <c r="M3778" s="13" t="s">
        <v>43</v>
      </c>
      <c r="N3778" s="22">
        <v>0</v>
      </c>
      <c r="O3778" s="22"/>
      <c r="P3778" s="33" t="str">
        <f t="shared" si="1146"/>
        <v>C66 SERVICE/OTHERS</v>
      </c>
      <c r="Q3778" s="22" t="s">
        <v>45</v>
      </c>
      <c r="R3778" s="22" t="s">
        <v>45</v>
      </c>
      <c r="S3778" s="22" t="s">
        <v>51</v>
      </c>
      <c r="T3778" s="22"/>
      <c r="U3778" s="22"/>
      <c r="V3778" s="22"/>
      <c r="W3778" s="22"/>
      <c r="X3778" s="104"/>
      <c r="Y3778" s="31" t="str">
        <f t="shared" si="1149"/>
        <v/>
      </c>
      <c r="Z3778" s="230" t="str">
        <f t="shared" si="1148"/>
        <v/>
      </c>
      <c r="AA3778" s="22"/>
      <c r="AB3778" s="231">
        <v>68000</v>
      </c>
      <c r="AC3778" s="25">
        <f t="shared" si="1138"/>
        <v>20400</v>
      </c>
      <c r="AD3778" s="169">
        <v>0.3</v>
      </c>
      <c r="AE3778" s="26">
        <f t="shared" si="1139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0">IF(P3778="C66 SERVICE","",SUMIFS(AB:AB,F:F,F3778,G:G,G3778,E:E,E3778))</f>
        <v>22758096.38940867</v>
      </c>
      <c r="AJ3778" s="27">
        <f t="shared" ref="AJ3778:AJ3841" si="1151">IF(P3778="C66 SERVICE","",SUMIFS(AC:AC,F:F,F3778,G:G,G3778,E:E,E3778))</f>
        <v>2469357.2298956565</v>
      </c>
      <c r="AK3778" s="232">
        <f t="shared" si="1140"/>
        <v>0.10850455976822666</v>
      </c>
      <c r="AL3778" s="24"/>
      <c r="AM3778" s="24"/>
      <c r="AN3778" s="24"/>
      <c r="AO3778" s="24"/>
      <c r="AP3778" s="165" t="str">
        <f t="shared" si="1141"/>
        <v>202410</v>
      </c>
      <c r="AQ3778" s="233" t="str">
        <f t="shared" si="1142"/>
        <v/>
      </c>
      <c r="AR3778" s="234" t="str">
        <f t="shared" si="1143"/>
        <v>C66 SERVICE</v>
      </c>
      <c r="AS3778" s="22" t="str">
        <f t="shared" si="1144"/>
        <v/>
      </c>
      <c r="AT3778" s="24" t="str">
        <f t="shared" si="1145"/>
        <v/>
      </c>
      <c r="AU3778" s="22">
        <v>0</v>
      </c>
    </row>
    <row r="3779" spans="1:47" ht="39.6">
      <c r="A3779" s="33" t="str">
        <f t="shared" si="1136"/>
        <v/>
      </c>
      <c r="B3779" s="23"/>
      <c r="C3779" s="23"/>
      <c r="D3779" s="33" t="str">
        <f t="shared" si="1147"/>
        <v/>
      </c>
      <c r="E3779" s="33" t="s">
        <v>3172</v>
      </c>
      <c r="F3779" s="23">
        <v>2024</v>
      </c>
      <c r="G3779" s="23">
        <v>10</v>
      </c>
      <c r="H3779" s="29"/>
      <c r="I3779" s="93" t="str">
        <f t="shared" si="1137"/>
        <v>Q3</v>
      </c>
      <c r="J3779" s="188"/>
      <c r="K3779" s="29"/>
      <c r="L3779" s="24" t="s">
        <v>43</v>
      </c>
      <c r="M3779" s="13" t="s">
        <v>43</v>
      </c>
      <c r="N3779" s="22">
        <v>0</v>
      </c>
      <c r="O3779" s="22"/>
      <c r="P3779" s="33" t="str">
        <f t="shared" si="1146"/>
        <v>C66 SERVICE/OTHERS</v>
      </c>
      <c r="Q3779" s="22" t="s">
        <v>45</v>
      </c>
      <c r="R3779" s="22" t="s">
        <v>45</v>
      </c>
      <c r="S3779" s="22" t="s">
        <v>50</v>
      </c>
      <c r="T3779" s="22"/>
      <c r="U3779" s="22"/>
      <c r="V3779" s="22"/>
      <c r="W3779" s="22"/>
      <c r="X3779" s="104"/>
      <c r="Y3779" s="31" t="str">
        <f t="shared" si="1149"/>
        <v/>
      </c>
      <c r="Z3779" s="230" t="str">
        <f t="shared" si="1148"/>
        <v/>
      </c>
      <c r="AA3779" s="22"/>
      <c r="AB3779" s="231">
        <v>331000</v>
      </c>
      <c r="AC3779" s="25">
        <f t="shared" si="1138"/>
        <v>99300</v>
      </c>
      <c r="AD3779" s="169">
        <v>0.3</v>
      </c>
      <c r="AE3779" s="26">
        <f t="shared" si="1139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0"/>
        <v>22758096.38940867</v>
      </c>
      <c r="AJ3779" s="27">
        <f t="shared" si="1151"/>
        <v>2469357.2298956565</v>
      </c>
      <c r="AK3779" s="232">
        <f t="shared" si="1140"/>
        <v>0.10850455976822666</v>
      </c>
      <c r="AL3779" s="24"/>
      <c r="AM3779" s="24"/>
      <c r="AN3779" s="24"/>
      <c r="AO3779" s="24"/>
      <c r="AP3779" s="165" t="str">
        <f t="shared" si="1141"/>
        <v>202410</v>
      </c>
      <c r="AQ3779" s="233" t="str">
        <f t="shared" si="1142"/>
        <v/>
      </c>
      <c r="AR3779" s="234" t="str">
        <f t="shared" si="1143"/>
        <v>C66 SERVICE</v>
      </c>
      <c r="AS3779" s="22" t="str">
        <f t="shared" si="1144"/>
        <v/>
      </c>
      <c r="AT3779" s="24" t="str">
        <f t="shared" si="1145"/>
        <v/>
      </c>
      <c r="AU3779" s="22">
        <v>0</v>
      </c>
    </row>
    <row r="3780" spans="1:47" ht="39.6">
      <c r="A3780" s="33" t="str">
        <f t="shared" si="1136"/>
        <v/>
      </c>
      <c r="B3780" s="23"/>
      <c r="C3780" s="23"/>
      <c r="D3780" s="33" t="str">
        <f t="shared" si="1147"/>
        <v/>
      </c>
      <c r="E3780" s="33" t="s">
        <v>3172</v>
      </c>
      <c r="F3780" s="23">
        <v>2024</v>
      </c>
      <c r="G3780" s="23">
        <v>10</v>
      </c>
      <c r="H3780" s="29"/>
      <c r="I3780" s="93" t="str">
        <f t="shared" si="1137"/>
        <v>Q3</v>
      </c>
      <c r="J3780" s="188"/>
      <c r="K3780" s="29"/>
      <c r="L3780" s="24" t="s">
        <v>43</v>
      </c>
      <c r="M3780" s="13" t="s">
        <v>43</v>
      </c>
      <c r="N3780" s="22">
        <v>0</v>
      </c>
      <c r="O3780" s="22"/>
      <c r="P3780" s="33" t="str">
        <f t="shared" si="1146"/>
        <v>C66 SERVICE/OTHERS</v>
      </c>
      <c r="Q3780" s="22" t="s">
        <v>45</v>
      </c>
      <c r="R3780" s="22" t="s">
        <v>45</v>
      </c>
      <c r="S3780" s="22" t="s">
        <v>49</v>
      </c>
      <c r="T3780" s="22"/>
      <c r="U3780" s="22"/>
      <c r="V3780" s="22"/>
      <c r="W3780" s="22"/>
      <c r="X3780" s="104"/>
      <c r="Y3780" s="31" t="str">
        <f t="shared" si="1149"/>
        <v/>
      </c>
      <c r="Z3780" s="230" t="str">
        <f t="shared" si="1148"/>
        <v/>
      </c>
      <c r="AA3780" s="22"/>
      <c r="AB3780" s="231">
        <v>471000</v>
      </c>
      <c r="AC3780" s="25">
        <f t="shared" si="1138"/>
        <v>141300</v>
      </c>
      <c r="AD3780" s="169">
        <v>0.3</v>
      </c>
      <c r="AE3780" s="26">
        <f t="shared" si="1139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0"/>
        <v>22758096.38940867</v>
      </c>
      <c r="AJ3780" s="27">
        <f t="shared" si="1151"/>
        <v>2469357.2298956565</v>
      </c>
      <c r="AK3780" s="232">
        <f t="shared" si="1140"/>
        <v>0.10850455976822666</v>
      </c>
      <c r="AL3780" s="24"/>
      <c r="AM3780" s="24"/>
      <c r="AN3780" s="24"/>
      <c r="AO3780" s="24"/>
      <c r="AP3780" s="165" t="str">
        <f t="shared" si="1141"/>
        <v>202410</v>
      </c>
      <c r="AQ3780" s="233" t="str">
        <f t="shared" si="1142"/>
        <v/>
      </c>
      <c r="AR3780" s="234" t="str">
        <f t="shared" si="1143"/>
        <v>C66 SERVICE</v>
      </c>
      <c r="AS3780" s="22" t="str">
        <f t="shared" si="1144"/>
        <v/>
      </c>
      <c r="AT3780" s="24" t="str">
        <f t="shared" si="1145"/>
        <v/>
      </c>
      <c r="AU3780" s="22">
        <v>0</v>
      </c>
    </row>
    <row r="3781" spans="1:47">
      <c r="A3781" s="33" t="str">
        <f t="shared" si="1136"/>
        <v>FY 24/25</v>
      </c>
      <c r="B3781" s="23">
        <v>2024</v>
      </c>
      <c r="C3781" s="23">
        <v>11</v>
      </c>
      <c r="D3781" s="33" t="str">
        <f t="shared" si="1147"/>
        <v>Q3</v>
      </c>
      <c r="E3781" s="33" t="str">
        <f t="shared" si="1135"/>
        <v>FY 24/25</v>
      </c>
      <c r="F3781" s="23">
        <v>2024</v>
      </c>
      <c r="G3781" s="23">
        <v>11</v>
      </c>
      <c r="H3781" s="29"/>
      <c r="I3781" s="93" t="str">
        <f t="shared" si="1137"/>
        <v>Q3</v>
      </c>
      <c r="J3781" s="188" t="s">
        <v>3599</v>
      </c>
      <c r="K3781" s="29" t="s">
        <v>1869</v>
      </c>
      <c r="L3781" s="24" t="s">
        <v>92</v>
      </c>
      <c r="M3781" s="13" t="s">
        <v>60</v>
      </c>
      <c r="N3781" s="22">
        <v>1</v>
      </c>
      <c r="O3781" s="22"/>
      <c r="P3781" s="33" t="str">
        <f t="shared" si="1146"/>
        <v>MAIN UNIT</v>
      </c>
      <c r="Q3781" s="22" t="s">
        <v>61</v>
      </c>
      <c r="R3781" s="22" t="s">
        <v>62</v>
      </c>
      <c r="S3781" s="22" t="s">
        <v>49</v>
      </c>
      <c r="T3781" s="22" t="s">
        <v>78</v>
      </c>
      <c r="U3781" s="22" t="s">
        <v>444</v>
      </c>
      <c r="V3781" s="22" t="s">
        <v>126</v>
      </c>
      <c r="W3781" s="22" t="s">
        <v>109</v>
      </c>
      <c r="X3781" s="104">
        <v>13250000</v>
      </c>
      <c r="Y3781" s="31" t="str">
        <f t="shared" si="1149"/>
        <v>1</v>
      </c>
      <c r="Z3781" s="230">
        <f t="shared" si="1148"/>
        <v>13250000</v>
      </c>
      <c r="AA3781" s="22">
        <v>5.1799999999999999E-2</v>
      </c>
      <c r="AB3781" s="231">
        <f t="shared" si="1134"/>
        <v>686350</v>
      </c>
      <c r="AC3781" s="25">
        <f t="shared" si="1138"/>
        <v>75429.865000000005</v>
      </c>
      <c r="AD3781" s="169">
        <v>0.1099</v>
      </c>
      <c r="AE3781" s="26">
        <f t="shared" si="1139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0"/>
        <v>32082250.320460182</v>
      </c>
      <c r="AJ3781" s="27">
        <f t="shared" si="1151"/>
        <v>4323122.9746477893</v>
      </c>
      <c r="AK3781" s="232">
        <f t="shared" si="1140"/>
        <v>0.1347512388147771</v>
      </c>
      <c r="AL3781" s="24"/>
      <c r="AM3781" s="24"/>
      <c r="AN3781" s="24"/>
      <c r="AO3781" s="24"/>
      <c r="AP3781" s="165" t="str">
        <f t="shared" si="1141"/>
        <v>202411</v>
      </c>
      <c r="AQ3781" s="233" t="str">
        <f t="shared" si="1142"/>
        <v>202411JPY</v>
      </c>
      <c r="AR3781" s="234" t="str">
        <f t="shared" si="1143"/>
        <v>YAMAHA_Mounter</v>
      </c>
      <c r="AS3781" s="22">
        <f t="shared" si="1144"/>
        <v>0</v>
      </c>
      <c r="AT3781" s="24" t="str">
        <f t="shared" si="1145"/>
        <v>0-3 months</v>
      </c>
      <c r="AU3781" s="22" t="s">
        <v>3745</v>
      </c>
    </row>
    <row r="3782" spans="1:47">
      <c r="A3782" s="33" t="str">
        <f t="shared" si="1136"/>
        <v>FY 24/25</v>
      </c>
      <c r="B3782" s="23">
        <v>2024</v>
      </c>
      <c r="C3782" s="23">
        <v>11</v>
      </c>
      <c r="D3782" s="33" t="str">
        <f t="shared" si="1147"/>
        <v>Q3</v>
      </c>
      <c r="E3782" s="33" t="str">
        <f t="shared" si="1135"/>
        <v>FY 24/25</v>
      </c>
      <c r="F3782" s="23">
        <v>2024</v>
      </c>
      <c r="G3782" s="23">
        <v>11</v>
      </c>
      <c r="H3782" s="29"/>
      <c r="I3782" s="93" t="str">
        <f t="shared" si="1137"/>
        <v>Q3</v>
      </c>
      <c r="J3782" s="188" t="s">
        <v>3599</v>
      </c>
      <c r="K3782" s="29" t="s">
        <v>1869</v>
      </c>
      <c r="L3782" s="24" t="s">
        <v>92</v>
      </c>
      <c r="M3782" s="13" t="s">
        <v>60</v>
      </c>
      <c r="N3782" s="22">
        <v>1</v>
      </c>
      <c r="O3782" s="22"/>
      <c r="P3782" s="33" t="str">
        <f t="shared" si="1146"/>
        <v>MAIN UNIT</v>
      </c>
      <c r="Q3782" s="22" t="s">
        <v>61</v>
      </c>
      <c r="R3782" s="22" t="s">
        <v>62</v>
      </c>
      <c r="S3782" s="22" t="s">
        <v>49</v>
      </c>
      <c r="T3782" s="22" t="s">
        <v>78</v>
      </c>
      <c r="U3782" s="22" t="s">
        <v>444</v>
      </c>
      <c r="V3782" s="22" t="s">
        <v>126</v>
      </c>
      <c r="W3782" s="22" t="s">
        <v>109</v>
      </c>
      <c r="X3782" s="104">
        <v>13250000</v>
      </c>
      <c r="Y3782" s="31" t="str">
        <f t="shared" si="1149"/>
        <v>1</v>
      </c>
      <c r="Z3782" s="230">
        <f t="shared" si="1148"/>
        <v>13250000</v>
      </c>
      <c r="AA3782" s="22">
        <v>5.1799999999999999E-2</v>
      </c>
      <c r="AB3782" s="231">
        <f t="shared" si="1134"/>
        <v>686350</v>
      </c>
      <c r="AC3782" s="25">
        <f t="shared" si="1138"/>
        <v>75429.865000000005</v>
      </c>
      <c r="AD3782" s="169">
        <v>0.1099</v>
      </c>
      <c r="AE3782" s="26">
        <f t="shared" si="1139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0"/>
        <v>32082250.320460182</v>
      </c>
      <c r="AJ3782" s="27">
        <f t="shared" si="1151"/>
        <v>4323122.9746477893</v>
      </c>
      <c r="AK3782" s="232">
        <f t="shared" si="1140"/>
        <v>0.1347512388147771</v>
      </c>
      <c r="AL3782" s="24"/>
      <c r="AM3782" s="24"/>
      <c r="AN3782" s="24"/>
      <c r="AO3782" s="24"/>
      <c r="AP3782" s="165" t="str">
        <f t="shared" si="1141"/>
        <v>202411</v>
      </c>
      <c r="AQ3782" s="233" t="str">
        <f t="shared" si="1142"/>
        <v>202411JPY</v>
      </c>
      <c r="AR3782" s="234" t="str">
        <f t="shared" si="1143"/>
        <v>YAMAHA_Mounter</v>
      </c>
      <c r="AS3782" s="22">
        <f t="shared" si="1144"/>
        <v>0</v>
      </c>
      <c r="AT3782" s="24" t="str">
        <f t="shared" si="1145"/>
        <v>0-3 months</v>
      </c>
      <c r="AU3782" s="22" t="s">
        <v>3745</v>
      </c>
    </row>
    <row r="3783" spans="1:47">
      <c r="A3783" s="33" t="str">
        <f t="shared" si="1136"/>
        <v>FY 24/25</v>
      </c>
      <c r="B3783" s="23">
        <v>2024</v>
      </c>
      <c r="C3783" s="23">
        <v>11</v>
      </c>
      <c r="D3783" s="33" t="str">
        <f t="shared" si="1147"/>
        <v>Q3</v>
      </c>
      <c r="E3783" s="33" t="str">
        <f t="shared" si="1135"/>
        <v>FY 24/25</v>
      </c>
      <c r="F3783" s="23">
        <v>2024</v>
      </c>
      <c r="G3783" s="23">
        <v>11</v>
      </c>
      <c r="H3783" s="29"/>
      <c r="I3783" s="93" t="str">
        <f t="shared" si="1137"/>
        <v>Q3</v>
      </c>
      <c r="J3783" s="188" t="s">
        <v>3599</v>
      </c>
      <c r="K3783" s="29" t="s">
        <v>1869</v>
      </c>
      <c r="L3783" s="24" t="s">
        <v>92</v>
      </c>
      <c r="M3783" s="13" t="s">
        <v>60</v>
      </c>
      <c r="N3783" s="22">
        <v>1</v>
      </c>
      <c r="O3783" s="22"/>
      <c r="P3783" s="33" t="str">
        <f t="shared" si="1146"/>
        <v>MAIN UNIT</v>
      </c>
      <c r="Q3783" s="22" t="s">
        <v>61</v>
      </c>
      <c r="R3783" s="22" t="s">
        <v>62</v>
      </c>
      <c r="S3783" s="22" t="s">
        <v>49</v>
      </c>
      <c r="T3783" s="22" t="s">
        <v>78</v>
      </c>
      <c r="U3783" s="22" t="s">
        <v>444</v>
      </c>
      <c r="V3783" s="22" t="s">
        <v>126</v>
      </c>
      <c r="W3783" s="22" t="s">
        <v>109</v>
      </c>
      <c r="X3783" s="104">
        <v>13250000</v>
      </c>
      <c r="Y3783" s="31" t="str">
        <f t="shared" si="1149"/>
        <v>1</v>
      </c>
      <c r="Z3783" s="230">
        <f t="shared" si="1148"/>
        <v>13250000</v>
      </c>
      <c r="AA3783" s="22">
        <v>5.1799999999999999E-2</v>
      </c>
      <c r="AB3783" s="231">
        <f t="shared" si="1134"/>
        <v>686350</v>
      </c>
      <c r="AC3783" s="25">
        <f t="shared" si="1138"/>
        <v>75429.865000000005</v>
      </c>
      <c r="AD3783" s="169">
        <v>0.1099</v>
      </c>
      <c r="AE3783" s="26">
        <f t="shared" si="1139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0"/>
        <v>32082250.320460182</v>
      </c>
      <c r="AJ3783" s="27">
        <f t="shared" si="1151"/>
        <v>4323122.9746477893</v>
      </c>
      <c r="AK3783" s="232">
        <f t="shared" si="1140"/>
        <v>0.1347512388147771</v>
      </c>
      <c r="AL3783" s="24"/>
      <c r="AM3783" s="24"/>
      <c r="AN3783" s="24"/>
      <c r="AO3783" s="24"/>
      <c r="AP3783" s="165" t="str">
        <f t="shared" si="1141"/>
        <v>202411</v>
      </c>
      <c r="AQ3783" s="233" t="str">
        <f t="shared" si="1142"/>
        <v>202411JPY</v>
      </c>
      <c r="AR3783" s="234" t="str">
        <f t="shared" si="1143"/>
        <v>YAMAHA_Mounter</v>
      </c>
      <c r="AS3783" s="22">
        <f t="shared" si="1144"/>
        <v>0</v>
      </c>
      <c r="AT3783" s="24" t="str">
        <f t="shared" si="1145"/>
        <v>0-3 months</v>
      </c>
      <c r="AU3783" s="22" t="s">
        <v>3745</v>
      </c>
    </row>
    <row r="3784" spans="1:47">
      <c r="A3784" s="33" t="str">
        <f t="shared" si="1136"/>
        <v>FY 24/25</v>
      </c>
      <c r="B3784" s="23">
        <v>2024</v>
      </c>
      <c r="C3784" s="23">
        <v>11</v>
      </c>
      <c r="D3784" s="33" t="str">
        <f t="shared" si="1147"/>
        <v>Q3</v>
      </c>
      <c r="E3784" s="33" t="str">
        <f t="shared" si="1135"/>
        <v>FY 24/25</v>
      </c>
      <c r="F3784" s="23">
        <v>2024</v>
      </c>
      <c r="G3784" s="23">
        <v>11</v>
      </c>
      <c r="H3784" s="29"/>
      <c r="I3784" s="93" t="str">
        <f t="shared" si="1137"/>
        <v>Q3</v>
      </c>
      <c r="J3784" s="188" t="s">
        <v>3599</v>
      </c>
      <c r="K3784" s="29" t="s">
        <v>1869</v>
      </c>
      <c r="L3784" s="24" t="s">
        <v>92</v>
      </c>
      <c r="M3784" s="13" t="s">
        <v>60</v>
      </c>
      <c r="N3784" s="22">
        <v>1</v>
      </c>
      <c r="O3784" s="22"/>
      <c r="P3784" s="33" t="str">
        <f t="shared" si="1146"/>
        <v>MAIN UNIT</v>
      </c>
      <c r="Q3784" s="22" t="s">
        <v>61</v>
      </c>
      <c r="R3784" s="22" t="s">
        <v>62</v>
      </c>
      <c r="S3784" s="22" t="s">
        <v>49</v>
      </c>
      <c r="T3784" s="22" t="s">
        <v>78</v>
      </c>
      <c r="U3784" s="22" t="s">
        <v>444</v>
      </c>
      <c r="V3784" s="22" t="s">
        <v>126</v>
      </c>
      <c r="W3784" s="22" t="s">
        <v>109</v>
      </c>
      <c r="X3784" s="104">
        <v>13250000</v>
      </c>
      <c r="Y3784" s="31" t="str">
        <f t="shared" si="1149"/>
        <v>1</v>
      </c>
      <c r="Z3784" s="230">
        <f t="shared" si="1148"/>
        <v>13250000</v>
      </c>
      <c r="AA3784" s="22">
        <v>5.1799999999999999E-2</v>
      </c>
      <c r="AB3784" s="231">
        <f t="shared" si="1134"/>
        <v>686350</v>
      </c>
      <c r="AC3784" s="25">
        <f t="shared" si="1138"/>
        <v>75429.865000000005</v>
      </c>
      <c r="AD3784" s="169">
        <v>0.1099</v>
      </c>
      <c r="AE3784" s="26">
        <f t="shared" si="1139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0"/>
        <v>32082250.320460182</v>
      </c>
      <c r="AJ3784" s="27">
        <f t="shared" si="1151"/>
        <v>4323122.9746477893</v>
      </c>
      <c r="AK3784" s="232">
        <f t="shared" si="1140"/>
        <v>0.1347512388147771</v>
      </c>
      <c r="AL3784" s="24"/>
      <c r="AM3784" s="24"/>
      <c r="AN3784" s="24"/>
      <c r="AO3784" s="24"/>
      <c r="AP3784" s="165" t="str">
        <f t="shared" si="1141"/>
        <v>202411</v>
      </c>
      <c r="AQ3784" s="233" t="str">
        <f t="shared" si="1142"/>
        <v>202411JPY</v>
      </c>
      <c r="AR3784" s="234" t="str">
        <f t="shared" si="1143"/>
        <v>YAMAHA_Mounter</v>
      </c>
      <c r="AS3784" s="22">
        <f t="shared" si="1144"/>
        <v>0</v>
      </c>
      <c r="AT3784" s="24" t="str">
        <f t="shared" si="1145"/>
        <v>0-3 months</v>
      </c>
      <c r="AU3784" s="22" t="s">
        <v>3745</v>
      </c>
    </row>
    <row r="3785" spans="1:47">
      <c r="A3785" s="33" t="str">
        <f t="shared" si="1136"/>
        <v>FY 24/25</v>
      </c>
      <c r="B3785" s="23">
        <v>2024</v>
      </c>
      <c r="C3785" s="23">
        <v>11</v>
      </c>
      <c r="D3785" s="33" t="str">
        <f t="shared" si="1147"/>
        <v>Q3</v>
      </c>
      <c r="E3785" s="33" t="str">
        <f t="shared" si="1135"/>
        <v>FY 24/25</v>
      </c>
      <c r="F3785" s="23">
        <v>2024</v>
      </c>
      <c r="G3785" s="23">
        <v>11</v>
      </c>
      <c r="H3785" s="29"/>
      <c r="I3785" s="93" t="str">
        <f t="shared" si="1137"/>
        <v>Q3</v>
      </c>
      <c r="J3785" s="188" t="s">
        <v>3600</v>
      </c>
      <c r="K3785" s="29" t="s">
        <v>3316</v>
      </c>
      <c r="L3785" s="24" t="s">
        <v>92</v>
      </c>
      <c r="M3785" s="13" t="s">
        <v>60</v>
      </c>
      <c r="N3785" s="22">
        <v>1</v>
      </c>
      <c r="O3785" s="22"/>
      <c r="P3785" s="33" t="str">
        <f t="shared" si="1146"/>
        <v>MAIN UNIT</v>
      </c>
      <c r="Q3785" s="22" t="s">
        <v>61</v>
      </c>
      <c r="R3785" s="22" t="s">
        <v>62</v>
      </c>
      <c r="S3785" s="22" t="s">
        <v>49</v>
      </c>
      <c r="T3785" s="22" t="s">
        <v>78</v>
      </c>
      <c r="U3785" s="22" t="s">
        <v>78</v>
      </c>
      <c r="V3785" s="22" t="s">
        <v>3095</v>
      </c>
      <c r="W3785" s="22" t="s">
        <v>109</v>
      </c>
      <c r="X3785" s="104">
        <v>12250000</v>
      </c>
      <c r="Y3785" s="31" t="str">
        <f t="shared" si="1149"/>
        <v>1</v>
      </c>
      <c r="Z3785" s="230">
        <f t="shared" si="1148"/>
        <v>12250000</v>
      </c>
      <c r="AA3785" s="22">
        <v>5.1799999999999999E-2</v>
      </c>
      <c r="AB3785" s="231">
        <f t="shared" si="1134"/>
        <v>634550</v>
      </c>
      <c r="AC3785" s="25">
        <f t="shared" si="1138"/>
        <v>76844.005000000005</v>
      </c>
      <c r="AD3785" s="169">
        <v>0.1211</v>
      </c>
      <c r="AE3785" s="26">
        <f t="shared" si="1139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0"/>
        <v>32082250.320460182</v>
      </c>
      <c r="AJ3785" s="27">
        <f t="shared" si="1151"/>
        <v>4323122.9746477893</v>
      </c>
      <c r="AK3785" s="232">
        <f t="shared" si="1140"/>
        <v>0.1347512388147771</v>
      </c>
      <c r="AL3785" s="24"/>
      <c r="AM3785" s="24"/>
      <c r="AN3785" s="24"/>
      <c r="AO3785" s="24"/>
      <c r="AP3785" s="165" t="str">
        <f t="shared" si="1141"/>
        <v>202411</v>
      </c>
      <c r="AQ3785" s="233" t="str">
        <f t="shared" si="1142"/>
        <v>202411JPY</v>
      </c>
      <c r="AR3785" s="234" t="str">
        <f t="shared" si="1143"/>
        <v>YAMAHA_Mounter</v>
      </c>
      <c r="AS3785" s="22">
        <f t="shared" si="1144"/>
        <v>0</v>
      </c>
      <c r="AT3785" s="24" t="str">
        <f t="shared" si="1145"/>
        <v>0-3 months</v>
      </c>
      <c r="AU3785" s="22" t="s">
        <v>3745</v>
      </c>
    </row>
    <row r="3786" spans="1:47">
      <c r="A3786" s="33" t="str">
        <f t="shared" si="1136"/>
        <v>FY 24/25</v>
      </c>
      <c r="B3786" s="23">
        <v>2024</v>
      </c>
      <c r="C3786" s="23">
        <v>11</v>
      </c>
      <c r="D3786" s="33" t="str">
        <f t="shared" si="1147"/>
        <v>Q3</v>
      </c>
      <c r="E3786" s="33" t="str">
        <f t="shared" si="1135"/>
        <v>FY 24/25</v>
      </c>
      <c r="F3786" s="23">
        <v>2025</v>
      </c>
      <c r="G3786" s="23">
        <v>3</v>
      </c>
      <c r="H3786" s="29"/>
      <c r="I3786" s="93" t="str">
        <f t="shared" si="1137"/>
        <v>Q4</v>
      </c>
      <c r="J3786" s="188" t="s">
        <v>3601</v>
      </c>
      <c r="K3786" s="29" t="s">
        <v>3602</v>
      </c>
      <c r="L3786" s="24" t="s">
        <v>92</v>
      </c>
      <c r="M3786" s="13" t="s">
        <v>60</v>
      </c>
      <c r="N3786" s="22">
        <v>1</v>
      </c>
      <c r="O3786" s="22"/>
      <c r="P3786" s="33" t="str">
        <f t="shared" si="1146"/>
        <v>MAIN UNIT</v>
      </c>
      <c r="Q3786" s="22" t="s">
        <v>68</v>
      </c>
      <c r="R3786" s="22" t="s">
        <v>62</v>
      </c>
      <c r="S3786" s="22" t="s">
        <v>49</v>
      </c>
      <c r="T3786" s="22" t="s">
        <v>78</v>
      </c>
      <c r="U3786" s="22" t="s">
        <v>78</v>
      </c>
      <c r="V3786" s="22" t="s">
        <v>3603</v>
      </c>
      <c r="W3786" s="22" t="s">
        <v>109</v>
      </c>
      <c r="X3786" s="104">
        <v>16200000</v>
      </c>
      <c r="Y3786" s="31" t="str">
        <f t="shared" si="1149"/>
        <v>1</v>
      </c>
      <c r="Z3786" s="230">
        <f t="shared" si="1148"/>
        <v>16200000</v>
      </c>
      <c r="AA3786" s="22">
        <v>5.2999999999999999E-2</v>
      </c>
      <c r="AB3786" s="231">
        <f t="shared" si="1134"/>
        <v>858600</v>
      </c>
      <c r="AC3786" s="25">
        <f t="shared" si="1138"/>
        <v>103032</v>
      </c>
      <c r="AD3786" s="169">
        <v>0.12</v>
      </c>
      <c r="AE3786" s="26">
        <f t="shared" si="1139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0"/>
        <v>17732428.654867258</v>
      </c>
      <c r="AJ3786" s="27">
        <f t="shared" si="1151"/>
        <v>2127891.4385840711</v>
      </c>
      <c r="AK3786" s="232">
        <f t="shared" si="1140"/>
        <v>0.12000000000000001</v>
      </c>
      <c r="AL3786" s="24"/>
      <c r="AM3786" s="24"/>
      <c r="AN3786" s="24"/>
      <c r="AO3786" s="24"/>
      <c r="AP3786" s="165" t="str">
        <f t="shared" si="1141"/>
        <v>20253</v>
      </c>
      <c r="AQ3786" s="233" t="str">
        <f t="shared" si="1142"/>
        <v>20253JPY</v>
      </c>
      <c r="AR3786" s="234" t="str">
        <f t="shared" si="1143"/>
        <v>YAMAHA_Mounter</v>
      </c>
      <c r="AS3786" s="22">
        <f t="shared" si="1144"/>
        <v>4</v>
      </c>
      <c r="AT3786" s="24" t="str">
        <f t="shared" si="1145"/>
        <v>4-6 months</v>
      </c>
      <c r="AU3786" s="22" t="s">
        <v>3745</v>
      </c>
    </row>
    <row r="3787" spans="1:47">
      <c r="A3787" s="33" t="str">
        <f t="shared" si="1136"/>
        <v>FY 24/25</v>
      </c>
      <c r="B3787" s="23">
        <v>2024</v>
      </c>
      <c r="C3787" s="23">
        <v>11</v>
      </c>
      <c r="D3787" s="33" t="str">
        <f t="shared" si="1147"/>
        <v>Q3</v>
      </c>
      <c r="E3787" s="33" t="str">
        <f t="shared" si="1135"/>
        <v>FY 24/25</v>
      </c>
      <c r="F3787" s="23">
        <v>2025</v>
      </c>
      <c r="G3787" s="23">
        <v>3</v>
      </c>
      <c r="H3787" s="29"/>
      <c r="I3787" s="93" t="str">
        <f t="shared" si="1137"/>
        <v>Q4</v>
      </c>
      <c r="J3787" s="188" t="s">
        <v>3601</v>
      </c>
      <c r="K3787" s="29" t="s">
        <v>3602</v>
      </c>
      <c r="L3787" s="24" t="s">
        <v>67</v>
      </c>
      <c r="M3787" s="13" t="s">
        <v>60</v>
      </c>
      <c r="N3787" s="22">
        <v>1</v>
      </c>
      <c r="O3787" s="22"/>
      <c r="P3787" s="33" t="str">
        <f t="shared" si="1146"/>
        <v>MAIN UNIT</v>
      </c>
      <c r="Q3787" s="22" t="s">
        <v>68</v>
      </c>
      <c r="R3787" s="22" t="s">
        <v>62</v>
      </c>
      <c r="S3787" s="22" t="s">
        <v>49</v>
      </c>
      <c r="T3787" s="22" t="s">
        <v>78</v>
      </c>
      <c r="U3787" s="22" t="s">
        <v>78</v>
      </c>
      <c r="V3787" s="22" t="s">
        <v>3603</v>
      </c>
      <c r="W3787" s="22" t="s">
        <v>109</v>
      </c>
      <c r="X3787" s="104">
        <v>8000000</v>
      </c>
      <c r="Y3787" s="31" t="str">
        <f t="shared" si="1149"/>
        <v>1</v>
      </c>
      <c r="Z3787" s="230">
        <f t="shared" si="1148"/>
        <v>8000000</v>
      </c>
      <c r="AA3787" s="22">
        <v>5.2999999999999999E-2</v>
      </c>
      <c r="AB3787" s="231">
        <f t="shared" si="1134"/>
        <v>424000</v>
      </c>
      <c r="AC3787" s="25">
        <f t="shared" si="1138"/>
        <v>50880</v>
      </c>
      <c r="AD3787" s="169">
        <v>0.12</v>
      </c>
      <c r="AE3787" s="26">
        <f t="shared" si="1139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0"/>
        <v>17732428.654867258</v>
      </c>
      <c r="AJ3787" s="27">
        <f t="shared" si="1151"/>
        <v>2127891.4385840711</v>
      </c>
      <c r="AK3787" s="232">
        <f t="shared" si="1140"/>
        <v>0.12000000000000001</v>
      </c>
      <c r="AL3787" s="24"/>
      <c r="AM3787" s="24"/>
      <c r="AN3787" s="24"/>
      <c r="AO3787" s="24"/>
      <c r="AP3787" s="165" t="str">
        <f t="shared" si="1141"/>
        <v>20253</v>
      </c>
      <c r="AQ3787" s="233" t="str">
        <f t="shared" si="1142"/>
        <v>20253JPY</v>
      </c>
      <c r="AR3787" s="234" t="str">
        <f t="shared" si="1143"/>
        <v>YAMAHA_Mounter</v>
      </c>
      <c r="AS3787" s="22">
        <f t="shared" si="1144"/>
        <v>4</v>
      </c>
      <c r="AT3787" s="24" t="str">
        <f t="shared" si="1145"/>
        <v>4-6 months</v>
      </c>
      <c r="AU3787" s="22" t="s">
        <v>3745</v>
      </c>
    </row>
    <row r="3788" spans="1:47">
      <c r="A3788" s="33" t="str">
        <f t="shared" si="1136"/>
        <v>FY 24/25</v>
      </c>
      <c r="B3788" s="23">
        <v>2024</v>
      </c>
      <c r="C3788" s="23">
        <v>11</v>
      </c>
      <c r="D3788" s="33" t="str">
        <f t="shared" si="1147"/>
        <v>Q3</v>
      </c>
      <c r="E3788" s="33" t="str">
        <f t="shared" si="1135"/>
        <v>FY 24/25</v>
      </c>
      <c r="F3788" s="23">
        <v>2024</v>
      </c>
      <c r="G3788" s="23">
        <v>12</v>
      </c>
      <c r="H3788" s="29"/>
      <c r="I3788" s="93" t="str">
        <f t="shared" si="1137"/>
        <v>Q3</v>
      </c>
      <c r="J3788" s="188" t="s">
        <v>3604</v>
      </c>
      <c r="K3788" s="29" t="s">
        <v>1570</v>
      </c>
      <c r="L3788" s="24" t="s">
        <v>92</v>
      </c>
      <c r="M3788" s="13" t="s">
        <v>60</v>
      </c>
      <c r="N3788" s="22">
        <v>1</v>
      </c>
      <c r="O3788" s="22"/>
      <c r="P3788" s="33" t="str">
        <f t="shared" si="1146"/>
        <v>MAIN UNIT</v>
      </c>
      <c r="Q3788" s="22" t="s">
        <v>61</v>
      </c>
      <c r="R3788" s="22" t="s">
        <v>62</v>
      </c>
      <c r="S3788" s="22" t="s">
        <v>49</v>
      </c>
      <c r="T3788" s="22" t="s">
        <v>78</v>
      </c>
      <c r="U3788" s="22" t="s">
        <v>1071</v>
      </c>
      <c r="V3788" s="22" t="s">
        <v>112</v>
      </c>
      <c r="W3788" s="22" t="s">
        <v>109</v>
      </c>
      <c r="X3788" s="104">
        <v>16580000</v>
      </c>
      <c r="Y3788" s="31" t="str">
        <f t="shared" si="1149"/>
        <v>1</v>
      </c>
      <c r="Z3788" s="230">
        <f t="shared" si="1148"/>
        <v>16580000</v>
      </c>
      <c r="AA3788" s="22">
        <v>5.2900000000000003E-2</v>
      </c>
      <c r="AB3788" s="231">
        <f t="shared" si="1134"/>
        <v>877082</v>
      </c>
      <c r="AC3788" s="25">
        <f t="shared" si="1138"/>
        <v>119897.10939999999</v>
      </c>
      <c r="AD3788" s="169">
        <v>0.13669999999999999</v>
      </c>
      <c r="AE3788" s="26">
        <f t="shared" si="1139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0"/>
        <v>15965524.256637167</v>
      </c>
      <c r="AJ3788" s="27">
        <f t="shared" si="1151"/>
        <v>2480116.5996584073</v>
      </c>
      <c r="AK3788" s="232">
        <f t="shared" si="1140"/>
        <v>0.15534200817911609</v>
      </c>
      <c r="AL3788" s="24"/>
      <c r="AM3788" s="24"/>
      <c r="AN3788" s="24"/>
      <c r="AO3788" s="24"/>
      <c r="AP3788" s="165" t="str">
        <f t="shared" si="1141"/>
        <v>202412</v>
      </c>
      <c r="AQ3788" s="233" t="str">
        <f t="shared" si="1142"/>
        <v>202412JPY</v>
      </c>
      <c r="AR3788" s="234" t="str">
        <f t="shared" si="1143"/>
        <v>YAMAHA_Mounter</v>
      </c>
      <c r="AS3788" s="22">
        <f t="shared" si="1144"/>
        <v>1</v>
      </c>
      <c r="AT3788" s="24" t="str">
        <f t="shared" si="1145"/>
        <v>0-3 months</v>
      </c>
      <c r="AU3788" s="22" t="s">
        <v>3745</v>
      </c>
    </row>
    <row r="3789" spans="1:47">
      <c r="A3789" s="33" t="str">
        <f t="shared" si="1136"/>
        <v>FY 24/25</v>
      </c>
      <c r="B3789" s="23">
        <v>2024</v>
      </c>
      <c r="C3789" s="23">
        <v>11</v>
      </c>
      <c r="D3789" s="33" t="str">
        <f t="shared" si="1147"/>
        <v>Q3</v>
      </c>
      <c r="E3789" s="33" t="str">
        <f t="shared" si="1135"/>
        <v>FY 24/25</v>
      </c>
      <c r="F3789" s="23">
        <v>2024</v>
      </c>
      <c r="G3789" s="23">
        <v>12</v>
      </c>
      <c r="H3789" s="29"/>
      <c r="I3789" s="93" t="str">
        <f t="shared" si="1137"/>
        <v>Q3</v>
      </c>
      <c r="J3789" s="188" t="s">
        <v>3605</v>
      </c>
      <c r="K3789" s="29" t="s">
        <v>1818</v>
      </c>
      <c r="L3789" s="24" t="s">
        <v>92</v>
      </c>
      <c r="M3789" s="13" t="s">
        <v>60</v>
      </c>
      <c r="N3789" s="22">
        <v>1</v>
      </c>
      <c r="O3789" s="22"/>
      <c r="P3789" s="33" t="str">
        <f t="shared" si="1146"/>
        <v>MAIN UNIT</v>
      </c>
      <c r="Q3789" s="22" t="s">
        <v>61</v>
      </c>
      <c r="R3789" s="22" t="s">
        <v>62</v>
      </c>
      <c r="S3789" s="22" t="s">
        <v>49</v>
      </c>
      <c r="T3789" s="22" t="s">
        <v>78</v>
      </c>
      <c r="U3789" s="22" t="s">
        <v>78</v>
      </c>
      <c r="V3789" s="22" t="s">
        <v>112</v>
      </c>
      <c r="W3789" s="22" t="s">
        <v>109</v>
      </c>
      <c r="X3789" s="104">
        <v>12450000</v>
      </c>
      <c r="Y3789" s="31" t="str">
        <f t="shared" si="1149"/>
        <v>1</v>
      </c>
      <c r="Z3789" s="230">
        <f t="shared" si="1148"/>
        <v>12450000</v>
      </c>
      <c r="AA3789" s="22">
        <v>5.2900000000000003E-2</v>
      </c>
      <c r="AB3789" s="231">
        <f t="shared" si="1134"/>
        <v>658605</v>
      </c>
      <c r="AC3789" s="25">
        <f t="shared" si="1138"/>
        <v>61052.683500000006</v>
      </c>
      <c r="AD3789" s="169">
        <v>9.2700000000000005E-2</v>
      </c>
      <c r="AE3789" s="26">
        <f t="shared" si="1139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0"/>
        <v>15965524.256637167</v>
      </c>
      <c r="AJ3789" s="27">
        <f t="shared" si="1151"/>
        <v>2480116.5996584073</v>
      </c>
      <c r="AK3789" s="232">
        <f t="shared" si="1140"/>
        <v>0.15534200817911609</v>
      </c>
      <c r="AL3789" s="24"/>
      <c r="AM3789" s="24"/>
      <c r="AN3789" s="24"/>
      <c r="AO3789" s="24"/>
      <c r="AP3789" s="165" t="str">
        <f t="shared" si="1141"/>
        <v>202412</v>
      </c>
      <c r="AQ3789" s="233" t="str">
        <f t="shared" si="1142"/>
        <v>202412JPY</v>
      </c>
      <c r="AR3789" s="234" t="str">
        <f t="shared" si="1143"/>
        <v>YAMAHA_Mounter</v>
      </c>
      <c r="AS3789" s="22">
        <f t="shared" si="1144"/>
        <v>1</v>
      </c>
      <c r="AT3789" s="24" t="str">
        <f t="shared" si="1145"/>
        <v>0-3 months</v>
      </c>
      <c r="AU3789" s="22" t="s">
        <v>3745</v>
      </c>
    </row>
    <row r="3790" spans="1:47">
      <c r="A3790" s="33" t="str">
        <f t="shared" si="1136"/>
        <v>FY 24/25</v>
      </c>
      <c r="B3790" s="23">
        <v>2024</v>
      </c>
      <c r="C3790" s="23">
        <v>11</v>
      </c>
      <c r="D3790" s="33" t="str">
        <f t="shared" si="1147"/>
        <v>Q3</v>
      </c>
      <c r="E3790" s="33" t="str">
        <f t="shared" si="1135"/>
        <v>FY 25/26</v>
      </c>
      <c r="F3790" s="23">
        <v>2025</v>
      </c>
      <c r="G3790" s="23">
        <v>4</v>
      </c>
      <c r="H3790" s="29"/>
      <c r="I3790" s="93" t="str">
        <f t="shared" si="1137"/>
        <v>Q1</v>
      </c>
      <c r="J3790" s="188" t="s">
        <v>3605</v>
      </c>
      <c r="K3790" s="29" t="s">
        <v>1818</v>
      </c>
      <c r="L3790" s="24" t="s">
        <v>92</v>
      </c>
      <c r="M3790" s="13" t="s">
        <v>60</v>
      </c>
      <c r="N3790" s="22">
        <v>1</v>
      </c>
      <c r="O3790" s="22"/>
      <c r="P3790" s="33" t="str">
        <f t="shared" si="1146"/>
        <v>MAIN UNIT</v>
      </c>
      <c r="Q3790" s="22" t="s">
        <v>61</v>
      </c>
      <c r="R3790" s="22" t="s">
        <v>62</v>
      </c>
      <c r="S3790" s="22" t="s">
        <v>49</v>
      </c>
      <c r="T3790" s="22" t="s">
        <v>78</v>
      </c>
      <c r="U3790" s="22" t="s">
        <v>78</v>
      </c>
      <c r="V3790" s="22" t="s">
        <v>112</v>
      </c>
      <c r="W3790" s="22" t="s">
        <v>109</v>
      </c>
      <c r="X3790" s="104">
        <v>12450000</v>
      </c>
      <c r="Y3790" s="31" t="str">
        <f t="shared" si="1149"/>
        <v>1</v>
      </c>
      <c r="Z3790" s="230">
        <f t="shared" si="1148"/>
        <v>12450000</v>
      </c>
      <c r="AA3790" s="22">
        <v>5.2999999999999999E-2</v>
      </c>
      <c r="AB3790" s="231">
        <f t="shared" si="1134"/>
        <v>659850</v>
      </c>
      <c r="AC3790" s="25">
        <f t="shared" si="1138"/>
        <v>79182</v>
      </c>
      <c r="AD3790" s="169">
        <v>0.12</v>
      </c>
      <c r="AE3790" s="26">
        <f t="shared" si="1139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0"/>
        <v>29497483.159292053</v>
      </c>
      <c r="AJ3790" s="27">
        <f t="shared" si="1151"/>
        <v>3539697.9791150414</v>
      </c>
      <c r="AK3790" s="232">
        <f t="shared" si="1140"/>
        <v>0.11999999999999983</v>
      </c>
      <c r="AL3790" s="24"/>
      <c r="AM3790" s="24"/>
      <c r="AN3790" s="24"/>
      <c r="AO3790" s="24"/>
      <c r="AP3790" s="165" t="str">
        <f t="shared" si="1141"/>
        <v>20254</v>
      </c>
      <c r="AQ3790" s="233" t="str">
        <f t="shared" si="1142"/>
        <v>20254JPY</v>
      </c>
      <c r="AR3790" s="234" t="str">
        <f t="shared" si="1143"/>
        <v>YAMAHA_Mounter</v>
      </c>
      <c r="AS3790" s="22">
        <f t="shared" si="1144"/>
        <v>5</v>
      </c>
      <c r="AT3790" s="24" t="str">
        <f t="shared" si="1145"/>
        <v>4-6 months</v>
      </c>
      <c r="AU3790" s="22" t="s">
        <v>3745</v>
      </c>
    </row>
    <row r="3791" spans="1:47">
      <c r="A3791" s="33" t="str">
        <f t="shared" si="1136"/>
        <v>FY 24/25</v>
      </c>
      <c r="B3791" s="23">
        <v>2024</v>
      </c>
      <c r="C3791" s="23">
        <v>11</v>
      </c>
      <c r="D3791" s="33" t="str">
        <f t="shared" si="1147"/>
        <v>Q3</v>
      </c>
      <c r="E3791" s="33" t="str">
        <f t="shared" si="1135"/>
        <v>FY 25/26</v>
      </c>
      <c r="F3791" s="23">
        <v>2025</v>
      </c>
      <c r="G3791" s="23">
        <v>4</v>
      </c>
      <c r="H3791" s="29"/>
      <c r="I3791" s="93" t="str">
        <f t="shared" si="1137"/>
        <v>Q1</v>
      </c>
      <c r="J3791" s="188" t="s">
        <v>3605</v>
      </c>
      <c r="K3791" s="29" t="s">
        <v>1818</v>
      </c>
      <c r="L3791" s="24" t="s">
        <v>92</v>
      </c>
      <c r="M3791" s="13" t="s">
        <v>60</v>
      </c>
      <c r="N3791" s="22">
        <v>1</v>
      </c>
      <c r="O3791" s="22"/>
      <c r="P3791" s="33" t="str">
        <f t="shared" si="1146"/>
        <v>MAIN UNIT</v>
      </c>
      <c r="Q3791" s="22" t="s">
        <v>61</v>
      </c>
      <c r="R3791" s="22" t="s">
        <v>62</v>
      </c>
      <c r="S3791" s="22" t="s">
        <v>49</v>
      </c>
      <c r="T3791" s="22" t="s">
        <v>78</v>
      </c>
      <c r="U3791" s="22" t="s">
        <v>78</v>
      </c>
      <c r="V3791" s="22" t="s">
        <v>112</v>
      </c>
      <c r="W3791" s="22" t="s">
        <v>109</v>
      </c>
      <c r="X3791" s="104">
        <v>12450000</v>
      </c>
      <c r="Y3791" s="31" t="str">
        <f t="shared" si="1149"/>
        <v>1</v>
      </c>
      <c r="Z3791" s="230">
        <f t="shared" si="1148"/>
        <v>12450000</v>
      </c>
      <c r="AA3791" s="22">
        <v>5.2999999999999999E-2</v>
      </c>
      <c r="AB3791" s="231">
        <f t="shared" si="1134"/>
        <v>659850</v>
      </c>
      <c r="AC3791" s="25">
        <f t="shared" si="1138"/>
        <v>79182</v>
      </c>
      <c r="AD3791" s="169">
        <v>0.12</v>
      </c>
      <c r="AE3791" s="26">
        <f t="shared" si="1139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0"/>
        <v>29497483.159292053</v>
      </c>
      <c r="AJ3791" s="27">
        <f t="shared" si="1151"/>
        <v>3539697.9791150414</v>
      </c>
      <c r="AK3791" s="232">
        <f t="shared" si="1140"/>
        <v>0.11999999999999983</v>
      </c>
      <c r="AL3791" s="24"/>
      <c r="AM3791" s="24"/>
      <c r="AN3791" s="24"/>
      <c r="AO3791" s="24"/>
      <c r="AP3791" s="165" t="str">
        <f t="shared" si="1141"/>
        <v>20254</v>
      </c>
      <c r="AQ3791" s="233" t="str">
        <f t="shared" si="1142"/>
        <v>20254JPY</v>
      </c>
      <c r="AR3791" s="234" t="str">
        <f t="shared" si="1143"/>
        <v>YAMAHA_Mounter</v>
      </c>
      <c r="AS3791" s="22">
        <f t="shared" si="1144"/>
        <v>5</v>
      </c>
      <c r="AT3791" s="24" t="str">
        <f t="shared" si="1145"/>
        <v>4-6 months</v>
      </c>
      <c r="AU3791" s="22" t="s">
        <v>3745</v>
      </c>
    </row>
    <row r="3792" spans="1:47">
      <c r="A3792" s="33" t="str">
        <f t="shared" si="1136"/>
        <v>FY 24/25</v>
      </c>
      <c r="B3792" s="23">
        <v>2024</v>
      </c>
      <c r="C3792" s="23">
        <v>11</v>
      </c>
      <c r="D3792" s="33" t="str">
        <f t="shared" si="1147"/>
        <v>Q3</v>
      </c>
      <c r="E3792" s="33" t="str">
        <f t="shared" si="1135"/>
        <v>Cancel</v>
      </c>
      <c r="F3792" s="23" t="s">
        <v>185</v>
      </c>
      <c r="G3792" s="23" t="s">
        <v>185</v>
      </c>
      <c r="H3792" s="29"/>
      <c r="I3792" s="93" t="str">
        <f t="shared" si="1137"/>
        <v>Cancel</v>
      </c>
      <c r="J3792" s="188" t="s">
        <v>3606</v>
      </c>
      <c r="K3792" s="29" t="s">
        <v>1818</v>
      </c>
      <c r="L3792" s="24" t="s">
        <v>67</v>
      </c>
      <c r="M3792" s="13" t="s">
        <v>60</v>
      </c>
      <c r="N3792" s="22">
        <v>1</v>
      </c>
      <c r="O3792" s="22"/>
      <c r="P3792" s="33" t="str">
        <f t="shared" si="1146"/>
        <v>MAIN UNIT</v>
      </c>
      <c r="Q3792" s="22" t="s">
        <v>61</v>
      </c>
      <c r="R3792" s="22" t="s">
        <v>62</v>
      </c>
      <c r="S3792" s="22" t="s">
        <v>49</v>
      </c>
      <c r="T3792" s="22" t="s">
        <v>78</v>
      </c>
      <c r="U3792" s="22" t="s">
        <v>78</v>
      </c>
      <c r="V3792" s="22" t="s">
        <v>112</v>
      </c>
      <c r="W3792" s="22" t="s">
        <v>109</v>
      </c>
      <c r="X3792" s="104">
        <v>6745000</v>
      </c>
      <c r="Y3792" s="31" t="str">
        <f t="shared" si="1149"/>
        <v>1</v>
      </c>
      <c r="Z3792" s="230">
        <f t="shared" si="1148"/>
        <v>6745000</v>
      </c>
      <c r="AA3792" s="22">
        <v>5.2999999999999999E-2</v>
      </c>
      <c r="AB3792" s="231">
        <f t="shared" si="1134"/>
        <v>357485</v>
      </c>
      <c r="AC3792" s="25">
        <f t="shared" si="1138"/>
        <v>42898.2</v>
      </c>
      <c r="AD3792" s="169">
        <v>0.12</v>
      </c>
      <c r="AE3792" s="26">
        <f t="shared" si="1139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0"/>
        <v>499582152.5142017</v>
      </c>
      <c r="AJ3792" s="27">
        <f t="shared" si="1151"/>
        <v>59520528.679470733</v>
      </c>
      <c r="AK3792" s="232">
        <f t="shared" si="1140"/>
        <v>0.11914062257814291</v>
      </c>
      <c r="AL3792" s="24"/>
      <c r="AM3792" s="24"/>
      <c r="AN3792" s="24"/>
      <c r="AO3792" s="24"/>
      <c r="AP3792" s="165" t="str">
        <f t="shared" si="1141"/>
        <v>CancelCancel</v>
      </c>
      <c r="AQ3792" s="233" t="str">
        <f t="shared" si="1142"/>
        <v>CancelCancelJPY</v>
      </c>
      <c r="AR3792" s="234" t="str">
        <f t="shared" si="1143"/>
        <v>YAMAHA_Mounter</v>
      </c>
      <c r="AS3792" s="22" t="str">
        <f t="shared" si="1144"/>
        <v/>
      </c>
      <c r="AT3792" s="24" t="str">
        <f t="shared" si="1145"/>
        <v/>
      </c>
      <c r="AU3792" s="22" t="s">
        <v>3745</v>
      </c>
    </row>
    <row r="3793" spans="1:47">
      <c r="A3793" s="33" t="str">
        <f t="shared" si="1136"/>
        <v>FY 24/25</v>
      </c>
      <c r="B3793" s="23">
        <v>2024</v>
      </c>
      <c r="C3793" s="23">
        <v>11</v>
      </c>
      <c r="D3793" s="33" t="str">
        <f t="shared" si="1147"/>
        <v>Q3</v>
      </c>
      <c r="E3793" s="33" t="str">
        <f t="shared" si="1135"/>
        <v>Cancel</v>
      </c>
      <c r="F3793" s="23" t="s">
        <v>185</v>
      </c>
      <c r="G3793" s="23" t="s">
        <v>185</v>
      </c>
      <c r="H3793" s="29"/>
      <c r="I3793" s="93" t="str">
        <f t="shared" si="1137"/>
        <v>Cancel</v>
      </c>
      <c r="J3793" s="188" t="s">
        <v>3606</v>
      </c>
      <c r="K3793" s="29" t="s">
        <v>1818</v>
      </c>
      <c r="L3793" s="24" t="s">
        <v>67</v>
      </c>
      <c r="M3793" s="13" t="s">
        <v>60</v>
      </c>
      <c r="N3793" s="22">
        <v>1</v>
      </c>
      <c r="O3793" s="22"/>
      <c r="P3793" s="33" t="str">
        <f t="shared" si="1146"/>
        <v>MAIN UNIT</v>
      </c>
      <c r="Q3793" s="22" t="s">
        <v>61</v>
      </c>
      <c r="R3793" s="22" t="s">
        <v>62</v>
      </c>
      <c r="S3793" s="22" t="s">
        <v>49</v>
      </c>
      <c r="T3793" s="22" t="s">
        <v>78</v>
      </c>
      <c r="U3793" s="22" t="s">
        <v>78</v>
      </c>
      <c r="V3793" s="22" t="s">
        <v>112</v>
      </c>
      <c r="W3793" s="22" t="s">
        <v>109</v>
      </c>
      <c r="X3793" s="104">
        <v>6745000</v>
      </c>
      <c r="Y3793" s="31" t="str">
        <f t="shared" si="1149"/>
        <v>1</v>
      </c>
      <c r="Z3793" s="230">
        <f t="shared" si="1148"/>
        <v>6745000</v>
      </c>
      <c r="AA3793" s="22">
        <v>5.2999999999999999E-2</v>
      </c>
      <c r="AB3793" s="231">
        <f t="shared" si="1134"/>
        <v>357485</v>
      </c>
      <c r="AC3793" s="25">
        <f t="shared" si="1138"/>
        <v>42898.2</v>
      </c>
      <c r="AD3793" s="169">
        <v>0.12</v>
      </c>
      <c r="AE3793" s="26">
        <f t="shared" si="1139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0"/>
        <v>499582152.5142017</v>
      </c>
      <c r="AJ3793" s="27">
        <f t="shared" si="1151"/>
        <v>59520528.679470733</v>
      </c>
      <c r="AK3793" s="232">
        <f t="shared" si="1140"/>
        <v>0.11914062257814291</v>
      </c>
      <c r="AL3793" s="24"/>
      <c r="AM3793" s="24"/>
      <c r="AN3793" s="24"/>
      <c r="AO3793" s="24"/>
      <c r="AP3793" s="165" t="str">
        <f t="shared" si="1141"/>
        <v>CancelCancel</v>
      </c>
      <c r="AQ3793" s="233" t="str">
        <f t="shared" si="1142"/>
        <v>CancelCancelJPY</v>
      </c>
      <c r="AR3793" s="234" t="str">
        <f t="shared" si="1143"/>
        <v>YAMAHA_Mounter</v>
      </c>
      <c r="AS3793" s="22" t="str">
        <f t="shared" si="1144"/>
        <v/>
      </c>
      <c r="AT3793" s="24" t="str">
        <f t="shared" si="1145"/>
        <v/>
      </c>
      <c r="AU3793" s="22" t="s">
        <v>3745</v>
      </c>
    </row>
    <row r="3794" spans="1:47">
      <c r="A3794" s="33" t="str">
        <f t="shared" si="1136"/>
        <v>FY 24/25</v>
      </c>
      <c r="B3794" s="23">
        <v>2024</v>
      </c>
      <c r="C3794" s="23">
        <v>11</v>
      </c>
      <c r="D3794" s="33" t="str">
        <f t="shared" si="1147"/>
        <v>Q3</v>
      </c>
      <c r="E3794" s="33" t="str">
        <f t="shared" si="1135"/>
        <v>Cancel</v>
      </c>
      <c r="F3794" s="23" t="s">
        <v>185</v>
      </c>
      <c r="G3794" s="23" t="s">
        <v>185</v>
      </c>
      <c r="H3794" s="29"/>
      <c r="I3794" s="93" t="str">
        <f t="shared" si="1137"/>
        <v>Cancel</v>
      </c>
      <c r="J3794" s="188" t="s">
        <v>3606</v>
      </c>
      <c r="K3794" s="29" t="s">
        <v>1818</v>
      </c>
      <c r="L3794" s="24" t="s">
        <v>67</v>
      </c>
      <c r="M3794" s="13" t="s">
        <v>60</v>
      </c>
      <c r="N3794" s="22">
        <v>1</v>
      </c>
      <c r="O3794" s="22"/>
      <c r="P3794" s="33" t="str">
        <f t="shared" si="1146"/>
        <v>MAIN UNIT</v>
      </c>
      <c r="Q3794" s="22" t="s">
        <v>61</v>
      </c>
      <c r="R3794" s="22" t="s">
        <v>62</v>
      </c>
      <c r="S3794" s="22" t="s">
        <v>49</v>
      </c>
      <c r="T3794" s="22" t="s">
        <v>78</v>
      </c>
      <c r="U3794" s="22" t="s">
        <v>78</v>
      </c>
      <c r="V3794" s="22" t="s">
        <v>112</v>
      </c>
      <c r="W3794" s="22" t="s">
        <v>109</v>
      </c>
      <c r="X3794" s="104">
        <v>6745000</v>
      </c>
      <c r="Y3794" s="31" t="str">
        <f t="shared" si="1149"/>
        <v>1</v>
      </c>
      <c r="Z3794" s="230">
        <f t="shared" si="1148"/>
        <v>6745000</v>
      </c>
      <c r="AA3794" s="22">
        <v>5.2999999999999999E-2</v>
      </c>
      <c r="AB3794" s="231">
        <f t="shared" ref="AB3794:AB3857" si="1152">IF(AND(R3794&lt;&gt;"C66",R3794&lt;&gt;""),Z3794/Y3794*AA3794,"")</f>
        <v>357485</v>
      </c>
      <c r="AC3794" s="25">
        <f t="shared" si="1138"/>
        <v>42898.2</v>
      </c>
      <c r="AD3794" s="169">
        <v>0.12</v>
      </c>
      <c r="AE3794" s="26">
        <f t="shared" si="1139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0"/>
        <v>499582152.5142017</v>
      </c>
      <c r="AJ3794" s="27">
        <f t="shared" si="1151"/>
        <v>59520528.679470733</v>
      </c>
      <c r="AK3794" s="232">
        <f t="shared" si="1140"/>
        <v>0.11914062257814291</v>
      </c>
      <c r="AL3794" s="24"/>
      <c r="AM3794" s="24"/>
      <c r="AN3794" s="24"/>
      <c r="AO3794" s="24"/>
      <c r="AP3794" s="165" t="str">
        <f t="shared" si="1141"/>
        <v>CancelCancel</v>
      </c>
      <c r="AQ3794" s="233" t="str">
        <f t="shared" si="1142"/>
        <v>CancelCancelJPY</v>
      </c>
      <c r="AR3794" s="234" t="str">
        <f t="shared" si="1143"/>
        <v>YAMAHA_Mounter</v>
      </c>
      <c r="AS3794" s="22" t="str">
        <f t="shared" si="1144"/>
        <v/>
      </c>
      <c r="AT3794" s="24" t="str">
        <f t="shared" si="1145"/>
        <v/>
      </c>
      <c r="AU3794" s="22" t="s">
        <v>3745</v>
      </c>
    </row>
    <row r="3795" spans="1:47">
      <c r="A3795" s="33" t="str">
        <f t="shared" si="1136"/>
        <v>FY 24/25</v>
      </c>
      <c r="B3795" s="23">
        <v>2024</v>
      </c>
      <c r="C3795" s="23">
        <v>11</v>
      </c>
      <c r="D3795" s="33" t="str">
        <f t="shared" si="1147"/>
        <v>Q3</v>
      </c>
      <c r="E3795" s="33" t="str">
        <f t="shared" si="1135"/>
        <v>FY 24/25</v>
      </c>
      <c r="F3795" s="23">
        <v>2024</v>
      </c>
      <c r="G3795" s="23">
        <v>12</v>
      </c>
      <c r="H3795" s="29"/>
      <c r="I3795" s="93" t="str">
        <f t="shared" si="1137"/>
        <v>Q3</v>
      </c>
      <c r="J3795" s="188" t="s">
        <v>3607</v>
      </c>
      <c r="K3795" s="29" t="s">
        <v>3609</v>
      </c>
      <c r="L3795" s="24" t="s">
        <v>92</v>
      </c>
      <c r="M3795" s="13" t="s">
        <v>60</v>
      </c>
      <c r="N3795" s="22">
        <v>1</v>
      </c>
      <c r="O3795" s="22"/>
      <c r="P3795" s="33" t="str">
        <f t="shared" si="1146"/>
        <v>MAIN UNIT</v>
      </c>
      <c r="Q3795" s="22" t="s">
        <v>61</v>
      </c>
      <c r="R3795" s="22" t="s">
        <v>62</v>
      </c>
      <c r="S3795" s="22" t="s">
        <v>50</v>
      </c>
      <c r="T3795" s="22" t="s">
        <v>69</v>
      </c>
      <c r="U3795" s="22" t="s">
        <v>70</v>
      </c>
      <c r="V3795" s="22" t="s">
        <v>71</v>
      </c>
      <c r="W3795" s="22" t="s">
        <v>64</v>
      </c>
      <c r="X3795" s="104">
        <v>750000</v>
      </c>
      <c r="Y3795" s="31" t="str">
        <f t="shared" si="1149"/>
        <v>1.13</v>
      </c>
      <c r="Z3795" s="230">
        <f t="shared" si="1148"/>
        <v>750000</v>
      </c>
      <c r="AA3795" s="22">
        <v>1.0760000000000001</v>
      </c>
      <c r="AB3795" s="231">
        <f t="shared" si="1152"/>
        <v>714159.29203539842</v>
      </c>
      <c r="AC3795" s="25">
        <f t="shared" si="1138"/>
        <v>134761.85840707968</v>
      </c>
      <c r="AD3795" s="170">
        <v>0.18870000000000001</v>
      </c>
      <c r="AE3795" s="26">
        <f t="shared" si="1139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0"/>
        <v>15965524.256637167</v>
      </c>
      <c r="AJ3795" s="27">
        <f t="shared" si="1151"/>
        <v>2480116.5996584073</v>
      </c>
      <c r="AK3795" s="232">
        <f t="shared" si="1140"/>
        <v>0.15534200817911609</v>
      </c>
      <c r="AL3795" s="24"/>
      <c r="AM3795" s="24"/>
      <c r="AN3795" s="24"/>
      <c r="AO3795" s="24"/>
      <c r="AP3795" s="165" t="str">
        <f t="shared" si="1141"/>
        <v>202412</v>
      </c>
      <c r="AQ3795" s="233" t="str">
        <f t="shared" si="1142"/>
        <v>202412RMB</v>
      </c>
      <c r="AR3795" s="234" t="str">
        <f t="shared" si="1143"/>
        <v>YAMAHA_Mounter</v>
      </c>
      <c r="AS3795" s="22">
        <f t="shared" si="1144"/>
        <v>1</v>
      </c>
      <c r="AT3795" s="24" t="str">
        <f t="shared" si="1145"/>
        <v>0-3 months</v>
      </c>
      <c r="AU3795" s="22" t="s">
        <v>3240</v>
      </c>
    </row>
    <row r="3796" spans="1:47">
      <c r="A3796" s="33" t="str">
        <f t="shared" si="1136"/>
        <v>FY 24/25</v>
      </c>
      <c r="B3796" s="23">
        <v>2024</v>
      </c>
      <c r="C3796" s="23">
        <v>11</v>
      </c>
      <c r="D3796" s="33" t="str">
        <f t="shared" si="1147"/>
        <v>Q3</v>
      </c>
      <c r="E3796" s="33" t="str">
        <f t="shared" si="1135"/>
        <v>FY 24/25</v>
      </c>
      <c r="F3796" s="23">
        <v>2024</v>
      </c>
      <c r="G3796" s="23">
        <v>12</v>
      </c>
      <c r="H3796" s="29"/>
      <c r="I3796" s="93" t="str">
        <f t="shared" si="1137"/>
        <v>Q3</v>
      </c>
      <c r="J3796" s="188" t="s">
        <v>3607</v>
      </c>
      <c r="K3796" s="29" t="s">
        <v>3609</v>
      </c>
      <c r="L3796" s="24" t="s">
        <v>2620</v>
      </c>
      <c r="M3796" s="13" t="s">
        <v>60</v>
      </c>
      <c r="N3796" s="22">
        <v>1</v>
      </c>
      <c r="O3796" s="22"/>
      <c r="P3796" s="33" t="str">
        <f t="shared" si="1146"/>
        <v>MAIN UNIT</v>
      </c>
      <c r="Q3796" s="22" t="s">
        <v>61</v>
      </c>
      <c r="R3796" s="22" t="s">
        <v>2055</v>
      </c>
      <c r="S3796" s="22" t="s">
        <v>50</v>
      </c>
      <c r="T3796" s="22" t="s">
        <v>69</v>
      </c>
      <c r="U3796" s="22" t="s">
        <v>70</v>
      </c>
      <c r="V3796" s="22" t="s">
        <v>71</v>
      </c>
      <c r="W3796" s="22" t="s">
        <v>64</v>
      </c>
      <c r="X3796" s="104">
        <v>370000</v>
      </c>
      <c r="Y3796" s="31" t="str">
        <f t="shared" si="1149"/>
        <v>1.13</v>
      </c>
      <c r="Z3796" s="230">
        <f t="shared" si="1148"/>
        <v>370000</v>
      </c>
      <c r="AA3796" s="22">
        <v>1.0760000000000001</v>
      </c>
      <c r="AB3796" s="231">
        <f t="shared" si="1152"/>
        <v>352318.58407079655</v>
      </c>
      <c r="AC3796" s="25">
        <f t="shared" si="1138"/>
        <v>66482.516814159317</v>
      </c>
      <c r="AD3796" s="170">
        <v>0.18870000000000001</v>
      </c>
      <c r="AE3796" s="26">
        <f t="shared" si="1139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0"/>
        <v>15965524.256637167</v>
      </c>
      <c r="AJ3796" s="27">
        <f t="shared" si="1151"/>
        <v>2480116.5996584073</v>
      </c>
      <c r="AK3796" s="232">
        <f t="shared" si="1140"/>
        <v>0.15534200817911609</v>
      </c>
      <c r="AL3796" s="24"/>
      <c r="AM3796" s="24"/>
      <c r="AN3796" s="24"/>
      <c r="AO3796" s="24"/>
      <c r="AP3796" s="165" t="str">
        <f t="shared" si="1141"/>
        <v>202412</v>
      </c>
      <c r="AQ3796" s="233" t="str">
        <f t="shared" si="1142"/>
        <v>202412RMB</v>
      </c>
      <c r="AR3796" s="234" t="str">
        <f t="shared" si="1143"/>
        <v>YAMAHA_Non_Mounter</v>
      </c>
      <c r="AS3796" s="22">
        <f t="shared" si="1144"/>
        <v>1</v>
      </c>
      <c r="AT3796" s="24" t="str">
        <f t="shared" si="1145"/>
        <v>0-3 months</v>
      </c>
      <c r="AU3796" s="22" t="s">
        <v>3240</v>
      </c>
    </row>
    <row r="3797" spans="1:47">
      <c r="A3797" s="33" t="str">
        <f t="shared" si="1136"/>
        <v>FY 24/25</v>
      </c>
      <c r="B3797" s="23">
        <v>2024</v>
      </c>
      <c r="C3797" s="23">
        <v>11</v>
      </c>
      <c r="D3797" s="33" t="str">
        <f t="shared" si="1147"/>
        <v>Q3</v>
      </c>
      <c r="E3797" s="33" t="str">
        <f t="shared" si="1135"/>
        <v>FY 24/25</v>
      </c>
      <c r="F3797" s="23">
        <v>2024</v>
      </c>
      <c r="G3797" s="23">
        <v>11</v>
      </c>
      <c r="H3797" s="29"/>
      <c r="I3797" s="93" t="str">
        <f t="shared" si="1137"/>
        <v>Q3</v>
      </c>
      <c r="J3797" s="188" t="s">
        <v>3608</v>
      </c>
      <c r="K3797" s="29" t="s">
        <v>3481</v>
      </c>
      <c r="L3797" s="24" t="s">
        <v>67</v>
      </c>
      <c r="M3797" s="13" t="s">
        <v>60</v>
      </c>
      <c r="N3797" s="22">
        <v>1</v>
      </c>
      <c r="O3797" s="22"/>
      <c r="P3797" s="33" t="str">
        <f t="shared" si="1146"/>
        <v>MAIN UNIT</v>
      </c>
      <c r="Q3797" s="22" t="s">
        <v>61</v>
      </c>
      <c r="R3797" s="22" t="s">
        <v>62</v>
      </c>
      <c r="S3797" s="22" t="s">
        <v>50</v>
      </c>
      <c r="T3797" s="22" t="s">
        <v>444</v>
      </c>
      <c r="U3797" s="22" t="s">
        <v>70</v>
      </c>
      <c r="V3797" s="22" t="s">
        <v>1400</v>
      </c>
      <c r="W3797" s="22" t="s">
        <v>64</v>
      </c>
      <c r="X3797" s="104">
        <v>385000</v>
      </c>
      <c r="Y3797" s="31" t="str">
        <f t="shared" si="1149"/>
        <v>1.13</v>
      </c>
      <c r="Z3797" s="230">
        <f t="shared" si="1148"/>
        <v>385000</v>
      </c>
      <c r="AA3797" s="22">
        <v>1.0920000000000001</v>
      </c>
      <c r="AB3797" s="231">
        <f t="shared" si="1152"/>
        <v>372053.09734513279</v>
      </c>
      <c r="AC3797" s="25">
        <f t="shared" si="1138"/>
        <v>38172.647787610622</v>
      </c>
      <c r="AD3797" s="169">
        <v>0.1026</v>
      </c>
      <c r="AE3797" s="26">
        <f t="shared" si="1139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0"/>
        <v>32082250.320460182</v>
      </c>
      <c r="AJ3797" s="27">
        <f t="shared" si="1151"/>
        <v>4323122.9746477893</v>
      </c>
      <c r="AK3797" s="232">
        <f t="shared" si="1140"/>
        <v>0.1347512388147771</v>
      </c>
      <c r="AL3797" s="24"/>
      <c r="AM3797" s="24"/>
      <c r="AN3797" s="24"/>
      <c r="AO3797" s="24"/>
      <c r="AP3797" s="165" t="str">
        <f t="shared" si="1141"/>
        <v>202411</v>
      </c>
      <c r="AQ3797" s="233" t="str">
        <f t="shared" si="1142"/>
        <v>202411RMB</v>
      </c>
      <c r="AR3797" s="234" t="str">
        <f t="shared" si="1143"/>
        <v>YAMAHA_Mounter</v>
      </c>
      <c r="AS3797" s="22">
        <f t="shared" si="1144"/>
        <v>0</v>
      </c>
      <c r="AT3797" s="24" t="str">
        <f t="shared" si="1145"/>
        <v>0-3 months</v>
      </c>
      <c r="AU3797" s="22" t="s">
        <v>3240</v>
      </c>
    </row>
    <row r="3798" spans="1:47">
      <c r="A3798" s="33" t="str">
        <f t="shared" si="1136"/>
        <v>FY 24/25</v>
      </c>
      <c r="B3798" s="23">
        <v>2024</v>
      </c>
      <c r="C3798" s="23">
        <v>11</v>
      </c>
      <c r="D3798" s="33" t="str">
        <f t="shared" si="1147"/>
        <v>Q3</v>
      </c>
      <c r="E3798" s="33" t="str">
        <f t="shared" si="1135"/>
        <v>FY 24/25</v>
      </c>
      <c r="F3798" s="23">
        <v>2024</v>
      </c>
      <c r="G3798" s="23">
        <v>11</v>
      </c>
      <c r="H3798" s="29"/>
      <c r="I3798" s="93" t="str">
        <f t="shared" si="1137"/>
        <v>Q3</v>
      </c>
      <c r="J3798" s="188" t="s">
        <v>3612</v>
      </c>
      <c r="K3798" s="29" t="s">
        <v>646</v>
      </c>
      <c r="L3798" s="24" t="s">
        <v>92</v>
      </c>
      <c r="M3798" s="13" t="s">
        <v>60</v>
      </c>
      <c r="N3798" s="22">
        <v>1</v>
      </c>
      <c r="O3798" s="22"/>
      <c r="P3798" s="33" t="str">
        <f t="shared" si="1146"/>
        <v>MAIN UNIT</v>
      </c>
      <c r="Q3798" s="22" t="s">
        <v>61</v>
      </c>
      <c r="R3798" s="22" t="s">
        <v>62</v>
      </c>
      <c r="S3798" s="22" t="s">
        <v>49</v>
      </c>
      <c r="T3798" s="22" t="s">
        <v>78</v>
      </c>
      <c r="U3798" s="22" t="s">
        <v>78</v>
      </c>
      <c r="V3798" s="22" t="s">
        <v>311</v>
      </c>
      <c r="W3798" s="22" t="s">
        <v>109</v>
      </c>
      <c r="X3798" s="104">
        <v>12500000</v>
      </c>
      <c r="Y3798" s="31" t="str">
        <f t="shared" si="1149"/>
        <v>1</v>
      </c>
      <c r="Z3798" s="230">
        <f t="shared" si="1148"/>
        <v>12500000</v>
      </c>
      <c r="AA3798" s="22">
        <v>5.1799999999999999E-2</v>
      </c>
      <c r="AB3798" s="231">
        <f t="shared" si="1152"/>
        <v>647500</v>
      </c>
      <c r="AC3798" s="25">
        <f t="shared" si="1138"/>
        <v>82556.25</v>
      </c>
      <c r="AD3798" s="169">
        <v>0.1275</v>
      </c>
      <c r="AE3798" s="26">
        <f t="shared" si="1139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0"/>
        <v>32082250.320460182</v>
      </c>
      <c r="AJ3798" s="27">
        <f t="shared" si="1151"/>
        <v>4323122.9746477893</v>
      </c>
      <c r="AK3798" s="232">
        <f t="shared" si="1140"/>
        <v>0.1347512388147771</v>
      </c>
      <c r="AL3798" s="24"/>
      <c r="AM3798" s="24"/>
      <c r="AN3798" s="24"/>
      <c r="AO3798" s="24"/>
      <c r="AP3798" s="165" t="str">
        <f t="shared" si="1141"/>
        <v>202411</v>
      </c>
      <c r="AQ3798" s="233" t="str">
        <f t="shared" si="1142"/>
        <v>202411JPY</v>
      </c>
      <c r="AR3798" s="234" t="str">
        <f t="shared" si="1143"/>
        <v>YAMAHA_Mounter</v>
      </c>
      <c r="AS3798" s="22">
        <f t="shared" si="1144"/>
        <v>0</v>
      </c>
      <c r="AT3798" s="24" t="str">
        <f t="shared" si="1145"/>
        <v>0-3 months</v>
      </c>
      <c r="AU3798" s="22" t="s">
        <v>3745</v>
      </c>
    </row>
    <row r="3799" spans="1:47">
      <c r="A3799" s="33" t="str">
        <f t="shared" si="1136"/>
        <v>FY 24/25</v>
      </c>
      <c r="B3799" s="23">
        <v>2024</v>
      </c>
      <c r="C3799" s="23">
        <v>11</v>
      </c>
      <c r="D3799" s="33" t="str">
        <f t="shared" si="1147"/>
        <v>Q3</v>
      </c>
      <c r="E3799" s="33" t="str">
        <f t="shared" si="1135"/>
        <v>FY 25/26</v>
      </c>
      <c r="F3799" s="23">
        <v>2025</v>
      </c>
      <c r="G3799" s="23">
        <v>4</v>
      </c>
      <c r="H3799" s="29"/>
      <c r="I3799" s="93" t="str">
        <f t="shared" si="1137"/>
        <v>Q1</v>
      </c>
      <c r="J3799" s="188" t="s">
        <v>3613</v>
      </c>
      <c r="K3799" s="29" t="s">
        <v>2406</v>
      </c>
      <c r="L3799" s="24" t="s">
        <v>92</v>
      </c>
      <c r="M3799" s="13" t="s">
        <v>60</v>
      </c>
      <c r="N3799" s="22">
        <v>1</v>
      </c>
      <c r="O3799" s="22"/>
      <c r="P3799" s="33" t="str">
        <f t="shared" si="1146"/>
        <v>MAIN UNIT</v>
      </c>
      <c r="Q3799" s="22" t="s">
        <v>61</v>
      </c>
      <c r="R3799" s="22" t="s">
        <v>62</v>
      </c>
      <c r="S3799" s="22" t="s">
        <v>49</v>
      </c>
      <c r="T3799" s="22" t="s">
        <v>78</v>
      </c>
      <c r="U3799" s="22" t="s">
        <v>78</v>
      </c>
      <c r="V3799" s="22" t="s">
        <v>311</v>
      </c>
      <c r="W3799" s="22" t="s">
        <v>109</v>
      </c>
      <c r="X3799" s="104">
        <v>13355000</v>
      </c>
      <c r="Y3799" s="31" t="str">
        <f t="shared" si="1149"/>
        <v>1</v>
      </c>
      <c r="Z3799" s="230">
        <f t="shared" si="1148"/>
        <v>13355000</v>
      </c>
      <c r="AA3799" s="22">
        <v>5.2999999999999999E-2</v>
      </c>
      <c r="AB3799" s="231">
        <f t="shared" si="1152"/>
        <v>707815</v>
      </c>
      <c r="AC3799" s="25">
        <f t="shared" si="1138"/>
        <v>84937.8</v>
      </c>
      <c r="AD3799" s="169">
        <v>0.12</v>
      </c>
      <c r="AE3799" s="26">
        <f t="shared" si="1139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0"/>
        <v>29497483.159292053</v>
      </c>
      <c r="AJ3799" s="27">
        <f t="shared" si="1151"/>
        <v>3539697.9791150414</v>
      </c>
      <c r="AK3799" s="232">
        <f t="shared" si="1140"/>
        <v>0.11999999999999983</v>
      </c>
      <c r="AL3799" s="24"/>
      <c r="AM3799" s="24"/>
      <c r="AN3799" s="24"/>
      <c r="AO3799" s="24"/>
      <c r="AP3799" s="165" t="str">
        <f t="shared" si="1141"/>
        <v>20254</v>
      </c>
      <c r="AQ3799" s="233" t="str">
        <f t="shared" si="1142"/>
        <v>20254JPY</v>
      </c>
      <c r="AR3799" s="234" t="str">
        <f t="shared" si="1143"/>
        <v>YAMAHA_Mounter</v>
      </c>
      <c r="AS3799" s="22">
        <f t="shared" si="1144"/>
        <v>5</v>
      </c>
      <c r="AT3799" s="24" t="str">
        <f t="shared" si="1145"/>
        <v>4-6 months</v>
      </c>
      <c r="AU3799" s="22" t="s">
        <v>3745</v>
      </c>
    </row>
    <row r="3800" spans="1:47">
      <c r="A3800" s="33" t="str">
        <f t="shared" si="1136"/>
        <v>FY 24/25</v>
      </c>
      <c r="B3800" s="23">
        <v>2024</v>
      </c>
      <c r="C3800" s="23">
        <v>11</v>
      </c>
      <c r="D3800" s="33" t="str">
        <f t="shared" si="1147"/>
        <v>Q3</v>
      </c>
      <c r="E3800" s="33" t="str">
        <f t="shared" ref="E3800:E3863" si="1153">IF(G3800="Cancel","Cancel",IF(G3800="TBA","TBA",IFERROR(IF(I3800="Q4","FY "&amp;RIGHT(F3800,2)-1&amp;"/"&amp;RIGHT(F3800,2),"FY "&amp;RIGHT(F3800,2)&amp;"/"&amp;RIGHT(F3800,2)+1),"")))</f>
        <v>FY 25/26</v>
      </c>
      <c r="F3800" s="23">
        <v>2025</v>
      </c>
      <c r="G3800" s="23">
        <v>4</v>
      </c>
      <c r="H3800" s="29"/>
      <c r="I3800" s="93" t="str">
        <f t="shared" si="1137"/>
        <v>Q1</v>
      </c>
      <c r="J3800" s="188" t="s">
        <v>3613</v>
      </c>
      <c r="K3800" s="29" t="s">
        <v>2406</v>
      </c>
      <c r="L3800" s="24" t="s">
        <v>92</v>
      </c>
      <c r="M3800" s="13" t="s">
        <v>60</v>
      </c>
      <c r="N3800" s="22">
        <v>1</v>
      </c>
      <c r="O3800" s="22"/>
      <c r="P3800" s="33" t="str">
        <f t="shared" si="1146"/>
        <v>MAIN UNIT</v>
      </c>
      <c r="Q3800" s="22" t="s">
        <v>61</v>
      </c>
      <c r="R3800" s="22" t="s">
        <v>62</v>
      </c>
      <c r="S3800" s="22" t="s">
        <v>49</v>
      </c>
      <c r="T3800" s="22" t="s">
        <v>78</v>
      </c>
      <c r="U3800" s="22" t="s">
        <v>78</v>
      </c>
      <c r="V3800" s="22" t="s">
        <v>311</v>
      </c>
      <c r="W3800" s="22" t="s">
        <v>109</v>
      </c>
      <c r="X3800" s="104">
        <v>13355000</v>
      </c>
      <c r="Y3800" s="31" t="str">
        <f t="shared" si="1149"/>
        <v>1</v>
      </c>
      <c r="Z3800" s="230">
        <f t="shared" si="1148"/>
        <v>13355000</v>
      </c>
      <c r="AA3800" s="22">
        <v>5.2999999999999999E-2</v>
      </c>
      <c r="AB3800" s="231">
        <f t="shared" si="1152"/>
        <v>707815</v>
      </c>
      <c r="AC3800" s="25">
        <f t="shared" si="1138"/>
        <v>84937.8</v>
      </c>
      <c r="AD3800" s="169">
        <v>0.12</v>
      </c>
      <c r="AE3800" s="26">
        <f t="shared" si="1139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0"/>
        <v>29497483.159292053</v>
      </c>
      <c r="AJ3800" s="27">
        <f t="shared" si="1151"/>
        <v>3539697.9791150414</v>
      </c>
      <c r="AK3800" s="232">
        <f t="shared" si="1140"/>
        <v>0.11999999999999983</v>
      </c>
      <c r="AL3800" s="24"/>
      <c r="AM3800" s="24"/>
      <c r="AN3800" s="24"/>
      <c r="AO3800" s="24"/>
      <c r="AP3800" s="165" t="str">
        <f t="shared" si="1141"/>
        <v>20254</v>
      </c>
      <c r="AQ3800" s="233" t="str">
        <f t="shared" si="1142"/>
        <v>20254JPY</v>
      </c>
      <c r="AR3800" s="234" t="str">
        <f t="shared" si="1143"/>
        <v>YAMAHA_Mounter</v>
      </c>
      <c r="AS3800" s="22">
        <f t="shared" si="1144"/>
        <v>5</v>
      </c>
      <c r="AT3800" s="24" t="str">
        <f t="shared" si="1145"/>
        <v>4-6 months</v>
      </c>
      <c r="AU3800" s="22" t="s">
        <v>3745</v>
      </c>
    </row>
    <row r="3801" spans="1:47">
      <c r="A3801" s="33" t="str">
        <f t="shared" si="1136"/>
        <v>FY 24/25</v>
      </c>
      <c r="B3801" s="23">
        <v>2024</v>
      </c>
      <c r="C3801" s="23">
        <v>11</v>
      </c>
      <c r="D3801" s="33" t="str">
        <f t="shared" si="1147"/>
        <v>Q3</v>
      </c>
      <c r="E3801" s="33" t="str">
        <f t="shared" si="1153"/>
        <v>FY 25/26</v>
      </c>
      <c r="F3801" s="23">
        <v>2025</v>
      </c>
      <c r="G3801" s="23">
        <v>4</v>
      </c>
      <c r="H3801" s="29"/>
      <c r="I3801" s="93" t="str">
        <f t="shared" si="1137"/>
        <v>Q1</v>
      </c>
      <c r="J3801" s="188" t="s">
        <v>3614</v>
      </c>
      <c r="K3801" s="29" t="s">
        <v>3163</v>
      </c>
      <c r="L3801" s="24" t="s">
        <v>92</v>
      </c>
      <c r="M3801" s="13" t="s">
        <v>60</v>
      </c>
      <c r="N3801" s="22">
        <v>1</v>
      </c>
      <c r="O3801" s="22"/>
      <c r="P3801" s="33" t="str">
        <f t="shared" si="1146"/>
        <v>MAIN UNIT</v>
      </c>
      <c r="Q3801" s="22" t="s">
        <v>61</v>
      </c>
      <c r="R3801" s="22" t="s">
        <v>62</v>
      </c>
      <c r="S3801" s="22" t="s">
        <v>49</v>
      </c>
      <c r="T3801" s="22" t="s">
        <v>78</v>
      </c>
      <c r="U3801" s="22" t="s">
        <v>2533</v>
      </c>
      <c r="V3801" s="22" t="s">
        <v>126</v>
      </c>
      <c r="W3801" s="22" t="s">
        <v>109</v>
      </c>
      <c r="X3801" s="104">
        <v>14000000</v>
      </c>
      <c r="Y3801" s="31" t="str">
        <f t="shared" si="1149"/>
        <v>1</v>
      </c>
      <c r="Z3801" s="230">
        <f t="shared" si="1148"/>
        <v>14000000</v>
      </c>
      <c r="AA3801" s="22">
        <v>5.2999999999999999E-2</v>
      </c>
      <c r="AB3801" s="231">
        <f t="shared" si="1152"/>
        <v>742000</v>
      </c>
      <c r="AC3801" s="25">
        <f t="shared" si="1138"/>
        <v>89040</v>
      </c>
      <c r="AD3801" s="169">
        <v>0.12</v>
      </c>
      <c r="AE3801" s="26">
        <f t="shared" si="1139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0"/>
        <v>29497483.159292053</v>
      </c>
      <c r="AJ3801" s="27">
        <f t="shared" si="1151"/>
        <v>3539697.9791150414</v>
      </c>
      <c r="AK3801" s="232">
        <f t="shared" si="1140"/>
        <v>0.11999999999999983</v>
      </c>
      <c r="AL3801" s="24"/>
      <c r="AM3801" s="24"/>
      <c r="AN3801" s="24"/>
      <c r="AO3801" s="24"/>
      <c r="AP3801" s="165" t="str">
        <f t="shared" si="1141"/>
        <v>20254</v>
      </c>
      <c r="AQ3801" s="233" t="str">
        <f t="shared" si="1142"/>
        <v>20254JPY</v>
      </c>
      <c r="AR3801" s="234" t="str">
        <f t="shared" si="1143"/>
        <v>YAMAHA_Mounter</v>
      </c>
      <c r="AS3801" s="22">
        <f t="shared" si="1144"/>
        <v>5</v>
      </c>
      <c r="AT3801" s="24" t="str">
        <f t="shared" si="1145"/>
        <v>4-6 months</v>
      </c>
      <c r="AU3801" s="22" t="s">
        <v>3745</v>
      </c>
    </row>
    <row r="3802" spans="1:47">
      <c r="A3802" s="33" t="str">
        <f t="shared" si="1136"/>
        <v>FY 24/25</v>
      </c>
      <c r="B3802" s="23">
        <v>2024</v>
      </c>
      <c r="C3802" s="23">
        <v>11</v>
      </c>
      <c r="D3802" s="33" t="str">
        <f t="shared" si="1147"/>
        <v>Q3</v>
      </c>
      <c r="E3802" s="33" t="str">
        <f t="shared" si="1153"/>
        <v>FY 25/26</v>
      </c>
      <c r="F3802" s="23">
        <v>2025</v>
      </c>
      <c r="G3802" s="23">
        <v>4</v>
      </c>
      <c r="H3802" s="29"/>
      <c r="I3802" s="93" t="str">
        <f t="shared" si="1137"/>
        <v>Q1</v>
      </c>
      <c r="J3802" s="188" t="s">
        <v>3614</v>
      </c>
      <c r="K3802" s="29" t="s">
        <v>3163</v>
      </c>
      <c r="L3802" s="24" t="s">
        <v>92</v>
      </c>
      <c r="M3802" s="13" t="s">
        <v>60</v>
      </c>
      <c r="N3802" s="22">
        <v>1</v>
      </c>
      <c r="O3802" s="22"/>
      <c r="P3802" s="33" t="str">
        <f t="shared" si="1146"/>
        <v>MAIN UNIT</v>
      </c>
      <c r="Q3802" s="22" t="s">
        <v>61</v>
      </c>
      <c r="R3802" s="22" t="s">
        <v>62</v>
      </c>
      <c r="S3802" s="22" t="s">
        <v>49</v>
      </c>
      <c r="T3802" s="22" t="s">
        <v>78</v>
      </c>
      <c r="U3802" s="22" t="s">
        <v>2533</v>
      </c>
      <c r="V3802" s="22" t="s">
        <v>126</v>
      </c>
      <c r="W3802" s="22" t="s">
        <v>109</v>
      </c>
      <c r="X3802" s="104">
        <v>14000000</v>
      </c>
      <c r="Y3802" s="31" t="str">
        <f t="shared" si="1149"/>
        <v>1</v>
      </c>
      <c r="Z3802" s="230">
        <f t="shared" si="1148"/>
        <v>14000000</v>
      </c>
      <c r="AA3802" s="22">
        <v>5.2999999999999999E-2</v>
      </c>
      <c r="AB3802" s="231">
        <f t="shared" si="1152"/>
        <v>742000</v>
      </c>
      <c r="AC3802" s="25">
        <f t="shared" si="1138"/>
        <v>89040</v>
      </c>
      <c r="AD3802" s="169">
        <v>0.12</v>
      </c>
      <c r="AE3802" s="26">
        <f t="shared" si="1139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0"/>
        <v>29497483.159292053</v>
      </c>
      <c r="AJ3802" s="27">
        <f t="shared" si="1151"/>
        <v>3539697.9791150414</v>
      </c>
      <c r="AK3802" s="232">
        <f t="shared" si="1140"/>
        <v>0.11999999999999983</v>
      </c>
      <c r="AL3802" s="24"/>
      <c r="AM3802" s="24"/>
      <c r="AN3802" s="24"/>
      <c r="AO3802" s="24"/>
      <c r="AP3802" s="165" t="str">
        <f t="shared" si="1141"/>
        <v>20254</v>
      </c>
      <c r="AQ3802" s="233" t="str">
        <f t="shared" si="1142"/>
        <v>20254JPY</v>
      </c>
      <c r="AR3802" s="234" t="str">
        <f t="shared" si="1143"/>
        <v>YAMAHA_Mounter</v>
      </c>
      <c r="AS3802" s="22">
        <f t="shared" si="1144"/>
        <v>5</v>
      </c>
      <c r="AT3802" s="24" t="str">
        <f t="shared" si="1145"/>
        <v>4-6 months</v>
      </c>
      <c r="AU3802" s="22" t="s">
        <v>3745</v>
      </c>
    </row>
    <row r="3803" spans="1:47">
      <c r="A3803" s="33" t="str">
        <f t="shared" si="1136"/>
        <v>FY 24/25</v>
      </c>
      <c r="B3803" s="23">
        <v>2024</v>
      </c>
      <c r="C3803" s="23">
        <v>11</v>
      </c>
      <c r="D3803" s="33" t="str">
        <f t="shared" si="1147"/>
        <v>Q3</v>
      </c>
      <c r="E3803" s="33" t="str">
        <f t="shared" si="1153"/>
        <v>FY 25/26</v>
      </c>
      <c r="F3803" s="23">
        <v>2025</v>
      </c>
      <c r="G3803" s="23">
        <v>4</v>
      </c>
      <c r="H3803" s="29"/>
      <c r="I3803" s="93" t="str">
        <f t="shared" si="1137"/>
        <v>Q1</v>
      </c>
      <c r="J3803" s="188" t="s">
        <v>3614</v>
      </c>
      <c r="K3803" s="29" t="s">
        <v>3163</v>
      </c>
      <c r="L3803" s="24" t="s">
        <v>92</v>
      </c>
      <c r="M3803" s="13" t="s">
        <v>60</v>
      </c>
      <c r="N3803" s="22">
        <v>1</v>
      </c>
      <c r="O3803" s="22"/>
      <c r="P3803" s="33" t="str">
        <f t="shared" si="1146"/>
        <v>MAIN UNIT</v>
      </c>
      <c r="Q3803" s="22" t="s">
        <v>61</v>
      </c>
      <c r="R3803" s="22" t="s">
        <v>62</v>
      </c>
      <c r="S3803" s="22" t="s">
        <v>49</v>
      </c>
      <c r="T3803" s="22" t="s">
        <v>78</v>
      </c>
      <c r="U3803" s="22" t="s">
        <v>2533</v>
      </c>
      <c r="V3803" s="22" t="s">
        <v>126</v>
      </c>
      <c r="W3803" s="22" t="s">
        <v>109</v>
      </c>
      <c r="X3803" s="104">
        <v>14000000</v>
      </c>
      <c r="Y3803" s="31" t="str">
        <f t="shared" si="1149"/>
        <v>1</v>
      </c>
      <c r="Z3803" s="230">
        <f t="shared" si="1148"/>
        <v>14000000</v>
      </c>
      <c r="AA3803" s="22">
        <v>5.2999999999999999E-2</v>
      </c>
      <c r="AB3803" s="231">
        <f t="shared" si="1152"/>
        <v>742000</v>
      </c>
      <c r="AC3803" s="25">
        <f t="shared" si="1138"/>
        <v>89040</v>
      </c>
      <c r="AD3803" s="169">
        <v>0.12</v>
      </c>
      <c r="AE3803" s="26">
        <f t="shared" si="1139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0"/>
        <v>29497483.159292053</v>
      </c>
      <c r="AJ3803" s="27">
        <f t="shared" si="1151"/>
        <v>3539697.9791150414</v>
      </c>
      <c r="AK3803" s="232">
        <f t="shared" si="1140"/>
        <v>0.11999999999999983</v>
      </c>
      <c r="AL3803" s="24"/>
      <c r="AM3803" s="24"/>
      <c r="AN3803" s="24"/>
      <c r="AO3803" s="24"/>
      <c r="AP3803" s="165" t="str">
        <f t="shared" si="1141"/>
        <v>20254</v>
      </c>
      <c r="AQ3803" s="233" t="str">
        <f t="shared" si="1142"/>
        <v>20254JPY</v>
      </c>
      <c r="AR3803" s="234" t="str">
        <f t="shared" si="1143"/>
        <v>YAMAHA_Mounter</v>
      </c>
      <c r="AS3803" s="22">
        <f t="shared" si="1144"/>
        <v>5</v>
      </c>
      <c r="AT3803" s="24" t="str">
        <f t="shared" si="1145"/>
        <v>4-6 months</v>
      </c>
      <c r="AU3803" s="22" t="s">
        <v>3745</v>
      </c>
    </row>
    <row r="3804" spans="1:47">
      <c r="A3804" s="33" t="str">
        <f t="shared" si="1136"/>
        <v>FY 24/25</v>
      </c>
      <c r="B3804" s="23">
        <v>2024</v>
      </c>
      <c r="C3804" s="23">
        <v>11</v>
      </c>
      <c r="D3804" s="33" t="str">
        <f t="shared" si="1147"/>
        <v>Q3</v>
      </c>
      <c r="E3804" s="33" t="str">
        <f t="shared" si="1153"/>
        <v>FY 25/26</v>
      </c>
      <c r="F3804" s="23">
        <v>2025</v>
      </c>
      <c r="G3804" s="23">
        <v>4</v>
      </c>
      <c r="H3804" s="29"/>
      <c r="I3804" s="93" t="str">
        <f t="shared" si="1137"/>
        <v>Q1</v>
      </c>
      <c r="J3804" s="188" t="s">
        <v>3614</v>
      </c>
      <c r="K3804" s="29" t="s">
        <v>3163</v>
      </c>
      <c r="L3804" s="24" t="s">
        <v>92</v>
      </c>
      <c r="M3804" s="13" t="s">
        <v>60</v>
      </c>
      <c r="N3804" s="22">
        <v>1</v>
      </c>
      <c r="O3804" s="22"/>
      <c r="P3804" s="33" t="str">
        <f t="shared" si="1146"/>
        <v>MAIN UNIT</v>
      </c>
      <c r="Q3804" s="22" t="s">
        <v>61</v>
      </c>
      <c r="R3804" s="22" t="s">
        <v>62</v>
      </c>
      <c r="S3804" s="22" t="s">
        <v>49</v>
      </c>
      <c r="T3804" s="22" t="s">
        <v>78</v>
      </c>
      <c r="U3804" s="22" t="s">
        <v>2533</v>
      </c>
      <c r="V3804" s="22" t="s">
        <v>126</v>
      </c>
      <c r="W3804" s="22" t="s">
        <v>109</v>
      </c>
      <c r="X3804" s="104">
        <v>14000000</v>
      </c>
      <c r="Y3804" s="31" t="str">
        <f t="shared" si="1149"/>
        <v>1</v>
      </c>
      <c r="Z3804" s="230">
        <f t="shared" si="1148"/>
        <v>14000000</v>
      </c>
      <c r="AA3804" s="22">
        <v>5.2999999999999999E-2</v>
      </c>
      <c r="AB3804" s="231">
        <f t="shared" si="1152"/>
        <v>742000</v>
      </c>
      <c r="AC3804" s="25">
        <f t="shared" si="1138"/>
        <v>89040</v>
      </c>
      <c r="AD3804" s="169">
        <v>0.12</v>
      </c>
      <c r="AE3804" s="26">
        <f t="shared" si="1139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0"/>
        <v>29497483.159292053</v>
      </c>
      <c r="AJ3804" s="27">
        <f t="shared" si="1151"/>
        <v>3539697.9791150414</v>
      </c>
      <c r="AK3804" s="232">
        <f t="shared" si="1140"/>
        <v>0.11999999999999983</v>
      </c>
      <c r="AL3804" s="24"/>
      <c r="AM3804" s="24"/>
      <c r="AN3804" s="24"/>
      <c r="AO3804" s="24"/>
      <c r="AP3804" s="165" t="str">
        <f t="shared" si="1141"/>
        <v>20254</v>
      </c>
      <c r="AQ3804" s="233" t="str">
        <f t="shared" si="1142"/>
        <v>20254JPY</v>
      </c>
      <c r="AR3804" s="234" t="str">
        <f t="shared" si="1143"/>
        <v>YAMAHA_Mounter</v>
      </c>
      <c r="AS3804" s="22">
        <f t="shared" si="1144"/>
        <v>5</v>
      </c>
      <c r="AT3804" s="24" t="str">
        <f t="shared" si="1145"/>
        <v>4-6 months</v>
      </c>
      <c r="AU3804" s="22" t="s">
        <v>3745</v>
      </c>
    </row>
    <row r="3805" spans="1:47">
      <c r="A3805" s="33" t="str">
        <f t="shared" si="1136"/>
        <v>FY 24/25</v>
      </c>
      <c r="B3805" s="23">
        <v>2024</v>
      </c>
      <c r="C3805" s="23">
        <v>11</v>
      </c>
      <c r="D3805" s="33" t="str">
        <f t="shared" si="1147"/>
        <v>Q3</v>
      </c>
      <c r="E3805" s="33" t="str">
        <f t="shared" si="1153"/>
        <v>FY 24/25</v>
      </c>
      <c r="F3805" s="23">
        <v>2024</v>
      </c>
      <c r="G3805" s="23">
        <v>12</v>
      </c>
      <c r="H3805" s="29"/>
      <c r="I3805" s="93" t="str">
        <f t="shared" si="1137"/>
        <v>Q3</v>
      </c>
      <c r="J3805" s="188" t="s">
        <v>3615</v>
      </c>
      <c r="K3805" s="29" t="s">
        <v>2509</v>
      </c>
      <c r="L3805" s="24" t="s">
        <v>67</v>
      </c>
      <c r="M3805" s="13" t="s">
        <v>60</v>
      </c>
      <c r="N3805" s="22">
        <v>1</v>
      </c>
      <c r="O3805" s="22"/>
      <c r="P3805" s="33" t="str">
        <f t="shared" si="1146"/>
        <v>MAIN UNIT</v>
      </c>
      <c r="Q3805" s="22" t="s">
        <v>61</v>
      </c>
      <c r="R3805" s="22" t="s">
        <v>62</v>
      </c>
      <c r="S3805" s="22" t="s">
        <v>49</v>
      </c>
      <c r="T3805" s="22" t="s">
        <v>78</v>
      </c>
      <c r="U3805" s="22" t="s">
        <v>3517</v>
      </c>
      <c r="V3805" s="22" t="s">
        <v>80</v>
      </c>
      <c r="W3805" s="22" t="s">
        <v>64</v>
      </c>
      <c r="X3805" s="104">
        <v>446700</v>
      </c>
      <c r="Y3805" s="31" t="str">
        <f t="shared" si="1149"/>
        <v>1.13</v>
      </c>
      <c r="Z3805" s="230">
        <f t="shared" si="1148"/>
        <v>446700</v>
      </c>
      <c r="AA3805" s="22">
        <v>1.0760000000000001</v>
      </c>
      <c r="AB3805" s="231">
        <f t="shared" si="1152"/>
        <v>425353.27433628327</v>
      </c>
      <c r="AC3805" s="25">
        <f t="shared" si="1138"/>
        <v>49426.050477876117</v>
      </c>
      <c r="AD3805" s="169">
        <v>0.1162</v>
      </c>
      <c r="AE3805" s="26">
        <f t="shared" si="1139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0"/>
        <v>15965524.256637167</v>
      </c>
      <c r="AJ3805" s="27">
        <f t="shared" si="1151"/>
        <v>2480116.5996584073</v>
      </c>
      <c r="AK3805" s="232">
        <f t="shared" si="1140"/>
        <v>0.15534200817911609</v>
      </c>
      <c r="AL3805" s="24"/>
      <c r="AM3805" s="24"/>
      <c r="AN3805" s="24"/>
      <c r="AO3805" s="24"/>
      <c r="AP3805" s="165" t="str">
        <f t="shared" si="1141"/>
        <v>202412</v>
      </c>
      <c r="AQ3805" s="233" t="str">
        <f t="shared" si="1142"/>
        <v>202412RMB</v>
      </c>
      <c r="AR3805" s="234" t="str">
        <f t="shared" si="1143"/>
        <v>YAMAHA_Mounter</v>
      </c>
      <c r="AS3805" s="22">
        <f t="shared" si="1144"/>
        <v>1</v>
      </c>
      <c r="AT3805" s="24" t="str">
        <f t="shared" si="1145"/>
        <v>0-3 months</v>
      </c>
      <c r="AU3805" s="22" t="s">
        <v>3751</v>
      </c>
    </row>
    <row r="3806" spans="1:47">
      <c r="A3806" s="33" t="str">
        <f t="shared" si="1136"/>
        <v>FY 24/25</v>
      </c>
      <c r="B3806" s="23">
        <v>2024</v>
      </c>
      <c r="C3806" s="23">
        <v>11</v>
      </c>
      <c r="D3806" s="33" t="str">
        <f t="shared" si="1147"/>
        <v>Q3</v>
      </c>
      <c r="E3806" s="33" t="str">
        <f t="shared" si="1153"/>
        <v>FY 24/25</v>
      </c>
      <c r="F3806" s="23">
        <v>2024</v>
      </c>
      <c r="G3806" s="23">
        <v>12</v>
      </c>
      <c r="H3806" s="29"/>
      <c r="I3806" s="93" t="str">
        <f t="shared" si="1137"/>
        <v>Q3</v>
      </c>
      <c r="J3806" s="188" t="s">
        <v>3616</v>
      </c>
      <c r="K3806" s="29" t="s">
        <v>3457</v>
      </c>
      <c r="L3806" s="24" t="s">
        <v>92</v>
      </c>
      <c r="M3806" s="13" t="s">
        <v>60</v>
      </c>
      <c r="N3806" s="22">
        <v>1</v>
      </c>
      <c r="O3806" s="22"/>
      <c r="P3806" s="33" t="str">
        <f t="shared" si="1146"/>
        <v>MAIN UNIT</v>
      </c>
      <c r="Q3806" s="22" t="s">
        <v>61</v>
      </c>
      <c r="R3806" s="22" t="s">
        <v>62</v>
      </c>
      <c r="S3806" s="22" t="s">
        <v>49</v>
      </c>
      <c r="T3806" s="22" t="s">
        <v>78</v>
      </c>
      <c r="U3806" s="22" t="s">
        <v>78</v>
      </c>
      <c r="V3806" s="22" t="s">
        <v>131</v>
      </c>
      <c r="W3806" s="22" t="s">
        <v>109</v>
      </c>
      <c r="X3806" s="104">
        <v>16835000</v>
      </c>
      <c r="Y3806" s="31" t="str">
        <f t="shared" si="1149"/>
        <v>1</v>
      </c>
      <c r="Z3806" s="230">
        <f t="shared" si="1148"/>
        <v>16835000</v>
      </c>
      <c r="AA3806" s="22">
        <v>5.2900000000000003E-2</v>
      </c>
      <c r="AB3806" s="231">
        <f t="shared" si="1152"/>
        <v>890571.5</v>
      </c>
      <c r="AC3806" s="25">
        <f t="shared" si="1138"/>
        <v>194411.75844999999</v>
      </c>
      <c r="AD3806" s="169">
        <v>0.21829999999999999</v>
      </c>
      <c r="AE3806" s="26">
        <f t="shared" si="1139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0"/>
        <v>15965524.256637167</v>
      </c>
      <c r="AJ3806" s="27">
        <f t="shared" si="1151"/>
        <v>2480116.5996584073</v>
      </c>
      <c r="AK3806" s="232">
        <f t="shared" si="1140"/>
        <v>0.15534200817911609</v>
      </c>
      <c r="AL3806" s="24"/>
      <c r="AM3806" s="24"/>
      <c r="AN3806" s="24"/>
      <c r="AO3806" s="24"/>
      <c r="AP3806" s="165" t="str">
        <f t="shared" si="1141"/>
        <v>202412</v>
      </c>
      <c r="AQ3806" s="233" t="str">
        <f t="shared" si="1142"/>
        <v>202412JPY</v>
      </c>
      <c r="AR3806" s="234" t="str">
        <f t="shared" si="1143"/>
        <v>YAMAHA_Mounter</v>
      </c>
      <c r="AS3806" s="22">
        <f t="shared" si="1144"/>
        <v>1</v>
      </c>
      <c r="AT3806" s="24" t="str">
        <f t="shared" si="1145"/>
        <v>0-3 months</v>
      </c>
      <c r="AU3806" s="22" t="s">
        <v>3746</v>
      </c>
    </row>
    <row r="3807" spans="1:47">
      <c r="A3807" s="33" t="str">
        <f t="shared" si="1136"/>
        <v>FY 24/25</v>
      </c>
      <c r="B3807" s="23">
        <v>2024</v>
      </c>
      <c r="C3807" s="23">
        <v>11</v>
      </c>
      <c r="D3807" s="33" t="str">
        <f t="shared" si="1147"/>
        <v>Q3</v>
      </c>
      <c r="E3807" s="33" t="str">
        <f t="shared" si="1153"/>
        <v>FY 24/25</v>
      </c>
      <c r="F3807" s="23">
        <v>2024</v>
      </c>
      <c r="G3807" s="23">
        <v>12</v>
      </c>
      <c r="H3807" s="29"/>
      <c r="I3807" s="93" t="str">
        <f t="shared" si="1137"/>
        <v>Q3</v>
      </c>
      <c r="J3807" s="188" t="s">
        <v>3616</v>
      </c>
      <c r="K3807" s="29" t="s">
        <v>3457</v>
      </c>
      <c r="L3807" s="24" t="s">
        <v>92</v>
      </c>
      <c r="M3807" s="13" t="s">
        <v>60</v>
      </c>
      <c r="N3807" s="22">
        <v>1</v>
      </c>
      <c r="O3807" s="22"/>
      <c r="P3807" s="33" t="str">
        <f t="shared" si="1146"/>
        <v>MAIN UNIT</v>
      </c>
      <c r="Q3807" s="22" t="s">
        <v>61</v>
      </c>
      <c r="R3807" s="22" t="s">
        <v>62</v>
      </c>
      <c r="S3807" s="22" t="s">
        <v>49</v>
      </c>
      <c r="T3807" s="22" t="s">
        <v>78</v>
      </c>
      <c r="U3807" s="22" t="s">
        <v>78</v>
      </c>
      <c r="V3807" s="22" t="s">
        <v>131</v>
      </c>
      <c r="W3807" s="22" t="s">
        <v>109</v>
      </c>
      <c r="X3807" s="104">
        <v>16835000</v>
      </c>
      <c r="Y3807" s="31" t="str">
        <f t="shared" si="1149"/>
        <v>1</v>
      </c>
      <c r="Z3807" s="230">
        <f t="shared" si="1148"/>
        <v>16835000</v>
      </c>
      <c r="AA3807" s="22">
        <v>5.2900000000000003E-2</v>
      </c>
      <c r="AB3807" s="231">
        <f t="shared" si="1152"/>
        <v>890571.5</v>
      </c>
      <c r="AC3807" s="25">
        <f t="shared" si="1138"/>
        <v>194411.75844999999</v>
      </c>
      <c r="AD3807" s="169">
        <v>0.21829999999999999</v>
      </c>
      <c r="AE3807" s="26">
        <f t="shared" si="1139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0"/>
        <v>15965524.256637167</v>
      </c>
      <c r="AJ3807" s="27">
        <f t="shared" si="1151"/>
        <v>2480116.5996584073</v>
      </c>
      <c r="AK3807" s="232">
        <f t="shared" si="1140"/>
        <v>0.15534200817911609</v>
      </c>
      <c r="AL3807" s="24"/>
      <c r="AM3807" s="24"/>
      <c r="AN3807" s="24"/>
      <c r="AO3807" s="24"/>
      <c r="AP3807" s="165" t="str">
        <f t="shared" si="1141"/>
        <v>202412</v>
      </c>
      <c r="AQ3807" s="233" t="str">
        <f t="shared" si="1142"/>
        <v>202412JPY</v>
      </c>
      <c r="AR3807" s="234" t="str">
        <f t="shared" si="1143"/>
        <v>YAMAHA_Mounter</v>
      </c>
      <c r="AS3807" s="22">
        <f t="shared" si="1144"/>
        <v>1</v>
      </c>
      <c r="AT3807" s="24" t="str">
        <f t="shared" si="1145"/>
        <v>0-3 months</v>
      </c>
      <c r="AU3807" s="22" t="s">
        <v>3746</v>
      </c>
    </row>
    <row r="3808" spans="1:47">
      <c r="A3808" s="33" t="str">
        <f t="shared" ref="A3808:A3871" si="1154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47"/>
        <v>Q3</v>
      </c>
      <c r="E3808" s="33" t="str">
        <f t="shared" si="1153"/>
        <v>FY 24/25</v>
      </c>
      <c r="F3808" s="23">
        <v>2024</v>
      </c>
      <c r="G3808" s="23">
        <v>12</v>
      </c>
      <c r="H3808" s="29"/>
      <c r="I3808" s="93" t="str">
        <f t="shared" ref="I3808:I3871" si="1155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3616</v>
      </c>
      <c r="K3808" s="29" t="s">
        <v>3457</v>
      </c>
      <c r="L3808" s="24" t="s">
        <v>67</v>
      </c>
      <c r="M3808" s="13" t="s">
        <v>60</v>
      </c>
      <c r="N3808" s="22">
        <v>1</v>
      </c>
      <c r="O3808" s="22"/>
      <c r="P3808" s="33" t="str">
        <f t="shared" si="1146"/>
        <v>MAIN UNIT</v>
      </c>
      <c r="Q3808" s="22" t="s">
        <v>61</v>
      </c>
      <c r="R3808" s="22" t="s">
        <v>62</v>
      </c>
      <c r="S3808" s="22" t="s">
        <v>49</v>
      </c>
      <c r="T3808" s="22" t="s">
        <v>78</v>
      </c>
      <c r="U3808" s="22" t="s">
        <v>78</v>
      </c>
      <c r="V3808" s="22" t="s">
        <v>131</v>
      </c>
      <c r="W3808" s="22" t="s">
        <v>109</v>
      </c>
      <c r="X3808" s="104">
        <v>14300000</v>
      </c>
      <c r="Y3808" s="31" t="str">
        <f t="shared" si="1149"/>
        <v>1</v>
      </c>
      <c r="Z3808" s="230">
        <f t="shared" si="1148"/>
        <v>14300000</v>
      </c>
      <c r="AA3808" s="22">
        <v>5.2900000000000003E-2</v>
      </c>
      <c r="AB3808" s="231">
        <f t="shared" si="1152"/>
        <v>756470</v>
      </c>
      <c r="AC3808" s="25">
        <f t="shared" ref="AC3808:AC3871" si="1156">IF(R3808&lt;&gt;"",AB3808*AD3808,"")</f>
        <v>165137.40099999998</v>
      </c>
      <c r="AD3808" s="169">
        <v>0.21829999999999999</v>
      </c>
      <c r="AE3808" s="26">
        <f t="shared" ref="AE3808:AE3871" si="1157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0"/>
        <v>15965524.256637167</v>
      </c>
      <c r="AJ3808" s="27">
        <f t="shared" si="1151"/>
        <v>2480116.5996584073</v>
      </c>
      <c r="AK3808" s="232">
        <f t="shared" ref="AK3808:AK3871" si="1158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59">IF(F3808="","",F3808&amp;G3808)</f>
        <v>202412</v>
      </c>
      <c r="AQ3808" s="233" t="str">
        <f t="shared" ref="AQ3808:AQ3871" si="1160">IF(W3808="","",F3808&amp;G3808&amp;W3808)</f>
        <v>202412JPY</v>
      </c>
      <c r="AR3808" s="234" t="str">
        <f t="shared" ref="AR3808:AR3871" si="1161">IFERROR(IF(AND(M3808="YAMAHA", R3808="C28"), "YAMAHA_Non_Mounter", IF(AND(M3808="YAMAHA", R3808="C49"), "YAMAHA_Mounter", M3808)),"")</f>
        <v>YAMAHA_Mounter</v>
      </c>
      <c r="AS3808" s="22">
        <f t="shared" ref="AS3808:AS3871" si="1162">IFERROR(IF(OR(G3808="TBA", G3808=""), "", DATEDIF(DATE(B3808, C3808, 1), DATE(F3808, G3808, 1), "M")),"")</f>
        <v>1</v>
      </c>
      <c r="AT3808" s="24" t="str">
        <f t="shared" ref="AT3808:AT3871" si="1163">IF(ISNUMBER(AS3808), IF(AS3808&gt;=0, IF(AS3808&lt;=3, "0-3 months", IF(AS3808&lt;=6, "4-6 months", "&gt; 6 months"))), "")</f>
        <v>0-3 months</v>
      </c>
      <c r="AU3808" s="22" t="s">
        <v>3746</v>
      </c>
    </row>
    <row r="3809" spans="1:47">
      <c r="A3809" s="33" t="str">
        <f t="shared" si="1154"/>
        <v>FY 24/25</v>
      </c>
      <c r="B3809" s="23">
        <v>2024</v>
      </c>
      <c r="C3809" s="23">
        <v>11</v>
      </c>
      <c r="D3809" s="33" t="str">
        <f t="shared" si="1147"/>
        <v>Q3</v>
      </c>
      <c r="E3809" s="33" t="str">
        <f t="shared" si="1153"/>
        <v>FY 24/25</v>
      </c>
      <c r="F3809" s="23">
        <v>2024</v>
      </c>
      <c r="G3809" s="23">
        <v>12</v>
      </c>
      <c r="H3809" s="29"/>
      <c r="I3809" s="93" t="str">
        <f t="shared" si="1155"/>
        <v>Q3</v>
      </c>
      <c r="J3809" s="188" t="s">
        <v>3616</v>
      </c>
      <c r="K3809" s="29" t="s">
        <v>3457</v>
      </c>
      <c r="L3809" s="24" t="s">
        <v>67</v>
      </c>
      <c r="M3809" s="13" t="s">
        <v>60</v>
      </c>
      <c r="N3809" s="22">
        <v>1</v>
      </c>
      <c r="O3809" s="22"/>
      <c r="P3809" s="33" t="str">
        <f t="shared" ref="P3809:P3872" si="1164">IF(M3809="","",IF(AND(N3809&gt;0,L3809&lt;&gt;""),"MAIN UNIT",IF(AND(O3809&gt;0,L3809&lt;&gt;""),"SERVICE/ PARTS","C66 SERVICE/OTHERS")))</f>
        <v>MAIN UNIT</v>
      </c>
      <c r="Q3809" s="22" t="s">
        <v>61</v>
      </c>
      <c r="R3809" s="22" t="s">
        <v>62</v>
      </c>
      <c r="S3809" s="22" t="s">
        <v>49</v>
      </c>
      <c r="T3809" s="22" t="s">
        <v>78</v>
      </c>
      <c r="U3809" s="22" t="s">
        <v>78</v>
      </c>
      <c r="V3809" s="22" t="s">
        <v>131</v>
      </c>
      <c r="W3809" s="22" t="s">
        <v>109</v>
      </c>
      <c r="X3809" s="104">
        <v>14300000</v>
      </c>
      <c r="Y3809" s="31" t="str">
        <f t="shared" si="1149"/>
        <v>1</v>
      </c>
      <c r="Z3809" s="230">
        <f t="shared" si="1148"/>
        <v>14300000</v>
      </c>
      <c r="AA3809" s="22">
        <v>5.2900000000000003E-2</v>
      </c>
      <c r="AB3809" s="231">
        <f t="shared" si="1152"/>
        <v>756470</v>
      </c>
      <c r="AC3809" s="25">
        <f t="shared" si="1156"/>
        <v>165137.40099999998</v>
      </c>
      <c r="AD3809" s="169">
        <v>0.21829999999999999</v>
      </c>
      <c r="AE3809" s="26">
        <f t="shared" si="1157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0"/>
        <v>15965524.256637167</v>
      </c>
      <c r="AJ3809" s="27">
        <f t="shared" si="1151"/>
        <v>2480116.5996584073</v>
      </c>
      <c r="AK3809" s="232">
        <f t="shared" si="1158"/>
        <v>0.15534200817911609</v>
      </c>
      <c r="AL3809" s="24"/>
      <c r="AM3809" s="24"/>
      <c r="AN3809" s="24"/>
      <c r="AO3809" s="24"/>
      <c r="AP3809" s="165" t="str">
        <f t="shared" si="1159"/>
        <v>202412</v>
      </c>
      <c r="AQ3809" s="233" t="str">
        <f t="shared" si="1160"/>
        <v>202412JPY</v>
      </c>
      <c r="AR3809" s="234" t="str">
        <f t="shared" si="1161"/>
        <v>YAMAHA_Mounter</v>
      </c>
      <c r="AS3809" s="22">
        <f t="shared" si="1162"/>
        <v>1</v>
      </c>
      <c r="AT3809" s="24" t="str">
        <f t="shared" si="1163"/>
        <v>0-3 months</v>
      </c>
      <c r="AU3809" s="22" t="s">
        <v>3746</v>
      </c>
    </row>
    <row r="3810" spans="1:47">
      <c r="A3810" s="33" t="str">
        <f t="shared" si="1154"/>
        <v>FY 24/25</v>
      </c>
      <c r="B3810" s="23">
        <v>2024</v>
      </c>
      <c r="C3810" s="23">
        <v>11</v>
      </c>
      <c r="D3810" s="33" t="str">
        <f t="shared" si="1147"/>
        <v>Q3</v>
      </c>
      <c r="E3810" s="33" t="str">
        <f t="shared" si="1153"/>
        <v>FY 24/25</v>
      </c>
      <c r="F3810" s="23">
        <v>2024</v>
      </c>
      <c r="G3810" s="23">
        <v>11</v>
      </c>
      <c r="H3810" s="29"/>
      <c r="I3810" s="93" t="str">
        <f t="shared" si="1155"/>
        <v>Q3</v>
      </c>
      <c r="J3810" s="188" t="s">
        <v>3617</v>
      </c>
      <c r="K3810" s="29" t="s">
        <v>1555</v>
      </c>
      <c r="L3810" s="24" t="s">
        <v>92</v>
      </c>
      <c r="M3810" s="13" t="s">
        <v>60</v>
      </c>
      <c r="N3810" s="22">
        <v>1</v>
      </c>
      <c r="O3810" s="22"/>
      <c r="P3810" s="33" t="str">
        <f t="shared" si="1164"/>
        <v>MAIN UNIT</v>
      </c>
      <c r="Q3810" s="22" t="s">
        <v>61</v>
      </c>
      <c r="R3810" s="22" t="s">
        <v>62</v>
      </c>
      <c r="S3810" s="22" t="s">
        <v>50</v>
      </c>
      <c r="T3810" s="22" t="s">
        <v>88</v>
      </c>
      <c r="U3810" s="22" t="s">
        <v>70</v>
      </c>
      <c r="V3810" s="22" t="s">
        <v>1400</v>
      </c>
      <c r="W3810" s="22" t="s">
        <v>64</v>
      </c>
      <c r="X3810" s="104">
        <v>673800</v>
      </c>
      <c r="Y3810" s="31" t="str">
        <f t="shared" si="1149"/>
        <v>1.13</v>
      </c>
      <c r="Z3810" s="230">
        <f t="shared" si="1148"/>
        <v>673800</v>
      </c>
      <c r="AA3810" s="22">
        <v>1.0920000000000001</v>
      </c>
      <c r="AB3810" s="231">
        <f t="shared" si="1152"/>
        <v>651141.23893805314</v>
      </c>
      <c r="AC3810" s="25">
        <f t="shared" si="1156"/>
        <v>63616.499044247787</v>
      </c>
      <c r="AD3810" s="169">
        <v>9.7699999999999995E-2</v>
      </c>
      <c r="AE3810" s="26">
        <f t="shared" si="1157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0"/>
        <v>32082250.320460182</v>
      </c>
      <c r="AJ3810" s="27">
        <f t="shared" si="1151"/>
        <v>4323122.9746477893</v>
      </c>
      <c r="AK3810" s="232">
        <f t="shared" si="1158"/>
        <v>0.1347512388147771</v>
      </c>
      <c r="AL3810" s="24"/>
      <c r="AM3810" s="24"/>
      <c r="AN3810" s="24"/>
      <c r="AO3810" s="24"/>
      <c r="AP3810" s="165" t="str">
        <f t="shared" si="1159"/>
        <v>202411</v>
      </c>
      <c r="AQ3810" s="233" t="str">
        <f t="shared" si="1160"/>
        <v>202411RMB</v>
      </c>
      <c r="AR3810" s="234" t="str">
        <f t="shared" si="1161"/>
        <v>YAMAHA_Mounter</v>
      </c>
      <c r="AS3810" s="22">
        <f t="shared" si="1162"/>
        <v>0</v>
      </c>
      <c r="AT3810" s="24" t="str">
        <f t="shared" si="1163"/>
        <v>0-3 months</v>
      </c>
      <c r="AU3810" s="22" t="s">
        <v>3240</v>
      </c>
    </row>
    <row r="3811" spans="1:47">
      <c r="A3811" s="33" t="str">
        <f t="shared" si="1154"/>
        <v>FY 24/25</v>
      </c>
      <c r="B3811" s="23">
        <v>2024</v>
      </c>
      <c r="C3811" s="23">
        <v>11</v>
      </c>
      <c r="D3811" s="33" t="str">
        <f t="shared" si="1147"/>
        <v>Q3</v>
      </c>
      <c r="E3811" s="33" t="str">
        <f t="shared" si="1153"/>
        <v>FY 24/25</v>
      </c>
      <c r="F3811" s="23">
        <v>2025</v>
      </c>
      <c r="G3811" s="23">
        <v>2</v>
      </c>
      <c r="H3811" s="29"/>
      <c r="I3811" s="93" t="str">
        <f t="shared" si="1155"/>
        <v>Q4</v>
      </c>
      <c r="J3811" s="188" t="s">
        <v>3618</v>
      </c>
      <c r="K3811" s="29" t="s">
        <v>3619</v>
      </c>
      <c r="L3811" s="24" t="s">
        <v>67</v>
      </c>
      <c r="M3811" s="13" t="s">
        <v>60</v>
      </c>
      <c r="N3811" s="22">
        <v>1</v>
      </c>
      <c r="O3811" s="22"/>
      <c r="P3811" s="33" t="str">
        <f t="shared" si="1164"/>
        <v>MAIN UNIT</v>
      </c>
      <c r="Q3811" s="22" t="s">
        <v>61</v>
      </c>
      <c r="R3811" s="22" t="s">
        <v>62</v>
      </c>
      <c r="S3811" s="22" t="s">
        <v>50</v>
      </c>
      <c r="T3811" s="22" t="s">
        <v>93</v>
      </c>
      <c r="U3811" s="22" t="s">
        <v>70</v>
      </c>
      <c r="V3811" s="22" t="s">
        <v>71</v>
      </c>
      <c r="W3811" s="22" t="s">
        <v>64</v>
      </c>
      <c r="X3811" s="104">
        <v>780000</v>
      </c>
      <c r="Y3811" s="31" t="str">
        <f t="shared" si="1149"/>
        <v>1.13</v>
      </c>
      <c r="Z3811" s="230">
        <f t="shared" si="1148"/>
        <v>780000</v>
      </c>
      <c r="AA3811" s="22">
        <v>1.073</v>
      </c>
      <c r="AB3811" s="231">
        <f t="shared" si="1152"/>
        <v>740654.8672566372</v>
      </c>
      <c r="AC3811" s="25">
        <f t="shared" si="1156"/>
        <v>120356.41592920355</v>
      </c>
      <c r="AD3811" s="170">
        <v>0.16250000000000001</v>
      </c>
      <c r="AE3811" s="26">
        <f t="shared" si="1157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0"/>
        <v>30691842.970796466</v>
      </c>
      <c r="AJ3811" s="27">
        <f t="shared" si="1151"/>
        <v>4088324.205777524</v>
      </c>
      <c r="AK3811" s="232">
        <f t="shared" si="1158"/>
        <v>0.1332055624573473</v>
      </c>
      <c r="AL3811" s="24"/>
      <c r="AM3811" s="24"/>
      <c r="AN3811" s="24"/>
      <c r="AO3811" s="24"/>
      <c r="AP3811" s="165" t="str">
        <f t="shared" si="1159"/>
        <v>20252</v>
      </c>
      <c r="AQ3811" s="233" t="str">
        <f t="shared" si="1160"/>
        <v>20252RMB</v>
      </c>
      <c r="AR3811" s="234" t="str">
        <f t="shared" si="1161"/>
        <v>YAMAHA_Mounter</v>
      </c>
      <c r="AS3811" s="22">
        <f t="shared" si="1162"/>
        <v>3</v>
      </c>
      <c r="AT3811" s="24" t="str">
        <f t="shared" si="1163"/>
        <v>0-3 months</v>
      </c>
      <c r="AU3811" s="22" t="s">
        <v>3240</v>
      </c>
    </row>
    <row r="3812" spans="1:47">
      <c r="A3812" s="33" t="str">
        <f t="shared" si="1154"/>
        <v>FY 24/25</v>
      </c>
      <c r="B3812" s="23">
        <v>2024</v>
      </c>
      <c r="C3812" s="23">
        <v>11</v>
      </c>
      <c r="D3812" s="33" t="str">
        <f t="shared" si="1147"/>
        <v>Q3</v>
      </c>
      <c r="E3812" s="33" t="str">
        <f t="shared" si="1153"/>
        <v>FY 24/25</v>
      </c>
      <c r="F3812" s="23">
        <v>2024</v>
      </c>
      <c r="G3812" s="23">
        <v>12</v>
      </c>
      <c r="H3812" s="29"/>
      <c r="I3812" s="93" t="str">
        <f t="shared" si="1155"/>
        <v>Q3</v>
      </c>
      <c r="J3812" s="188" t="s">
        <v>3642</v>
      </c>
      <c r="K3812" s="29" t="s">
        <v>3620</v>
      </c>
      <c r="L3812" s="24" t="s">
        <v>67</v>
      </c>
      <c r="M3812" s="13" t="s">
        <v>60</v>
      </c>
      <c r="N3812" s="22">
        <v>1</v>
      </c>
      <c r="O3812" s="22"/>
      <c r="P3812" s="33" t="str">
        <f t="shared" si="1164"/>
        <v>MAIN UNIT</v>
      </c>
      <c r="Q3812" s="22" t="s">
        <v>68</v>
      </c>
      <c r="R3812" s="22" t="s">
        <v>62</v>
      </c>
      <c r="S3812" s="22" t="s">
        <v>51</v>
      </c>
      <c r="T3812" s="22" t="s">
        <v>349</v>
      </c>
      <c r="U3812" s="22" t="s">
        <v>149</v>
      </c>
      <c r="V3812" s="22" t="s">
        <v>954</v>
      </c>
      <c r="W3812" s="22" t="s">
        <v>64</v>
      </c>
      <c r="X3812" s="104">
        <v>544500</v>
      </c>
      <c r="Y3812" s="31" t="str">
        <f t="shared" si="1149"/>
        <v>1.13</v>
      </c>
      <c r="Z3812" s="230">
        <f t="shared" si="1148"/>
        <v>544500</v>
      </c>
      <c r="AA3812" s="22">
        <v>1.0760000000000001</v>
      </c>
      <c r="AB3812" s="231">
        <f t="shared" si="1152"/>
        <v>518479.64601769921</v>
      </c>
      <c r="AC3812" s="25">
        <f t="shared" si="1156"/>
        <v>28620.076460176995</v>
      </c>
      <c r="AD3812" s="169">
        <v>5.5199999999999999E-2</v>
      </c>
      <c r="AE3812" s="26">
        <f t="shared" si="1157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0"/>
        <v>15965524.256637167</v>
      </c>
      <c r="AJ3812" s="27">
        <f t="shared" si="1151"/>
        <v>2480116.5996584073</v>
      </c>
      <c r="AK3812" s="232">
        <f t="shared" si="1158"/>
        <v>0.15534200817911609</v>
      </c>
      <c r="AL3812" s="24"/>
      <c r="AM3812" s="24"/>
      <c r="AN3812" s="24"/>
      <c r="AO3812" s="24"/>
      <c r="AP3812" s="165" t="str">
        <f t="shared" si="1159"/>
        <v>202412</v>
      </c>
      <c r="AQ3812" s="233" t="str">
        <f t="shared" si="1160"/>
        <v>202412RMB</v>
      </c>
      <c r="AR3812" s="234" t="str">
        <f t="shared" si="1161"/>
        <v>YAMAHA_Mounter</v>
      </c>
      <c r="AS3812" s="22">
        <f t="shared" si="1162"/>
        <v>1</v>
      </c>
      <c r="AT3812" s="24" t="str">
        <f t="shared" si="1163"/>
        <v>0-3 months</v>
      </c>
      <c r="AU3812" s="22" t="s">
        <v>3240</v>
      </c>
    </row>
    <row r="3813" spans="1:47">
      <c r="A3813" s="33" t="str">
        <f t="shared" si="1154"/>
        <v>FY 24/25</v>
      </c>
      <c r="B3813" s="23">
        <v>2024</v>
      </c>
      <c r="C3813" s="23">
        <v>11</v>
      </c>
      <c r="D3813" s="33" t="str">
        <f t="shared" si="1147"/>
        <v>Q3</v>
      </c>
      <c r="E3813" s="33" t="str">
        <f t="shared" si="1153"/>
        <v>FY 24/25</v>
      </c>
      <c r="F3813" s="23">
        <v>2024</v>
      </c>
      <c r="G3813" s="23">
        <v>12</v>
      </c>
      <c r="H3813" s="29"/>
      <c r="I3813" s="93" t="str">
        <f t="shared" si="1155"/>
        <v>Q3</v>
      </c>
      <c r="J3813" s="188" t="s">
        <v>3621</v>
      </c>
      <c r="K3813" s="29" t="s">
        <v>712</v>
      </c>
      <c r="L3813" s="24" t="s">
        <v>67</v>
      </c>
      <c r="M3813" s="13" t="s">
        <v>60</v>
      </c>
      <c r="N3813" s="22">
        <v>1</v>
      </c>
      <c r="O3813" s="22"/>
      <c r="P3813" s="33" t="str">
        <f t="shared" si="1164"/>
        <v>MAIN UNIT</v>
      </c>
      <c r="Q3813" s="22" t="s">
        <v>61</v>
      </c>
      <c r="R3813" s="22" t="s">
        <v>62</v>
      </c>
      <c r="S3813" s="22" t="s">
        <v>49</v>
      </c>
      <c r="T3813" s="22" t="s">
        <v>78</v>
      </c>
      <c r="U3813" s="22" t="s">
        <v>120</v>
      </c>
      <c r="V3813" s="22" t="s">
        <v>112</v>
      </c>
      <c r="W3813" s="22" t="s">
        <v>109</v>
      </c>
      <c r="X3813" s="104">
        <v>7200000</v>
      </c>
      <c r="Y3813" s="31" t="str">
        <f t="shared" si="1149"/>
        <v>1</v>
      </c>
      <c r="Z3813" s="230">
        <f t="shared" si="1148"/>
        <v>7200000</v>
      </c>
      <c r="AA3813" s="22">
        <v>5.2900000000000003E-2</v>
      </c>
      <c r="AB3813" s="231">
        <f t="shared" si="1152"/>
        <v>380880</v>
      </c>
      <c r="AC3813" s="25">
        <f t="shared" si="1156"/>
        <v>35650.368000000002</v>
      </c>
      <c r="AD3813" s="169">
        <v>9.3600000000000003E-2</v>
      </c>
      <c r="AE3813" s="26">
        <f t="shared" si="1157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0"/>
        <v>15965524.256637167</v>
      </c>
      <c r="AJ3813" s="27">
        <f t="shared" si="1151"/>
        <v>2480116.5996584073</v>
      </c>
      <c r="AK3813" s="232">
        <f t="shared" si="1158"/>
        <v>0.15534200817911609</v>
      </c>
      <c r="AL3813" s="24"/>
      <c r="AM3813" s="24"/>
      <c r="AN3813" s="24"/>
      <c r="AO3813" s="24"/>
      <c r="AP3813" s="165" t="str">
        <f t="shared" si="1159"/>
        <v>202412</v>
      </c>
      <c r="AQ3813" s="233" t="str">
        <f t="shared" si="1160"/>
        <v>202412JPY</v>
      </c>
      <c r="AR3813" s="234" t="str">
        <f t="shared" si="1161"/>
        <v>YAMAHA_Mounter</v>
      </c>
      <c r="AS3813" s="22">
        <f t="shared" si="1162"/>
        <v>1</v>
      </c>
      <c r="AT3813" s="24" t="str">
        <f t="shared" si="1163"/>
        <v>0-3 months</v>
      </c>
      <c r="AU3813" s="22" t="s">
        <v>3745</v>
      </c>
    </row>
    <row r="3814" spans="1:47">
      <c r="A3814" s="33" t="str">
        <f t="shared" si="1154"/>
        <v>FY 24/25</v>
      </c>
      <c r="B3814" s="23">
        <v>2024</v>
      </c>
      <c r="C3814" s="23">
        <v>11</v>
      </c>
      <c r="D3814" s="33" t="str">
        <f t="shared" si="1147"/>
        <v>Q3</v>
      </c>
      <c r="E3814" s="33" t="str">
        <f t="shared" si="1153"/>
        <v>FY 24/25</v>
      </c>
      <c r="F3814" s="23">
        <v>2024</v>
      </c>
      <c r="G3814" s="23">
        <v>12</v>
      </c>
      <c r="H3814" s="29"/>
      <c r="I3814" s="93" t="str">
        <f t="shared" si="1155"/>
        <v>Q3</v>
      </c>
      <c r="J3814" s="188" t="s">
        <v>3621</v>
      </c>
      <c r="K3814" s="29" t="s">
        <v>712</v>
      </c>
      <c r="L3814" s="24" t="s">
        <v>67</v>
      </c>
      <c r="M3814" s="13" t="s">
        <v>60</v>
      </c>
      <c r="N3814" s="22">
        <v>1</v>
      </c>
      <c r="O3814" s="22"/>
      <c r="P3814" s="33" t="str">
        <f t="shared" si="1164"/>
        <v>MAIN UNIT</v>
      </c>
      <c r="Q3814" s="22" t="s">
        <v>61</v>
      </c>
      <c r="R3814" s="22" t="s">
        <v>62</v>
      </c>
      <c r="S3814" s="22" t="s">
        <v>49</v>
      </c>
      <c r="T3814" s="22" t="s">
        <v>78</v>
      </c>
      <c r="U3814" s="22" t="s">
        <v>120</v>
      </c>
      <c r="V3814" s="22" t="s">
        <v>112</v>
      </c>
      <c r="W3814" s="22" t="s">
        <v>109</v>
      </c>
      <c r="X3814" s="104">
        <v>7200000</v>
      </c>
      <c r="Y3814" s="31" t="str">
        <f t="shared" si="1149"/>
        <v>1</v>
      </c>
      <c r="Z3814" s="230">
        <f t="shared" si="1148"/>
        <v>7200000</v>
      </c>
      <c r="AA3814" s="22">
        <v>5.2900000000000003E-2</v>
      </c>
      <c r="AB3814" s="231">
        <f t="shared" si="1152"/>
        <v>380880</v>
      </c>
      <c r="AC3814" s="25">
        <f t="shared" si="1156"/>
        <v>35650.368000000002</v>
      </c>
      <c r="AD3814" s="169">
        <v>9.3600000000000003E-2</v>
      </c>
      <c r="AE3814" s="26">
        <f t="shared" si="1157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0"/>
        <v>15965524.256637167</v>
      </c>
      <c r="AJ3814" s="27">
        <f t="shared" si="1151"/>
        <v>2480116.5996584073</v>
      </c>
      <c r="AK3814" s="232">
        <f t="shared" si="1158"/>
        <v>0.15534200817911609</v>
      </c>
      <c r="AL3814" s="24"/>
      <c r="AM3814" s="24"/>
      <c r="AN3814" s="24"/>
      <c r="AO3814" s="24"/>
      <c r="AP3814" s="165" t="str">
        <f t="shared" si="1159"/>
        <v>202412</v>
      </c>
      <c r="AQ3814" s="233" t="str">
        <f t="shared" si="1160"/>
        <v>202412JPY</v>
      </c>
      <c r="AR3814" s="234" t="str">
        <f t="shared" si="1161"/>
        <v>YAMAHA_Mounter</v>
      </c>
      <c r="AS3814" s="22">
        <f t="shared" si="1162"/>
        <v>1</v>
      </c>
      <c r="AT3814" s="24" t="str">
        <f t="shared" si="1163"/>
        <v>0-3 months</v>
      </c>
      <c r="AU3814" s="22" t="s">
        <v>3745</v>
      </c>
    </row>
    <row r="3815" spans="1:47">
      <c r="A3815" s="33" t="str">
        <f t="shared" si="1154"/>
        <v>FY 24/25</v>
      </c>
      <c r="B3815" s="23">
        <v>2024</v>
      </c>
      <c r="C3815" s="23">
        <v>11</v>
      </c>
      <c r="D3815" s="33" t="str">
        <f t="shared" si="1147"/>
        <v>Q3</v>
      </c>
      <c r="E3815" s="33" t="str">
        <f t="shared" si="1153"/>
        <v>FY 24/25</v>
      </c>
      <c r="F3815" s="23">
        <v>2025</v>
      </c>
      <c r="G3815" s="23">
        <v>2</v>
      </c>
      <c r="H3815" s="29"/>
      <c r="I3815" s="93" t="str">
        <f t="shared" si="1155"/>
        <v>Q4</v>
      </c>
      <c r="J3815" s="188" t="s">
        <v>3622</v>
      </c>
      <c r="K3815" s="29" t="s">
        <v>1550</v>
      </c>
      <c r="L3815" s="24" t="s">
        <v>92</v>
      </c>
      <c r="M3815" s="13" t="s">
        <v>60</v>
      </c>
      <c r="N3815" s="22">
        <v>1</v>
      </c>
      <c r="O3815" s="22"/>
      <c r="P3815" s="33" t="str">
        <f t="shared" si="1164"/>
        <v>MAIN UNIT</v>
      </c>
      <c r="Q3815" s="22" t="s">
        <v>61</v>
      </c>
      <c r="R3815" s="22" t="s">
        <v>62</v>
      </c>
      <c r="S3815" s="22" t="s">
        <v>49</v>
      </c>
      <c r="T3815" s="22" t="s">
        <v>78</v>
      </c>
      <c r="U3815" s="22" t="s">
        <v>78</v>
      </c>
      <c r="V3815" s="22" t="s">
        <v>131</v>
      </c>
      <c r="W3815" s="22" t="s">
        <v>109</v>
      </c>
      <c r="X3815" s="104">
        <v>13500000</v>
      </c>
      <c r="Y3815" s="31" t="str">
        <f t="shared" si="1149"/>
        <v>1</v>
      </c>
      <c r="Z3815" s="230">
        <f t="shared" si="1148"/>
        <v>13500000</v>
      </c>
      <c r="AA3815" s="22">
        <v>5.11E-2</v>
      </c>
      <c r="AB3815" s="231">
        <f t="shared" si="1152"/>
        <v>689850</v>
      </c>
      <c r="AC3815" s="25">
        <f t="shared" si="1156"/>
        <v>86300.234999999986</v>
      </c>
      <c r="AD3815" s="170">
        <v>0.12509999999999999</v>
      </c>
      <c r="AE3815" s="26">
        <f t="shared" si="1157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0"/>
        <v>30691842.970796466</v>
      </c>
      <c r="AJ3815" s="27">
        <f t="shared" si="1151"/>
        <v>4088324.205777524</v>
      </c>
      <c r="AK3815" s="232">
        <f t="shared" si="1158"/>
        <v>0.1332055624573473</v>
      </c>
      <c r="AL3815" s="24"/>
      <c r="AM3815" s="24"/>
      <c r="AN3815" s="24"/>
      <c r="AO3815" s="24"/>
      <c r="AP3815" s="165" t="str">
        <f t="shared" si="1159"/>
        <v>20252</v>
      </c>
      <c r="AQ3815" s="233" t="str">
        <f t="shared" si="1160"/>
        <v>20252JPY</v>
      </c>
      <c r="AR3815" s="234" t="str">
        <f t="shared" si="1161"/>
        <v>YAMAHA_Mounter</v>
      </c>
      <c r="AS3815" s="22">
        <f t="shared" si="1162"/>
        <v>3</v>
      </c>
      <c r="AT3815" s="24" t="str">
        <f t="shared" si="1163"/>
        <v>0-3 months</v>
      </c>
      <c r="AU3815" s="22" t="s">
        <v>3745</v>
      </c>
    </row>
    <row r="3816" spans="1:47">
      <c r="A3816" s="33" t="str">
        <f t="shared" si="1154"/>
        <v>FY 24/25</v>
      </c>
      <c r="B3816" s="23">
        <v>2024</v>
      </c>
      <c r="C3816" s="23">
        <v>11</v>
      </c>
      <c r="D3816" s="33" t="str">
        <f t="shared" si="1147"/>
        <v>Q3</v>
      </c>
      <c r="E3816" s="33" t="str">
        <f t="shared" si="1153"/>
        <v>FY 24/25</v>
      </c>
      <c r="F3816" s="23">
        <v>2025</v>
      </c>
      <c r="G3816" s="23">
        <v>2</v>
      </c>
      <c r="H3816" s="29"/>
      <c r="I3816" s="93" t="str">
        <f t="shared" si="1155"/>
        <v>Q4</v>
      </c>
      <c r="J3816" s="188" t="s">
        <v>3622</v>
      </c>
      <c r="K3816" s="29" t="s">
        <v>1550</v>
      </c>
      <c r="L3816" s="24" t="s">
        <v>92</v>
      </c>
      <c r="M3816" s="13" t="s">
        <v>60</v>
      </c>
      <c r="N3816" s="22">
        <v>1</v>
      </c>
      <c r="O3816" s="22"/>
      <c r="P3816" s="33" t="str">
        <f t="shared" si="1164"/>
        <v>MAIN UNIT</v>
      </c>
      <c r="Q3816" s="22" t="s">
        <v>61</v>
      </c>
      <c r="R3816" s="22" t="s">
        <v>62</v>
      </c>
      <c r="S3816" s="22" t="s">
        <v>49</v>
      </c>
      <c r="T3816" s="22" t="s">
        <v>78</v>
      </c>
      <c r="U3816" s="22" t="s">
        <v>78</v>
      </c>
      <c r="V3816" s="22" t="s">
        <v>131</v>
      </c>
      <c r="W3816" s="22" t="s">
        <v>109</v>
      </c>
      <c r="X3816" s="104">
        <v>13500000</v>
      </c>
      <c r="Y3816" s="31" t="str">
        <f t="shared" si="1149"/>
        <v>1</v>
      </c>
      <c r="Z3816" s="230">
        <f t="shared" si="1148"/>
        <v>13500000</v>
      </c>
      <c r="AA3816" s="22">
        <v>5.11E-2</v>
      </c>
      <c r="AB3816" s="231">
        <f t="shared" si="1152"/>
        <v>689850</v>
      </c>
      <c r="AC3816" s="25">
        <f t="shared" si="1156"/>
        <v>86300.234999999986</v>
      </c>
      <c r="AD3816" s="170">
        <v>0.12509999999999999</v>
      </c>
      <c r="AE3816" s="26">
        <f t="shared" si="1157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0"/>
        <v>30691842.970796466</v>
      </c>
      <c r="AJ3816" s="27">
        <f t="shared" si="1151"/>
        <v>4088324.205777524</v>
      </c>
      <c r="AK3816" s="232">
        <f t="shared" si="1158"/>
        <v>0.1332055624573473</v>
      </c>
      <c r="AL3816" s="24"/>
      <c r="AM3816" s="24"/>
      <c r="AN3816" s="24"/>
      <c r="AO3816" s="24"/>
      <c r="AP3816" s="165" t="str">
        <f t="shared" si="1159"/>
        <v>20252</v>
      </c>
      <c r="AQ3816" s="233" t="str">
        <f t="shared" si="1160"/>
        <v>20252JPY</v>
      </c>
      <c r="AR3816" s="234" t="str">
        <f t="shared" si="1161"/>
        <v>YAMAHA_Mounter</v>
      </c>
      <c r="AS3816" s="22">
        <f t="shared" si="1162"/>
        <v>3</v>
      </c>
      <c r="AT3816" s="24" t="str">
        <f t="shared" si="1163"/>
        <v>0-3 months</v>
      </c>
      <c r="AU3816" s="22" t="s">
        <v>3745</v>
      </c>
    </row>
    <row r="3817" spans="1:47">
      <c r="A3817" s="33" t="str">
        <f t="shared" si="1154"/>
        <v>FY 24/25</v>
      </c>
      <c r="B3817" s="23">
        <v>2024</v>
      </c>
      <c r="C3817" s="23">
        <v>11</v>
      </c>
      <c r="D3817" s="33" t="str">
        <f t="shared" si="1147"/>
        <v>Q3</v>
      </c>
      <c r="E3817" s="33" t="str">
        <f t="shared" si="1153"/>
        <v>FY 24/25</v>
      </c>
      <c r="F3817" s="23">
        <v>2025</v>
      </c>
      <c r="G3817" s="23">
        <v>2</v>
      </c>
      <c r="H3817" s="29"/>
      <c r="I3817" s="93" t="str">
        <f t="shared" si="1155"/>
        <v>Q4</v>
      </c>
      <c r="J3817" s="188" t="s">
        <v>3622</v>
      </c>
      <c r="K3817" s="29" t="s">
        <v>1550</v>
      </c>
      <c r="L3817" s="24" t="s">
        <v>67</v>
      </c>
      <c r="M3817" s="13" t="s">
        <v>60</v>
      </c>
      <c r="N3817" s="22">
        <v>1</v>
      </c>
      <c r="O3817" s="22"/>
      <c r="P3817" s="33" t="str">
        <f t="shared" si="1164"/>
        <v>MAIN UNIT</v>
      </c>
      <c r="Q3817" s="22" t="s">
        <v>61</v>
      </c>
      <c r="R3817" s="22" t="s">
        <v>62</v>
      </c>
      <c r="S3817" s="22" t="s">
        <v>49</v>
      </c>
      <c r="T3817" s="22" t="s">
        <v>78</v>
      </c>
      <c r="U3817" s="22" t="s">
        <v>78</v>
      </c>
      <c r="V3817" s="22" t="s">
        <v>131</v>
      </c>
      <c r="W3817" s="22" t="s">
        <v>109</v>
      </c>
      <c r="X3817" s="104">
        <v>10000000</v>
      </c>
      <c r="Y3817" s="31" t="str">
        <f>IF(W3817="","",IF(W3817="RMB","1.13", "1"))</f>
        <v>1</v>
      </c>
      <c r="Z3817" s="230">
        <f t="shared" si="1148"/>
        <v>10000000</v>
      </c>
      <c r="AA3817" s="22">
        <v>5.11E-2</v>
      </c>
      <c r="AB3817" s="231">
        <f t="shared" si="1152"/>
        <v>511000</v>
      </c>
      <c r="AC3817" s="25">
        <f t="shared" si="1156"/>
        <v>63926.099999999991</v>
      </c>
      <c r="AD3817" s="170">
        <v>0.12509999999999999</v>
      </c>
      <c r="AE3817" s="26">
        <f t="shared" si="1157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0"/>
        <v>30691842.970796466</v>
      </c>
      <c r="AJ3817" s="27">
        <f t="shared" si="1151"/>
        <v>4088324.205777524</v>
      </c>
      <c r="AK3817" s="232">
        <f t="shared" si="1158"/>
        <v>0.1332055624573473</v>
      </c>
      <c r="AL3817" s="24"/>
      <c r="AM3817" s="24"/>
      <c r="AN3817" s="24"/>
      <c r="AO3817" s="24"/>
      <c r="AP3817" s="165" t="str">
        <f t="shared" si="1159"/>
        <v>20252</v>
      </c>
      <c r="AQ3817" s="233" t="str">
        <f>IF(W3817="","",F3817&amp;G3817&amp;W3817)</f>
        <v>20252JPY</v>
      </c>
      <c r="AR3817" s="234" t="str">
        <f t="shared" si="1161"/>
        <v>YAMAHA_Mounter</v>
      </c>
      <c r="AS3817" s="22">
        <f t="shared" si="1162"/>
        <v>3</v>
      </c>
      <c r="AT3817" s="24" t="str">
        <f t="shared" si="1163"/>
        <v>0-3 months</v>
      </c>
      <c r="AU3817" s="22" t="s">
        <v>3745</v>
      </c>
    </row>
    <row r="3818" spans="1:47">
      <c r="A3818" s="33" t="str">
        <f t="shared" si="1154"/>
        <v>FY 24/25</v>
      </c>
      <c r="B3818" s="23">
        <v>2024</v>
      </c>
      <c r="C3818" s="23">
        <v>11</v>
      </c>
      <c r="D3818" s="33" t="str">
        <f t="shared" si="1147"/>
        <v>Q3</v>
      </c>
      <c r="E3818" s="33" t="str">
        <f t="shared" si="1153"/>
        <v>FY 24/25</v>
      </c>
      <c r="F3818" s="23">
        <v>2024</v>
      </c>
      <c r="G3818" s="23">
        <v>12</v>
      </c>
      <c r="H3818" s="29"/>
      <c r="I3818" s="93" t="str">
        <f t="shared" si="1155"/>
        <v>Q3</v>
      </c>
      <c r="J3818" s="188" t="s">
        <v>3623</v>
      </c>
      <c r="K3818" s="29" t="s">
        <v>3624</v>
      </c>
      <c r="L3818" s="24" t="s">
        <v>2060</v>
      </c>
      <c r="M3818" s="13" t="s">
        <v>2054</v>
      </c>
      <c r="N3818" s="22">
        <v>1</v>
      </c>
      <c r="O3818" s="22"/>
      <c r="P3818" s="33" t="str">
        <f t="shared" si="1164"/>
        <v>MAIN UNIT</v>
      </c>
      <c r="Q3818" s="22" t="s">
        <v>61</v>
      </c>
      <c r="R3818" s="22" t="s">
        <v>2055</v>
      </c>
      <c r="S3818" s="22" t="s">
        <v>51</v>
      </c>
      <c r="T3818" s="22" t="s">
        <v>148</v>
      </c>
      <c r="U3818" s="22" t="s">
        <v>149</v>
      </c>
      <c r="V3818" s="22" t="s">
        <v>3625</v>
      </c>
      <c r="W3818" s="22" t="s">
        <v>64</v>
      </c>
      <c r="X3818" s="104">
        <v>29000</v>
      </c>
      <c r="Y3818" s="31" t="str">
        <f>IF(W3818="","",IF(W3818="RMB","1.13", "1"))</f>
        <v>1.13</v>
      </c>
      <c r="Z3818" s="230">
        <v>29300</v>
      </c>
      <c r="AA3818" s="22">
        <v>1.0760000000000001</v>
      </c>
      <c r="AB3818" s="231">
        <f>Z3818/Y3818*AA3818</f>
        <v>27899.823008849562</v>
      </c>
      <c r="AC3818" s="25">
        <f t="shared" si="1156"/>
        <v>6514.6086725663727</v>
      </c>
      <c r="AD3818" s="169">
        <v>0.23350000000000001</v>
      </c>
      <c r="AE3818" s="26">
        <f t="shared" si="1157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0"/>
        <v>15965524.256637167</v>
      </c>
      <c r="AJ3818" s="27">
        <f t="shared" si="1151"/>
        <v>2480116.5996584073</v>
      </c>
      <c r="AK3818" s="232">
        <f t="shared" si="1158"/>
        <v>0.15534200817911609</v>
      </c>
      <c r="AL3818" s="24"/>
      <c r="AM3818" s="24"/>
      <c r="AN3818" s="24"/>
      <c r="AO3818" s="24"/>
      <c r="AP3818" s="165" t="str">
        <f t="shared" si="1159"/>
        <v>202412</v>
      </c>
      <c r="AQ3818" s="233" t="str">
        <f>IF(W3818="","",F3818&amp;G3818&amp;W3818)</f>
        <v>202412RMB</v>
      </c>
      <c r="AR3818" s="234" t="str">
        <f t="shared" si="1161"/>
        <v>SOLDERSTAR</v>
      </c>
      <c r="AS3818" s="22">
        <f t="shared" si="1162"/>
        <v>1</v>
      </c>
      <c r="AT3818" s="24" t="str">
        <f t="shared" si="1163"/>
        <v>0-3 months</v>
      </c>
      <c r="AU3818" s="22" t="s">
        <v>3240</v>
      </c>
    </row>
    <row r="3819" spans="1:47">
      <c r="A3819" s="33" t="str">
        <f t="shared" si="1154"/>
        <v>FY 24/25</v>
      </c>
      <c r="B3819" s="23">
        <v>2024</v>
      </c>
      <c r="C3819" s="23">
        <v>10</v>
      </c>
      <c r="D3819" s="33" t="str">
        <f t="shared" si="1147"/>
        <v>Q3</v>
      </c>
      <c r="E3819" s="33" t="str">
        <f t="shared" si="1153"/>
        <v>FY 24/25</v>
      </c>
      <c r="F3819" s="23">
        <v>2024</v>
      </c>
      <c r="G3819" s="23">
        <v>11</v>
      </c>
      <c r="H3819" s="29"/>
      <c r="I3819" s="93" t="str">
        <f t="shared" si="1155"/>
        <v>Q3</v>
      </c>
      <c r="J3819" s="188" t="s">
        <v>3626</v>
      </c>
      <c r="K3819" s="29" t="s">
        <v>2302</v>
      </c>
      <c r="L3819" s="24" t="s">
        <v>67</v>
      </c>
      <c r="M3819" s="13" t="s">
        <v>60</v>
      </c>
      <c r="N3819" s="22">
        <v>1</v>
      </c>
      <c r="O3819" s="22"/>
      <c r="P3819" s="33" t="str">
        <f t="shared" si="1164"/>
        <v>MAIN UNIT</v>
      </c>
      <c r="Q3819" s="22" t="s">
        <v>61</v>
      </c>
      <c r="R3819" s="22" t="s">
        <v>62</v>
      </c>
      <c r="S3819" s="22" t="s">
        <v>52</v>
      </c>
      <c r="T3819" s="22" t="s">
        <v>412</v>
      </c>
      <c r="U3819" s="22" t="s">
        <v>1077</v>
      </c>
      <c r="V3819" s="22" t="s">
        <v>143</v>
      </c>
      <c r="W3819" s="22" t="s">
        <v>64</v>
      </c>
      <c r="X3819" s="104">
        <v>452000</v>
      </c>
      <c r="Y3819" s="31" t="str">
        <f t="shared" si="1149"/>
        <v>1.13</v>
      </c>
      <c r="Z3819" s="230">
        <f t="shared" si="1148"/>
        <v>452000</v>
      </c>
      <c r="AA3819" s="22">
        <v>1.0920000000000001</v>
      </c>
      <c r="AB3819" s="231">
        <f t="shared" si="1152"/>
        <v>436800.00000000012</v>
      </c>
      <c r="AC3819" s="25">
        <f t="shared" si="1156"/>
        <v>67136.160000000018</v>
      </c>
      <c r="AD3819" s="169">
        <v>0.1537</v>
      </c>
      <c r="AE3819" s="26">
        <f t="shared" si="1157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0"/>
        <v>32082250.320460182</v>
      </c>
      <c r="AJ3819" s="27">
        <f t="shared" si="1151"/>
        <v>4323122.9746477893</v>
      </c>
      <c r="AK3819" s="232">
        <f t="shared" si="1158"/>
        <v>0.1347512388147771</v>
      </c>
      <c r="AL3819" s="24"/>
      <c r="AM3819" s="24"/>
      <c r="AN3819" s="24"/>
      <c r="AO3819" s="24"/>
      <c r="AP3819" s="165" t="str">
        <f t="shared" si="1159"/>
        <v>202411</v>
      </c>
      <c r="AQ3819" s="233" t="str">
        <f t="shared" si="1160"/>
        <v>202411RMB</v>
      </c>
      <c r="AR3819" s="234" t="str">
        <f t="shared" si="1161"/>
        <v>YAMAHA_Mounter</v>
      </c>
      <c r="AS3819" s="22">
        <f t="shared" si="1162"/>
        <v>1</v>
      </c>
      <c r="AT3819" s="24" t="str">
        <f t="shared" si="1163"/>
        <v>0-3 months</v>
      </c>
      <c r="AU3819" s="22" t="s">
        <v>3240</v>
      </c>
    </row>
    <row r="3820" spans="1:47">
      <c r="A3820" s="33" t="str">
        <f t="shared" si="1154"/>
        <v>FY 24/25</v>
      </c>
      <c r="B3820" s="23">
        <v>2024</v>
      </c>
      <c r="C3820" s="23">
        <v>12</v>
      </c>
      <c r="D3820" s="33" t="str">
        <f t="shared" si="1147"/>
        <v>Q3</v>
      </c>
      <c r="E3820" s="33" t="str">
        <f t="shared" si="1153"/>
        <v>FY 24/25</v>
      </c>
      <c r="F3820" s="23">
        <v>2024</v>
      </c>
      <c r="G3820" s="23">
        <v>12</v>
      </c>
      <c r="H3820" s="29"/>
      <c r="I3820" s="93" t="str">
        <f t="shared" si="1155"/>
        <v>Q3</v>
      </c>
      <c r="J3820" s="188" t="s">
        <v>3627</v>
      </c>
      <c r="K3820" s="29" t="s">
        <v>3176</v>
      </c>
      <c r="L3820" s="24" t="s">
        <v>2620</v>
      </c>
      <c r="M3820" s="13" t="s">
        <v>60</v>
      </c>
      <c r="N3820" s="22">
        <v>1</v>
      </c>
      <c r="O3820" s="22"/>
      <c r="P3820" s="33" t="str">
        <f t="shared" si="1164"/>
        <v>MAIN UNIT</v>
      </c>
      <c r="Q3820" s="22" t="s">
        <v>61</v>
      </c>
      <c r="R3820" s="22" t="s">
        <v>2055</v>
      </c>
      <c r="S3820" s="22" t="s">
        <v>49</v>
      </c>
      <c r="T3820" s="22" t="s">
        <v>78</v>
      </c>
      <c r="U3820" s="22" t="s">
        <v>1071</v>
      </c>
      <c r="V3820" s="22" t="s">
        <v>121</v>
      </c>
      <c r="W3820" s="22" t="s">
        <v>109</v>
      </c>
      <c r="X3820" s="104">
        <v>8000000</v>
      </c>
      <c r="Y3820" s="31" t="str">
        <f t="shared" si="1149"/>
        <v>1</v>
      </c>
      <c r="Z3820" s="230">
        <f t="shared" si="1148"/>
        <v>8000000</v>
      </c>
      <c r="AA3820" s="22">
        <v>5.2900000000000003E-2</v>
      </c>
      <c r="AB3820" s="231">
        <f>IF(AND(R3820&lt;&gt;"C66",R3820&lt;&gt;""),Z3820/Y3820*AA3820,"")</f>
        <v>423200</v>
      </c>
      <c r="AC3820" s="25">
        <f t="shared" si="1156"/>
        <v>41219.68</v>
      </c>
      <c r="AD3820" s="169">
        <v>9.74E-2</v>
      </c>
      <c r="AE3820" s="26">
        <f t="shared" si="1157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0"/>
        <v>15965524.256637167</v>
      </c>
      <c r="AJ3820" s="27">
        <f t="shared" si="1151"/>
        <v>2480116.5996584073</v>
      </c>
      <c r="AK3820" s="232">
        <f t="shared" si="1158"/>
        <v>0.15534200817911609</v>
      </c>
      <c r="AL3820" s="24"/>
      <c r="AM3820" s="24"/>
      <c r="AN3820" s="24"/>
      <c r="AO3820" s="24"/>
      <c r="AP3820" s="165" t="str">
        <f t="shared" si="1159"/>
        <v>202412</v>
      </c>
      <c r="AQ3820" s="233" t="str">
        <f t="shared" si="1160"/>
        <v>202412JPY</v>
      </c>
      <c r="AR3820" s="234" t="str">
        <f t="shared" si="1161"/>
        <v>YAMAHA_Non_Mounter</v>
      </c>
      <c r="AS3820" s="22">
        <f t="shared" si="1162"/>
        <v>0</v>
      </c>
      <c r="AT3820" s="24" t="str">
        <f t="shared" si="1163"/>
        <v>0-3 months</v>
      </c>
      <c r="AU3820" s="22" t="s">
        <v>3746</v>
      </c>
    </row>
    <row r="3821" spans="1:47">
      <c r="A3821" s="33" t="str">
        <f t="shared" si="1154"/>
        <v>FY 24/25</v>
      </c>
      <c r="B3821" s="23">
        <v>2024</v>
      </c>
      <c r="C3821" s="23">
        <v>12</v>
      </c>
      <c r="D3821" s="33" t="str">
        <f t="shared" si="1147"/>
        <v>Q3</v>
      </c>
      <c r="E3821" s="33" t="str">
        <f t="shared" si="1153"/>
        <v>FY 24/25</v>
      </c>
      <c r="F3821" s="23">
        <v>2024</v>
      </c>
      <c r="G3821" s="23">
        <v>12</v>
      </c>
      <c r="H3821" s="29"/>
      <c r="I3821" s="93" t="str">
        <f t="shared" si="1155"/>
        <v>Q3</v>
      </c>
      <c r="J3821" s="188" t="s">
        <v>3630</v>
      </c>
      <c r="K3821" s="29" t="s">
        <v>3176</v>
      </c>
      <c r="L3821" s="24" t="s">
        <v>67</v>
      </c>
      <c r="M3821" s="13" t="s">
        <v>60</v>
      </c>
      <c r="N3821" s="22">
        <v>1</v>
      </c>
      <c r="O3821" s="22"/>
      <c r="P3821" s="33" t="str">
        <f t="shared" si="1164"/>
        <v>MAIN UNIT</v>
      </c>
      <c r="Q3821" s="22" t="s">
        <v>61</v>
      </c>
      <c r="R3821" s="22" t="s">
        <v>62</v>
      </c>
      <c r="S3821" s="22" t="s">
        <v>49</v>
      </c>
      <c r="T3821" s="22" t="s">
        <v>78</v>
      </c>
      <c r="U3821" s="22" t="s">
        <v>1071</v>
      </c>
      <c r="V3821" s="22" t="s">
        <v>121</v>
      </c>
      <c r="W3821" s="22" t="s">
        <v>109</v>
      </c>
      <c r="X3821" s="104">
        <v>10750000</v>
      </c>
      <c r="Y3821" s="31" t="str">
        <f t="shared" si="1149"/>
        <v>1</v>
      </c>
      <c r="Z3821" s="230">
        <v>10175000</v>
      </c>
      <c r="AA3821" s="22">
        <v>5.2900000000000003E-2</v>
      </c>
      <c r="AB3821" s="231">
        <f>IF(AND(R3821&lt;&gt;"C66",R3821&lt;&gt;""),Z3821/Y3821*AA3821,"")</f>
        <v>538257.5</v>
      </c>
      <c r="AC3821" s="25">
        <f t="shared" si="1156"/>
        <v>75356.05</v>
      </c>
      <c r="AD3821" s="169">
        <v>0.14000000000000001</v>
      </c>
      <c r="AE3821" s="26">
        <f t="shared" si="1157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0"/>
        <v>15965524.256637167</v>
      </c>
      <c r="AJ3821" s="27">
        <f t="shared" si="1151"/>
        <v>2480116.5996584073</v>
      </c>
      <c r="AK3821" s="232">
        <f t="shared" si="1158"/>
        <v>0.15534200817911609</v>
      </c>
      <c r="AL3821" s="24"/>
      <c r="AM3821" s="24"/>
      <c r="AN3821" s="24"/>
      <c r="AO3821" s="24"/>
      <c r="AP3821" s="165" t="str">
        <f t="shared" si="1159"/>
        <v>202412</v>
      </c>
      <c r="AQ3821" s="233" t="str">
        <f t="shared" si="1160"/>
        <v>202412JPY</v>
      </c>
      <c r="AR3821" s="234" t="str">
        <f t="shared" si="1161"/>
        <v>YAMAHA_Mounter</v>
      </c>
      <c r="AS3821" s="22">
        <f t="shared" si="1162"/>
        <v>0</v>
      </c>
      <c r="AT3821" s="24" t="str">
        <f t="shared" si="1163"/>
        <v>0-3 months</v>
      </c>
      <c r="AU3821" s="22" t="s">
        <v>3746</v>
      </c>
    </row>
    <row r="3822" spans="1:47">
      <c r="A3822" s="33" t="str">
        <f t="shared" si="1154"/>
        <v>FY 24/25</v>
      </c>
      <c r="B3822" s="23">
        <v>2024</v>
      </c>
      <c r="C3822" s="23">
        <v>12</v>
      </c>
      <c r="D3822" s="33" t="str">
        <f t="shared" si="1147"/>
        <v>Q3</v>
      </c>
      <c r="E3822" s="33" t="str">
        <f t="shared" si="1153"/>
        <v>FY 24/25</v>
      </c>
      <c r="F3822" s="23">
        <v>2024</v>
      </c>
      <c r="G3822" s="23">
        <v>12</v>
      </c>
      <c r="H3822" s="29"/>
      <c r="I3822" s="93" t="str">
        <f t="shared" si="1155"/>
        <v>Q3</v>
      </c>
      <c r="J3822" s="188" t="s">
        <v>3630</v>
      </c>
      <c r="K3822" s="29" t="s">
        <v>3176</v>
      </c>
      <c r="L3822" s="24" t="s">
        <v>67</v>
      </c>
      <c r="M3822" s="13" t="s">
        <v>60</v>
      </c>
      <c r="N3822" s="22">
        <v>1</v>
      </c>
      <c r="O3822" s="22"/>
      <c r="P3822" s="33" t="str">
        <f t="shared" si="1164"/>
        <v>MAIN UNIT</v>
      </c>
      <c r="Q3822" s="22" t="s">
        <v>61</v>
      </c>
      <c r="R3822" s="22" t="s">
        <v>62</v>
      </c>
      <c r="S3822" s="22" t="s">
        <v>49</v>
      </c>
      <c r="T3822" s="22" t="s">
        <v>78</v>
      </c>
      <c r="U3822" s="22" t="s">
        <v>1071</v>
      </c>
      <c r="V3822" s="22" t="s">
        <v>121</v>
      </c>
      <c r="W3822" s="22" t="s">
        <v>109</v>
      </c>
      <c r="X3822" s="104">
        <v>10750000</v>
      </c>
      <c r="Y3822" s="31" t="str">
        <f t="shared" si="1149"/>
        <v>1</v>
      </c>
      <c r="Z3822" s="230">
        <v>10175000</v>
      </c>
      <c r="AA3822" s="22">
        <v>5.2900000000000003E-2</v>
      </c>
      <c r="AB3822" s="231">
        <f t="shared" si="1152"/>
        <v>538257.5</v>
      </c>
      <c r="AC3822" s="25">
        <f t="shared" si="1156"/>
        <v>75356.05</v>
      </c>
      <c r="AD3822" s="169">
        <v>0.14000000000000001</v>
      </c>
      <c r="AE3822" s="26">
        <f t="shared" si="1157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0"/>
        <v>15965524.256637167</v>
      </c>
      <c r="AJ3822" s="27">
        <f t="shared" si="1151"/>
        <v>2480116.5996584073</v>
      </c>
      <c r="AK3822" s="232">
        <f t="shared" si="1158"/>
        <v>0.15534200817911609</v>
      </c>
      <c r="AL3822" s="24"/>
      <c r="AM3822" s="24"/>
      <c r="AN3822" s="24"/>
      <c r="AO3822" s="24"/>
      <c r="AP3822" s="165" t="str">
        <f t="shared" si="1159"/>
        <v>202412</v>
      </c>
      <c r="AQ3822" s="233" t="str">
        <f t="shared" si="1160"/>
        <v>202412JPY</v>
      </c>
      <c r="AR3822" s="234" t="str">
        <f t="shared" si="1161"/>
        <v>YAMAHA_Mounter</v>
      </c>
      <c r="AS3822" s="22">
        <f t="shared" si="1162"/>
        <v>0</v>
      </c>
      <c r="AT3822" s="24" t="str">
        <f t="shared" si="1163"/>
        <v>0-3 months</v>
      </c>
      <c r="AU3822" s="22" t="s">
        <v>3746</v>
      </c>
    </row>
    <row r="3823" spans="1:47">
      <c r="A3823" s="33" t="str">
        <f t="shared" si="1154"/>
        <v>FY 24/25</v>
      </c>
      <c r="B3823" s="23">
        <v>2024</v>
      </c>
      <c r="C3823" s="23">
        <v>12</v>
      </c>
      <c r="D3823" s="33" t="str">
        <f t="shared" si="1147"/>
        <v>Q3</v>
      </c>
      <c r="E3823" s="33" t="str">
        <f t="shared" si="1153"/>
        <v>FY 24/25</v>
      </c>
      <c r="F3823" s="23">
        <v>2024</v>
      </c>
      <c r="G3823" s="23">
        <v>12</v>
      </c>
      <c r="H3823" s="29"/>
      <c r="I3823" s="93" t="str">
        <f t="shared" si="1155"/>
        <v>Q3</v>
      </c>
      <c r="J3823" s="188" t="s">
        <v>3631</v>
      </c>
      <c r="K3823" s="29" t="s">
        <v>960</v>
      </c>
      <c r="L3823" s="24" t="s">
        <v>67</v>
      </c>
      <c r="M3823" s="13" t="s">
        <v>60</v>
      </c>
      <c r="N3823" s="22">
        <v>1</v>
      </c>
      <c r="O3823" s="22"/>
      <c r="P3823" s="33" t="str">
        <f t="shared" si="1164"/>
        <v>MAIN UNIT</v>
      </c>
      <c r="Q3823" s="22" t="s">
        <v>61</v>
      </c>
      <c r="R3823" s="22" t="s">
        <v>62</v>
      </c>
      <c r="S3823" s="22" t="s">
        <v>49</v>
      </c>
      <c r="T3823" s="22" t="s">
        <v>78</v>
      </c>
      <c r="U3823" s="22" t="s">
        <v>78</v>
      </c>
      <c r="V3823" s="22" t="s">
        <v>126</v>
      </c>
      <c r="W3823" s="22" t="s">
        <v>109</v>
      </c>
      <c r="X3823" s="104">
        <v>7500000</v>
      </c>
      <c r="Y3823" s="31" t="str">
        <f t="shared" si="1149"/>
        <v>1</v>
      </c>
      <c r="Z3823" s="230">
        <f t="shared" si="1148"/>
        <v>7500000</v>
      </c>
      <c r="AA3823" s="22">
        <v>5.2900000000000003E-2</v>
      </c>
      <c r="AB3823" s="231">
        <f t="shared" si="1152"/>
        <v>396750</v>
      </c>
      <c r="AC3823" s="25">
        <f t="shared" si="1156"/>
        <v>27455.1</v>
      </c>
      <c r="AD3823" s="169">
        <v>6.9199999999999998E-2</v>
      </c>
      <c r="AE3823" s="26">
        <f t="shared" si="1157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0"/>
        <v>15965524.256637167</v>
      </c>
      <c r="AJ3823" s="27">
        <f t="shared" si="1151"/>
        <v>2480116.5996584073</v>
      </c>
      <c r="AK3823" s="232">
        <f t="shared" si="1158"/>
        <v>0.15534200817911609</v>
      </c>
      <c r="AL3823" s="24"/>
      <c r="AM3823" s="24"/>
      <c r="AN3823" s="24"/>
      <c r="AO3823" s="24"/>
      <c r="AP3823" s="165" t="str">
        <f t="shared" si="1159"/>
        <v>202412</v>
      </c>
      <c r="AQ3823" s="233" t="str">
        <f t="shared" si="1160"/>
        <v>202412JPY</v>
      </c>
      <c r="AR3823" s="234" t="str">
        <f t="shared" si="1161"/>
        <v>YAMAHA_Mounter</v>
      </c>
      <c r="AS3823" s="22">
        <f t="shared" si="1162"/>
        <v>0</v>
      </c>
      <c r="AT3823" s="24" t="str">
        <f t="shared" si="1163"/>
        <v>0-3 months</v>
      </c>
      <c r="AU3823" s="22" t="s">
        <v>3745</v>
      </c>
    </row>
    <row r="3824" spans="1:47">
      <c r="A3824" s="33" t="str">
        <f t="shared" si="1154"/>
        <v>FY 24/25</v>
      </c>
      <c r="B3824" s="23">
        <v>2024</v>
      </c>
      <c r="C3824" s="23">
        <v>12</v>
      </c>
      <c r="D3824" s="33" t="str">
        <f t="shared" si="1147"/>
        <v>Q3</v>
      </c>
      <c r="E3824" s="33" t="str">
        <f t="shared" si="1153"/>
        <v>FY 24/25</v>
      </c>
      <c r="F3824" s="23">
        <v>2025</v>
      </c>
      <c r="G3824" s="23">
        <v>3</v>
      </c>
      <c r="H3824" s="29"/>
      <c r="I3824" s="93" t="str">
        <f t="shared" si="1155"/>
        <v>Q4</v>
      </c>
      <c r="J3824" s="188" t="s">
        <v>3632</v>
      </c>
      <c r="K3824" s="29" t="s">
        <v>3645</v>
      </c>
      <c r="L3824" s="24" t="s">
        <v>67</v>
      </c>
      <c r="M3824" s="13" t="s">
        <v>60</v>
      </c>
      <c r="N3824" s="22">
        <v>1</v>
      </c>
      <c r="O3824" s="22"/>
      <c r="P3824" s="33" t="str">
        <f t="shared" si="1164"/>
        <v>MAIN UNIT</v>
      </c>
      <c r="Q3824" s="22" t="s">
        <v>68</v>
      </c>
      <c r="R3824" s="22" t="s">
        <v>62</v>
      </c>
      <c r="S3824" s="22" t="s">
        <v>49</v>
      </c>
      <c r="T3824" s="22" t="s">
        <v>78</v>
      </c>
      <c r="U3824" s="22" t="s">
        <v>78</v>
      </c>
      <c r="V3824" s="22" t="s">
        <v>121</v>
      </c>
      <c r="W3824" s="22" t="s">
        <v>109</v>
      </c>
      <c r="X3824" s="104">
        <v>8000000</v>
      </c>
      <c r="Y3824" s="31" t="str">
        <f t="shared" si="1149"/>
        <v>1</v>
      </c>
      <c r="Z3824" s="230">
        <f t="shared" si="1148"/>
        <v>8000000</v>
      </c>
      <c r="AA3824" s="22">
        <v>5.2999999999999999E-2</v>
      </c>
      <c r="AB3824" s="231">
        <f t="shared" si="1152"/>
        <v>424000</v>
      </c>
      <c r="AC3824" s="25">
        <f t="shared" si="1156"/>
        <v>50880</v>
      </c>
      <c r="AD3824" s="169">
        <v>0.12</v>
      </c>
      <c r="AE3824" s="26">
        <f t="shared" si="1157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0"/>
        <v>17732428.654867258</v>
      </c>
      <c r="AJ3824" s="27">
        <f t="shared" si="1151"/>
        <v>2127891.4385840711</v>
      </c>
      <c r="AK3824" s="232">
        <f t="shared" si="1158"/>
        <v>0.12000000000000001</v>
      </c>
      <c r="AL3824" s="24"/>
      <c r="AM3824" s="24"/>
      <c r="AN3824" s="24"/>
      <c r="AO3824" s="24"/>
      <c r="AP3824" s="165" t="str">
        <f t="shared" si="1159"/>
        <v>20253</v>
      </c>
      <c r="AQ3824" s="233" t="str">
        <f t="shared" si="1160"/>
        <v>20253JPY</v>
      </c>
      <c r="AR3824" s="234" t="str">
        <f t="shared" si="1161"/>
        <v>YAMAHA_Mounter</v>
      </c>
      <c r="AS3824" s="22">
        <f t="shared" si="1162"/>
        <v>3</v>
      </c>
      <c r="AT3824" s="24" t="str">
        <f t="shared" si="1163"/>
        <v>0-3 months</v>
      </c>
      <c r="AU3824" s="22" t="s">
        <v>3745</v>
      </c>
    </row>
    <row r="3825" spans="1:47">
      <c r="A3825" s="33" t="str">
        <f t="shared" si="1154"/>
        <v>FY 24/25</v>
      </c>
      <c r="B3825" s="23">
        <v>2024</v>
      </c>
      <c r="C3825" s="23">
        <v>12</v>
      </c>
      <c r="D3825" s="33" t="str">
        <f t="shared" si="1147"/>
        <v>Q3</v>
      </c>
      <c r="E3825" s="33" t="str">
        <f t="shared" si="1153"/>
        <v>FY 24/25</v>
      </c>
      <c r="F3825" s="23">
        <v>2025</v>
      </c>
      <c r="G3825" s="23">
        <v>1</v>
      </c>
      <c r="H3825" s="29"/>
      <c r="I3825" s="93" t="str">
        <f t="shared" si="1155"/>
        <v>Q4</v>
      </c>
      <c r="J3825" s="188" t="s">
        <v>3633</v>
      </c>
      <c r="K3825" s="29" t="s">
        <v>3639</v>
      </c>
      <c r="L3825" s="24" t="s">
        <v>67</v>
      </c>
      <c r="M3825" s="13" t="s">
        <v>60</v>
      </c>
      <c r="N3825" s="22">
        <v>1</v>
      </c>
      <c r="O3825" s="22"/>
      <c r="P3825" s="33" t="str">
        <f t="shared" si="1164"/>
        <v>MAIN UNIT</v>
      </c>
      <c r="Q3825" s="22" t="s">
        <v>68</v>
      </c>
      <c r="R3825" s="22" t="s">
        <v>62</v>
      </c>
      <c r="S3825" s="22" t="s">
        <v>50</v>
      </c>
      <c r="T3825" s="22" t="s">
        <v>325</v>
      </c>
      <c r="U3825" s="22" t="s">
        <v>70</v>
      </c>
      <c r="V3825" s="22" t="s">
        <v>1010</v>
      </c>
      <c r="W3825" s="22" t="s">
        <v>64</v>
      </c>
      <c r="X3825" s="104">
        <v>410342.85714285716</v>
      </c>
      <c r="Y3825" s="31" t="str">
        <f t="shared" si="1149"/>
        <v>1.13</v>
      </c>
      <c r="Z3825" s="230">
        <f t="shared" si="1148"/>
        <v>410342.85714285716</v>
      </c>
      <c r="AA3825" s="22">
        <v>1.0640000000000001</v>
      </c>
      <c r="AB3825" s="231">
        <f t="shared" si="1152"/>
        <v>386375.92920353991</v>
      </c>
      <c r="AC3825" s="25">
        <f t="shared" si="1156"/>
        <v>18584.682194690267</v>
      </c>
      <c r="AD3825" s="169">
        <v>4.8099999999999997E-2</v>
      </c>
      <c r="AE3825" s="26">
        <f t="shared" si="1157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0"/>
        <v>16190947.162761064</v>
      </c>
      <c r="AJ3825" s="27">
        <f t="shared" si="1151"/>
        <v>2256328.1660673413</v>
      </c>
      <c r="AK3825" s="232">
        <f t="shared" si="1158"/>
        <v>0.13935739171929745</v>
      </c>
      <c r="AL3825" s="24"/>
      <c r="AM3825" s="24"/>
      <c r="AN3825" s="24"/>
      <c r="AO3825" s="24"/>
      <c r="AP3825" s="165" t="str">
        <f t="shared" si="1159"/>
        <v>20251</v>
      </c>
      <c r="AQ3825" s="233" t="str">
        <f t="shared" si="1160"/>
        <v>20251RMB</v>
      </c>
      <c r="AR3825" s="234" t="str">
        <f t="shared" si="1161"/>
        <v>YAMAHA_Mounter</v>
      </c>
      <c r="AS3825" s="22">
        <f t="shared" si="1162"/>
        <v>1</v>
      </c>
      <c r="AT3825" s="24" t="str">
        <f t="shared" si="1163"/>
        <v>0-3 months</v>
      </c>
      <c r="AU3825" s="22" t="s">
        <v>3240</v>
      </c>
    </row>
    <row r="3826" spans="1:47">
      <c r="A3826" s="33" t="str">
        <f t="shared" si="1154"/>
        <v>FY 24/25</v>
      </c>
      <c r="B3826" s="23">
        <v>2024</v>
      </c>
      <c r="C3826" s="23">
        <v>12</v>
      </c>
      <c r="D3826" s="33" t="str">
        <f t="shared" ref="D3826:D3889" si="1165">IF(B3826="","",IF(AND(C3826&gt;=10,C3826&lt;=12),"Q3",IF(AND(C3826&gt;=1,C3826&lt;=3),"Q4",IF(AND(C3826&gt;=7,C3826&lt;=9),"Q2",IF(AND(C3826&gt;=4,C3826&lt;=6),"Q1")))))</f>
        <v>Q3</v>
      </c>
      <c r="E3826" s="33" t="str">
        <f t="shared" si="1153"/>
        <v>FY 24/25</v>
      </c>
      <c r="F3826" s="23">
        <v>2025</v>
      </c>
      <c r="G3826" s="23">
        <v>1</v>
      </c>
      <c r="H3826" s="29"/>
      <c r="I3826" s="93" t="str">
        <f t="shared" si="1155"/>
        <v>Q4</v>
      </c>
      <c r="J3826" s="188" t="s">
        <v>3633</v>
      </c>
      <c r="K3826" s="29" t="s">
        <v>3639</v>
      </c>
      <c r="L3826" s="24" t="s">
        <v>67</v>
      </c>
      <c r="M3826" s="13" t="s">
        <v>60</v>
      </c>
      <c r="N3826" s="22">
        <v>1</v>
      </c>
      <c r="O3826" s="22"/>
      <c r="P3826" s="33" t="str">
        <f t="shared" si="1164"/>
        <v>MAIN UNIT</v>
      </c>
      <c r="Q3826" s="22" t="s">
        <v>68</v>
      </c>
      <c r="R3826" s="22" t="s">
        <v>62</v>
      </c>
      <c r="S3826" s="22" t="s">
        <v>50</v>
      </c>
      <c r="T3826" s="22" t="s">
        <v>325</v>
      </c>
      <c r="U3826" s="22" t="s">
        <v>70</v>
      </c>
      <c r="V3826" s="22" t="s">
        <v>1010</v>
      </c>
      <c r="W3826" s="22" t="s">
        <v>64</v>
      </c>
      <c r="X3826" s="104">
        <v>410342.85714285716</v>
      </c>
      <c r="Y3826" s="31" t="str">
        <f t="shared" si="1149"/>
        <v>1.13</v>
      </c>
      <c r="Z3826" s="230">
        <f t="shared" ref="Z3826:Z3889" si="1166">IF(X3826="","",X3826*MAX(O3826,N3826))</f>
        <v>410342.85714285716</v>
      </c>
      <c r="AA3826" s="22">
        <v>1.0640000000000001</v>
      </c>
      <c r="AB3826" s="231">
        <f t="shared" si="1152"/>
        <v>386375.92920353991</v>
      </c>
      <c r="AC3826" s="25">
        <f t="shared" si="1156"/>
        <v>18584.682194690267</v>
      </c>
      <c r="AD3826" s="169">
        <v>4.8099999999999997E-2</v>
      </c>
      <c r="AE3826" s="26">
        <f t="shared" si="1157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0"/>
        <v>16190947.162761064</v>
      </c>
      <c r="AJ3826" s="27">
        <f t="shared" si="1151"/>
        <v>2256328.1660673413</v>
      </c>
      <c r="AK3826" s="232">
        <f t="shared" si="1158"/>
        <v>0.13935739171929745</v>
      </c>
      <c r="AL3826" s="24"/>
      <c r="AM3826" s="24"/>
      <c r="AN3826" s="24"/>
      <c r="AO3826" s="24"/>
      <c r="AP3826" s="165" t="str">
        <f t="shared" si="1159"/>
        <v>20251</v>
      </c>
      <c r="AQ3826" s="233" t="str">
        <f t="shared" si="1160"/>
        <v>20251RMB</v>
      </c>
      <c r="AR3826" s="234" t="str">
        <f t="shared" si="1161"/>
        <v>YAMAHA_Mounter</v>
      </c>
      <c r="AS3826" s="22">
        <f t="shared" si="1162"/>
        <v>1</v>
      </c>
      <c r="AT3826" s="24" t="str">
        <f t="shared" si="1163"/>
        <v>0-3 months</v>
      </c>
      <c r="AU3826" s="22" t="s">
        <v>3240</v>
      </c>
    </row>
    <row r="3827" spans="1:47">
      <c r="A3827" s="33" t="str">
        <f t="shared" si="1154"/>
        <v>FY 24/25</v>
      </c>
      <c r="B3827" s="23">
        <v>2024</v>
      </c>
      <c r="C3827" s="23">
        <v>12</v>
      </c>
      <c r="D3827" s="33" t="str">
        <f t="shared" si="1165"/>
        <v>Q3</v>
      </c>
      <c r="E3827" s="33" t="str">
        <f t="shared" si="1153"/>
        <v>FY 24/25</v>
      </c>
      <c r="F3827" s="23">
        <v>2025</v>
      </c>
      <c r="G3827" s="23">
        <v>1</v>
      </c>
      <c r="H3827" s="29"/>
      <c r="I3827" s="93" t="str">
        <f t="shared" si="1155"/>
        <v>Q4</v>
      </c>
      <c r="J3827" s="188" t="s">
        <v>3633</v>
      </c>
      <c r="K3827" s="29" t="s">
        <v>3639</v>
      </c>
      <c r="L3827" s="24" t="s">
        <v>67</v>
      </c>
      <c r="M3827" s="13" t="s">
        <v>60</v>
      </c>
      <c r="N3827" s="22">
        <v>1</v>
      </c>
      <c r="O3827" s="22"/>
      <c r="P3827" s="33" t="str">
        <f t="shared" si="1164"/>
        <v>MAIN UNIT</v>
      </c>
      <c r="Q3827" s="22" t="s">
        <v>68</v>
      </c>
      <c r="R3827" s="22" t="s">
        <v>62</v>
      </c>
      <c r="S3827" s="22" t="s">
        <v>50</v>
      </c>
      <c r="T3827" s="22" t="s">
        <v>325</v>
      </c>
      <c r="U3827" s="22" t="s">
        <v>70</v>
      </c>
      <c r="V3827" s="22" t="s">
        <v>1010</v>
      </c>
      <c r="W3827" s="22" t="s">
        <v>64</v>
      </c>
      <c r="X3827" s="104">
        <v>410342.85714285716</v>
      </c>
      <c r="Y3827" s="31" t="str">
        <f t="shared" si="1149"/>
        <v>1.13</v>
      </c>
      <c r="Z3827" s="230">
        <f t="shared" si="1166"/>
        <v>410342.85714285716</v>
      </c>
      <c r="AA3827" s="22">
        <v>1.0640000000000001</v>
      </c>
      <c r="AB3827" s="231">
        <f t="shared" si="1152"/>
        <v>386375.92920353991</v>
      </c>
      <c r="AC3827" s="25">
        <f t="shared" si="1156"/>
        <v>18584.682194690267</v>
      </c>
      <c r="AD3827" s="169">
        <v>4.8099999999999997E-2</v>
      </c>
      <c r="AE3827" s="26">
        <f t="shared" si="1157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0"/>
        <v>16190947.162761064</v>
      </c>
      <c r="AJ3827" s="27">
        <f t="shared" si="1151"/>
        <v>2256328.1660673413</v>
      </c>
      <c r="AK3827" s="232">
        <f t="shared" si="1158"/>
        <v>0.13935739171929745</v>
      </c>
      <c r="AL3827" s="24"/>
      <c r="AM3827" s="24"/>
      <c r="AN3827" s="24"/>
      <c r="AO3827" s="24"/>
      <c r="AP3827" s="165" t="str">
        <f t="shared" si="1159"/>
        <v>20251</v>
      </c>
      <c r="AQ3827" s="233" t="str">
        <f t="shared" si="1160"/>
        <v>20251RMB</v>
      </c>
      <c r="AR3827" s="234" t="str">
        <f t="shared" si="1161"/>
        <v>YAMAHA_Mounter</v>
      </c>
      <c r="AS3827" s="22">
        <f t="shared" si="1162"/>
        <v>1</v>
      </c>
      <c r="AT3827" s="24" t="str">
        <f t="shared" si="1163"/>
        <v>0-3 months</v>
      </c>
      <c r="AU3827" s="22" t="s">
        <v>3240</v>
      </c>
    </row>
    <row r="3828" spans="1:47">
      <c r="A3828" s="33" t="str">
        <f t="shared" si="1154"/>
        <v>FY 24/25</v>
      </c>
      <c r="B3828" s="23">
        <v>2024</v>
      </c>
      <c r="C3828" s="23">
        <v>12</v>
      </c>
      <c r="D3828" s="33" t="str">
        <f t="shared" si="1165"/>
        <v>Q3</v>
      </c>
      <c r="E3828" s="33" t="str">
        <f t="shared" si="1153"/>
        <v>FY 24/25</v>
      </c>
      <c r="F3828" s="23">
        <v>2025</v>
      </c>
      <c r="G3828" s="23">
        <v>1</v>
      </c>
      <c r="H3828" s="29"/>
      <c r="I3828" s="93" t="str">
        <f t="shared" si="1155"/>
        <v>Q4</v>
      </c>
      <c r="J3828" s="188" t="s">
        <v>3633</v>
      </c>
      <c r="K3828" s="29" t="s">
        <v>3639</v>
      </c>
      <c r="L3828" s="24" t="s">
        <v>67</v>
      </c>
      <c r="M3828" s="13" t="s">
        <v>60</v>
      </c>
      <c r="N3828" s="22">
        <v>1</v>
      </c>
      <c r="O3828" s="22"/>
      <c r="P3828" s="33" t="str">
        <f t="shared" si="1164"/>
        <v>MAIN UNIT</v>
      </c>
      <c r="Q3828" s="22" t="s">
        <v>68</v>
      </c>
      <c r="R3828" s="22" t="s">
        <v>62</v>
      </c>
      <c r="S3828" s="22" t="s">
        <v>50</v>
      </c>
      <c r="T3828" s="22" t="s">
        <v>325</v>
      </c>
      <c r="U3828" s="22" t="s">
        <v>70</v>
      </c>
      <c r="V3828" s="22" t="s">
        <v>1010</v>
      </c>
      <c r="W3828" s="22" t="s">
        <v>64</v>
      </c>
      <c r="X3828" s="104">
        <v>410342.85714285716</v>
      </c>
      <c r="Y3828" s="31" t="str">
        <f t="shared" ref="Y3828:Y3891" si="1167">IF(W3828="","",IF(W3828="RMB","1.13", "1"))</f>
        <v>1.13</v>
      </c>
      <c r="Z3828" s="230">
        <f t="shared" si="1166"/>
        <v>410342.85714285716</v>
      </c>
      <c r="AA3828" s="22">
        <v>1.0640000000000001</v>
      </c>
      <c r="AB3828" s="231">
        <f t="shared" si="1152"/>
        <v>386375.92920353991</v>
      </c>
      <c r="AC3828" s="25">
        <f t="shared" si="1156"/>
        <v>18584.682194690267</v>
      </c>
      <c r="AD3828" s="169">
        <v>4.8099999999999997E-2</v>
      </c>
      <c r="AE3828" s="26">
        <f t="shared" si="1157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0"/>
        <v>16190947.162761064</v>
      </c>
      <c r="AJ3828" s="27">
        <f t="shared" si="1151"/>
        <v>2256328.1660673413</v>
      </c>
      <c r="AK3828" s="232">
        <f t="shared" si="1158"/>
        <v>0.13935739171929745</v>
      </c>
      <c r="AL3828" s="24"/>
      <c r="AM3828" s="24"/>
      <c r="AN3828" s="24"/>
      <c r="AO3828" s="24"/>
      <c r="AP3828" s="165" t="str">
        <f t="shared" si="1159"/>
        <v>20251</v>
      </c>
      <c r="AQ3828" s="233" t="str">
        <f t="shared" si="1160"/>
        <v>20251RMB</v>
      </c>
      <c r="AR3828" s="234" t="str">
        <f t="shared" si="1161"/>
        <v>YAMAHA_Mounter</v>
      </c>
      <c r="AS3828" s="22">
        <f t="shared" si="1162"/>
        <v>1</v>
      </c>
      <c r="AT3828" s="24" t="str">
        <f t="shared" si="1163"/>
        <v>0-3 months</v>
      </c>
      <c r="AU3828" s="22" t="s">
        <v>3240</v>
      </c>
    </row>
    <row r="3829" spans="1:47">
      <c r="A3829" s="33" t="str">
        <f t="shared" si="1154"/>
        <v>FY 24/25</v>
      </c>
      <c r="B3829" s="23">
        <v>2024</v>
      </c>
      <c r="C3829" s="23">
        <v>12</v>
      </c>
      <c r="D3829" s="33" t="str">
        <f t="shared" si="1165"/>
        <v>Q3</v>
      </c>
      <c r="E3829" s="33" t="str">
        <f t="shared" si="1153"/>
        <v>FY 24/25</v>
      </c>
      <c r="F3829" s="23">
        <v>2025</v>
      </c>
      <c r="G3829" s="23">
        <v>1</v>
      </c>
      <c r="H3829" s="29"/>
      <c r="I3829" s="93" t="str">
        <f t="shared" si="1155"/>
        <v>Q4</v>
      </c>
      <c r="J3829" s="188" t="s">
        <v>3633</v>
      </c>
      <c r="K3829" s="29" t="s">
        <v>3639</v>
      </c>
      <c r="L3829" s="24" t="s">
        <v>67</v>
      </c>
      <c r="M3829" s="13" t="s">
        <v>60</v>
      </c>
      <c r="N3829" s="22">
        <v>1</v>
      </c>
      <c r="O3829" s="22"/>
      <c r="P3829" s="33" t="str">
        <f t="shared" si="1164"/>
        <v>MAIN UNIT</v>
      </c>
      <c r="Q3829" s="22" t="s">
        <v>68</v>
      </c>
      <c r="R3829" s="22" t="s">
        <v>62</v>
      </c>
      <c r="S3829" s="22" t="s">
        <v>50</v>
      </c>
      <c r="T3829" s="22" t="s">
        <v>325</v>
      </c>
      <c r="U3829" s="22" t="s">
        <v>70</v>
      </c>
      <c r="V3829" s="22" t="s">
        <v>1010</v>
      </c>
      <c r="W3829" s="22" t="s">
        <v>64</v>
      </c>
      <c r="X3829" s="104">
        <v>410342.85714285716</v>
      </c>
      <c r="Y3829" s="31" t="str">
        <f t="shared" si="1167"/>
        <v>1.13</v>
      </c>
      <c r="Z3829" s="230">
        <f t="shared" si="1166"/>
        <v>410342.85714285716</v>
      </c>
      <c r="AA3829" s="22">
        <v>1.0640000000000001</v>
      </c>
      <c r="AB3829" s="231">
        <f t="shared" si="1152"/>
        <v>386375.92920353991</v>
      </c>
      <c r="AC3829" s="25">
        <f t="shared" si="1156"/>
        <v>18584.682194690267</v>
      </c>
      <c r="AD3829" s="169">
        <v>4.8099999999999997E-2</v>
      </c>
      <c r="AE3829" s="26">
        <f t="shared" si="1157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0"/>
        <v>16190947.162761064</v>
      </c>
      <c r="AJ3829" s="27">
        <f t="shared" si="1151"/>
        <v>2256328.1660673413</v>
      </c>
      <c r="AK3829" s="232">
        <f t="shared" si="1158"/>
        <v>0.13935739171929745</v>
      </c>
      <c r="AL3829" s="24"/>
      <c r="AM3829" s="24"/>
      <c r="AN3829" s="24"/>
      <c r="AO3829" s="24"/>
      <c r="AP3829" s="165" t="str">
        <f t="shared" si="1159"/>
        <v>20251</v>
      </c>
      <c r="AQ3829" s="233" t="str">
        <f t="shared" si="1160"/>
        <v>20251RMB</v>
      </c>
      <c r="AR3829" s="234" t="str">
        <f t="shared" si="1161"/>
        <v>YAMAHA_Mounter</v>
      </c>
      <c r="AS3829" s="22">
        <f t="shared" si="1162"/>
        <v>1</v>
      </c>
      <c r="AT3829" s="24" t="str">
        <f t="shared" si="1163"/>
        <v>0-3 months</v>
      </c>
      <c r="AU3829" s="22" t="s">
        <v>3240</v>
      </c>
    </row>
    <row r="3830" spans="1:47">
      <c r="A3830" s="33" t="str">
        <f t="shared" si="1154"/>
        <v>FY 24/25</v>
      </c>
      <c r="B3830" s="23">
        <v>2024</v>
      </c>
      <c r="C3830" s="23">
        <v>12</v>
      </c>
      <c r="D3830" s="33" t="str">
        <f t="shared" si="1165"/>
        <v>Q3</v>
      </c>
      <c r="E3830" s="33" t="str">
        <f t="shared" si="1153"/>
        <v>FY 24/25</v>
      </c>
      <c r="F3830" s="23">
        <v>2025</v>
      </c>
      <c r="G3830" s="23">
        <v>1</v>
      </c>
      <c r="H3830" s="29"/>
      <c r="I3830" s="93" t="str">
        <f t="shared" si="1155"/>
        <v>Q4</v>
      </c>
      <c r="J3830" s="188" t="s">
        <v>3633</v>
      </c>
      <c r="K3830" s="29" t="s">
        <v>3639</v>
      </c>
      <c r="L3830" s="24" t="s">
        <v>67</v>
      </c>
      <c r="M3830" s="13" t="s">
        <v>60</v>
      </c>
      <c r="N3830" s="22">
        <v>1</v>
      </c>
      <c r="O3830" s="22"/>
      <c r="P3830" s="33" t="str">
        <f t="shared" si="1164"/>
        <v>MAIN UNIT</v>
      </c>
      <c r="Q3830" s="22" t="s">
        <v>68</v>
      </c>
      <c r="R3830" s="22" t="s">
        <v>62</v>
      </c>
      <c r="S3830" s="22" t="s">
        <v>50</v>
      </c>
      <c r="T3830" s="22" t="s">
        <v>325</v>
      </c>
      <c r="U3830" s="22" t="s">
        <v>70</v>
      </c>
      <c r="V3830" s="22" t="s">
        <v>1010</v>
      </c>
      <c r="W3830" s="22" t="s">
        <v>64</v>
      </c>
      <c r="X3830" s="104">
        <v>410342.85714285716</v>
      </c>
      <c r="Y3830" s="31" t="str">
        <f t="shared" si="1167"/>
        <v>1.13</v>
      </c>
      <c r="Z3830" s="230">
        <f t="shared" si="1166"/>
        <v>410342.85714285716</v>
      </c>
      <c r="AA3830" s="22">
        <v>1.0640000000000001</v>
      </c>
      <c r="AB3830" s="231">
        <f t="shared" si="1152"/>
        <v>386375.92920353991</v>
      </c>
      <c r="AC3830" s="25">
        <f t="shared" si="1156"/>
        <v>18584.682194690267</v>
      </c>
      <c r="AD3830" s="169">
        <v>4.8099999999999997E-2</v>
      </c>
      <c r="AE3830" s="26">
        <f t="shared" si="1157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0"/>
        <v>16190947.162761064</v>
      </c>
      <c r="AJ3830" s="27">
        <f t="shared" si="1151"/>
        <v>2256328.1660673413</v>
      </c>
      <c r="AK3830" s="232">
        <f t="shared" si="1158"/>
        <v>0.13935739171929745</v>
      </c>
      <c r="AL3830" s="24"/>
      <c r="AM3830" s="24"/>
      <c r="AN3830" s="24"/>
      <c r="AO3830" s="24"/>
      <c r="AP3830" s="165" t="str">
        <f t="shared" si="1159"/>
        <v>20251</v>
      </c>
      <c r="AQ3830" s="233" t="str">
        <f t="shared" si="1160"/>
        <v>20251RMB</v>
      </c>
      <c r="AR3830" s="234" t="str">
        <f t="shared" si="1161"/>
        <v>YAMAHA_Mounter</v>
      </c>
      <c r="AS3830" s="22">
        <f t="shared" si="1162"/>
        <v>1</v>
      </c>
      <c r="AT3830" s="24" t="str">
        <f t="shared" si="1163"/>
        <v>0-3 months</v>
      </c>
      <c r="AU3830" s="22" t="s">
        <v>3240</v>
      </c>
    </row>
    <row r="3831" spans="1:47">
      <c r="A3831" s="33" t="str">
        <f t="shared" si="1154"/>
        <v>FY 24/25</v>
      </c>
      <c r="B3831" s="23">
        <v>2024</v>
      </c>
      <c r="C3831" s="23">
        <v>12</v>
      </c>
      <c r="D3831" s="33" t="str">
        <f t="shared" si="1165"/>
        <v>Q3</v>
      </c>
      <c r="E3831" s="33" t="str">
        <f t="shared" si="1153"/>
        <v>FY 24/25</v>
      </c>
      <c r="F3831" s="23">
        <v>2025</v>
      </c>
      <c r="G3831" s="23">
        <v>1</v>
      </c>
      <c r="H3831" s="29"/>
      <c r="I3831" s="93" t="str">
        <f t="shared" si="1155"/>
        <v>Q4</v>
      </c>
      <c r="J3831" s="188" t="s">
        <v>3633</v>
      </c>
      <c r="K3831" s="29" t="s">
        <v>3639</v>
      </c>
      <c r="L3831" s="24" t="s">
        <v>67</v>
      </c>
      <c r="M3831" s="13" t="s">
        <v>60</v>
      </c>
      <c r="N3831" s="22">
        <v>1</v>
      </c>
      <c r="O3831" s="22"/>
      <c r="P3831" s="33" t="str">
        <f t="shared" si="1164"/>
        <v>MAIN UNIT</v>
      </c>
      <c r="Q3831" s="22" t="s">
        <v>68</v>
      </c>
      <c r="R3831" s="22" t="s">
        <v>62</v>
      </c>
      <c r="S3831" s="22" t="s">
        <v>50</v>
      </c>
      <c r="T3831" s="22" t="s">
        <v>325</v>
      </c>
      <c r="U3831" s="22" t="s">
        <v>70</v>
      </c>
      <c r="V3831" s="22" t="s">
        <v>1010</v>
      </c>
      <c r="W3831" s="22" t="s">
        <v>64</v>
      </c>
      <c r="X3831" s="104">
        <v>410342.85714285716</v>
      </c>
      <c r="Y3831" s="31" t="str">
        <f t="shared" si="1167"/>
        <v>1.13</v>
      </c>
      <c r="Z3831" s="230">
        <f t="shared" si="1166"/>
        <v>410342.85714285716</v>
      </c>
      <c r="AA3831" s="22">
        <v>1.0640000000000001</v>
      </c>
      <c r="AB3831" s="231">
        <f t="shared" si="1152"/>
        <v>386375.92920353991</v>
      </c>
      <c r="AC3831" s="25">
        <f t="shared" si="1156"/>
        <v>18584.682194690267</v>
      </c>
      <c r="AD3831" s="169">
        <v>4.8099999999999997E-2</v>
      </c>
      <c r="AE3831" s="26">
        <f t="shared" si="1157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0"/>
        <v>16190947.162761064</v>
      </c>
      <c r="AJ3831" s="27">
        <f t="shared" si="1151"/>
        <v>2256328.1660673413</v>
      </c>
      <c r="AK3831" s="232">
        <f t="shared" si="1158"/>
        <v>0.13935739171929745</v>
      </c>
      <c r="AL3831" s="24"/>
      <c r="AM3831" s="24"/>
      <c r="AN3831" s="24"/>
      <c r="AO3831" s="24"/>
      <c r="AP3831" s="165" t="str">
        <f t="shared" si="1159"/>
        <v>20251</v>
      </c>
      <c r="AQ3831" s="233" t="str">
        <f t="shared" si="1160"/>
        <v>20251RMB</v>
      </c>
      <c r="AR3831" s="234" t="str">
        <f t="shared" si="1161"/>
        <v>YAMAHA_Mounter</v>
      </c>
      <c r="AS3831" s="22">
        <f t="shared" si="1162"/>
        <v>1</v>
      </c>
      <c r="AT3831" s="24" t="str">
        <f t="shared" si="1163"/>
        <v>0-3 months</v>
      </c>
      <c r="AU3831" s="22" t="s">
        <v>3240</v>
      </c>
    </row>
    <row r="3832" spans="1:47">
      <c r="A3832" s="33" t="str">
        <f t="shared" si="1154"/>
        <v>FY 24/25</v>
      </c>
      <c r="B3832" s="23">
        <v>2024</v>
      </c>
      <c r="C3832" s="23">
        <v>12</v>
      </c>
      <c r="D3832" s="33" t="str">
        <f t="shared" si="1165"/>
        <v>Q3</v>
      </c>
      <c r="E3832" s="33" t="str">
        <f t="shared" si="1153"/>
        <v>FY 24/25</v>
      </c>
      <c r="F3832" s="23">
        <v>2024</v>
      </c>
      <c r="G3832" s="23">
        <v>12</v>
      </c>
      <c r="H3832" s="29"/>
      <c r="I3832" s="93" t="str">
        <f t="shared" si="1155"/>
        <v>Q3</v>
      </c>
      <c r="J3832" s="188" t="s">
        <v>3634</v>
      </c>
      <c r="K3832" s="29" t="s">
        <v>1758</v>
      </c>
      <c r="L3832" s="24" t="s">
        <v>67</v>
      </c>
      <c r="M3832" s="13" t="s">
        <v>60</v>
      </c>
      <c r="N3832" s="22">
        <v>1</v>
      </c>
      <c r="O3832" s="22"/>
      <c r="P3832" s="33" t="str">
        <f t="shared" si="1164"/>
        <v>MAIN UNIT</v>
      </c>
      <c r="Q3832" s="22" t="s">
        <v>61</v>
      </c>
      <c r="R3832" s="22" t="s">
        <v>62</v>
      </c>
      <c r="S3832" s="22" t="s">
        <v>50</v>
      </c>
      <c r="T3832" s="22" t="s">
        <v>101</v>
      </c>
      <c r="U3832" s="22" t="s">
        <v>70</v>
      </c>
      <c r="V3832" s="22" t="s">
        <v>102</v>
      </c>
      <c r="W3832" s="22" t="s">
        <v>64</v>
      </c>
      <c r="X3832" s="104">
        <v>600000</v>
      </c>
      <c r="Y3832" s="31" t="str">
        <f t="shared" si="1167"/>
        <v>1.13</v>
      </c>
      <c r="Z3832" s="230">
        <f t="shared" si="1166"/>
        <v>600000</v>
      </c>
      <c r="AA3832" s="22">
        <v>1.0760000000000001</v>
      </c>
      <c r="AB3832" s="231">
        <f t="shared" si="1152"/>
        <v>571327.43362831871</v>
      </c>
      <c r="AC3832" s="25">
        <f t="shared" si="1156"/>
        <v>54847.433628318598</v>
      </c>
      <c r="AD3832" s="169">
        <v>9.6000000000000002E-2</v>
      </c>
      <c r="AE3832" s="26">
        <f t="shared" si="1157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0"/>
        <v>15965524.256637167</v>
      </c>
      <c r="AJ3832" s="27">
        <f t="shared" si="1151"/>
        <v>2480116.5996584073</v>
      </c>
      <c r="AK3832" s="232">
        <f t="shared" si="1158"/>
        <v>0.15534200817911609</v>
      </c>
      <c r="AL3832" s="24"/>
      <c r="AM3832" s="24"/>
      <c r="AN3832" s="24"/>
      <c r="AO3832" s="24"/>
      <c r="AP3832" s="165" t="str">
        <f t="shared" si="1159"/>
        <v>202412</v>
      </c>
      <c r="AQ3832" s="233" t="str">
        <f t="shared" si="1160"/>
        <v>202412RMB</v>
      </c>
      <c r="AR3832" s="234" t="str">
        <f t="shared" si="1161"/>
        <v>YAMAHA_Mounter</v>
      </c>
      <c r="AS3832" s="22">
        <f t="shared" si="1162"/>
        <v>0</v>
      </c>
      <c r="AT3832" s="24" t="str">
        <f t="shared" si="1163"/>
        <v>0-3 months</v>
      </c>
      <c r="AU3832" s="22" t="s">
        <v>3240</v>
      </c>
    </row>
    <row r="3833" spans="1:47">
      <c r="A3833" s="33" t="str">
        <f t="shared" si="1154"/>
        <v>FY 24/25</v>
      </c>
      <c r="B3833" s="23">
        <v>2024</v>
      </c>
      <c r="C3833" s="23">
        <v>12</v>
      </c>
      <c r="D3833" s="33" t="str">
        <f t="shared" si="1165"/>
        <v>Q3</v>
      </c>
      <c r="E3833" s="33" t="str">
        <f t="shared" si="1153"/>
        <v>FY 24/25</v>
      </c>
      <c r="F3833" s="23">
        <v>2025</v>
      </c>
      <c r="G3833" s="23">
        <v>3</v>
      </c>
      <c r="H3833" s="29"/>
      <c r="I3833" s="93" t="str">
        <f t="shared" si="1155"/>
        <v>Q4</v>
      </c>
      <c r="J3833" s="188" t="s">
        <v>3635</v>
      </c>
      <c r="K3833" s="239" t="s">
        <v>3131</v>
      </c>
      <c r="L3833" s="24" t="s">
        <v>67</v>
      </c>
      <c r="M3833" s="13" t="s">
        <v>60</v>
      </c>
      <c r="N3833" s="22">
        <v>1</v>
      </c>
      <c r="O3833" s="22"/>
      <c r="P3833" s="33" t="str">
        <f t="shared" si="1164"/>
        <v>MAIN UNIT</v>
      </c>
      <c r="Q3833" s="22" t="s">
        <v>61</v>
      </c>
      <c r="R3833" s="22" t="s">
        <v>62</v>
      </c>
      <c r="S3833" s="22" t="s">
        <v>50</v>
      </c>
      <c r="T3833" s="22" t="s">
        <v>88</v>
      </c>
      <c r="U3833" s="22" t="s">
        <v>70</v>
      </c>
      <c r="V3833" s="22" t="s">
        <v>1010</v>
      </c>
      <c r="W3833" s="22" t="s">
        <v>64</v>
      </c>
      <c r="X3833" s="104">
        <v>620000</v>
      </c>
      <c r="Y3833" s="31" t="str">
        <f t="shared" si="1167"/>
        <v>1.13</v>
      </c>
      <c r="Z3833" s="230">
        <f t="shared" si="1166"/>
        <v>620000</v>
      </c>
      <c r="AA3833" s="22">
        <v>1.0669999999999999</v>
      </c>
      <c r="AB3833" s="231">
        <f t="shared" si="1152"/>
        <v>585433.62831858417</v>
      </c>
      <c r="AC3833" s="25">
        <f t="shared" si="1156"/>
        <v>70252.035398230102</v>
      </c>
      <c r="AD3833" s="169">
        <v>0.12</v>
      </c>
      <c r="AE3833" s="26">
        <f t="shared" si="1157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0"/>
        <v>17732428.654867258</v>
      </c>
      <c r="AJ3833" s="27">
        <f t="shared" si="1151"/>
        <v>2127891.4385840711</v>
      </c>
      <c r="AK3833" s="232">
        <f t="shared" si="1158"/>
        <v>0.12000000000000001</v>
      </c>
      <c r="AL3833" s="24"/>
      <c r="AM3833" s="24"/>
      <c r="AN3833" s="24"/>
      <c r="AO3833" s="24"/>
      <c r="AP3833" s="165" t="str">
        <f t="shared" si="1159"/>
        <v>20253</v>
      </c>
      <c r="AQ3833" s="233" t="str">
        <f t="shared" si="1160"/>
        <v>20253RMB</v>
      </c>
      <c r="AR3833" s="234" t="str">
        <f t="shared" si="1161"/>
        <v>YAMAHA_Mounter</v>
      </c>
      <c r="AS3833" s="22">
        <f t="shared" si="1162"/>
        <v>3</v>
      </c>
      <c r="AT3833" s="24" t="str">
        <f t="shared" si="1163"/>
        <v>0-3 months</v>
      </c>
      <c r="AU3833" s="22" t="s">
        <v>3240</v>
      </c>
    </row>
    <row r="3834" spans="1:47">
      <c r="A3834" s="33" t="str">
        <f t="shared" si="1154"/>
        <v>FY 24/25</v>
      </c>
      <c r="B3834" s="23">
        <v>2024</v>
      </c>
      <c r="C3834" s="23">
        <v>12</v>
      </c>
      <c r="D3834" s="33" t="str">
        <f t="shared" si="1165"/>
        <v>Q3</v>
      </c>
      <c r="E3834" s="33" t="str">
        <f t="shared" si="1153"/>
        <v>FY 25/26</v>
      </c>
      <c r="F3834" s="23">
        <v>2025</v>
      </c>
      <c r="G3834" s="23">
        <v>4</v>
      </c>
      <c r="H3834" s="29"/>
      <c r="I3834" s="93" t="str">
        <f t="shared" si="1155"/>
        <v>Q1</v>
      </c>
      <c r="J3834" s="188" t="s">
        <v>3636</v>
      </c>
      <c r="K3834" s="29" t="s">
        <v>3640</v>
      </c>
      <c r="L3834" s="24" t="s">
        <v>92</v>
      </c>
      <c r="M3834" s="13" t="s">
        <v>60</v>
      </c>
      <c r="N3834" s="22">
        <v>1</v>
      </c>
      <c r="O3834" s="22"/>
      <c r="P3834" s="33" t="str">
        <f t="shared" si="1164"/>
        <v>MAIN UNIT</v>
      </c>
      <c r="Q3834" s="22" t="s">
        <v>68</v>
      </c>
      <c r="R3834" s="22" t="s">
        <v>62</v>
      </c>
      <c r="S3834" s="22" t="s">
        <v>50</v>
      </c>
      <c r="T3834" s="22" t="s">
        <v>88</v>
      </c>
      <c r="U3834" s="22" t="s">
        <v>70</v>
      </c>
      <c r="V3834" s="22" t="s">
        <v>1400</v>
      </c>
      <c r="W3834" s="22" t="s">
        <v>64</v>
      </c>
      <c r="X3834" s="104">
        <v>765000</v>
      </c>
      <c r="Y3834" s="31" t="str">
        <f t="shared" si="1167"/>
        <v>1.13</v>
      </c>
      <c r="Z3834" s="230">
        <f t="shared" si="1166"/>
        <v>765000</v>
      </c>
      <c r="AA3834" s="22">
        <v>1.0669999999999999</v>
      </c>
      <c r="AB3834" s="231">
        <f t="shared" si="1152"/>
        <v>722349.55752212391</v>
      </c>
      <c r="AC3834" s="25">
        <f t="shared" si="1156"/>
        <v>86681.946902654861</v>
      </c>
      <c r="AD3834" s="169">
        <v>0.12</v>
      </c>
      <c r="AE3834" s="26">
        <f t="shared" si="1157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0"/>
        <v>29497483.159292053</v>
      </c>
      <c r="AJ3834" s="27">
        <f t="shared" si="1151"/>
        <v>3539697.9791150414</v>
      </c>
      <c r="AK3834" s="232">
        <f t="shared" si="1158"/>
        <v>0.11999999999999983</v>
      </c>
      <c r="AL3834" s="24"/>
      <c r="AM3834" s="24"/>
      <c r="AN3834" s="24"/>
      <c r="AO3834" s="24"/>
      <c r="AP3834" s="165" t="str">
        <f t="shared" si="1159"/>
        <v>20254</v>
      </c>
      <c r="AQ3834" s="233" t="str">
        <f t="shared" si="1160"/>
        <v>20254RMB</v>
      </c>
      <c r="AR3834" s="234" t="str">
        <f t="shared" si="1161"/>
        <v>YAMAHA_Mounter</v>
      </c>
      <c r="AS3834" s="22">
        <f t="shared" si="1162"/>
        <v>4</v>
      </c>
      <c r="AT3834" s="24" t="str">
        <f t="shared" si="1163"/>
        <v>4-6 months</v>
      </c>
      <c r="AU3834" s="22" t="s">
        <v>3240</v>
      </c>
    </row>
    <row r="3835" spans="1:47">
      <c r="A3835" s="33" t="str">
        <f t="shared" si="1154"/>
        <v>FY 24/25</v>
      </c>
      <c r="B3835" s="23">
        <v>2024</v>
      </c>
      <c r="C3835" s="23">
        <v>12</v>
      </c>
      <c r="D3835" s="33" t="str">
        <f t="shared" si="1165"/>
        <v>Q3</v>
      </c>
      <c r="E3835" s="33" t="str">
        <f t="shared" si="1153"/>
        <v>FY 25/26</v>
      </c>
      <c r="F3835" s="23">
        <v>2025</v>
      </c>
      <c r="G3835" s="23">
        <v>4</v>
      </c>
      <c r="H3835" s="29"/>
      <c r="I3835" s="93" t="str">
        <f t="shared" si="1155"/>
        <v>Q1</v>
      </c>
      <c r="J3835" s="188" t="s">
        <v>3636</v>
      </c>
      <c r="K3835" s="29" t="s">
        <v>3640</v>
      </c>
      <c r="L3835" s="24" t="s">
        <v>67</v>
      </c>
      <c r="M3835" s="13" t="s">
        <v>60</v>
      </c>
      <c r="N3835" s="22">
        <v>1</v>
      </c>
      <c r="O3835" s="22"/>
      <c r="P3835" s="33" t="str">
        <f t="shared" si="1164"/>
        <v>MAIN UNIT</v>
      </c>
      <c r="Q3835" s="22" t="s">
        <v>68</v>
      </c>
      <c r="R3835" s="22" t="s">
        <v>62</v>
      </c>
      <c r="S3835" s="22" t="s">
        <v>50</v>
      </c>
      <c r="T3835" s="22" t="s">
        <v>88</v>
      </c>
      <c r="U3835" s="22" t="s">
        <v>70</v>
      </c>
      <c r="V3835" s="22" t="s">
        <v>1400</v>
      </c>
      <c r="W3835" s="22" t="s">
        <v>64</v>
      </c>
      <c r="X3835" s="104">
        <v>765000</v>
      </c>
      <c r="Y3835" s="31" t="str">
        <f t="shared" si="1167"/>
        <v>1.13</v>
      </c>
      <c r="Z3835" s="230">
        <f t="shared" si="1166"/>
        <v>765000</v>
      </c>
      <c r="AA3835" s="22">
        <v>1.0669999999999999</v>
      </c>
      <c r="AB3835" s="231">
        <f t="shared" si="1152"/>
        <v>722349.55752212391</v>
      </c>
      <c r="AC3835" s="25">
        <f t="shared" si="1156"/>
        <v>86681.946902654861</v>
      </c>
      <c r="AD3835" s="169">
        <v>0.12</v>
      </c>
      <c r="AE3835" s="26">
        <f t="shared" si="1157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0"/>
        <v>29497483.159292053</v>
      </c>
      <c r="AJ3835" s="27">
        <f t="shared" si="1151"/>
        <v>3539697.9791150414</v>
      </c>
      <c r="AK3835" s="232">
        <f t="shared" si="1158"/>
        <v>0.11999999999999983</v>
      </c>
      <c r="AL3835" s="24"/>
      <c r="AM3835" s="24"/>
      <c r="AN3835" s="24"/>
      <c r="AO3835" s="24"/>
      <c r="AP3835" s="165" t="str">
        <f t="shared" si="1159"/>
        <v>20254</v>
      </c>
      <c r="AQ3835" s="233" t="str">
        <f t="shared" si="1160"/>
        <v>20254RMB</v>
      </c>
      <c r="AR3835" s="234" t="str">
        <f t="shared" si="1161"/>
        <v>YAMAHA_Mounter</v>
      </c>
      <c r="AS3835" s="22">
        <f t="shared" si="1162"/>
        <v>4</v>
      </c>
      <c r="AT3835" s="24" t="str">
        <f t="shared" si="1163"/>
        <v>4-6 months</v>
      </c>
      <c r="AU3835" s="22" t="s">
        <v>3240</v>
      </c>
    </row>
    <row r="3836" spans="1:47">
      <c r="A3836" s="33" t="str">
        <f t="shared" si="1154"/>
        <v>FY 24/25</v>
      </c>
      <c r="B3836" s="23">
        <v>2024</v>
      </c>
      <c r="C3836" s="23">
        <v>12</v>
      </c>
      <c r="D3836" s="33" t="str">
        <f t="shared" si="1165"/>
        <v>Q3</v>
      </c>
      <c r="E3836" s="33" t="str">
        <f t="shared" si="1153"/>
        <v>FY 24/25</v>
      </c>
      <c r="F3836" s="23">
        <v>2024</v>
      </c>
      <c r="G3836" s="23">
        <v>12</v>
      </c>
      <c r="H3836" s="29"/>
      <c r="I3836" s="93" t="str">
        <f t="shared" si="1155"/>
        <v>Q3</v>
      </c>
      <c r="J3836" s="188" t="s">
        <v>3637</v>
      </c>
      <c r="K3836" s="29" t="s">
        <v>1555</v>
      </c>
      <c r="L3836" s="24" t="s">
        <v>92</v>
      </c>
      <c r="M3836" s="13" t="s">
        <v>60</v>
      </c>
      <c r="N3836" s="22">
        <v>1</v>
      </c>
      <c r="O3836" s="22"/>
      <c r="P3836" s="33" t="str">
        <f t="shared" si="1164"/>
        <v>MAIN UNIT</v>
      </c>
      <c r="Q3836" s="22" t="s">
        <v>61</v>
      </c>
      <c r="R3836" s="22" t="s">
        <v>62</v>
      </c>
      <c r="S3836" s="22" t="s">
        <v>50</v>
      </c>
      <c r="T3836" s="22" t="s">
        <v>88</v>
      </c>
      <c r="U3836" s="22" t="s">
        <v>70</v>
      </c>
      <c r="V3836" s="22" t="s">
        <v>1400</v>
      </c>
      <c r="W3836" s="22" t="s">
        <v>64</v>
      </c>
      <c r="X3836" s="104">
        <v>650000</v>
      </c>
      <c r="Y3836" s="31" t="str">
        <f t="shared" si="1167"/>
        <v>1.13</v>
      </c>
      <c r="Z3836" s="230">
        <f t="shared" si="1166"/>
        <v>650000</v>
      </c>
      <c r="AA3836" s="22">
        <v>1.0760000000000001</v>
      </c>
      <c r="AB3836" s="231">
        <f t="shared" si="1152"/>
        <v>618938.05309734517</v>
      </c>
      <c r="AC3836" s="25">
        <f t="shared" si="1156"/>
        <v>58922.902654867263</v>
      </c>
      <c r="AD3836" s="169">
        <v>9.5200000000000007E-2</v>
      </c>
      <c r="AE3836" s="26">
        <f t="shared" si="1157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0"/>
        <v>15965524.256637167</v>
      </c>
      <c r="AJ3836" s="27">
        <f t="shared" si="1151"/>
        <v>2480116.5996584073</v>
      </c>
      <c r="AK3836" s="232">
        <f t="shared" si="1158"/>
        <v>0.15534200817911609</v>
      </c>
      <c r="AL3836" s="24"/>
      <c r="AM3836" s="24"/>
      <c r="AN3836" s="24"/>
      <c r="AO3836" s="24"/>
      <c r="AP3836" s="165" t="str">
        <f t="shared" si="1159"/>
        <v>202412</v>
      </c>
      <c r="AQ3836" s="233" t="str">
        <f t="shared" si="1160"/>
        <v>202412RMB</v>
      </c>
      <c r="AR3836" s="234" t="str">
        <f t="shared" si="1161"/>
        <v>YAMAHA_Mounter</v>
      </c>
      <c r="AS3836" s="22">
        <f t="shared" si="1162"/>
        <v>0</v>
      </c>
      <c r="AT3836" s="24" t="str">
        <f t="shared" si="1163"/>
        <v>0-3 months</v>
      </c>
      <c r="AU3836" s="22" t="s">
        <v>3240</v>
      </c>
    </row>
    <row r="3837" spans="1:47">
      <c r="A3837" s="33" t="str">
        <f t="shared" si="1154"/>
        <v>FY 24/25</v>
      </c>
      <c r="B3837" s="23">
        <v>2024</v>
      </c>
      <c r="C3837" s="23">
        <v>12</v>
      </c>
      <c r="D3837" s="33" t="str">
        <f t="shared" si="1165"/>
        <v>Q3</v>
      </c>
      <c r="E3837" s="33" t="str">
        <f t="shared" si="1153"/>
        <v>FY 24/25</v>
      </c>
      <c r="F3837" s="23">
        <v>2025</v>
      </c>
      <c r="G3837" s="23">
        <v>1</v>
      </c>
      <c r="H3837" s="29"/>
      <c r="I3837" s="93" t="str">
        <f t="shared" si="1155"/>
        <v>Q4</v>
      </c>
      <c r="J3837" s="188" t="s">
        <v>3638</v>
      </c>
      <c r="K3837" s="29" t="s">
        <v>3641</v>
      </c>
      <c r="L3837" s="24" t="s">
        <v>3037</v>
      </c>
      <c r="M3837" s="13" t="s">
        <v>2054</v>
      </c>
      <c r="N3837" s="22">
        <v>1</v>
      </c>
      <c r="O3837" s="22"/>
      <c r="P3837" s="33" t="str">
        <f t="shared" si="1164"/>
        <v>MAIN UNIT</v>
      </c>
      <c r="Q3837" s="22" t="s">
        <v>68</v>
      </c>
      <c r="R3837" s="22" t="s">
        <v>2055</v>
      </c>
      <c r="S3837" s="22" t="s">
        <v>50</v>
      </c>
      <c r="T3837" s="22" t="s">
        <v>69</v>
      </c>
      <c r="U3837" s="22" t="s">
        <v>70</v>
      </c>
      <c r="V3837" s="22" t="s">
        <v>71</v>
      </c>
      <c r="W3837" s="22" t="s">
        <v>64</v>
      </c>
      <c r="X3837" s="104">
        <v>62508.78</v>
      </c>
      <c r="Y3837" s="31" t="str">
        <f t="shared" si="1167"/>
        <v>1.13</v>
      </c>
      <c r="Z3837" s="230">
        <f t="shared" si="1166"/>
        <v>62508.78</v>
      </c>
      <c r="AA3837" s="22">
        <v>1.0640000000000001</v>
      </c>
      <c r="AB3837" s="231">
        <f t="shared" si="1152"/>
        <v>58857.82470796461</v>
      </c>
      <c r="AC3837" s="25">
        <f t="shared" si="1156"/>
        <v>11406.646428403541</v>
      </c>
      <c r="AD3837" s="236">
        <v>0.1938</v>
      </c>
      <c r="AE3837" s="26">
        <f t="shared" si="1157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0"/>
        <v>16190947.162761064</v>
      </c>
      <c r="AJ3837" s="27">
        <f t="shared" si="1151"/>
        <v>2256328.1660673413</v>
      </c>
      <c r="AK3837" s="232">
        <f t="shared" si="1158"/>
        <v>0.13935739171929745</v>
      </c>
      <c r="AL3837" s="24"/>
      <c r="AM3837" s="24"/>
      <c r="AN3837" s="24"/>
      <c r="AO3837" s="24"/>
      <c r="AP3837" s="165" t="str">
        <f t="shared" si="1159"/>
        <v>20251</v>
      </c>
      <c r="AQ3837" s="233" t="str">
        <f t="shared" si="1160"/>
        <v>20251RMB</v>
      </c>
      <c r="AR3837" s="234" t="str">
        <f t="shared" si="1161"/>
        <v>SOLDERSTAR</v>
      </c>
      <c r="AS3837" s="22">
        <f t="shared" si="1162"/>
        <v>1</v>
      </c>
      <c r="AT3837" s="24" t="str">
        <f t="shared" si="1163"/>
        <v>0-3 months</v>
      </c>
      <c r="AU3837" s="22" t="s">
        <v>3240</v>
      </c>
    </row>
    <row r="3838" spans="1:47">
      <c r="A3838" s="33" t="str">
        <f t="shared" si="1154"/>
        <v>FY 24/25</v>
      </c>
      <c r="B3838" s="23">
        <v>2024</v>
      </c>
      <c r="C3838" s="23">
        <v>12</v>
      </c>
      <c r="D3838" s="33" t="str">
        <f t="shared" si="1165"/>
        <v>Q3</v>
      </c>
      <c r="E3838" s="33" t="str">
        <f t="shared" si="1153"/>
        <v>FY 24/25</v>
      </c>
      <c r="F3838" s="23">
        <v>2024</v>
      </c>
      <c r="G3838" s="23">
        <v>12</v>
      </c>
      <c r="H3838" s="29"/>
      <c r="I3838" s="93" t="str">
        <f t="shared" si="1155"/>
        <v>Q3</v>
      </c>
      <c r="J3838" s="188" t="s">
        <v>3643</v>
      </c>
      <c r="K3838" s="29" t="s">
        <v>3644</v>
      </c>
      <c r="L3838" s="24" t="s">
        <v>67</v>
      </c>
      <c r="M3838" s="13" t="s">
        <v>60</v>
      </c>
      <c r="N3838" s="22">
        <v>1</v>
      </c>
      <c r="O3838" s="22"/>
      <c r="P3838" s="33" t="str">
        <f t="shared" si="1164"/>
        <v>MAIN UNIT</v>
      </c>
      <c r="Q3838" s="22" t="s">
        <v>61</v>
      </c>
      <c r="R3838" s="22" t="s">
        <v>62</v>
      </c>
      <c r="S3838" s="22" t="s">
        <v>50</v>
      </c>
      <c r="T3838" s="22" t="s">
        <v>88</v>
      </c>
      <c r="U3838" s="22" t="s">
        <v>70</v>
      </c>
      <c r="V3838" s="22" t="s">
        <v>102</v>
      </c>
      <c r="W3838" s="22" t="s">
        <v>64</v>
      </c>
      <c r="X3838" s="104">
        <v>490000</v>
      </c>
      <c r="Y3838" s="31" t="str">
        <f t="shared" si="1167"/>
        <v>1.13</v>
      </c>
      <c r="Z3838" s="230">
        <f t="shared" si="1166"/>
        <v>490000</v>
      </c>
      <c r="AA3838" s="22">
        <v>1.0760000000000001</v>
      </c>
      <c r="AB3838" s="231">
        <f t="shared" si="1152"/>
        <v>466584.07079646026</v>
      </c>
      <c r="AC3838" s="25">
        <f t="shared" si="1156"/>
        <v>55990.088495575226</v>
      </c>
      <c r="AD3838" s="169">
        <v>0.12</v>
      </c>
      <c r="AE3838" s="26">
        <f t="shared" si="1157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0"/>
        <v>15965524.256637167</v>
      </c>
      <c r="AJ3838" s="27">
        <f t="shared" si="1151"/>
        <v>2480116.5996584073</v>
      </c>
      <c r="AK3838" s="232">
        <f t="shared" si="1158"/>
        <v>0.15534200817911609</v>
      </c>
      <c r="AL3838" s="24"/>
      <c r="AM3838" s="24"/>
      <c r="AN3838" s="24"/>
      <c r="AO3838" s="24"/>
      <c r="AP3838" s="165" t="str">
        <f t="shared" si="1159"/>
        <v>202412</v>
      </c>
      <c r="AQ3838" s="233" t="str">
        <f t="shared" si="1160"/>
        <v>202412RMB</v>
      </c>
      <c r="AR3838" s="234" t="str">
        <f t="shared" si="1161"/>
        <v>YAMAHA_Mounter</v>
      </c>
      <c r="AS3838" s="22">
        <f t="shared" si="1162"/>
        <v>0</v>
      </c>
      <c r="AT3838" s="24" t="str">
        <f t="shared" si="1163"/>
        <v>0-3 months</v>
      </c>
      <c r="AU3838" s="22" t="s">
        <v>3240</v>
      </c>
    </row>
    <row r="3839" spans="1:47">
      <c r="A3839" s="33" t="str">
        <f t="shared" si="1154"/>
        <v>FY 24/25</v>
      </c>
      <c r="B3839" s="23">
        <v>2025</v>
      </c>
      <c r="C3839" s="23">
        <v>1</v>
      </c>
      <c r="D3839" s="33" t="str">
        <f t="shared" si="1165"/>
        <v>Q4</v>
      </c>
      <c r="E3839" s="33" t="str">
        <f t="shared" si="1153"/>
        <v>FY 24/25</v>
      </c>
      <c r="F3839" s="23">
        <v>2025</v>
      </c>
      <c r="G3839" s="23">
        <v>1</v>
      </c>
      <c r="H3839" s="29"/>
      <c r="I3839" s="93" t="str">
        <f t="shared" si="1155"/>
        <v>Q4</v>
      </c>
      <c r="J3839" s="188" t="s">
        <v>3671</v>
      </c>
      <c r="K3839" s="29" t="s">
        <v>3646</v>
      </c>
      <c r="L3839" s="24" t="s">
        <v>92</v>
      </c>
      <c r="M3839" s="13" t="s">
        <v>60</v>
      </c>
      <c r="N3839" s="22">
        <v>1</v>
      </c>
      <c r="O3839" s="22"/>
      <c r="P3839" s="33" t="str">
        <f t="shared" si="1164"/>
        <v>MAIN UNIT</v>
      </c>
      <c r="Q3839" s="22" t="s">
        <v>61</v>
      </c>
      <c r="R3839" s="22" t="s">
        <v>62</v>
      </c>
      <c r="S3839" s="22" t="s">
        <v>49</v>
      </c>
      <c r="T3839" s="22" t="s">
        <v>78</v>
      </c>
      <c r="U3839" s="22" t="s">
        <v>78</v>
      </c>
      <c r="V3839" s="22" t="s">
        <v>1407</v>
      </c>
      <c r="W3839" s="22" t="s">
        <v>64</v>
      </c>
      <c r="X3839" s="104">
        <v>1100000</v>
      </c>
      <c r="Y3839" s="31" t="str">
        <f t="shared" si="1167"/>
        <v>1.13</v>
      </c>
      <c r="Z3839" s="230">
        <f t="shared" si="1166"/>
        <v>1100000</v>
      </c>
      <c r="AA3839" s="22">
        <v>1.0640000000000001</v>
      </c>
      <c r="AB3839" s="231">
        <f t="shared" si="1152"/>
        <v>1035752.2123893807</v>
      </c>
      <c r="AC3839" s="25">
        <f t="shared" si="1156"/>
        <v>139826.54867256639</v>
      </c>
      <c r="AD3839" s="169">
        <v>0.13500000000000001</v>
      </c>
      <c r="AE3839" s="26">
        <f t="shared" si="1157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0"/>
        <v>16190947.162761064</v>
      </c>
      <c r="AJ3839" s="27">
        <f t="shared" si="1151"/>
        <v>2256328.1660673413</v>
      </c>
      <c r="AK3839" s="232">
        <f t="shared" si="1158"/>
        <v>0.13935739171929745</v>
      </c>
      <c r="AL3839" s="24"/>
      <c r="AM3839" s="24"/>
      <c r="AN3839" s="24"/>
      <c r="AO3839" s="24"/>
      <c r="AP3839" s="165" t="str">
        <f t="shared" si="1159"/>
        <v>20251</v>
      </c>
      <c r="AQ3839" s="233" t="str">
        <f t="shared" si="1160"/>
        <v>20251RMB</v>
      </c>
      <c r="AR3839" s="234" t="str">
        <f t="shared" si="1161"/>
        <v>YAMAHA_Mounter</v>
      </c>
      <c r="AS3839" s="22">
        <f t="shared" si="1162"/>
        <v>0</v>
      </c>
      <c r="AT3839" s="24" t="str">
        <f t="shared" si="1163"/>
        <v>0-3 months</v>
      </c>
      <c r="AU3839" s="22" t="s">
        <v>3751</v>
      </c>
    </row>
    <row r="3840" spans="1:47">
      <c r="A3840" s="33" t="str">
        <f t="shared" si="1154"/>
        <v>FY 24/25</v>
      </c>
      <c r="B3840" s="23">
        <v>2025</v>
      </c>
      <c r="C3840" s="23">
        <v>1</v>
      </c>
      <c r="D3840" s="33" t="str">
        <f t="shared" si="1165"/>
        <v>Q4</v>
      </c>
      <c r="E3840" s="33" t="str">
        <f t="shared" si="1153"/>
        <v>FY 24/25</v>
      </c>
      <c r="F3840" s="23">
        <v>2025</v>
      </c>
      <c r="G3840" s="23">
        <v>1</v>
      </c>
      <c r="H3840" s="29"/>
      <c r="I3840" s="93" t="str">
        <f t="shared" si="1155"/>
        <v>Q4</v>
      </c>
      <c r="J3840" s="188" t="s">
        <v>3671</v>
      </c>
      <c r="K3840" s="29" t="s">
        <v>3646</v>
      </c>
      <c r="L3840" s="24" t="s">
        <v>67</v>
      </c>
      <c r="M3840" s="13" t="s">
        <v>60</v>
      </c>
      <c r="N3840" s="22">
        <v>1</v>
      </c>
      <c r="O3840" s="22"/>
      <c r="P3840" s="33" t="str">
        <f t="shared" si="1164"/>
        <v>MAIN UNIT</v>
      </c>
      <c r="Q3840" s="22" t="s">
        <v>61</v>
      </c>
      <c r="R3840" s="22" t="s">
        <v>62</v>
      </c>
      <c r="S3840" s="22" t="s">
        <v>49</v>
      </c>
      <c r="T3840" s="22" t="s">
        <v>78</v>
      </c>
      <c r="U3840" s="22" t="s">
        <v>78</v>
      </c>
      <c r="V3840" s="22" t="s">
        <v>1407</v>
      </c>
      <c r="W3840" s="22" t="s">
        <v>64</v>
      </c>
      <c r="X3840" s="104">
        <v>639000</v>
      </c>
      <c r="Y3840" s="31" t="str">
        <f t="shared" si="1167"/>
        <v>1.13</v>
      </c>
      <c r="Z3840" s="230">
        <f t="shared" si="1166"/>
        <v>639000</v>
      </c>
      <c r="AA3840" s="22">
        <v>1.0640000000000001</v>
      </c>
      <c r="AB3840" s="231">
        <f t="shared" si="1152"/>
        <v>601677.8761061948</v>
      </c>
      <c r="AC3840" s="25">
        <f t="shared" si="1156"/>
        <v>81226.513274336306</v>
      </c>
      <c r="AD3840" s="169">
        <v>0.13500000000000001</v>
      </c>
      <c r="AE3840" s="26">
        <f t="shared" si="1157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0"/>
        <v>16190947.162761064</v>
      </c>
      <c r="AJ3840" s="27">
        <f t="shared" si="1151"/>
        <v>2256328.1660673413</v>
      </c>
      <c r="AK3840" s="232">
        <f t="shared" si="1158"/>
        <v>0.13935739171929745</v>
      </c>
      <c r="AL3840" s="24"/>
      <c r="AM3840" s="24"/>
      <c r="AN3840" s="24"/>
      <c r="AO3840" s="24"/>
      <c r="AP3840" s="165" t="str">
        <f t="shared" si="1159"/>
        <v>20251</v>
      </c>
      <c r="AQ3840" s="233" t="str">
        <f t="shared" si="1160"/>
        <v>20251RMB</v>
      </c>
      <c r="AR3840" s="234" t="str">
        <f t="shared" si="1161"/>
        <v>YAMAHA_Mounter</v>
      </c>
      <c r="AS3840" s="22">
        <f t="shared" si="1162"/>
        <v>0</v>
      </c>
      <c r="AT3840" s="24" t="str">
        <f t="shared" si="1163"/>
        <v>0-3 months</v>
      </c>
      <c r="AU3840" s="22" t="s">
        <v>3751</v>
      </c>
    </row>
    <row r="3841" spans="1:47">
      <c r="A3841" s="33" t="str">
        <f t="shared" si="1154"/>
        <v>FY 24/25</v>
      </c>
      <c r="B3841" s="23">
        <v>2024</v>
      </c>
      <c r="C3841" s="23">
        <v>12</v>
      </c>
      <c r="D3841" s="33" t="str">
        <f t="shared" si="1165"/>
        <v>Q3</v>
      </c>
      <c r="E3841" s="33" t="str">
        <f t="shared" si="1153"/>
        <v>FY 24/25</v>
      </c>
      <c r="F3841" s="23">
        <v>2025</v>
      </c>
      <c r="G3841" s="23">
        <v>2</v>
      </c>
      <c r="H3841" s="29"/>
      <c r="I3841" s="93" t="str">
        <f t="shared" si="1155"/>
        <v>Q4</v>
      </c>
      <c r="J3841" s="188" t="s">
        <v>3647</v>
      </c>
      <c r="K3841" s="29" t="s">
        <v>1314</v>
      </c>
      <c r="L3841" s="24" t="s">
        <v>67</v>
      </c>
      <c r="M3841" s="13" t="s">
        <v>60</v>
      </c>
      <c r="N3841" s="22">
        <v>1</v>
      </c>
      <c r="O3841" s="22"/>
      <c r="P3841" s="33" t="str">
        <f t="shared" si="1164"/>
        <v>MAIN UNIT</v>
      </c>
      <c r="Q3841" s="22" t="s">
        <v>61</v>
      </c>
      <c r="R3841" s="22" t="s">
        <v>62</v>
      </c>
      <c r="S3841" s="22" t="s">
        <v>49</v>
      </c>
      <c r="T3841" s="22" t="s">
        <v>78</v>
      </c>
      <c r="U3841" s="22" t="s">
        <v>1071</v>
      </c>
      <c r="V3841" s="22" t="s">
        <v>80</v>
      </c>
      <c r="W3841" s="22" t="s">
        <v>901</v>
      </c>
      <c r="X3841" s="104">
        <v>60000</v>
      </c>
      <c r="Y3841" s="31" t="str">
        <f t="shared" si="1167"/>
        <v>1</v>
      </c>
      <c r="Z3841" s="230">
        <f t="shared" si="1166"/>
        <v>60000</v>
      </c>
      <c r="AA3841" s="22">
        <v>7.8</v>
      </c>
      <c r="AB3841" s="231">
        <f t="shared" si="1152"/>
        <v>468000</v>
      </c>
      <c r="AC3841" s="25">
        <f t="shared" si="1156"/>
        <v>123645.59999999999</v>
      </c>
      <c r="AD3841" s="170">
        <v>0.26419999999999999</v>
      </c>
      <c r="AE3841" s="26">
        <f t="shared" si="1157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0"/>
        <v>30691842.970796466</v>
      </c>
      <c r="AJ3841" s="27">
        <f t="shared" si="1151"/>
        <v>4088324.205777524</v>
      </c>
      <c r="AK3841" s="232">
        <f t="shared" si="1158"/>
        <v>0.1332055624573473</v>
      </c>
      <c r="AL3841" s="24"/>
      <c r="AM3841" s="24"/>
      <c r="AN3841" s="24"/>
      <c r="AO3841" s="24"/>
      <c r="AP3841" s="165" t="str">
        <f t="shared" si="1159"/>
        <v>20252</v>
      </c>
      <c r="AQ3841" s="233" t="str">
        <f t="shared" si="1160"/>
        <v>20252USD</v>
      </c>
      <c r="AR3841" s="234" t="str">
        <f t="shared" si="1161"/>
        <v>YAMAHA_Mounter</v>
      </c>
      <c r="AS3841" s="22">
        <f t="shared" si="1162"/>
        <v>2</v>
      </c>
      <c r="AT3841" s="24" t="str">
        <f t="shared" si="1163"/>
        <v>0-3 months</v>
      </c>
      <c r="AU3841" s="22" t="s">
        <v>3746</v>
      </c>
    </row>
    <row r="3842" spans="1:47">
      <c r="A3842" s="33" t="str">
        <f t="shared" si="1154"/>
        <v>FY 24/25</v>
      </c>
      <c r="B3842" s="23">
        <v>2024</v>
      </c>
      <c r="C3842" s="23">
        <v>12</v>
      </c>
      <c r="D3842" s="33" t="str">
        <f t="shared" si="1165"/>
        <v>Q3</v>
      </c>
      <c r="E3842" s="33" t="str">
        <f t="shared" si="1153"/>
        <v>FY 24/25</v>
      </c>
      <c r="F3842" s="23">
        <v>2025</v>
      </c>
      <c r="G3842" s="23">
        <v>2</v>
      </c>
      <c r="H3842" s="29"/>
      <c r="I3842" s="93" t="str">
        <f t="shared" si="1155"/>
        <v>Q4</v>
      </c>
      <c r="J3842" s="188" t="s">
        <v>3647</v>
      </c>
      <c r="K3842" s="29" t="s">
        <v>1314</v>
      </c>
      <c r="L3842" s="24" t="s">
        <v>67</v>
      </c>
      <c r="M3842" s="13" t="s">
        <v>60</v>
      </c>
      <c r="N3842" s="22">
        <v>1</v>
      </c>
      <c r="O3842" s="22"/>
      <c r="P3842" s="33" t="str">
        <f t="shared" si="1164"/>
        <v>MAIN UNIT</v>
      </c>
      <c r="Q3842" s="22" t="s">
        <v>61</v>
      </c>
      <c r="R3842" s="22" t="s">
        <v>62</v>
      </c>
      <c r="S3842" s="22" t="s">
        <v>49</v>
      </c>
      <c r="T3842" s="22" t="s">
        <v>78</v>
      </c>
      <c r="U3842" s="22" t="s">
        <v>1071</v>
      </c>
      <c r="V3842" s="22" t="s">
        <v>80</v>
      </c>
      <c r="W3842" s="22" t="s">
        <v>901</v>
      </c>
      <c r="X3842" s="104">
        <v>60000</v>
      </c>
      <c r="Y3842" s="31" t="str">
        <f t="shared" si="1167"/>
        <v>1</v>
      </c>
      <c r="Z3842" s="230">
        <f t="shared" si="1166"/>
        <v>60000</v>
      </c>
      <c r="AA3842" s="22">
        <v>7.8</v>
      </c>
      <c r="AB3842" s="231">
        <f t="shared" si="1152"/>
        <v>468000</v>
      </c>
      <c r="AC3842" s="25">
        <f t="shared" si="1156"/>
        <v>123645.59999999999</v>
      </c>
      <c r="AD3842" s="170">
        <v>0.26419999999999999</v>
      </c>
      <c r="AE3842" s="26">
        <f t="shared" si="1157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68">IF(P3842="C66 SERVICE","",SUMIFS(AB:AB,F:F,F3842,G:G,G3842,E:E,E3842))</f>
        <v>30691842.970796466</v>
      </c>
      <c r="AJ3842" s="27">
        <f t="shared" ref="AJ3842:AJ3905" si="1169">IF(P3842="C66 SERVICE","",SUMIFS(AC:AC,F:F,F3842,G:G,G3842,E:E,E3842))</f>
        <v>4088324.205777524</v>
      </c>
      <c r="AK3842" s="232">
        <f t="shared" si="1158"/>
        <v>0.1332055624573473</v>
      </c>
      <c r="AL3842" s="24"/>
      <c r="AM3842" s="24"/>
      <c r="AN3842" s="24"/>
      <c r="AO3842" s="24"/>
      <c r="AP3842" s="165" t="str">
        <f t="shared" si="1159"/>
        <v>20252</v>
      </c>
      <c r="AQ3842" s="233" t="str">
        <f t="shared" si="1160"/>
        <v>20252USD</v>
      </c>
      <c r="AR3842" s="234" t="str">
        <f t="shared" si="1161"/>
        <v>YAMAHA_Mounter</v>
      </c>
      <c r="AS3842" s="22">
        <f t="shared" si="1162"/>
        <v>2</v>
      </c>
      <c r="AT3842" s="24" t="str">
        <f t="shared" si="1163"/>
        <v>0-3 months</v>
      </c>
      <c r="AU3842" s="22" t="s">
        <v>3746</v>
      </c>
    </row>
    <row r="3843" spans="1:47">
      <c r="A3843" s="33" t="str">
        <f t="shared" si="1154"/>
        <v>FY 24/25</v>
      </c>
      <c r="B3843" s="23">
        <v>2024</v>
      </c>
      <c r="C3843" s="23">
        <v>12</v>
      </c>
      <c r="D3843" s="33" t="str">
        <f t="shared" si="1165"/>
        <v>Q3</v>
      </c>
      <c r="E3843" s="33" t="str">
        <f t="shared" si="1153"/>
        <v>FY 24/25</v>
      </c>
      <c r="F3843" s="23">
        <v>2025</v>
      </c>
      <c r="G3843" s="23">
        <v>1</v>
      </c>
      <c r="H3843" s="29"/>
      <c r="I3843" s="93" t="str">
        <f t="shared" si="1155"/>
        <v>Q4</v>
      </c>
      <c r="J3843" s="188" t="s">
        <v>3648</v>
      </c>
      <c r="K3843" s="29" t="s">
        <v>3649</v>
      </c>
      <c r="L3843" s="24" t="s">
        <v>67</v>
      </c>
      <c r="M3843" s="13" t="s">
        <v>60</v>
      </c>
      <c r="N3843" s="22">
        <v>1</v>
      </c>
      <c r="O3843" s="22"/>
      <c r="P3843" s="33" t="str">
        <f t="shared" si="1164"/>
        <v>MAIN UNIT</v>
      </c>
      <c r="Q3843" s="22" t="s">
        <v>68</v>
      </c>
      <c r="R3843" s="22" t="s">
        <v>62</v>
      </c>
      <c r="S3843" s="22" t="s">
        <v>49</v>
      </c>
      <c r="T3843" s="22" t="s">
        <v>78</v>
      </c>
      <c r="U3843" s="22" t="s">
        <v>78</v>
      </c>
      <c r="V3843" s="22" t="s">
        <v>126</v>
      </c>
      <c r="W3843" s="22" t="s">
        <v>109</v>
      </c>
      <c r="X3843" s="104">
        <v>8700000</v>
      </c>
      <c r="Y3843" s="31" t="str">
        <f t="shared" si="1167"/>
        <v>1</v>
      </c>
      <c r="Z3843" s="230">
        <f t="shared" si="1166"/>
        <v>8700000</v>
      </c>
      <c r="AA3843" s="22">
        <v>5.0599999999999999E-2</v>
      </c>
      <c r="AB3843" s="231">
        <f t="shared" si="1152"/>
        <v>440220</v>
      </c>
      <c r="AC3843" s="25">
        <f t="shared" si="1156"/>
        <v>45650.813999999998</v>
      </c>
      <c r="AD3843" s="169">
        <v>0.1037</v>
      </c>
      <c r="AE3843" s="26">
        <f t="shared" si="1157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68"/>
        <v>16190947.162761064</v>
      </c>
      <c r="AJ3843" s="27">
        <f t="shared" si="1169"/>
        <v>2256328.1660673413</v>
      </c>
      <c r="AK3843" s="232">
        <f t="shared" si="1158"/>
        <v>0.13935739171929745</v>
      </c>
      <c r="AL3843" s="24"/>
      <c r="AM3843" s="24"/>
      <c r="AN3843" s="24"/>
      <c r="AO3843" s="24"/>
      <c r="AP3843" s="165" t="str">
        <f t="shared" si="1159"/>
        <v>20251</v>
      </c>
      <c r="AQ3843" s="233" t="str">
        <f t="shared" si="1160"/>
        <v>20251JPY</v>
      </c>
      <c r="AR3843" s="234" t="str">
        <f t="shared" si="1161"/>
        <v>YAMAHA_Mounter</v>
      </c>
      <c r="AS3843" s="22">
        <f t="shared" si="1162"/>
        <v>1</v>
      </c>
      <c r="AT3843" s="24" t="str">
        <f t="shared" si="1163"/>
        <v>0-3 months</v>
      </c>
      <c r="AU3843" s="22" t="s">
        <v>3745</v>
      </c>
    </row>
    <row r="3844" spans="1:47">
      <c r="A3844" s="33" t="str">
        <f t="shared" si="1154"/>
        <v>FY 24/25</v>
      </c>
      <c r="B3844" s="23">
        <v>2024</v>
      </c>
      <c r="C3844" s="23">
        <v>12</v>
      </c>
      <c r="D3844" s="33" t="str">
        <f t="shared" si="1165"/>
        <v>Q3</v>
      </c>
      <c r="E3844" s="33" t="str">
        <f t="shared" si="1153"/>
        <v>FY 24/25</v>
      </c>
      <c r="F3844" s="23">
        <v>2025</v>
      </c>
      <c r="G3844" s="23">
        <v>2</v>
      </c>
      <c r="H3844" s="29"/>
      <c r="I3844" s="93" t="str">
        <f t="shared" si="1155"/>
        <v>Q4</v>
      </c>
      <c r="J3844" s="188" t="s">
        <v>3650</v>
      </c>
      <c r="K3844" s="29" t="s">
        <v>579</v>
      </c>
      <c r="L3844" s="24" t="s">
        <v>3651</v>
      </c>
      <c r="M3844" s="13" t="s">
        <v>2607</v>
      </c>
      <c r="N3844" s="22">
        <v>1</v>
      </c>
      <c r="O3844" s="22"/>
      <c r="P3844" s="33" t="str">
        <f t="shared" si="1164"/>
        <v>MAIN UNIT</v>
      </c>
      <c r="Q3844" s="22" t="s">
        <v>61</v>
      </c>
      <c r="R3844" s="22" t="s">
        <v>2055</v>
      </c>
      <c r="S3844" s="22" t="s">
        <v>50</v>
      </c>
      <c r="T3844" s="22" t="s">
        <v>101</v>
      </c>
      <c r="U3844" s="22" t="s">
        <v>70</v>
      </c>
      <c r="V3844" s="22" t="s">
        <v>102</v>
      </c>
      <c r="W3844" s="22" t="s">
        <v>64</v>
      </c>
      <c r="X3844" s="104">
        <v>518500</v>
      </c>
      <c r="Y3844" s="31" t="str">
        <f t="shared" si="1167"/>
        <v>1.13</v>
      </c>
      <c r="Z3844" s="230">
        <f t="shared" si="1166"/>
        <v>518500</v>
      </c>
      <c r="AA3844" s="22">
        <v>1.073</v>
      </c>
      <c r="AB3844" s="231">
        <f t="shared" si="1152"/>
        <v>492345.57522123895</v>
      </c>
      <c r="AC3844" s="25">
        <f t="shared" si="1156"/>
        <v>49973.075884955753</v>
      </c>
      <c r="AD3844" s="170">
        <v>0.10150000000000001</v>
      </c>
      <c r="AE3844" s="26">
        <f t="shared" si="1157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68"/>
        <v>30691842.970796466</v>
      </c>
      <c r="AJ3844" s="27">
        <f t="shared" si="1169"/>
        <v>4088324.205777524</v>
      </c>
      <c r="AK3844" s="232">
        <f t="shared" si="1158"/>
        <v>0.1332055624573473</v>
      </c>
      <c r="AL3844" s="24"/>
      <c r="AM3844" s="24"/>
      <c r="AN3844" s="24"/>
      <c r="AO3844" s="24"/>
      <c r="AP3844" s="165" t="str">
        <f t="shared" si="1159"/>
        <v>20252</v>
      </c>
      <c r="AQ3844" s="233" t="str">
        <f t="shared" si="1160"/>
        <v>20252RMB</v>
      </c>
      <c r="AR3844" s="234" t="str">
        <f t="shared" si="1161"/>
        <v>HELLER</v>
      </c>
      <c r="AS3844" s="22">
        <f t="shared" si="1162"/>
        <v>2</v>
      </c>
      <c r="AT3844" s="24" t="str">
        <f t="shared" si="1163"/>
        <v>0-3 months</v>
      </c>
      <c r="AU3844" s="22" t="s">
        <v>3240</v>
      </c>
    </row>
    <row r="3845" spans="1:47">
      <c r="A3845" s="33" t="str">
        <f t="shared" si="1154"/>
        <v>FY 24/25</v>
      </c>
      <c r="B3845" s="23">
        <v>2024</v>
      </c>
      <c r="C3845" s="23">
        <v>12</v>
      </c>
      <c r="D3845" s="33" t="str">
        <f t="shared" si="1165"/>
        <v>Q3</v>
      </c>
      <c r="E3845" s="33" t="str">
        <f t="shared" si="1153"/>
        <v>FY 24/25</v>
      </c>
      <c r="F3845" s="23">
        <v>2025</v>
      </c>
      <c r="G3845" s="23">
        <v>2</v>
      </c>
      <c r="H3845" s="29"/>
      <c r="I3845" s="93" t="str">
        <f t="shared" si="1155"/>
        <v>Q4</v>
      </c>
      <c r="J3845" s="188" t="s">
        <v>3668</v>
      </c>
      <c r="K3845" s="29" t="s">
        <v>3653</v>
      </c>
      <c r="L3845" s="24" t="s">
        <v>67</v>
      </c>
      <c r="M3845" s="13" t="s">
        <v>60</v>
      </c>
      <c r="N3845" s="22">
        <v>1</v>
      </c>
      <c r="O3845" s="22"/>
      <c r="P3845" s="33" t="str">
        <f t="shared" si="1164"/>
        <v>MAIN UNIT</v>
      </c>
      <c r="Q3845" s="22" t="s">
        <v>68</v>
      </c>
      <c r="R3845" s="22" t="s">
        <v>62</v>
      </c>
      <c r="S3845" s="22" t="s">
        <v>49</v>
      </c>
      <c r="T3845" s="22" t="s">
        <v>78</v>
      </c>
      <c r="U3845" s="22" t="s">
        <v>78</v>
      </c>
      <c r="V3845" s="22" t="s">
        <v>121</v>
      </c>
      <c r="W3845" s="22" t="s">
        <v>109</v>
      </c>
      <c r="X3845" s="104">
        <v>8000000</v>
      </c>
      <c r="Y3845" s="31" t="str">
        <f t="shared" si="1167"/>
        <v>1</v>
      </c>
      <c r="Z3845" s="230">
        <f t="shared" si="1166"/>
        <v>8000000</v>
      </c>
      <c r="AA3845" s="22">
        <v>5.11E-2</v>
      </c>
      <c r="AB3845" s="231">
        <f t="shared" si="1152"/>
        <v>408800</v>
      </c>
      <c r="AC3845" s="25">
        <f t="shared" si="1156"/>
        <v>33480.720000000001</v>
      </c>
      <c r="AD3845" s="170">
        <v>8.1900000000000001E-2</v>
      </c>
      <c r="AE3845" s="26">
        <f t="shared" si="1157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68"/>
        <v>30691842.970796466</v>
      </c>
      <c r="AJ3845" s="27">
        <f t="shared" si="1169"/>
        <v>4088324.205777524</v>
      </c>
      <c r="AK3845" s="232">
        <f t="shared" si="1158"/>
        <v>0.1332055624573473</v>
      </c>
      <c r="AL3845" s="24"/>
      <c r="AM3845" s="24"/>
      <c r="AN3845" s="24"/>
      <c r="AO3845" s="24"/>
      <c r="AP3845" s="165" t="str">
        <f t="shared" si="1159"/>
        <v>20252</v>
      </c>
      <c r="AQ3845" s="233" t="str">
        <f t="shared" si="1160"/>
        <v>20252JPY</v>
      </c>
      <c r="AR3845" s="234" t="str">
        <f t="shared" si="1161"/>
        <v>YAMAHA_Mounter</v>
      </c>
      <c r="AS3845" s="22">
        <f t="shared" si="1162"/>
        <v>2</v>
      </c>
      <c r="AT3845" s="24" t="str">
        <f t="shared" si="1163"/>
        <v>0-3 months</v>
      </c>
      <c r="AU3845" s="22" t="s">
        <v>3745</v>
      </c>
    </row>
    <row r="3846" spans="1:47">
      <c r="A3846" s="33" t="str">
        <f t="shared" si="1154"/>
        <v>FY 24/25</v>
      </c>
      <c r="B3846" s="23">
        <v>2025</v>
      </c>
      <c r="C3846" s="23">
        <v>1</v>
      </c>
      <c r="D3846" s="33" t="str">
        <f t="shared" si="1165"/>
        <v>Q4</v>
      </c>
      <c r="E3846" s="33" t="str">
        <f t="shared" si="1153"/>
        <v>FY 24/25</v>
      </c>
      <c r="F3846" s="23">
        <v>2025</v>
      </c>
      <c r="G3846" s="23">
        <v>2</v>
      </c>
      <c r="H3846" s="29"/>
      <c r="I3846" s="93" t="str">
        <f t="shared" si="1155"/>
        <v>Q4</v>
      </c>
      <c r="J3846" s="188" t="s">
        <v>3668</v>
      </c>
      <c r="K3846" s="29" t="s">
        <v>3653</v>
      </c>
      <c r="L3846" s="24" t="s">
        <v>92</v>
      </c>
      <c r="M3846" s="13" t="s">
        <v>60</v>
      </c>
      <c r="N3846" s="22">
        <v>1</v>
      </c>
      <c r="O3846" s="22"/>
      <c r="P3846" s="33" t="str">
        <f t="shared" si="1164"/>
        <v>MAIN UNIT</v>
      </c>
      <c r="Q3846" s="22" t="s">
        <v>68</v>
      </c>
      <c r="R3846" s="22" t="s">
        <v>62</v>
      </c>
      <c r="S3846" s="22" t="s">
        <v>49</v>
      </c>
      <c r="T3846" s="22" t="s">
        <v>78</v>
      </c>
      <c r="U3846" s="22" t="s">
        <v>78</v>
      </c>
      <c r="V3846" s="22" t="s">
        <v>121</v>
      </c>
      <c r="W3846" s="22" t="s">
        <v>109</v>
      </c>
      <c r="X3846" s="104">
        <v>13000000</v>
      </c>
      <c r="Y3846" s="31" t="str">
        <f t="shared" si="1167"/>
        <v>1</v>
      </c>
      <c r="Z3846" s="230">
        <f t="shared" si="1166"/>
        <v>13000000</v>
      </c>
      <c r="AA3846" s="22">
        <v>5.11E-2</v>
      </c>
      <c r="AB3846" s="231">
        <f t="shared" si="1152"/>
        <v>664300</v>
      </c>
      <c r="AC3846" s="25">
        <f t="shared" si="1156"/>
        <v>54406.17</v>
      </c>
      <c r="AD3846" s="170">
        <v>8.1900000000000001E-2</v>
      </c>
      <c r="AE3846" s="26">
        <f t="shared" si="1157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68"/>
        <v>30691842.970796466</v>
      </c>
      <c r="AJ3846" s="27">
        <f t="shared" si="1169"/>
        <v>4088324.205777524</v>
      </c>
      <c r="AK3846" s="232">
        <f t="shared" si="1158"/>
        <v>0.1332055624573473</v>
      </c>
      <c r="AL3846" s="24"/>
      <c r="AM3846" s="24"/>
      <c r="AN3846" s="24"/>
      <c r="AO3846" s="24"/>
      <c r="AP3846" s="165" t="str">
        <f t="shared" si="1159"/>
        <v>20252</v>
      </c>
      <c r="AQ3846" s="233" t="str">
        <f t="shared" si="1160"/>
        <v>20252JPY</v>
      </c>
      <c r="AR3846" s="234" t="str">
        <f t="shared" si="1161"/>
        <v>YAMAHA_Mounter</v>
      </c>
      <c r="AS3846" s="22">
        <f t="shared" si="1162"/>
        <v>1</v>
      </c>
      <c r="AT3846" s="24" t="str">
        <f t="shared" si="1163"/>
        <v>0-3 months</v>
      </c>
      <c r="AU3846" s="22" t="s">
        <v>3745</v>
      </c>
    </row>
    <row r="3847" spans="1:47">
      <c r="A3847" s="33" t="str">
        <f t="shared" si="1154"/>
        <v>FY 24/25</v>
      </c>
      <c r="B3847" s="23">
        <v>2024</v>
      </c>
      <c r="C3847" s="23">
        <v>12</v>
      </c>
      <c r="D3847" s="33" t="str">
        <f t="shared" si="1165"/>
        <v>Q3</v>
      </c>
      <c r="E3847" s="33" t="str">
        <f t="shared" si="1153"/>
        <v>FY 24/25</v>
      </c>
      <c r="F3847" s="23">
        <v>2025</v>
      </c>
      <c r="G3847" s="23">
        <v>1</v>
      </c>
      <c r="H3847" s="29"/>
      <c r="I3847" s="93" t="str">
        <f t="shared" si="1155"/>
        <v>Q4</v>
      </c>
      <c r="J3847" s="188" t="s">
        <v>3654</v>
      </c>
      <c r="K3847" s="29" t="s">
        <v>3655</v>
      </c>
      <c r="L3847" s="24" t="s">
        <v>67</v>
      </c>
      <c r="M3847" s="13" t="s">
        <v>60</v>
      </c>
      <c r="N3847" s="22">
        <v>1</v>
      </c>
      <c r="O3847" s="22"/>
      <c r="P3847" s="33" t="str">
        <f t="shared" si="1164"/>
        <v>MAIN UNIT</v>
      </c>
      <c r="Q3847" s="22" t="s">
        <v>61</v>
      </c>
      <c r="R3847" s="22" t="s">
        <v>62</v>
      </c>
      <c r="S3847" s="22" t="s">
        <v>51</v>
      </c>
      <c r="T3847" s="22" t="s">
        <v>349</v>
      </c>
      <c r="U3847" s="22" t="s">
        <v>149</v>
      </c>
      <c r="V3847" s="22" t="s">
        <v>954</v>
      </c>
      <c r="W3847" s="22" t="s">
        <v>64</v>
      </c>
      <c r="X3847" s="104">
        <v>450000</v>
      </c>
      <c r="Y3847" s="31" t="str">
        <f t="shared" si="1167"/>
        <v>1.13</v>
      </c>
      <c r="Z3847" s="230">
        <f t="shared" si="1166"/>
        <v>450000</v>
      </c>
      <c r="AA3847" s="22">
        <v>1.0640000000000001</v>
      </c>
      <c r="AB3847" s="231">
        <f t="shared" si="1152"/>
        <v>423716.81415929209</v>
      </c>
      <c r="AC3847" s="25">
        <f t="shared" si="1156"/>
        <v>22075.646017699117</v>
      </c>
      <c r="AD3847" s="236">
        <v>5.21E-2</v>
      </c>
      <c r="AE3847" s="26">
        <f t="shared" si="1157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68"/>
        <v>16190947.162761064</v>
      </c>
      <c r="AJ3847" s="27">
        <f t="shared" si="1169"/>
        <v>2256328.1660673413</v>
      </c>
      <c r="AK3847" s="232">
        <f t="shared" si="1158"/>
        <v>0.13935739171929745</v>
      </c>
      <c r="AL3847" s="24"/>
      <c r="AM3847" s="24"/>
      <c r="AN3847" s="24"/>
      <c r="AO3847" s="24"/>
      <c r="AP3847" s="165" t="str">
        <f t="shared" si="1159"/>
        <v>20251</v>
      </c>
      <c r="AQ3847" s="233" t="str">
        <f t="shared" si="1160"/>
        <v>20251RMB</v>
      </c>
      <c r="AR3847" s="234" t="str">
        <f t="shared" si="1161"/>
        <v>YAMAHA_Mounter</v>
      </c>
      <c r="AS3847" s="22">
        <f t="shared" si="1162"/>
        <v>1</v>
      </c>
      <c r="AT3847" s="24" t="str">
        <f t="shared" si="1163"/>
        <v>0-3 months</v>
      </c>
      <c r="AU3847" s="22" t="s">
        <v>3240</v>
      </c>
    </row>
    <row r="3848" spans="1:47">
      <c r="A3848" s="33" t="str">
        <f t="shared" si="1154"/>
        <v>FY 24/25</v>
      </c>
      <c r="B3848" s="23">
        <v>2025</v>
      </c>
      <c r="C3848" s="23">
        <v>1</v>
      </c>
      <c r="D3848" s="33" t="str">
        <f t="shared" si="1165"/>
        <v>Q4</v>
      </c>
      <c r="E3848" s="33" t="str">
        <f t="shared" si="1153"/>
        <v>FY 24/25</v>
      </c>
      <c r="F3848" s="23">
        <v>2025</v>
      </c>
      <c r="G3848" s="23">
        <v>3</v>
      </c>
      <c r="H3848" s="29"/>
      <c r="I3848" s="93" t="str">
        <f t="shared" si="1155"/>
        <v>Q4</v>
      </c>
      <c r="J3848" s="188" t="s">
        <v>3656</v>
      </c>
      <c r="K3848" s="29" t="s">
        <v>2547</v>
      </c>
      <c r="L3848" s="24" t="s">
        <v>92</v>
      </c>
      <c r="M3848" s="13" t="s">
        <v>60</v>
      </c>
      <c r="N3848" s="22">
        <v>1</v>
      </c>
      <c r="O3848" s="22"/>
      <c r="P3848" s="33" t="str">
        <f t="shared" si="1164"/>
        <v>MAIN UNIT</v>
      </c>
      <c r="Q3848" s="22" t="s">
        <v>61</v>
      </c>
      <c r="R3848" s="22" t="s">
        <v>62</v>
      </c>
      <c r="S3848" s="22" t="s">
        <v>49</v>
      </c>
      <c r="T3848" s="22" t="s">
        <v>78</v>
      </c>
      <c r="U3848" s="22" t="s">
        <v>444</v>
      </c>
      <c r="V3848" s="22" t="s">
        <v>112</v>
      </c>
      <c r="W3848" s="22" t="s">
        <v>109</v>
      </c>
      <c r="X3848" s="104">
        <v>14560000</v>
      </c>
      <c r="Y3848" s="31" t="str">
        <f t="shared" si="1167"/>
        <v>1</v>
      </c>
      <c r="Z3848" s="230">
        <f t="shared" si="1166"/>
        <v>14560000</v>
      </c>
      <c r="AA3848" s="22">
        <v>5.2999999999999999E-2</v>
      </c>
      <c r="AB3848" s="231">
        <f t="shared" si="1152"/>
        <v>771680</v>
      </c>
      <c r="AC3848" s="25">
        <f t="shared" si="1156"/>
        <v>92601.599999999991</v>
      </c>
      <c r="AD3848" s="169">
        <v>0.12</v>
      </c>
      <c r="AE3848" s="26">
        <f t="shared" si="1157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68"/>
        <v>17732428.654867258</v>
      </c>
      <c r="AJ3848" s="27">
        <f t="shared" si="1169"/>
        <v>2127891.4385840711</v>
      </c>
      <c r="AK3848" s="232">
        <f t="shared" si="1158"/>
        <v>0.12000000000000001</v>
      </c>
      <c r="AL3848" s="24"/>
      <c r="AM3848" s="24"/>
      <c r="AN3848" s="24"/>
      <c r="AO3848" s="24"/>
      <c r="AP3848" s="165" t="str">
        <f t="shared" si="1159"/>
        <v>20253</v>
      </c>
      <c r="AQ3848" s="233" t="str">
        <f t="shared" si="1160"/>
        <v>20253JPY</v>
      </c>
      <c r="AR3848" s="234" t="str">
        <f t="shared" si="1161"/>
        <v>YAMAHA_Mounter</v>
      </c>
      <c r="AS3848" s="22">
        <f t="shared" si="1162"/>
        <v>2</v>
      </c>
      <c r="AT3848" s="24" t="str">
        <f t="shared" si="1163"/>
        <v>0-3 months</v>
      </c>
      <c r="AU3848" s="22" t="s">
        <v>3745</v>
      </c>
    </row>
    <row r="3849" spans="1:47">
      <c r="A3849" s="33" t="str">
        <f t="shared" si="1154"/>
        <v>FY 24/25</v>
      </c>
      <c r="B3849" s="23">
        <v>2024</v>
      </c>
      <c r="C3849" s="23">
        <v>11</v>
      </c>
      <c r="D3849" s="33" t="str">
        <f t="shared" si="1165"/>
        <v>Q3</v>
      </c>
      <c r="E3849" s="33" t="str">
        <f t="shared" si="1153"/>
        <v>FY 25/26</v>
      </c>
      <c r="F3849" s="23">
        <v>2025</v>
      </c>
      <c r="G3849" s="23">
        <v>4</v>
      </c>
      <c r="H3849" s="29"/>
      <c r="I3849" s="93" t="str">
        <f t="shared" si="1155"/>
        <v>Q1</v>
      </c>
      <c r="J3849" s="188" t="s">
        <v>3657</v>
      </c>
      <c r="K3849" s="29" t="s">
        <v>1881</v>
      </c>
      <c r="L3849" s="24" t="s">
        <v>92</v>
      </c>
      <c r="M3849" s="13" t="s">
        <v>60</v>
      </c>
      <c r="N3849" s="22">
        <v>1</v>
      </c>
      <c r="O3849" s="22"/>
      <c r="P3849" s="33" t="str">
        <f t="shared" si="1164"/>
        <v>MAIN UNIT</v>
      </c>
      <c r="Q3849" s="22" t="s">
        <v>61</v>
      </c>
      <c r="R3849" s="22" t="s">
        <v>62</v>
      </c>
      <c r="S3849" s="22" t="s">
        <v>50</v>
      </c>
      <c r="T3849" s="22" t="s">
        <v>88</v>
      </c>
      <c r="U3849" s="22" t="s">
        <v>70</v>
      </c>
      <c r="V3849" s="22" t="s">
        <v>1010</v>
      </c>
      <c r="W3849" s="22" t="s">
        <v>64</v>
      </c>
      <c r="X3849" s="104">
        <v>620000</v>
      </c>
      <c r="Y3849" s="31" t="str">
        <f t="shared" si="1167"/>
        <v>1.13</v>
      </c>
      <c r="Z3849" s="230">
        <f t="shared" si="1166"/>
        <v>620000</v>
      </c>
      <c r="AA3849" s="22">
        <v>1.0669999999999999</v>
      </c>
      <c r="AB3849" s="231">
        <f t="shared" si="1152"/>
        <v>585433.62831858417</v>
      </c>
      <c r="AC3849" s="25">
        <f t="shared" si="1156"/>
        <v>70252.035398230102</v>
      </c>
      <c r="AD3849" s="169">
        <v>0.12</v>
      </c>
      <c r="AE3849" s="26">
        <f t="shared" si="1157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68"/>
        <v>29497483.159292053</v>
      </c>
      <c r="AJ3849" s="27">
        <f t="shared" si="1169"/>
        <v>3539697.9791150414</v>
      </c>
      <c r="AK3849" s="232">
        <f t="shared" si="1158"/>
        <v>0.11999999999999983</v>
      </c>
      <c r="AL3849" s="24"/>
      <c r="AM3849" s="24"/>
      <c r="AN3849" s="24"/>
      <c r="AO3849" s="24"/>
      <c r="AP3849" s="165" t="str">
        <f t="shared" si="1159"/>
        <v>20254</v>
      </c>
      <c r="AQ3849" s="233" t="str">
        <f t="shared" si="1160"/>
        <v>20254RMB</v>
      </c>
      <c r="AR3849" s="234" t="str">
        <f t="shared" si="1161"/>
        <v>YAMAHA_Mounter</v>
      </c>
      <c r="AS3849" s="22">
        <f t="shared" si="1162"/>
        <v>5</v>
      </c>
      <c r="AT3849" s="24" t="str">
        <f t="shared" si="1163"/>
        <v>4-6 months</v>
      </c>
      <c r="AU3849" s="22" t="s">
        <v>3240</v>
      </c>
    </row>
    <row r="3850" spans="1:47">
      <c r="A3850" s="33" t="str">
        <f t="shared" si="1154"/>
        <v>FY 24/25</v>
      </c>
      <c r="B3850" s="23">
        <v>2025</v>
      </c>
      <c r="C3850" s="23">
        <v>1</v>
      </c>
      <c r="D3850" s="33" t="str">
        <f t="shared" si="1165"/>
        <v>Q4</v>
      </c>
      <c r="E3850" s="33" t="str">
        <f t="shared" si="1153"/>
        <v>FY 24/25</v>
      </c>
      <c r="F3850" s="23">
        <v>2025</v>
      </c>
      <c r="G3850" s="23">
        <v>2</v>
      </c>
      <c r="H3850" s="29"/>
      <c r="I3850" s="93" t="str">
        <f t="shared" si="1155"/>
        <v>Q4</v>
      </c>
      <c r="J3850" s="188" t="s">
        <v>3658</v>
      </c>
      <c r="K3850" s="29" t="s">
        <v>3659</v>
      </c>
      <c r="L3850" s="24" t="s">
        <v>92</v>
      </c>
      <c r="M3850" s="13" t="s">
        <v>60</v>
      </c>
      <c r="N3850" s="22">
        <v>1</v>
      </c>
      <c r="O3850" s="22"/>
      <c r="P3850" s="33" t="str">
        <f t="shared" si="1164"/>
        <v>MAIN UNIT</v>
      </c>
      <c r="Q3850" s="22" t="s">
        <v>68</v>
      </c>
      <c r="R3850" s="22" t="s">
        <v>62</v>
      </c>
      <c r="S3850" s="22" t="s">
        <v>49</v>
      </c>
      <c r="T3850" s="22" t="s">
        <v>78</v>
      </c>
      <c r="U3850" s="22" t="s">
        <v>78</v>
      </c>
      <c r="V3850" s="22" t="s">
        <v>3603</v>
      </c>
      <c r="W3850" s="22" t="s">
        <v>109</v>
      </c>
      <c r="X3850" s="104">
        <v>12660000</v>
      </c>
      <c r="Y3850" s="31" t="str">
        <f t="shared" si="1167"/>
        <v>1</v>
      </c>
      <c r="Z3850" s="230">
        <f t="shared" si="1166"/>
        <v>12660000</v>
      </c>
      <c r="AA3850" s="22">
        <v>5.11E-2</v>
      </c>
      <c r="AB3850" s="231">
        <f t="shared" si="1152"/>
        <v>646926</v>
      </c>
      <c r="AC3850" s="25">
        <f t="shared" si="1156"/>
        <v>84359.150399999999</v>
      </c>
      <c r="AD3850" s="170">
        <v>0.13039999999999999</v>
      </c>
      <c r="AE3850" s="26">
        <f t="shared" si="1157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68"/>
        <v>30691842.970796466</v>
      </c>
      <c r="AJ3850" s="27">
        <f t="shared" si="1169"/>
        <v>4088324.205777524</v>
      </c>
      <c r="AK3850" s="232">
        <f t="shared" si="1158"/>
        <v>0.1332055624573473</v>
      </c>
      <c r="AL3850" s="24"/>
      <c r="AM3850" s="24"/>
      <c r="AN3850" s="24"/>
      <c r="AO3850" s="24"/>
      <c r="AP3850" s="165" t="str">
        <f t="shared" si="1159"/>
        <v>20252</v>
      </c>
      <c r="AQ3850" s="233" t="str">
        <f t="shared" si="1160"/>
        <v>20252JPY</v>
      </c>
      <c r="AR3850" s="234" t="str">
        <f t="shared" si="1161"/>
        <v>YAMAHA_Mounter</v>
      </c>
      <c r="AS3850" s="22">
        <f t="shared" si="1162"/>
        <v>1</v>
      </c>
      <c r="AT3850" s="24" t="str">
        <f t="shared" si="1163"/>
        <v>0-3 months</v>
      </c>
      <c r="AU3850" s="22" t="s">
        <v>3745</v>
      </c>
    </row>
    <row r="3851" spans="1:47">
      <c r="A3851" s="33" t="str">
        <f t="shared" si="1154"/>
        <v>FY 24/25</v>
      </c>
      <c r="B3851" s="23">
        <v>2025</v>
      </c>
      <c r="C3851" s="23">
        <v>1</v>
      </c>
      <c r="D3851" s="33" t="str">
        <f t="shared" si="1165"/>
        <v>Q4</v>
      </c>
      <c r="E3851" s="33" t="str">
        <f t="shared" si="1153"/>
        <v>FY 24/25</v>
      </c>
      <c r="F3851" s="23">
        <v>2025</v>
      </c>
      <c r="G3851" s="23">
        <v>2</v>
      </c>
      <c r="H3851" s="29"/>
      <c r="I3851" s="93" t="str">
        <f t="shared" si="1155"/>
        <v>Q4</v>
      </c>
      <c r="J3851" s="188" t="s">
        <v>3658</v>
      </c>
      <c r="K3851" s="29" t="s">
        <v>3659</v>
      </c>
      <c r="L3851" s="24" t="s">
        <v>67</v>
      </c>
      <c r="M3851" s="13" t="s">
        <v>60</v>
      </c>
      <c r="N3851" s="22">
        <v>1</v>
      </c>
      <c r="O3851" s="22"/>
      <c r="P3851" s="33" t="str">
        <f t="shared" si="1164"/>
        <v>MAIN UNIT</v>
      </c>
      <c r="Q3851" s="22" t="s">
        <v>68</v>
      </c>
      <c r="R3851" s="22" t="s">
        <v>62</v>
      </c>
      <c r="S3851" s="22" t="s">
        <v>49</v>
      </c>
      <c r="T3851" s="22" t="s">
        <v>78</v>
      </c>
      <c r="U3851" s="22" t="s">
        <v>78</v>
      </c>
      <c r="V3851" s="22" t="s">
        <v>3603</v>
      </c>
      <c r="W3851" s="22" t="s">
        <v>109</v>
      </c>
      <c r="X3851" s="104">
        <v>9000000</v>
      </c>
      <c r="Y3851" s="31" t="str">
        <f t="shared" si="1167"/>
        <v>1</v>
      </c>
      <c r="Z3851" s="230">
        <f t="shared" si="1166"/>
        <v>9000000</v>
      </c>
      <c r="AA3851" s="22">
        <v>5.11E-2</v>
      </c>
      <c r="AB3851" s="231">
        <f t="shared" si="1152"/>
        <v>459900</v>
      </c>
      <c r="AC3851" s="25">
        <f t="shared" si="1156"/>
        <v>59970.959999999992</v>
      </c>
      <c r="AD3851" s="170">
        <v>0.13039999999999999</v>
      </c>
      <c r="AE3851" s="26">
        <f t="shared" si="1157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68"/>
        <v>30691842.970796466</v>
      </c>
      <c r="AJ3851" s="27">
        <f t="shared" si="1169"/>
        <v>4088324.205777524</v>
      </c>
      <c r="AK3851" s="232">
        <f t="shared" si="1158"/>
        <v>0.1332055624573473</v>
      </c>
      <c r="AL3851" s="24"/>
      <c r="AM3851" s="24"/>
      <c r="AN3851" s="24"/>
      <c r="AO3851" s="24"/>
      <c r="AP3851" s="165" t="str">
        <f t="shared" si="1159"/>
        <v>20252</v>
      </c>
      <c r="AQ3851" s="233" t="str">
        <f t="shared" si="1160"/>
        <v>20252JPY</v>
      </c>
      <c r="AR3851" s="234" t="str">
        <f t="shared" si="1161"/>
        <v>YAMAHA_Mounter</v>
      </c>
      <c r="AS3851" s="22">
        <f t="shared" si="1162"/>
        <v>1</v>
      </c>
      <c r="AT3851" s="24" t="str">
        <f t="shared" si="1163"/>
        <v>0-3 months</v>
      </c>
      <c r="AU3851" s="22" t="s">
        <v>3745</v>
      </c>
    </row>
    <row r="3852" spans="1:47">
      <c r="A3852" s="33" t="str">
        <f t="shared" si="1154"/>
        <v>FY 24/25</v>
      </c>
      <c r="B3852" s="23">
        <v>2024</v>
      </c>
      <c r="C3852" s="23">
        <v>10</v>
      </c>
      <c r="D3852" s="202" t="str">
        <f t="shared" si="1165"/>
        <v>Q3</v>
      </c>
      <c r="E3852" s="33" t="str">
        <f t="shared" si="1153"/>
        <v>FY 24/25</v>
      </c>
      <c r="F3852" s="23">
        <v>2025</v>
      </c>
      <c r="G3852" s="23">
        <v>1</v>
      </c>
      <c r="H3852" s="29"/>
      <c r="I3852" s="204" t="str">
        <f t="shared" si="1155"/>
        <v>Q4</v>
      </c>
      <c r="J3852" s="188" t="s">
        <v>3652</v>
      </c>
      <c r="K3852" s="29" t="s">
        <v>3611</v>
      </c>
      <c r="L3852" s="17" t="s">
        <v>3351</v>
      </c>
      <c r="M3852" s="13" t="s">
        <v>60</v>
      </c>
      <c r="N3852" s="22">
        <v>1</v>
      </c>
      <c r="O3852" s="22"/>
      <c r="P3852" s="202" t="str">
        <f t="shared" si="1164"/>
        <v>MAIN UNIT</v>
      </c>
      <c r="Q3852" s="22" t="s">
        <v>61</v>
      </c>
      <c r="R3852" s="22" t="s">
        <v>2055</v>
      </c>
      <c r="S3852" s="22" t="s">
        <v>49</v>
      </c>
      <c r="T3852" s="22" t="s">
        <v>78</v>
      </c>
      <c r="U3852" s="22" t="s">
        <v>246</v>
      </c>
      <c r="V3852" s="22" t="s">
        <v>3590</v>
      </c>
      <c r="W3852" s="22" t="s">
        <v>901</v>
      </c>
      <c r="X3852" s="104">
        <v>35700</v>
      </c>
      <c r="Y3852" s="195" t="str">
        <f t="shared" si="1167"/>
        <v>1</v>
      </c>
      <c r="Z3852" s="196">
        <f t="shared" si="1166"/>
        <v>35700</v>
      </c>
      <c r="AA3852" s="22">
        <v>7.8</v>
      </c>
      <c r="AB3852" s="197">
        <f t="shared" si="1152"/>
        <v>278460</v>
      </c>
      <c r="AC3852" s="198">
        <f t="shared" si="1156"/>
        <v>110186.622</v>
      </c>
      <c r="AD3852" s="169">
        <v>0.3957</v>
      </c>
      <c r="AE3852" s="199">
        <f t="shared" si="1157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68"/>
        <v>16190947.162761064</v>
      </c>
      <c r="AJ3852" s="200">
        <f t="shared" si="1169"/>
        <v>2256328.1660673413</v>
      </c>
      <c r="AK3852" s="201">
        <f t="shared" si="1158"/>
        <v>0.13935739171929745</v>
      </c>
      <c r="AL3852" s="24"/>
      <c r="AM3852" s="24"/>
      <c r="AN3852" s="24"/>
      <c r="AO3852" s="24"/>
      <c r="AP3852" s="165" t="str">
        <f t="shared" si="1159"/>
        <v>20251</v>
      </c>
      <c r="AQ3852" s="203" t="str">
        <f t="shared" si="1160"/>
        <v>20251USD</v>
      </c>
      <c r="AR3852" s="206" t="str">
        <f t="shared" si="1161"/>
        <v>YAMAHA_Non_Mounter</v>
      </c>
      <c r="AS3852" s="22">
        <f t="shared" si="1162"/>
        <v>3</v>
      </c>
      <c r="AT3852" s="24" t="str">
        <f t="shared" si="1163"/>
        <v>0-3 months</v>
      </c>
      <c r="AU3852" s="22" t="s">
        <v>3748</v>
      </c>
    </row>
    <row r="3853" spans="1:47">
      <c r="A3853" s="33" t="str">
        <f t="shared" si="1154"/>
        <v>FY 24/25</v>
      </c>
      <c r="B3853" s="23">
        <v>2024</v>
      </c>
      <c r="C3853" s="23">
        <v>10</v>
      </c>
      <c r="D3853" s="202" t="str">
        <f t="shared" si="1165"/>
        <v>Q3</v>
      </c>
      <c r="E3853" s="33" t="str">
        <f t="shared" si="1153"/>
        <v>FY 24/25</v>
      </c>
      <c r="F3853" s="23">
        <v>2025</v>
      </c>
      <c r="G3853" s="23">
        <v>1</v>
      </c>
      <c r="H3853" s="29"/>
      <c r="I3853" s="204" t="str">
        <f t="shared" si="1155"/>
        <v>Q4</v>
      </c>
      <c r="J3853" s="188" t="s">
        <v>3652</v>
      </c>
      <c r="K3853" s="29" t="s">
        <v>3611</v>
      </c>
      <c r="L3853" s="24" t="s">
        <v>2620</v>
      </c>
      <c r="M3853" s="13" t="s">
        <v>60</v>
      </c>
      <c r="N3853" s="22">
        <v>1</v>
      </c>
      <c r="O3853" s="22"/>
      <c r="P3853" s="202" t="str">
        <f t="shared" si="1164"/>
        <v>MAIN UNIT</v>
      </c>
      <c r="Q3853" s="22" t="s">
        <v>61</v>
      </c>
      <c r="R3853" s="22" t="s">
        <v>2055</v>
      </c>
      <c r="S3853" s="22" t="s">
        <v>49</v>
      </c>
      <c r="T3853" s="22" t="s">
        <v>78</v>
      </c>
      <c r="U3853" s="22" t="s">
        <v>246</v>
      </c>
      <c r="V3853" s="22" t="s">
        <v>3590</v>
      </c>
      <c r="W3853" s="22" t="s">
        <v>901</v>
      </c>
      <c r="X3853" s="104">
        <v>84150</v>
      </c>
      <c r="Y3853" s="195" t="str">
        <f t="shared" si="1167"/>
        <v>1</v>
      </c>
      <c r="Z3853" s="196">
        <f t="shared" si="1166"/>
        <v>84150</v>
      </c>
      <c r="AA3853" s="22">
        <v>7.8</v>
      </c>
      <c r="AB3853" s="197">
        <f t="shared" si="1152"/>
        <v>656370</v>
      </c>
      <c r="AC3853" s="198">
        <f t="shared" si="1156"/>
        <v>259725.609</v>
      </c>
      <c r="AD3853" s="169">
        <v>0.3957</v>
      </c>
      <c r="AE3853" s="199">
        <f t="shared" si="1157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68"/>
        <v>16190947.162761064</v>
      </c>
      <c r="AJ3853" s="200">
        <f t="shared" si="1169"/>
        <v>2256328.1660673413</v>
      </c>
      <c r="AK3853" s="201">
        <f t="shared" si="1158"/>
        <v>0.13935739171929745</v>
      </c>
      <c r="AL3853" s="24"/>
      <c r="AM3853" s="24"/>
      <c r="AN3853" s="24"/>
      <c r="AO3853" s="24"/>
      <c r="AP3853" s="165" t="str">
        <f t="shared" si="1159"/>
        <v>20251</v>
      </c>
      <c r="AQ3853" s="203" t="str">
        <f t="shared" si="1160"/>
        <v>20251USD</v>
      </c>
      <c r="AR3853" s="206" t="str">
        <f t="shared" si="1161"/>
        <v>YAMAHA_Non_Mounter</v>
      </c>
      <c r="AS3853" s="22">
        <f t="shared" si="1162"/>
        <v>3</v>
      </c>
      <c r="AT3853" s="24" t="str">
        <f t="shared" si="1163"/>
        <v>0-3 months</v>
      </c>
      <c r="AU3853" s="22" t="s">
        <v>3748</v>
      </c>
    </row>
    <row r="3854" spans="1:47">
      <c r="A3854" s="33" t="str">
        <f t="shared" si="1154"/>
        <v>FY 24/25</v>
      </c>
      <c r="B3854" s="23">
        <v>2024</v>
      </c>
      <c r="C3854" s="23">
        <v>12</v>
      </c>
      <c r="D3854" s="202" t="str">
        <f t="shared" si="1165"/>
        <v>Q3</v>
      </c>
      <c r="E3854" s="33" t="str">
        <f t="shared" si="1153"/>
        <v>FY 24/25</v>
      </c>
      <c r="F3854" s="23">
        <v>2025</v>
      </c>
      <c r="G3854" s="23">
        <v>1</v>
      </c>
      <c r="H3854" s="29"/>
      <c r="I3854" s="204" t="str">
        <f t="shared" si="1155"/>
        <v>Q4</v>
      </c>
      <c r="J3854" s="188" t="s">
        <v>3660</v>
      </c>
      <c r="K3854" s="29" t="s">
        <v>3661</v>
      </c>
      <c r="L3854" s="24" t="s">
        <v>92</v>
      </c>
      <c r="M3854" s="13" t="s">
        <v>60</v>
      </c>
      <c r="N3854" s="22">
        <v>1</v>
      </c>
      <c r="O3854" s="22"/>
      <c r="P3854" s="202" t="str">
        <f t="shared" si="1164"/>
        <v>MAIN UNIT</v>
      </c>
      <c r="Q3854" s="22" t="s">
        <v>68</v>
      </c>
      <c r="R3854" s="22" t="s">
        <v>62</v>
      </c>
      <c r="S3854" s="22" t="s">
        <v>49</v>
      </c>
      <c r="T3854" s="22" t="s">
        <v>78</v>
      </c>
      <c r="U3854" s="22" t="s">
        <v>120</v>
      </c>
      <c r="V3854" s="22" t="s">
        <v>2011</v>
      </c>
      <c r="W3854" s="22" t="s">
        <v>109</v>
      </c>
      <c r="X3854" s="104">
        <v>13200000</v>
      </c>
      <c r="Y3854" s="195" t="str">
        <f t="shared" si="1167"/>
        <v>1</v>
      </c>
      <c r="Z3854" s="196">
        <f t="shared" si="1166"/>
        <v>13200000</v>
      </c>
      <c r="AA3854" s="22">
        <v>5.0599999999999999E-2</v>
      </c>
      <c r="AB3854" s="197">
        <f t="shared" si="1152"/>
        <v>667920</v>
      </c>
      <c r="AC3854" s="198">
        <f t="shared" si="1156"/>
        <v>116885.99999999999</v>
      </c>
      <c r="AD3854" s="169">
        <v>0.17499999999999999</v>
      </c>
      <c r="AE3854" s="199">
        <f t="shared" si="1157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68"/>
        <v>16190947.162761064</v>
      </c>
      <c r="AJ3854" s="200">
        <f t="shared" si="1169"/>
        <v>2256328.1660673413</v>
      </c>
      <c r="AK3854" s="201">
        <f t="shared" si="1158"/>
        <v>0.13935739171929745</v>
      </c>
      <c r="AL3854" s="24"/>
      <c r="AM3854" s="24"/>
      <c r="AN3854" s="24"/>
      <c r="AO3854" s="24"/>
      <c r="AP3854" s="165" t="str">
        <f t="shared" si="1159"/>
        <v>20251</v>
      </c>
      <c r="AQ3854" s="203" t="str">
        <f t="shared" si="1160"/>
        <v>20251JPY</v>
      </c>
      <c r="AR3854" s="206" t="str">
        <f t="shared" si="1161"/>
        <v>YAMAHA_Mounter</v>
      </c>
      <c r="AS3854" s="22">
        <f t="shared" si="1162"/>
        <v>1</v>
      </c>
      <c r="AT3854" s="24" t="str">
        <f t="shared" si="1163"/>
        <v>0-3 months</v>
      </c>
      <c r="AU3854" s="22" t="s">
        <v>3745</v>
      </c>
    </row>
    <row r="3855" spans="1:47">
      <c r="A3855" s="33" t="str">
        <f t="shared" si="1154"/>
        <v>FY 24/25</v>
      </c>
      <c r="B3855" s="23">
        <v>2024</v>
      </c>
      <c r="C3855" s="23">
        <v>12</v>
      </c>
      <c r="D3855" s="202" t="str">
        <f t="shared" si="1165"/>
        <v>Q3</v>
      </c>
      <c r="E3855" s="33" t="str">
        <f t="shared" si="1153"/>
        <v>FY 24/25</v>
      </c>
      <c r="F3855" s="23">
        <v>2025</v>
      </c>
      <c r="G3855" s="23">
        <v>1</v>
      </c>
      <c r="H3855" s="29"/>
      <c r="I3855" s="204" t="str">
        <f t="shared" si="1155"/>
        <v>Q4</v>
      </c>
      <c r="J3855" s="188" t="s">
        <v>3660</v>
      </c>
      <c r="K3855" s="29" t="s">
        <v>3661</v>
      </c>
      <c r="L3855" s="24" t="s">
        <v>92</v>
      </c>
      <c r="M3855" s="13" t="s">
        <v>60</v>
      </c>
      <c r="N3855" s="22">
        <v>1</v>
      </c>
      <c r="O3855" s="22"/>
      <c r="P3855" s="202" t="str">
        <f t="shared" si="1164"/>
        <v>MAIN UNIT</v>
      </c>
      <c r="Q3855" s="22" t="s">
        <v>68</v>
      </c>
      <c r="R3855" s="22" t="s">
        <v>62</v>
      </c>
      <c r="S3855" s="22" t="s">
        <v>49</v>
      </c>
      <c r="T3855" s="22" t="s">
        <v>78</v>
      </c>
      <c r="U3855" s="22" t="s">
        <v>120</v>
      </c>
      <c r="V3855" s="22" t="s">
        <v>2011</v>
      </c>
      <c r="W3855" s="22" t="s">
        <v>109</v>
      </c>
      <c r="X3855" s="104">
        <v>13200000</v>
      </c>
      <c r="Y3855" s="195" t="str">
        <f t="shared" si="1167"/>
        <v>1</v>
      </c>
      <c r="Z3855" s="196">
        <f t="shared" si="1166"/>
        <v>13200000</v>
      </c>
      <c r="AA3855" s="22">
        <v>5.0599999999999999E-2</v>
      </c>
      <c r="AB3855" s="197">
        <f t="shared" si="1152"/>
        <v>667920</v>
      </c>
      <c r="AC3855" s="198">
        <f t="shared" si="1156"/>
        <v>116885.99999999999</v>
      </c>
      <c r="AD3855" s="169">
        <v>0.17499999999999999</v>
      </c>
      <c r="AE3855" s="199">
        <f t="shared" si="1157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68"/>
        <v>16190947.162761064</v>
      </c>
      <c r="AJ3855" s="200">
        <f t="shared" si="1169"/>
        <v>2256328.1660673413</v>
      </c>
      <c r="AK3855" s="201">
        <f t="shared" si="1158"/>
        <v>0.13935739171929745</v>
      </c>
      <c r="AL3855" s="24"/>
      <c r="AM3855" s="24"/>
      <c r="AN3855" s="24"/>
      <c r="AO3855" s="24"/>
      <c r="AP3855" s="165" t="str">
        <f t="shared" si="1159"/>
        <v>20251</v>
      </c>
      <c r="AQ3855" s="203" t="str">
        <f t="shared" si="1160"/>
        <v>20251JPY</v>
      </c>
      <c r="AR3855" s="206" t="str">
        <f t="shared" si="1161"/>
        <v>YAMAHA_Mounter</v>
      </c>
      <c r="AS3855" s="22">
        <f t="shared" si="1162"/>
        <v>1</v>
      </c>
      <c r="AT3855" s="24" t="str">
        <f t="shared" si="1163"/>
        <v>0-3 months</v>
      </c>
      <c r="AU3855" s="22" t="s">
        <v>3745</v>
      </c>
    </row>
    <row r="3856" spans="1:47">
      <c r="A3856" s="33" t="str">
        <f t="shared" si="1154"/>
        <v>FY 24/25</v>
      </c>
      <c r="B3856" s="23">
        <v>2024</v>
      </c>
      <c r="C3856" s="23">
        <v>12</v>
      </c>
      <c r="D3856" s="202" t="str">
        <f t="shared" si="1165"/>
        <v>Q3</v>
      </c>
      <c r="E3856" s="33" t="str">
        <f t="shared" si="1153"/>
        <v>FY 24/25</v>
      </c>
      <c r="F3856" s="23">
        <v>2025</v>
      </c>
      <c r="G3856" s="23">
        <v>1</v>
      </c>
      <c r="H3856" s="29"/>
      <c r="I3856" s="204" t="str">
        <f t="shared" si="1155"/>
        <v>Q4</v>
      </c>
      <c r="J3856" s="188" t="s">
        <v>3660</v>
      </c>
      <c r="K3856" s="29" t="s">
        <v>3661</v>
      </c>
      <c r="L3856" s="24" t="s">
        <v>67</v>
      </c>
      <c r="M3856" s="13" t="s">
        <v>60</v>
      </c>
      <c r="N3856" s="22">
        <v>1</v>
      </c>
      <c r="O3856" s="22"/>
      <c r="P3856" s="202" t="str">
        <f t="shared" si="1164"/>
        <v>MAIN UNIT</v>
      </c>
      <c r="Q3856" s="22" t="s">
        <v>68</v>
      </c>
      <c r="R3856" s="22" t="s">
        <v>62</v>
      </c>
      <c r="S3856" s="22" t="s">
        <v>49</v>
      </c>
      <c r="T3856" s="22" t="s">
        <v>78</v>
      </c>
      <c r="U3856" s="22" t="s">
        <v>120</v>
      </c>
      <c r="V3856" s="22" t="s">
        <v>2011</v>
      </c>
      <c r="W3856" s="22" t="s">
        <v>109</v>
      </c>
      <c r="X3856" s="104">
        <v>11800000</v>
      </c>
      <c r="Y3856" s="195" t="str">
        <f t="shared" si="1167"/>
        <v>1</v>
      </c>
      <c r="Z3856" s="196">
        <f t="shared" si="1166"/>
        <v>11800000</v>
      </c>
      <c r="AA3856" s="22">
        <v>5.0599999999999999E-2</v>
      </c>
      <c r="AB3856" s="197">
        <f t="shared" si="1152"/>
        <v>597080</v>
      </c>
      <c r="AC3856" s="198">
        <f t="shared" si="1156"/>
        <v>104489</v>
      </c>
      <c r="AD3856" s="169">
        <v>0.17499999999999999</v>
      </c>
      <c r="AE3856" s="199">
        <f t="shared" si="1157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68"/>
        <v>16190947.162761064</v>
      </c>
      <c r="AJ3856" s="200">
        <f t="shared" si="1169"/>
        <v>2256328.1660673413</v>
      </c>
      <c r="AK3856" s="201">
        <f t="shared" si="1158"/>
        <v>0.13935739171929745</v>
      </c>
      <c r="AL3856" s="24"/>
      <c r="AM3856" s="24"/>
      <c r="AN3856" s="24"/>
      <c r="AO3856" s="24"/>
      <c r="AP3856" s="165" t="str">
        <f t="shared" si="1159"/>
        <v>20251</v>
      </c>
      <c r="AQ3856" s="203" t="str">
        <f t="shared" si="1160"/>
        <v>20251JPY</v>
      </c>
      <c r="AR3856" s="206" t="str">
        <f t="shared" si="1161"/>
        <v>YAMAHA_Mounter</v>
      </c>
      <c r="AS3856" s="22">
        <f t="shared" si="1162"/>
        <v>1</v>
      </c>
      <c r="AT3856" s="24" t="str">
        <f t="shared" si="1163"/>
        <v>0-3 months</v>
      </c>
      <c r="AU3856" s="22" t="s">
        <v>3745</v>
      </c>
    </row>
    <row r="3857" spans="1:47">
      <c r="A3857" s="33" t="str">
        <f t="shared" si="1154"/>
        <v>FY 24/25</v>
      </c>
      <c r="B3857" s="23">
        <v>2024</v>
      </c>
      <c r="C3857" s="23">
        <v>12</v>
      </c>
      <c r="D3857" s="202" t="str">
        <f t="shared" si="1165"/>
        <v>Q3</v>
      </c>
      <c r="E3857" s="33" t="str">
        <f t="shared" si="1153"/>
        <v>FY 24/25</v>
      </c>
      <c r="F3857" s="23">
        <v>2025</v>
      </c>
      <c r="G3857" s="23">
        <v>1</v>
      </c>
      <c r="H3857" s="29"/>
      <c r="I3857" s="204" t="str">
        <f t="shared" si="1155"/>
        <v>Q4</v>
      </c>
      <c r="J3857" s="188" t="s">
        <v>3660</v>
      </c>
      <c r="K3857" s="29" t="s">
        <v>3661</v>
      </c>
      <c r="L3857" s="24" t="s">
        <v>67</v>
      </c>
      <c r="M3857" s="13" t="s">
        <v>60</v>
      </c>
      <c r="N3857" s="22">
        <v>1</v>
      </c>
      <c r="O3857" s="22"/>
      <c r="P3857" s="202" t="str">
        <f t="shared" si="1164"/>
        <v>MAIN UNIT</v>
      </c>
      <c r="Q3857" s="22" t="s">
        <v>68</v>
      </c>
      <c r="R3857" s="22" t="s">
        <v>62</v>
      </c>
      <c r="S3857" s="22" t="s">
        <v>49</v>
      </c>
      <c r="T3857" s="22" t="s">
        <v>78</v>
      </c>
      <c r="U3857" s="22" t="s">
        <v>120</v>
      </c>
      <c r="V3857" s="22" t="s">
        <v>2011</v>
      </c>
      <c r="W3857" s="22" t="s">
        <v>109</v>
      </c>
      <c r="X3857" s="104">
        <v>11800000</v>
      </c>
      <c r="Y3857" s="195" t="str">
        <f t="shared" si="1167"/>
        <v>1</v>
      </c>
      <c r="Z3857" s="196">
        <f t="shared" si="1166"/>
        <v>11800000</v>
      </c>
      <c r="AA3857" s="22">
        <v>5.0599999999999999E-2</v>
      </c>
      <c r="AB3857" s="197">
        <f t="shared" si="1152"/>
        <v>597080</v>
      </c>
      <c r="AC3857" s="198">
        <f t="shared" si="1156"/>
        <v>104489</v>
      </c>
      <c r="AD3857" s="169">
        <v>0.17499999999999999</v>
      </c>
      <c r="AE3857" s="199">
        <f t="shared" si="1157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68"/>
        <v>16190947.162761064</v>
      </c>
      <c r="AJ3857" s="200">
        <f t="shared" si="1169"/>
        <v>2256328.1660673413</v>
      </c>
      <c r="AK3857" s="201">
        <f t="shared" si="1158"/>
        <v>0.13935739171929745</v>
      </c>
      <c r="AL3857" s="24"/>
      <c r="AM3857" s="24"/>
      <c r="AN3857" s="24"/>
      <c r="AO3857" s="24"/>
      <c r="AP3857" s="165" t="str">
        <f t="shared" si="1159"/>
        <v>20251</v>
      </c>
      <c r="AQ3857" s="203" t="str">
        <f t="shared" si="1160"/>
        <v>20251JPY</v>
      </c>
      <c r="AR3857" s="206" t="str">
        <f t="shared" si="1161"/>
        <v>YAMAHA_Mounter</v>
      </c>
      <c r="AS3857" s="22">
        <f t="shared" si="1162"/>
        <v>1</v>
      </c>
      <c r="AT3857" s="24" t="str">
        <f t="shared" si="1163"/>
        <v>0-3 months</v>
      </c>
      <c r="AU3857" s="22" t="s">
        <v>3745</v>
      </c>
    </row>
    <row r="3858" spans="1:47">
      <c r="A3858" s="33" t="str">
        <f t="shared" si="1154"/>
        <v>FY 24/25</v>
      </c>
      <c r="B3858" s="23">
        <v>2024</v>
      </c>
      <c r="C3858" s="23">
        <v>12</v>
      </c>
      <c r="D3858" s="202" t="str">
        <f t="shared" si="1165"/>
        <v>Q3</v>
      </c>
      <c r="E3858" s="33" t="str">
        <f t="shared" si="1153"/>
        <v>FY 24/25</v>
      </c>
      <c r="F3858" s="23">
        <v>2025</v>
      </c>
      <c r="G3858" s="23">
        <v>2</v>
      </c>
      <c r="H3858" s="29"/>
      <c r="I3858" s="204" t="str">
        <f t="shared" si="1155"/>
        <v>Q4</v>
      </c>
      <c r="J3858" s="188" t="s">
        <v>3662</v>
      </c>
      <c r="K3858" s="29" t="s">
        <v>3663</v>
      </c>
      <c r="L3858" s="24" t="s">
        <v>2620</v>
      </c>
      <c r="M3858" s="13" t="s">
        <v>60</v>
      </c>
      <c r="N3858" s="22">
        <v>1</v>
      </c>
      <c r="O3858" s="22"/>
      <c r="P3858" s="202" t="str">
        <f t="shared" si="1164"/>
        <v>MAIN UNIT</v>
      </c>
      <c r="Q3858" s="22" t="s">
        <v>68</v>
      </c>
      <c r="R3858" s="22" t="s">
        <v>2055</v>
      </c>
      <c r="S3858" s="22" t="s">
        <v>49</v>
      </c>
      <c r="T3858" s="22" t="s">
        <v>78</v>
      </c>
      <c r="U3858" s="22" t="s">
        <v>78</v>
      </c>
      <c r="V3858" s="22" t="s">
        <v>3134</v>
      </c>
      <c r="W3858" s="22" t="s">
        <v>109</v>
      </c>
      <c r="X3858" s="104">
        <v>7275000</v>
      </c>
      <c r="Y3858" s="195" t="str">
        <f t="shared" si="1167"/>
        <v>1</v>
      </c>
      <c r="Z3858" s="196">
        <f t="shared" si="1166"/>
        <v>7275000</v>
      </c>
      <c r="AA3858" s="22">
        <v>5.11E-2</v>
      </c>
      <c r="AB3858" s="197">
        <f t="shared" ref="AB3858:AB3919" si="1170">IF(AND(R3858&lt;&gt;"C66",R3858&lt;&gt;""),Z3858/Y3858*AA3858,"")</f>
        <v>371752.5</v>
      </c>
      <c r="AC3858" s="198">
        <f t="shared" si="1156"/>
        <v>79183.282500000001</v>
      </c>
      <c r="AD3858" s="170">
        <v>0.21299999999999999</v>
      </c>
      <c r="AE3858" s="199">
        <f t="shared" si="1157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68"/>
        <v>30691842.970796466</v>
      </c>
      <c r="AJ3858" s="200">
        <f t="shared" si="1169"/>
        <v>4088324.205777524</v>
      </c>
      <c r="AK3858" s="201">
        <f t="shared" si="1158"/>
        <v>0.1332055624573473</v>
      </c>
      <c r="AL3858" s="24"/>
      <c r="AM3858" s="24"/>
      <c r="AN3858" s="24"/>
      <c r="AO3858" s="24"/>
      <c r="AP3858" s="165" t="str">
        <f t="shared" si="1159"/>
        <v>20252</v>
      </c>
      <c r="AQ3858" s="203" t="str">
        <f t="shared" si="1160"/>
        <v>20252JPY</v>
      </c>
      <c r="AR3858" s="206" t="str">
        <f t="shared" si="1161"/>
        <v>YAMAHA_Non_Mounter</v>
      </c>
      <c r="AS3858" s="22">
        <f t="shared" si="1162"/>
        <v>2</v>
      </c>
      <c r="AT3858" s="24" t="str">
        <f t="shared" si="1163"/>
        <v>0-3 months</v>
      </c>
      <c r="AU3858" s="22" t="s">
        <v>3746</v>
      </c>
    </row>
    <row r="3859" spans="1:47">
      <c r="A3859" s="33" t="str">
        <f t="shared" si="1154"/>
        <v>FY 24/25</v>
      </c>
      <c r="B3859" s="23">
        <v>2024</v>
      </c>
      <c r="C3859" s="23">
        <v>12</v>
      </c>
      <c r="D3859" s="202" t="str">
        <f t="shared" si="1165"/>
        <v>Q3</v>
      </c>
      <c r="E3859" s="33" t="str">
        <f t="shared" si="1153"/>
        <v>FY 24/25</v>
      </c>
      <c r="F3859" s="23">
        <v>2025</v>
      </c>
      <c r="G3859" s="23">
        <v>3</v>
      </c>
      <c r="H3859" s="29"/>
      <c r="I3859" s="204" t="str">
        <f t="shared" si="1155"/>
        <v>Q4</v>
      </c>
      <c r="J3859" s="188" t="s">
        <v>3664</v>
      </c>
      <c r="K3859" s="29" t="s">
        <v>3663</v>
      </c>
      <c r="L3859" s="17" t="s">
        <v>3351</v>
      </c>
      <c r="M3859" s="13" t="s">
        <v>60</v>
      </c>
      <c r="N3859" s="22">
        <v>1</v>
      </c>
      <c r="O3859" s="22"/>
      <c r="P3859" s="202" t="str">
        <f t="shared" si="1164"/>
        <v>MAIN UNIT</v>
      </c>
      <c r="Q3859" s="22" t="s">
        <v>68</v>
      </c>
      <c r="R3859" s="22" t="s">
        <v>2055</v>
      </c>
      <c r="S3859" s="22" t="s">
        <v>49</v>
      </c>
      <c r="T3859" s="22" t="s">
        <v>78</v>
      </c>
      <c r="U3859" s="22" t="s">
        <v>78</v>
      </c>
      <c r="V3859" s="22" t="s">
        <v>3134</v>
      </c>
      <c r="W3859" s="22" t="s">
        <v>64</v>
      </c>
      <c r="X3859" s="104">
        <v>184500</v>
      </c>
      <c r="Y3859" s="195" t="str">
        <f t="shared" si="1167"/>
        <v>1.13</v>
      </c>
      <c r="Z3859" s="196">
        <f t="shared" si="1166"/>
        <v>184500</v>
      </c>
      <c r="AA3859" s="22">
        <v>1.0669999999999999</v>
      </c>
      <c r="AB3859" s="197">
        <f t="shared" si="1170"/>
        <v>174213.7168141593</v>
      </c>
      <c r="AC3859" s="198">
        <f t="shared" si="1156"/>
        <v>20905.646017699117</v>
      </c>
      <c r="AD3859" s="169">
        <v>0.12</v>
      </c>
      <c r="AE3859" s="199">
        <f t="shared" si="1157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68"/>
        <v>17732428.654867258</v>
      </c>
      <c r="AJ3859" s="200">
        <f t="shared" si="1169"/>
        <v>2127891.4385840711</v>
      </c>
      <c r="AK3859" s="201">
        <f t="shared" si="1158"/>
        <v>0.12000000000000001</v>
      </c>
      <c r="AL3859" s="24"/>
      <c r="AM3859" s="24"/>
      <c r="AN3859" s="24"/>
      <c r="AO3859" s="24"/>
      <c r="AP3859" s="165" t="str">
        <f t="shared" si="1159"/>
        <v>20253</v>
      </c>
      <c r="AQ3859" s="203" t="str">
        <f t="shared" si="1160"/>
        <v>20253RMB</v>
      </c>
      <c r="AR3859" s="206" t="str">
        <f t="shared" si="1161"/>
        <v>YAMAHA_Non_Mounter</v>
      </c>
      <c r="AS3859" s="22">
        <f t="shared" si="1162"/>
        <v>3</v>
      </c>
      <c r="AT3859" s="24" t="str">
        <f t="shared" si="1163"/>
        <v>0-3 months</v>
      </c>
      <c r="AU3859" s="22" t="s">
        <v>3751</v>
      </c>
    </row>
    <row r="3860" spans="1:47">
      <c r="A3860" s="33" t="str">
        <f t="shared" si="1154"/>
        <v>FY 24/25</v>
      </c>
      <c r="B3860" s="23">
        <v>2024</v>
      </c>
      <c r="C3860" s="23">
        <v>12</v>
      </c>
      <c r="D3860" s="202" t="str">
        <f t="shared" si="1165"/>
        <v>Q3</v>
      </c>
      <c r="E3860" s="33" t="str">
        <f t="shared" si="1153"/>
        <v>FY 24/25</v>
      </c>
      <c r="F3860" s="23">
        <v>2025</v>
      </c>
      <c r="G3860" s="23">
        <v>1</v>
      </c>
      <c r="H3860" s="29"/>
      <c r="I3860" s="204" t="str">
        <f t="shared" si="1155"/>
        <v>Q4</v>
      </c>
      <c r="J3860" s="188" t="s">
        <v>3665</v>
      </c>
      <c r="K3860" s="29" t="s">
        <v>3663</v>
      </c>
      <c r="L3860" s="24" t="s">
        <v>67</v>
      </c>
      <c r="M3860" s="13" t="s">
        <v>60</v>
      </c>
      <c r="N3860" s="22">
        <v>1</v>
      </c>
      <c r="O3860" s="22"/>
      <c r="P3860" s="202" t="str">
        <f t="shared" si="1164"/>
        <v>MAIN UNIT</v>
      </c>
      <c r="Q3860" s="22" t="s">
        <v>68</v>
      </c>
      <c r="R3860" s="22" t="s">
        <v>62</v>
      </c>
      <c r="S3860" s="22" t="s">
        <v>49</v>
      </c>
      <c r="T3860" s="22" t="s">
        <v>78</v>
      </c>
      <c r="U3860" s="22" t="s">
        <v>78</v>
      </c>
      <c r="V3860" s="22" t="s">
        <v>3134</v>
      </c>
      <c r="W3860" s="22" t="s">
        <v>109</v>
      </c>
      <c r="X3860" s="104">
        <v>9894000</v>
      </c>
      <c r="Y3860" s="195" t="str">
        <f t="shared" si="1167"/>
        <v>1</v>
      </c>
      <c r="Z3860" s="196">
        <f t="shared" si="1166"/>
        <v>9894000</v>
      </c>
      <c r="AA3860" s="22">
        <v>5.0599999999999999E-2</v>
      </c>
      <c r="AB3860" s="197">
        <f t="shared" si="1170"/>
        <v>500636.39999999997</v>
      </c>
      <c r="AC3860" s="198">
        <f t="shared" si="1156"/>
        <v>89363.597399999984</v>
      </c>
      <c r="AD3860" s="169">
        <v>0.17849999999999999</v>
      </c>
      <c r="AE3860" s="199">
        <f t="shared" si="1157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68"/>
        <v>16190947.162761064</v>
      </c>
      <c r="AJ3860" s="200">
        <f t="shared" si="1169"/>
        <v>2256328.1660673413</v>
      </c>
      <c r="AK3860" s="201">
        <f t="shared" si="1158"/>
        <v>0.13935739171929745</v>
      </c>
      <c r="AL3860" s="24"/>
      <c r="AM3860" s="24"/>
      <c r="AN3860" s="24"/>
      <c r="AO3860" s="24"/>
      <c r="AP3860" s="165" t="str">
        <f t="shared" si="1159"/>
        <v>20251</v>
      </c>
      <c r="AQ3860" s="203" t="str">
        <f t="shared" si="1160"/>
        <v>20251JPY</v>
      </c>
      <c r="AR3860" s="206" t="str">
        <f t="shared" si="1161"/>
        <v>YAMAHA_Mounter</v>
      </c>
      <c r="AS3860" s="22">
        <f t="shared" si="1162"/>
        <v>1</v>
      </c>
      <c r="AT3860" s="24" t="str">
        <f t="shared" si="1163"/>
        <v>0-3 months</v>
      </c>
      <c r="AU3860" s="22" t="s">
        <v>3746</v>
      </c>
    </row>
    <row r="3861" spans="1:47">
      <c r="A3861" s="33" t="str">
        <f t="shared" si="1154"/>
        <v>FY 24/25</v>
      </c>
      <c r="B3861" s="23">
        <v>2025</v>
      </c>
      <c r="C3861" s="23">
        <v>1</v>
      </c>
      <c r="D3861" s="202" t="str">
        <f t="shared" si="1165"/>
        <v>Q4</v>
      </c>
      <c r="E3861" s="33" t="str">
        <f t="shared" si="1153"/>
        <v>FY 24/25</v>
      </c>
      <c r="F3861" s="23">
        <v>2025</v>
      </c>
      <c r="G3861" s="23">
        <v>2</v>
      </c>
      <c r="H3861" s="29"/>
      <c r="I3861" s="204" t="str">
        <f t="shared" si="1155"/>
        <v>Q4</v>
      </c>
      <c r="J3861" s="188" t="s">
        <v>3666</v>
      </c>
      <c r="K3861" s="29" t="s">
        <v>2297</v>
      </c>
      <c r="L3861" s="24" t="s">
        <v>67</v>
      </c>
      <c r="M3861" s="13" t="s">
        <v>60</v>
      </c>
      <c r="N3861" s="22">
        <v>1</v>
      </c>
      <c r="O3861" s="22"/>
      <c r="P3861" s="202" t="str">
        <f t="shared" si="1164"/>
        <v>MAIN UNIT</v>
      </c>
      <c r="Q3861" s="22" t="s">
        <v>61</v>
      </c>
      <c r="R3861" s="22" t="s">
        <v>62</v>
      </c>
      <c r="S3861" s="22" t="s">
        <v>49</v>
      </c>
      <c r="T3861" s="22" t="s">
        <v>78</v>
      </c>
      <c r="U3861" s="22" t="s">
        <v>78</v>
      </c>
      <c r="V3861" s="22" t="s">
        <v>80</v>
      </c>
      <c r="W3861" s="22" t="s">
        <v>109</v>
      </c>
      <c r="X3861" s="104">
        <v>7500000</v>
      </c>
      <c r="Y3861" s="195" t="str">
        <f t="shared" si="1167"/>
        <v>1</v>
      </c>
      <c r="Z3861" s="196">
        <f t="shared" si="1166"/>
        <v>7500000</v>
      </c>
      <c r="AA3861" s="22">
        <v>5.11E-2</v>
      </c>
      <c r="AB3861" s="197">
        <f t="shared" si="1170"/>
        <v>383250</v>
      </c>
      <c r="AC3861" s="198">
        <f t="shared" si="1156"/>
        <v>49477.574999999997</v>
      </c>
      <c r="AD3861" s="170">
        <v>0.12909999999999999</v>
      </c>
      <c r="AE3861" s="199">
        <f t="shared" si="1157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68"/>
        <v>30691842.970796466</v>
      </c>
      <c r="AJ3861" s="200">
        <f t="shared" si="1169"/>
        <v>4088324.205777524</v>
      </c>
      <c r="AK3861" s="201">
        <f t="shared" si="1158"/>
        <v>0.1332055624573473</v>
      </c>
      <c r="AL3861" s="24"/>
      <c r="AM3861" s="24"/>
      <c r="AN3861" s="24"/>
      <c r="AO3861" s="24"/>
      <c r="AP3861" s="165" t="str">
        <f t="shared" si="1159"/>
        <v>20252</v>
      </c>
      <c r="AQ3861" s="203" t="str">
        <f t="shared" si="1160"/>
        <v>20252JPY</v>
      </c>
      <c r="AR3861" s="206" t="str">
        <f t="shared" si="1161"/>
        <v>YAMAHA_Mounter</v>
      </c>
      <c r="AS3861" s="22">
        <f t="shared" si="1162"/>
        <v>1</v>
      </c>
      <c r="AT3861" s="24" t="str">
        <f t="shared" si="1163"/>
        <v>0-3 months</v>
      </c>
      <c r="AU3861" s="22" t="s">
        <v>3745</v>
      </c>
    </row>
    <row r="3862" spans="1:47">
      <c r="A3862" s="33" t="str">
        <f t="shared" si="1154"/>
        <v>FY 24/25</v>
      </c>
      <c r="B3862" s="23">
        <v>2025</v>
      </c>
      <c r="C3862" s="23">
        <v>1</v>
      </c>
      <c r="D3862" s="202" t="str">
        <f t="shared" si="1165"/>
        <v>Q4</v>
      </c>
      <c r="E3862" s="33" t="str">
        <f t="shared" si="1153"/>
        <v>FY 24/25</v>
      </c>
      <c r="F3862" s="23">
        <v>2025</v>
      </c>
      <c r="G3862" s="23">
        <v>2</v>
      </c>
      <c r="H3862" s="29"/>
      <c r="I3862" s="204" t="str">
        <f t="shared" si="1155"/>
        <v>Q4</v>
      </c>
      <c r="J3862" s="188" t="s">
        <v>3667</v>
      </c>
      <c r="K3862" s="29" t="s">
        <v>820</v>
      </c>
      <c r="L3862" s="24" t="s">
        <v>92</v>
      </c>
      <c r="M3862" s="13" t="s">
        <v>60</v>
      </c>
      <c r="N3862" s="22">
        <v>1</v>
      </c>
      <c r="O3862" s="22"/>
      <c r="P3862" s="202" t="str">
        <f t="shared" si="1164"/>
        <v>MAIN UNIT</v>
      </c>
      <c r="Q3862" s="22" t="s">
        <v>61</v>
      </c>
      <c r="R3862" s="22" t="s">
        <v>62</v>
      </c>
      <c r="S3862" s="22" t="s">
        <v>49</v>
      </c>
      <c r="T3862" s="22" t="s">
        <v>78</v>
      </c>
      <c r="U3862" s="22" t="s">
        <v>78</v>
      </c>
      <c r="V3862" s="22" t="s">
        <v>112</v>
      </c>
      <c r="W3862" s="22" t="s">
        <v>109</v>
      </c>
      <c r="X3862" s="104">
        <v>14900000</v>
      </c>
      <c r="Y3862" s="195" t="str">
        <f t="shared" si="1167"/>
        <v>1</v>
      </c>
      <c r="Z3862" s="196">
        <f t="shared" si="1166"/>
        <v>14900000</v>
      </c>
      <c r="AA3862" s="22">
        <v>5.11E-2</v>
      </c>
      <c r="AB3862" s="197">
        <f t="shared" si="1170"/>
        <v>761390</v>
      </c>
      <c r="AC3862" s="198">
        <f t="shared" si="1156"/>
        <v>112914.13699999999</v>
      </c>
      <c r="AD3862" s="170">
        <v>0.14829999999999999</v>
      </c>
      <c r="AE3862" s="199">
        <f t="shared" si="1157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68"/>
        <v>30691842.970796466</v>
      </c>
      <c r="AJ3862" s="200">
        <f t="shared" si="1169"/>
        <v>4088324.205777524</v>
      </c>
      <c r="AK3862" s="201">
        <f t="shared" si="1158"/>
        <v>0.1332055624573473</v>
      </c>
      <c r="AL3862" s="24"/>
      <c r="AM3862" s="24"/>
      <c r="AN3862" s="24"/>
      <c r="AO3862" s="24"/>
      <c r="AP3862" s="165" t="str">
        <f t="shared" si="1159"/>
        <v>20252</v>
      </c>
      <c r="AQ3862" s="203" t="str">
        <f t="shared" si="1160"/>
        <v>20252JPY</v>
      </c>
      <c r="AR3862" s="206" t="str">
        <f t="shared" si="1161"/>
        <v>YAMAHA_Mounter</v>
      </c>
      <c r="AS3862" s="22">
        <f t="shared" si="1162"/>
        <v>1</v>
      </c>
      <c r="AT3862" s="24" t="str">
        <f t="shared" si="1163"/>
        <v>0-3 months</v>
      </c>
      <c r="AU3862" s="22" t="s">
        <v>3745</v>
      </c>
    </row>
    <row r="3863" spans="1:47">
      <c r="A3863" s="33" t="str">
        <f t="shared" si="1154"/>
        <v>FY 24/25</v>
      </c>
      <c r="B3863" s="23">
        <v>2025</v>
      </c>
      <c r="C3863" s="23">
        <v>1</v>
      </c>
      <c r="D3863" s="202" t="str">
        <f t="shared" si="1165"/>
        <v>Q4</v>
      </c>
      <c r="E3863" s="33" t="str">
        <f t="shared" si="1153"/>
        <v>FY 24/25</v>
      </c>
      <c r="F3863" s="23">
        <v>2025</v>
      </c>
      <c r="G3863" s="23">
        <v>2</v>
      </c>
      <c r="H3863" s="29"/>
      <c r="I3863" s="204" t="str">
        <f t="shared" si="1155"/>
        <v>Q4</v>
      </c>
      <c r="J3863" s="188" t="s">
        <v>3667</v>
      </c>
      <c r="K3863" s="29" t="s">
        <v>820</v>
      </c>
      <c r="L3863" s="24" t="s">
        <v>92</v>
      </c>
      <c r="M3863" s="13" t="s">
        <v>60</v>
      </c>
      <c r="N3863" s="22">
        <v>1</v>
      </c>
      <c r="O3863" s="22"/>
      <c r="P3863" s="202" t="str">
        <f t="shared" si="1164"/>
        <v>MAIN UNIT</v>
      </c>
      <c r="Q3863" s="22" t="s">
        <v>61</v>
      </c>
      <c r="R3863" s="22" t="s">
        <v>62</v>
      </c>
      <c r="S3863" s="22" t="s">
        <v>49</v>
      </c>
      <c r="T3863" s="22" t="s">
        <v>78</v>
      </c>
      <c r="U3863" s="22" t="s">
        <v>78</v>
      </c>
      <c r="V3863" s="22" t="s">
        <v>112</v>
      </c>
      <c r="W3863" s="22" t="s">
        <v>109</v>
      </c>
      <c r="X3863" s="104">
        <v>14900000</v>
      </c>
      <c r="Y3863" s="195" t="str">
        <f t="shared" si="1167"/>
        <v>1</v>
      </c>
      <c r="Z3863" s="196">
        <f t="shared" si="1166"/>
        <v>14900000</v>
      </c>
      <c r="AA3863" s="22">
        <v>5.11E-2</v>
      </c>
      <c r="AB3863" s="197">
        <f t="shared" si="1170"/>
        <v>761390</v>
      </c>
      <c r="AC3863" s="198">
        <f t="shared" si="1156"/>
        <v>112914.13699999999</v>
      </c>
      <c r="AD3863" s="170">
        <v>0.14829999999999999</v>
      </c>
      <c r="AE3863" s="199">
        <f t="shared" si="1157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68"/>
        <v>30691842.970796466</v>
      </c>
      <c r="AJ3863" s="200">
        <f t="shared" si="1169"/>
        <v>4088324.205777524</v>
      </c>
      <c r="AK3863" s="201">
        <f t="shared" si="1158"/>
        <v>0.1332055624573473</v>
      </c>
      <c r="AL3863" s="24"/>
      <c r="AM3863" s="24"/>
      <c r="AN3863" s="24"/>
      <c r="AO3863" s="24"/>
      <c r="AP3863" s="165" t="str">
        <f t="shared" si="1159"/>
        <v>20252</v>
      </c>
      <c r="AQ3863" s="203" t="str">
        <f t="shared" si="1160"/>
        <v>20252JPY</v>
      </c>
      <c r="AR3863" s="206" t="str">
        <f t="shared" si="1161"/>
        <v>YAMAHA_Mounter</v>
      </c>
      <c r="AS3863" s="22">
        <f t="shared" si="1162"/>
        <v>1</v>
      </c>
      <c r="AT3863" s="24" t="str">
        <f t="shared" si="1163"/>
        <v>0-3 months</v>
      </c>
      <c r="AU3863" s="22" t="s">
        <v>3745</v>
      </c>
    </row>
    <row r="3864" spans="1:47">
      <c r="A3864" s="33" t="str">
        <f t="shared" si="1154"/>
        <v>FY 24/25</v>
      </c>
      <c r="B3864" s="23">
        <v>2025</v>
      </c>
      <c r="C3864" s="23">
        <v>1</v>
      </c>
      <c r="D3864" s="202" t="str">
        <f t="shared" si="1165"/>
        <v>Q4</v>
      </c>
      <c r="E3864" s="33" t="str">
        <f t="shared" ref="E3864:E3927" si="1171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5"/>
        <v>Q4</v>
      </c>
      <c r="J3864" s="188" t="s">
        <v>3666</v>
      </c>
      <c r="K3864" s="29" t="s">
        <v>2297</v>
      </c>
      <c r="L3864" s="24" t="s">
        <v>92</v>
      </c>
      <c r="M3864" s="13" t="s">
        <v>60</v>
      </c>
      <c r="N3864" s="22">
        <v>1</v>
      </c>
      <c r="O3864" s="22"/>
      <c r="P3864" s="202" t="str">
        <f t="shared" si="1164"/>
        <v>MAIN UNIT</v>
      </c>
      <c r="Q3864" s="22" t="s">
        <v>61</v>
      </c>
      <c r="R3864" s="22" t="s">
        <v>62</v>
      </c>
      <c r="S3864" s="22" t="s">
        <v>49</v>
      </c>
      <c r="T3864" s="22" t="s">
        <v>78</v>
      </c>
      <c r="U3864" s="22" t="s">
        <v>78</v>
      </c>
      <c r="V3864" s="22" t="s">
        <v>80</v>
      </c>
      <c r="W3864" s="22" t="s">
        <v>109</v>
      </c>
      <c r="X3864" s="104">
        <v>12840000</v>
      </c>
      <c r="Y3864" s="195" t="str">
        <f t="shared" si="1167"/>
        <v>1</v>
      </c>
      <c r="Z3864" s="196">
        <f t="shared" si="1166"/>
        <v>12840000</v>
      </c>
      <c r="AA3864" s="22">
        <v>5.11E-2</v>
      </c>
      <c r="AB3864" s="197">
        <f t="shared" si="1170"/>
        <v>656124</v>
      </c>
      <c r="AC3864" s="198">
        <f t="shared" si="1156"/>
        <v>84705.608399999997</v>
      </c>
      <c r="AD3864" s="170">
        <v>0.12909999999999999</v>
      </c>
      <c r="AE3864" s="199">
        <f t="shared" si="1157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68"/>
        <v>30691842.970796466</v>
      </c>
      <c r="AJ3864" s="200">
        <f t="shared" si="1169"/>
        <v>4088324.205777524</v>
      </c>
      <c r="AK3864" s="201">
        <f t="shared" si="1158"/>
        <v>0.1332055624573473</v>
      </c>
      <c r="AL3864" s="24"/>
      <c r="AM3864" s="24"/>
      <c r="AN3864" s="24"/>
      <c r="AO3864" s="24"/>
      <c r="AP3864" s="165" t="str">
        <f t="shared" si="1159"/>
        <v>20252</v>
      </c>
      <c r="AQ3864" s="203" t="str">
        <f t="shared" si="1160"/>
        <v>20252JPY</v>
      </c>
      <c r="AR3864" s="206" t="str">
        <f t="shared" si="1161"/>
        <v>YAMAHA_Mounter</v>
      </c>
      <c r="AS3864" s="22">
        <f t="shared" si="1162"/>
        <v>1</v>
      </c>
      <c r="AT3864" s="24" t="str">
        <f t="shared" si="1163"/>
        <v>0-3 months</v>
      </c>
      <c r="AU3864" s="22" t="s">
        <v>3745</v>
      </c>
    </row>
    <row r="3865" spans="1:47">
      <c r="A3865" s="33" t="str">
        <f t="shared" si="1154"/>
        <v>FY 24/25</v>
      </c>
      <c r="B3865" s="23">
        <v>2025</v>
      </c>
      <c r="C3865" s="23">
        <v>1</v>
      </c>
      <c r="D3865" s="202" t="str">
        <f t="shared" si="1165"/>
        <v>Q4</v>
      </c>
      <c r="E3865" s="33" t="str">
        <f t="shared" si="1171"/>
        <v>FY 24/25</v>
      </c>
      <c r="F3865" s="23">
        <v>2025</v>
      </c>
      <c r="G3865" s="23">
        <v>2</v>
      </c>
      <c r="H3865" s="29"/>
      <c r="I3865" s="204" t="str">
        <f t="shared" si="1155"/>
        <v>Q4</v>
      </c>
      <c r="J3865" s="188" t="s">
        <v>3666</v>
      </c>
      <c r="K3865" s="29" t="s">
        <v>2297</v>
      </c>
      <c r="L3865" s="24" t="s">
        <v>92</v>
      </c>
      <c r="M3865" s="13" t="s">
        <v>60</v>
      </c>
      <c r="N3865" s="22">
        <v>1</v>
      </c>
      <c r="O3865" s="22"/>
      <c r="P3865" s="202" t="str">
        <f t="shared" si="1164"/>
        <v>MAIN UNIT</v>
      </c>
      <c r="Q3865" s="22" t="s">
        <v>61</v>
      </c>
      <c r="R3865" s="22" t="s">
        <v>62</v>
      </c>
      <c r="S3865" s="22" t="s">
        <v>49</v>
      </c>
      <c r="T3865" s="22" t="s">
        <v>78</v>
      </c>
      <c r="U3865" s="22" t="s">
        <v>78</v>
      </c>
      <c r="V3865" s="22" t="s">
        <v>80</v>
      </c>
      <c r="W3865" s="22" t="s">
        <v>109</v>
      </c>
      <c r="X3865" s="104">
        <v>12840000</v>
      </c>
      <c r="Y3865" s="195" t="str">
        <f t="shared" si="1167"/>
        <v>1</v>
      </c>
      <c r="Z3865" s="196">
        <f t="shared" si="1166"/>
        <v>12840000</v>
      </c>
      <c r="AA3865" s="22">
        <v>5.11E-2</v>
      </c>
      <c r="AB3865" s="197">
        <f t="shared" si="1170"/>
        <v>656124</v>
      </c>
      <c r="AC3865" s="198">
        <f t="shared" si="1156"/>
        <v>84705.608399999997</v>
      </c>
      <c r="AD3865" s="170">
        <v>0.12909999999999999</v>
      </c>
      <c r="AE3865" s="199">
        <f t="shared" si="1157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68"/>
        <v>30691842.970796466</v>
      </c>
      <c r="AJ3865" s="200">
        <f t="shared" si="1169"/>
        <v>4088324.205777524</v>
      </c>
      <c r="AK3865" s="201">
        <f t="shared" si="1158"/>
        <v>0.1332055624573473</v>
      </c>
      <c r="AL3865" s="24"/>
      <c r="AM3865" s="24"/>
      <c r="AN3865" s="24"/>
      <c r="AO3865" s="24"/>
      <c r="AP3865" s="165" t="str">
        <f t="shared" si="1159"/>
        <v>20252</v>
      </c>
      <c r="AQ3865" s="203" t="str">
        <f t="shared" si="1160"/>
        <v>20252JPY</v>
      </c>
      <c r="AR3865" s="206" t="str">
        <f t="shared" si="1161"/>
        <v>YAMAHA_Mounter</v>
      </c>
      <c r="AS3865" s="22">
        <f t="shared" si="1162"/>
        <v>1</v>
      </c>
      <c r="AT3865" s="24" t="str">
        <f t="shared" si="1163"/>
        <v>0-3 months</v>
      </c>
      <c r="AU3865" s="22" t="s">
        <v>3745</v>
      </c>
    </row>
    <row r="3866" spans="1:47">
      <c r="A3866" s="33" t="str">
        <f t="shared" si="1154"/>
        <v>FY 24/25</v>
      </c>
      <c r="B3866" s="23">
        <v>2025</v>
      </c>
      <c r="C3866" s="23">
        <v>1</v>
      </c>
      <c r="D3866" s="202" t="str">
        <f t="shared" si="1165"/>
        <v>Q4</v>
      </c>
      <c r="E3866" s="33" t="str">
        <f t="shared" si="1171"/>
        <v>FY 24/25</v>
      </c>
      <c r="F3866" s="23">
        <v>2025</v>
      </c>
      <c r="G3866" s="23">
        <v>3</v>
      </c>
      <c r="H3866" s="29"/>
      <c r="I3866" s="204" t="str">
        <f t="shared" si="1155"/>
        <v>Q4</v>
      </c>
      <c r="J3866" s="188" t="s">
        <v>3669</v>
      </c>
      <c r="K3866" s="29" t="s">
        <v>3670</v>
      </c>
      <c r="L3866" s="24" t="s">
        <v>92</v>
      </c>
      <c r="M3866" s="13" t="s">
        <v>60</v>
      </c>
      <c r="N3866" s="22">
        <v>1</v>
      </c>
      <c r="O3866" s="22"/>
      <c r="P3866" s="202" t="str">
        <f t="shared" si="1164"/>
        <v>MAIN UNIT</v>
      </c>
      <c r="Q3866" s="22" t="s">
        <v>68</v>
      </c>
      <c r="R3866" s="22" t="s">
        <v>62</v>
      </c>
      <c r="S3866" s="22" t="s">
        <v>49</v>
      </c>
      <c r="T3866" s="22" t="s">
        <v>78</v>
      </c>
      <c r="U3866" s="22" t="s">
        <v>1071</v>
      </c>
      <c r="V3866" s="22" t="s">
        <v>112</v>
      </c>
      <c r="W3866" s="22" t="s">
        <v>64</v>
      </c>
      <c r="X3866" s="104">
        <v>840000</v>
      </c>
      <c r="Y3866" s="195" t="str">
        <f t="shared" si="1167"/>
        <v>1.13</v>
      </c>
      <c r="Z3866" s="196">
        <f t="shared" si="1166"/>
        <v>840000</v>
      </c>
      <c r="AA3866" s="22">
        <v>1.0669999999999999</v>
      </c>
      <c r="AB3866" s="197">
        <f t="shared" si="1170"/>
        <v>793168.14159292041</v>
      </c>
      <c r="AC3866" s="198">
        <f t="shared" si="1156"/>
        <v>95180.176991150453</v>
      </c>
      <c r="AD3866" s="169">
        <v>0.12</v>
      </c>
      <c r="AE3866" s="199">
        <f t="shared" si="1157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68"/>
        <v>17732428.654867258</v>
      </c>
      <c r="AJ3866" s="200">
        <f t="shared" si="1169"/>
        <v>2127891.4385840711</v>
      </c>
      <c r="AK3866" s="201">
        <f t="shared" si="1158"/>
        <v>0.12000000000000001</v>
      </c>
      <c r="AL3866" s="24"/>
      <c r="AM3866" s="24"/>
      <c r="AN3866" s="24"/>
      <c r="AO3866" s="24"/>
      <c r="AP3866" s="165" t="str">
        <f t="shared" si="1159"/>
        <v>20253</v>
      </c>
      <c r="AQ3866" s="203" t="str">
        <f t="shared" si="1160"/>
        <v>20253RMB</v>
      </c>
      <c r="AR3866" s="206" t="str">
        <f t="shared" si="1161"/>
        <v>YAMAHA_Mounter</v>
      </c>
      <c r="AS3866" s="22">
        <f t="shared" si="1162"/>
        <v>2</v>
      </c>
      <c r="AT3866" s="24" t="str">
        <f t="shared" si="1163"/>
        <v>0-3 months</v>
      </c>
      <c r="AU3866" s="22" t="s">
        <v>3751</v>
      </c>
    </row>
    <row r="3867" spans="1:47">
      <c r="A3867" s="33" t="str">
        <f t="shared" si="1154"/>
        <v>FY 24/25</v>
      </c>
      <c r="B3867" s="23">
        <v>2025</v>
      </c>
      <c r="C3867" s="23">
        <v>1</v>
      </c>
      <c r="D3867" s="202" t="str">
        <f t="shared" si="1165"/>
        <v>Q4</v>
      </c>
      <c r="E3867" s="33" t="str">
        <f t="shared" si="1171"/>
        <v>FY 24/25</v>
      </c>
      <c r="F3867" s="23">
        <v>2025</v>
      </c>
      <c r="G3867" s="23">
        <v>3</v>
      </c>
      <c r="H3867" s="29"/>
      <c r="I3867" s="204" t="str">
        <f t="shared" si="1155"/>
        <v>Q4</v>
      </c>
      <c r="J3867" s="188" t="s">
        <v>3669</v>
      </c>
      <c r="K3867" s="29" t="s">
        <v>3670</v>
      </c>
      <c r="L3867" s="24" t="s">
        <v>67</v>
      </c>
      <c r="M3867" s="13" t="s">
        <v>60</v>
      </c>
      <c r="N3867" s="22">
        <v>1</v>
      </c>
      <c r="O3867" s="22"/>
      <c r="P3867" s="202" t="str">
        <f t="shared" si="1164"/>
        <v>MAIN UNIT</v>
      </c>
      <c r="Q3867" s="22" t="s">
        <v>68</v>
      </c>
      <c r="R3867" s="22" t="s">
        <v>62</v>
      </c>
      <c r="S3867" s="22" t="s">
        <v>49</v>
      </c>
      <c r="T3867" s="22" t="s">
        <v>78</v>
      </c>
      <c r="U3867" s="22" t="s">
        <v>1071</v>
      </c>
      <c r="V3867" s="22" t="s">
        <v>112</v>
      </c>
      <c r="W3867" s="22" t="s">
        <v>64</v>
      </c>
      <c r="X3867" s="104">
        <v>403000</v>
      </c>
      <c r="Y3867" s="195" t="str">
        <f t="shared" si="1167"/>
        <v>1.13</v>
      </c>
      <c r="Z3867" s="196">
        <f t="shared" si="1166"/>
        <v>403000</v>
      </c>
      <c r="AA3867" s="22">
        <v>1.0669999999999999</v>
      </c>
      <c r="AB3867" s="197">
        <f t="shared" si="1170"/>
        <v>380531.85840707965</v>
      </c>
      <c r="AC3867" s="198">
        <f t="shared" si="1156"/>
        <v>45663.823008849555</v>
      </c>
      <c r="AD3867" s="169">
        <v>0.12</v>
      </c>
      <c r="AE3867" s="199">
        <f t="shared" si="1157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68"/>
        <v>17732428.654867258</v>
      </c>
      <c r="AJ3867" s="200">
        <f t="shared" si="1169"/>
        <v>2127891.4385840711</v>
      </c>
      <c r="AK3867" s="201">
        <f t="shared" si="1158"/>
        <v>0.12000000000000001</v>
      </c>
      <c r="AL3867" s="24"/>
      <c r="AM3867" s="24"/>
      <c r="AN3867" s="24"/>
      <c r="AO3867" s="24"/>
      <c r="AP3867" s="165" t="str">
        <f t="shared" si="1159"/>
        <v>20253</v>
      </c>
      <c r="AQ3867" s="203" t="str">
        <f t="shared" si="1160"/>
        <v>20253RMB</v>
      </c>
      <c r="AR3867" s="206" t="str">
        <f t="shared" si="1161"/>
        <v>YAMAHA_Mounter</v>
      </c>
      <c r="AS3867" s="22">
        <f t="shared" si="1162"/>
        <v>2</v>
      </c>
      <c r="AT3867" s="24" t="str">
        <f t="shared" si="1163"/>
        <v>0-3 months</v>
      </c>
      <c r="AU3867" s="22" t="s">
        <v>3751</v>
      </c>
    </row>
    <row r="3868" spans="1:47" ht="39.6">
      <c r="A3868" s="33" t="str">
        <f t="shared" si="1154"/>
        <v/>
      </c>
      <c r="B3868" s="23"/>
      <c r="C3868" s="23"/>
      <c r="D3868" s="202" t="str">
        <f t="shared" si="1165"/>
        <v/>
      </c>
      <c r="E3868" s="33" t="s">
        <v>3172</v>
      </c>
      <c r="F3868" s="23">
        <v>2024</v>
      </c>
      <c r="G3868" s="23">
        <v>12</v>
      </c>
      <c r="H3868" s="29"/>
      <c r="I3868" s="204" t="str">
        <f t="shared" si="1155"/>
        <v>Q3</v>
      </c>
      <c r="J3868" s="188"/>
      <c r="K3868" s="29"/>
      <c r="L3868" s="24" t="s">
        <v>43</v>
      </c>
      <c r="M3868" s="22" t="s">
        <v>43</v>
      </c>
      <c r="N3868" s="22">
        <v>0</v>
      </c>
      <c r="O3868" s="22"/>
      <c r="P3868" s="202" t="str">
        <f t="shared" si="1164"/>
        <v>C66 SERVICE/OTHERS</v>
      </c>
      <c r="Q3868" s="22" t="s">
        <v>45</v>
      </c>
      <c r="R3868" s="22" t="s">
        <v>45</v>
      </c>
      <c r="S3868" s="22" t="s">
        <v>52</v>
      </c>
      <c r="T3868" s="22"/>
      <c r="U3868" s="22"/>
      <c r="V3868" s="22"/>
      <c r="W3868" s="22"/>
      <c r="X3868" s="104"/>
      <c r="Y3868" s="195" t="str">
        <f t="shared" si="1167"/>
        <v/>
      </c>
      <c r="Z3868" s="196" t="str">
        <f t="shared" si="1166"/>
        <v/>
      </c>
      <c r="AA3868" s="22"/>
      <c r="AB3868" s="197">
        <v>9000</v>
      </c>
      <c r="AC3868" s="198">
        <f t="shared" si="1156"/>
        <v>2700</v>
      </c>
      <c r="AD3868" s="162">
        <v>0.3</v>
      </c>
      <c r="AE3868" s="199">
        <f t="shared" si="1157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68"/>
        <v>15965524.256637167</v>
      </c>
      <c r="AJ3868" s="200">
        <f t="shared" si="1169"/>
        <v>2480116.5996584073</v>
      </c>
      <c r="AK3868" s="201">
        <f t="shared" si="1158"/>
        <v>0.15534200817911609</v>
      </c>
      <c r="AL3868" s="24"/>
      <c r="AM3868" s="24"/>
      <c r="AN3868" s="24"/>
      <c r="AO3868" s="24"/>
      <c r="AP3868" s="165" t="str">
        <f t="shared" si="1159"/>
        <v>202412</v>
      </c>
      <c r="AQ3868" s="203" t="str">
        <f t="shared" si="1160"/>
        <v/>
      </c>
      <c r="AR3868" s="206" t="str">
        <f t="shared" si="1161"/>
        <v>C66 SERVICE</v>
      </c>
      <c r="AS3868" s="22" t="str">
        <f t="shared" si="1162"/>
        <v/>
      </c>
      <c r="AT3868" s="24" t="str">
        <f t="shared" si="1163"/>
        <v/>
      </c>
      <c r="AU3868" s="22">
        <v>0</v>
      </c>
    </row>
    <row r="3869" spans="1:47" ht="39.6">
      <c r="A3869" s="33" t="str">
        <f t="shared" si="1154"/>
        <v/>
      </c>
      <c r="B3869" s="23"/>
      <c r="C3869" s="23"/>
      <c r="D3869" s="202" t="str">
        <f t="shared" si="1165"/>
        <v/>
      </c>
      <c r="E3869" s="33" t="s">
        <v>3172</v>
      </c>
      <c r="F3869" s="23">
        <v>2024</v>
      </c>
      <c r="G3869" s="23">
        <v>12</v>
      </c>
      <c r="H3869" s="29"/>
      <c r="I3869" s="204" t="str">
        <f t="shared" si="1155"/>
        <v>Q3</v>
      </c>
      <c r="J3869" s="188"/>
      <c r="K3869" s="29"/>
      <c r="L3869" s="24" t="s">
        <v>43</v>
      </c>
      <c r="M3869" s="22" t="s">
        <v>43</v>
      </c>
      <c r="N3869" s="22">
        <v>0</v>
      </c>
      <c r="O3869" s="22"/>
      <c r="P3869" s="202" t="str">
        <f t="shared" si="1164"/>
        <v>C66 SERVICE/OTHERS</v>
      </c>
      <c r="Q3869" s="22" t="s">
        <v>45</v>
      </c>
      <c r="R3869" s="22" t="s">
        <v>45</v>
      </c>
      <c r="S3869" s="22" t="s">
        <v>51</v>
      </c>
      <c r="T3869" s="22"/>
      <c r="U3869" s="22"/>
      <c r="V3869" s="22"/>
      <c r="W3869" s="22"/>
      <c r="X3869" s="104"/>
      <c r="Y3869" s="195" t="str">
        <f t="shared" si="1167"/>
        <v/>
      </c>
      <c r="Z3869" s="196" t="str">
        <f t="shared" si="1166"/>
        <v/>
      </c>
      <c r="AA3869" s="22"/>
      <c r="AB3869" s="197">
        <v>118000</v>
      </c>
      <c r="AC3869" s="198">
        <f t="shared" si="1156"/>
        <v>35400</v>
      </c>
      <c r="AD3869" s="162">
        <v>0.3</v>
      </c>
      <c r="AE3869" s="199">
        <f t="shared" si="1157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68"/>
        <v>15965524.256637167</v>
      </c>
      <c r="AJ3869" s="200">
        <f t="shared" si="1169"/>
        <v>2480116.5996584073</v>
      </c>
      <c r="AK3869" s="201">
        <f t="shared" si="1158"/>
        <v>0.15534200817911609</v>
      </c>
      <c r="AL3869" s="24"/>
      <c r="AM3869" s="24"/>
      <c r="AN3869" s="24"/>
      <c r="AO3869" s="24"/>
      <c r="AP3869" s="165" t="str">
        <f t="shared" si="1159"/>
        <v>202412</v>
      </c>
      <c r="AQ3869" s="203" t="str">
        <f t="shared" si="1160"/>
        <v/>
      </c>
      <c r="AR3869" s="206" t="str">
        <f t="shared" si="1161"/>
        <v>C66 SERVICE</v>
      </c>
      <c r="AS3869" s="22" t="str">
        <f t="shared" si="1162"/>
        <v/>
      </c>
      <c r="AT3869" s="24" t="str">
        <f t="shared" si="1163"/>
        <v/>
      </c>
      <c r="AU3869" s="22">
        <v>0</v>
      </c>
    </row>
    <row r="3870" spans="1:47" ht="39.6">
      <c r="A3870" s="33" t="str">
        <f t="shared" si="1154"/>
        <v/>
      </c>
      <c r="B3870" s="23"/>
      <c r="C3870" s="23"/>
      <c r="D3870" s="202" t="str">
        <f t="shared" si="1165"/>
        <v/>
      </c>
      <c r="E3870" s="33" t="s">
        <v>3172</v>
      </c>
      <c r="F3870" s="23">
        <v>2024</v>
      </c>
      <c r="G3870" s="23">
        <v>12</v>
      </c>
      <c r="H3870" s="29"/>
      <c r="I3870" s="204" t="str">
        <f t="shared" si="1155"/>
        <v>Q3</v>
      </c>
      <c r="J3870" s="188"/>
      <c r="K3870" s="29"/>
      <c r="L3870" s="24" t="s">
        <v>43</v>
      </c>
      <c r="M3870" s="22" t="s">
        <v>43</v>
      </c>
      <c r="N3870" s="22">
        <v>0</v>
      </c>
      <c r="O3870" s="22"/>
      <c r="P3870" s="202" t="str">
        <f t="shared" si="1164"/>
        <v>C66 SERVICE/OTHERS</v>
      </c>
      <c r="Q3870" s="22" t="s">
        <v>45</v>
      </c>
      <c r="R3870" s="22" t="s">
        <v>45</v>
      </c>
      <c r="S3870" s="22" t="s">
        <v>50</v>
      </c>
      <c r="T3870" s="22"/>
      <c r="U3870" s="22"/>
      <c r="V3870" s="22"/>
      <c r="W3870" s="22"/>
      <c r="X3870" s="104"/>
      <c r="Y3870" s="195" t="str">
        <f t="shared" si="1167"/>
        <v/>
      </c>
      <c r="Z3870" s="196" t="str">
        <f t="shared" si="1166"/>
        <v/>
      </c>
      <c r="AA3870" s="22"/>
      <c r="AB3870" s="197">
        <v>203000</v>
      </c>
      <c r="AC3870" s="198">
        <f t="shared" si="1156"/>
        <v>60900</v>
      </c>
      <c r="AD3870" s="162">
        <v>0.3</v>
      </c>
      <c r="AE3870" s="199">
        <f t="shared" si="1157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68"/>
        <v>15965524.256637167</v>
      </c>
      <c r="AJ3870" s="200">
        <f t="shared" si="1169"/>
        <v>2480116.5996584073</v>
      </c>
      <c r="AK3870" s="201">
        <f t="shared" si="1158"/>
        <v>0.15534200817911609</v>
      </c>
      <c r="AL3870" s="24"/>
      <c r="AM3870" s="24"/>
      <c r="AN3870" s="24"/>
      <c r="AO3870" s="24"/>
      <c r="AP3870" s="165" t="str">
        <f t="shared" si="1159"/>
        <v>202412</v>
      </c>
      <c r="AQ3870" s="203" t="str">
        <f t="shared" si="1160"/>
        <v/>
      </c>
      <c r="AR3870" s="206" t="str">
        <f t="shared" si="1161"/>
        <v>C66 SERVICE</v>
      </c>
      <c r="AS3870" s="22" t="str">
        <f t="shared" si="1162"/>
        <v/>
      </c>
      <c r="AT3870" s="24" t="str">
        <f t="shared" si="1163"/>
        <v/>
      </c>
      <c r="AU3870" s="22">
        <v>0</v>
      </c>
    </row>
    <row r="3871" spans="1:47" ht="39.6">
      <c r="A3871" s="33" t="str">
        <f t="shared" si="1154"/>
        <v/>
      </c>
      <c r="B3871" s="23"/>
      <c r="C3871" s="23"/>
      <c r="D3871" s="202" t="str">
        <f t="shared" si="1165"/>
        <v/>
      </c>
      <c r="E3871" s="33" t="s">
        <v>3172</v>
      </c>
      <c r="F3871" s="23">
        <v>2024</v>
      </c>
      <c r="G3871" s="23">
        <v>12</v>
      </c>
      <c r="H3871" s="29"/>
      <c r="I3871" s="204" t="str">
        <f t="shared" si="1155"/>
        <v>Q3</v>
      </c>
      <c r="J3871" s="188"/>
      <c r="K3871" s="29"/>
      <c r="L3871" s="24" t="s">
        <v>43</v>
      </c>
      <c r="M3871" s="22" t="s">
        <v>43</v>
      </c>
      <c r="N3871" s="22">
        <v>0</v>
      </c>
      <c r="O3871" s="22"/>
      <c r="P3871" s="202" t="str">
        <f t="shared" si="1164"/>
        <v>C66 SERVICE/OTHERS</v>
      </c>
      <c r="Q3871" s="22" t="s">
        <v>45</v>
      </c>
      <c r="R3871" s="22" t="s">
        <v>45</v>
      </c>
      <c r="S3871" s="22" t="s">
        <v>49</v>
      </c>
      <c r="T3871" s="22"/>
      <c r="U3871" s="22"/>
      <c r="V3871" s="22"/>
      <c r="W3871" s="22"/>
      <c r="X3871" s="104"/>
      <c r="Y3871" s="195" t="str">
        <f t="shared" si="1167"/>
        <v/>
      </c>
      <c r="Z3871" s="196" t="str">
        <f t="shared" si="1166"/>
        <v/>
      </c>
      <c r="AA3871" s="22"/>
      <c r="AB3871" s="197">
        <v>149000</v>
      </c>
      <c r="AC3871" s="198">
        <f t="shared" si="1156"/>
        <v>44700</v>
      </c>
      <c r="AD3871" s="162">
        <v>0.3</v>
      </c>
      <c r="AE3871" s="199">
        <f t="shared" si="1157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68"/>
        <v>15965524.256637167</v>
      </c>
      <c r="AJ3871" s="200">
        <f t="shared" si="1169"/>
        <v>2480116.5996584073</v>
      </c>
      <c r="AK3871" s="201">
        <f t="shared" si="1158"/>
        <v>0.15534200817911609</v>
      </c>
      <c r="AL3871" s="24"/>
      <c r="AM3871" s="24"/>
      <c r="AN3871" s="24"/>
      <c r="AO3871" s="24"/>
      <c r="AP3871" s="165" t="str">
        <f t="shared" si="1159"/>
        <v>202412</v>
      </c>
      <c r="AQ3871" s="203" t="str">
        <f t="shared" si="1160"/>
        <v/>
      </c>
      <c r="AR3871" s="206" t="str">
        <f t="shared" si="1161"/>
        <v>C66 SERVICE</v>
      </c>
      <c r="AS3871" s="22" t="str">
        <f t="shared" si="1162"/>
        <v/>
      </c>
      <c r="AT3871" s="24" t="str">
        <f t="shared" si="1163"/>
        <v/>
      </c>
      <c r="AU3871" s="22">
        <v>0</v>
      </c>
    </row>
    <row r="3872" spans="1:47">
      <c r="A3872" s="33" t="str">
        <f t="shared" ref="A3872:A3935" si="1172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5"/>
        <v>Q3</v>
      </c>
      <c r="E3872" s="33" t="str">
        <f t="shared" si="1171"/>
        <v>FY 24/25</v>
      </c>
      <c r="F3872" s="23">
        <v>2025</v>
      </c>
      <c r="G3872" s="23">
        <v>1</v>
      </c>
      <c r="H3872" s="29"/>
      <c r="I3872" s="204" t="str">
        <f t="shared" ref="I3872:I3935" si="1173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3672</v>
      </c>
      <c r="K3872" s="29" t="s">
        <v>3673</v>
      </c>
      <c r="L3872" s="24" t="s">
        <v>92</v>
      </c>
      <c r="M3872" s="13" t="s">
        <v>60</v>
      </c>
      <c r="N3872" s="22">
        <v>1</v>
      </c>
      <c r="O3872" s="22"/>
      <c r="P3872" s="202" t="str">
        <f t="shared" si="1164"/>
        <v>MAIN UNIT</v>
      </c>
      <c r="Q3872" s="22" t="s">
        <v>61</v>
      </c>
      <c r="R3872" s="22" t="s">
        <v>62</v>
      </c>
      <c r="S3872" s="22" t="s">
        <v>49</v>
      </c>
      <c r="T3872" s="22" t="s">
        <v>78</v>
      </c>
      <c r="U3872" s="22" t="s">
        <v>479</v>
      </c>
      <c r="V3872" s="22" t="s">
        <v>112</v>
      </c>
      <c r="W3872" s="22" t="s">
        <v>109</v>
      </c>
      <c r="X3872" s="104">
        <v>17200000</v>
      </c>
      <c r="Y3872" s="195" t="str">
        <f t="shared" si="1167"/>
        <v>1</v>
      </c>
      <c r="Z3872" s="196">
        <f t="shared" si="1166"/>
        <v>17200000</v>
      </c>
      <c r="AA3872" s="22">
        <v>5.0599999999999999E-2</v>
      </c>
      <c r="AB3872" s="197">
        <f t="shared" si="1170"/>
        <v>870320</v>
      </c>
      <c r="AC3872" s="198">
        <f t="shared" ref="AC3872:AC3935" si="1174">IF(R3872&lt;&gt;"",AB3872*AD3872,"")</f>
        <v>149346.91200000001</v>
      </c>
      <c r="AD3872" s="169">
        <v>0.1716</v>
      </c>
      <c r="AE3872" s="199">
        <f t="shared" ref="AE3872:AE3935" si="1175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68"/>
        <v>16190947.162761064</v>
      </c>
      <c r="AJ3872" s="200">
        <f t="shared" si="1169"/>
        <v>2256328.1660673413</v>
      </c>
      <c r="AK3872" s="201">
        <f t="shared" ref="AK3872:AK3935" si="1176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77">IF(F3872="","",F3872&amp;G3872)</f>
        <v>20251</v>
      </c>
      <c r="AQ3872" s="203" t="str">
        <f t="shared" ref="AQ3872:AQ3935" si="1178">IF(W3872="","",F3872&amp;G3872&amp;W3872)</f>
        <v>20251JPY</v>
      </c>
      <c r="AR3872" s="206" t="str">
        <f t="shared" ref="AR3872:AR3935" si="1179">IFERROR(IF(AND(M3872="YAMAHA", R3872="C28"), "YAMAHA_Non_Mounter", IF(AND(M3872="YAMAHA", R3872="C49"), "YAMAHA_Mounter", M3872)),"")</f>
        <v>YAMAHA_Mounter</v>
      </c>
      <c r="AS3872" s="22">
        <f t="shared" ref="AS3872:AS3935" si="1180">IFERROR(IF(OR(G3872="TBA", G3872=""), "", DATEDIF(DATE(B3872, C3872, 1), DATE(F3872, G3872, 1), "M")),"")</f>
        <v>1</v>
      </c>
      <c r="AT3872" s="24" t="str">
        <f t="shared" ref="AT3872:AT3935" si="1181">IF(ISNUMBER(AS3872), IF(AS3872&gt;=0, IF(AS3872&lt;=3, "0-3 months", IF(AS3872&lt;=6, "4-6 months", "&gt; 6 months"))), "")</f>
        <v>0-3 months</v>
      </c>
      <c r="AU3872" s="22" t="s">
        <v>3746</v>
      </c>
    </row>
    <row r="3873" spans="1:47">
      <c r="A3873" s="33" t="str">
        <f t="shared" si="1172"/>
        <v>FY 24/25</v>
      </c>
      <c r="B3873" s="23">
        <v>2025</v>
      </c>
      <c r="C3873" s="23">
        <v>1</v>
      </c>
      <c r="D3873" s="202" t="str">
        <f t="shared" si="1165"/>
        <v>Q4</v>
      </c>
      <c r="E3873" s="33" t="str">
        <f t="shared" si="1171"/>
        <v>FY 25/26</v>
      </c>
      <c r="F3873" s="23">
        <v>2025</v>
      </c>
      <c r="G3873" s="23">
        <v>4</v>
      </c>
      <c r="H3873" s="29"/>
      <c r="I3873" s="204" t="str">
        <f t="shared" si="1173"/>
        <v>Q1</v>
      </c>
      <c r="J3873" s="188" t="s">
        <v>3674</v>
      </c>
      <c r="K3873" s="29" t="s">
        <v>2542</v>
      </c>
      <c r="L3873" s="24" t="s">
        <v>92</v>
      </c>
      <c r="M3873" s="13" t="s">
        <v>60</v>
      </c>
      <c r="N3873" s="22">
        <v>1</v>
      </c>
      <c r="O3873" s="22"/>
      <c r="P3873" s="202" t="str">
        <f t="shared" ref="P3873:P3936" si="1182">IF(M3873="","",IF(AND(N3873&gt;0,L3873&lt;&gt;""),"MAIN UNIT",IF(AND(O3873&gt;0,L3873&lt;&gt;""),"SERVICE/ PARTS","C66 SERVICE/OTHERS")))</f>
        <v>MAIN UNIT</v>
      </c>
      <c r="Q3873" s="22" t="s">
        <v>61</v>
      </c>
      <c r="R3873" s="22" t="s">
        <v>62</v>
      </c>
      <c r="S3873" s="22" t="s">
        <v>49</v>
      </c>
      <c r="T3873" s="22" t="s">
        <v>78</v>
      </c>
      <c r="U3873" s="22" t="s">
        <v>78</v>
      </c>
      <c r="V3873" s="22" t="s">
        <v>2011</v>
      </c>
      <c r="W3873" s="22" t="s">
        <v>109</v>
      </c>
      <c r="X3873" s="104">
        <v>16000000</v>
      </c>
      <c r="Y3873" s="195" t="str">
        <f t="shared" si="1167"/>
        <v>1</v>
      </c>
      <c r="Z3873" s="196">
        <f t="shared" si="1166"/>
        <v>16000000</v>
      </c>
      <c r="AA3873" s="22">
        <v>5.2999999999999999E-2</v>
      </c>
      <c r="AB3873" s="197">
        <f t="shared" si="1170"/>
        <v>848000</v>
      </c>
      <c r="AC3873" s="198">
        <f t="shared" si="1174"/>
        <v>101760</v>
      </c>
      <c r="AD3873" s="169">
        <v>0.12</v>
      </c>
      <c r="AE3873" s="199">
        <f t="shared" si="1175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68"/>
        <v>29497483.159292053</v>
      </c>
      <c r="AJ3873" s="200">
        <f t="shared" si="1169"/>
        <v>3539697.9791150414</v>
      </c>
      <c r="AK3873" s="201">
        <f t="shared" si="1176"/>
        <v>0.11999999999999983</v>
      </c>
      <c r="AL3873" s="24"/>
      <c r="AM3873" s="24"/>
      <c r="AN3873" s="24"/>
      <c r="AO3873" s="24"/>
      <c r="AP3873" s="165" t="str">
        <f t="shared" si="1177"/>
        <v>20254</v>
      </c>
      <c r="AQ3873" s="203" t="str">
        <f t="shared" si="1178"/>
        <v>20254JPY</v>
      </c>
      <c r="AR3873" s="206" t="str">
        <f t="shared" si="1179"/>
        <v>YAMAHA_Mounter</v>
      </c>
      <c r="AS3873" s="22">
        <f t="shared" si="1180"/>
        <v>3</v>
      </c>
      <c r="AT3873" s="24" t="str">
        <f t="shared" si="1181"/>
        <v>0-3 months</v>
      </c>
      <c r="AU3873" s="22" t="s">
        <v>3745</v>
      </c>
    </row>
    <row r="3874" spans="1:47">
      <c r="A3874" s="33" t="str">
        <f t="shared" si="1172"/>
        <v>FY 24/25</v>
      </c>
      <c r="B3874" s="23">
        <v>2025</v>
      </c>
      <c r="C3874" s="23">
        <v>1</v>
      </c>
      <c r="D3874" s="202" t="str">
        <f t="shared" si="1165"/>
        <v>Q4</v>
      </c>
      <c r="E3874" s="33" t="str">
        <f t="shared" si="1171"/>
        <v>FY 24/25</v>
      </c>
      <c r="F3874" s="23">
        <v>2025</v>
      </c>
      <c r="G3874" s="23">
        <v>3</v>
      </c>
      <c r="H3874" s="29"/>
      <c r="I3874" s="204" t="str">
        <f t="shared" si="1173"/>
        <v>Q4</v>
      </c>
      <c r="J3874" s="188" t="s">
        <v>3675</v>
      </c>
      <c r="K3874" s="239" t="s">
        <v>3481</v>
      </c>
      <c r="L3874" s="24" t="s">
        <v>92</v>
      </c>
      <c r="M3874" s="13" t="s">
        <v>60</v>
      </c>
      <c r="N3874" s="22">
        <v>1</v>
      </c>
      <c r="O3874" s="22"/>
      <c r="P3874" s="202" t="str">
        <f t="shared" si="1182"/>
        <v>MAIN UNIT</v>
      </c>
      <c r="Q3874" s="22" t="s">
        <v>61</v>
      </c>
      <c r="R3874" s="22" t="s">
        <v>62</v>
      </c>
      <c r="S3874" s="22" t="s">
        <v>50</v>
      </c>
      <c r="T3874" s="22" t="s">
        <v>444</v>
      </c>
      <c r="U3874" s="22" t="s">
        <v>70</v>
      </c>
      <c r="V3874" s="22" t="s">
        <v>1400</v>
      </c>
      <c r="W3874" s="22" t="s">
        <v>64</v>
      </c>
      <c r="X3874" s="104">
        <v>659040</v>
      </c>
      <c r="Y3874" s="195" t="str">
        <f t="shared" si="1167"/>
        <v>1.13</v>
      </c>
      <c r="Z3874" s="196">
        <f t="shared" si="1166"/>
        <v>659040</v>
      </c>
      <c r="AA3874" s="22">
        <v>1.0669999999999999</v>
      </c>
      <c r="AB3874" s="197">
        <f t="shared" si="1170"/>
        <v>622297.06194690266</v>
      </c>
      <c r="AC3874" s="198">
        <f t="shared" si="1174"/>
        <v>74675.647433628314</v>
      </c>
      <c r="AD3874" s="169">
        <v>0.12</v>
      </c>
      <c r="AE3874" s="199">
        <f t="shared" si="1175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68"/>
        <v>17732428.654867258</v>
      </c>
      <c r="AJ3874" s="200">
        <f t="shared" si="1169"/>
        <v>2127891.4385840711</v>
      </c>
      <c r="AK3874" s="201">
        <f t="shared" si="1176"/>
        <v>0.12000000000000001</v>
      </c>
      <c r="AL3874" s="24"/>
      <c r="AM3874" s="24"/>
      <c r="AN3874" s="24"/>
      <c r="AO3874" s="24"/>
      <c r="AP3874" s="165" t="str">
        <f t="shared" si="1177"/>
        <v>20253</v>
      </c>
      <c r="AQ3874" s="203" t="str">
        <f t="shared" si="1178"/>
        <v>20253RMB</v>
      </c>
      <c r="AR3874" s="206" t="str">
        <f t="shared" si="1179"/>
        <v>YAMAHA_Mounter</v>
      </c>
      <c r="AS3874" s="22">
        <f t="shared" si="1180"/>
        <v>2</v>
      </c>
      <c r="AT3874" s="24" t="str">
        <f t="shared" si="1181"/>
        <v>0-3 months</v>
      </c>
      <c r="AU3874" s="22" t="s">
        <v>3240</v>
      </c>
    </row>
    <row r="3875" spans="1:47">
      <c r="A3875" s="33" t="str">
        <f t="shared" si="1172"/>
        <v>FY 24/25</v>
      </c>
      <c r="B3875" s="23">
        <v>2025</v>
      </c>
      <c r="C3875" s="23">
        <v>1</v>
      </c>
      <c r="D3875" s="202" t="str">
        <f t="shared" si="1165"/>
        <v>Q4</v>
      </c>
      <c r="E3875" s="33" t="str">
        <f t="shared" si="1171"/>
        <v>FY 24/25</v>
      </c>
      <c r="F3875" s="23">
        <v>2025</v>
      </c>
      <c r="G3875" s="23">
        <v>2</v>
      </c>
      <c r="H3875" s="29"/>
      <c r="I3875" s="204" t="str">
        <f t="shared" si="1173"/>
        <v>Q4</v>
      </c>
      <c r="J3875" s="188" t="s">
        <v>3676</v>
      </c>
      <c r="K3875" s="29" t="s">
        <v>3677</v>
      </c>
      <c r="L3875" s="24" t="s">
        <v>92</v>
      </c>
      <c r="M3875" s="13" t="s">
        <v>60</v>
      </c>
      <c r="N3875" s="22">
        <v>1</v>
      </c>
      <c r="O3875" s="22"/>
      <c r="P3875" s="202" t="str">
        <f t="shared" si="1182"/>
        <v>MAIN UNIT</v>
      </c>
      <c r="Q3875" s="22" t="s">
        <v>68</v>
      </c>
      <c r="R3875" s="22" t="s">
        <v>62</v>
      </c>
      <c r="S3875" s="22" t="s">
        <v>50</v>
      </c>
      <c r="T3875" s="22" t="s">
        <v>88</v>
      </c>
      <c r="U3875" s="22" t="s">
        <v>70</v>
      </c>
      <c r="V3875" s="22" t="s">
        <v>1400</v>
      </c>
      <c r="W3875" s="22" t="s">
        <v>64</v>
      </c>
      <c r="X3875" s="104">
        <v>882500</v>
      </c>
      <c r="Y3875" s="195" t="str">
        <f t="shared" si="1167"/>
        <v>1.13</v>
      </c>
      <c r="Z3875" s="196">
        <f t="shared" si="1166"/>
        <v>882500</v>
      </c>
      <c r="AA3875" s="22">
        <v>1.073</v>
      </c>
      <c r="AB3875" s="197">
        <f t="shared" si="1170"/>
        <v>837984.51327433635</v>
      </c>
      <c r="AC3875" s="198">
        <f t="shared" si="1174"/>
        <v>133071.94070796462</v>
      </c>
      <c r="AD3875" s="170">
        <v>0.1588</v>
      </c>
      <c r="AE3875" s="199">
        <f t="shared" si="1175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68"/>
        <v>30691842.970796466</v>
      </c>
      <c r="AJ3875" s="200">
        <f t="shared" si="1169"/>
        <v>4088324.205777524</v>
      </c>
      <c r="AK3875" s="201">
        <f t="shared" si="1176"/>
        <v>0.1332055624573473</v>
      </c>
      <c r="AL3875" s="24"/>
      <c r="AM3875" s="24"/>
      <c r="AN3875" s="24"/>
      <c r="AO3875" s="24"/>
      <c r="AP3875" s="165" t="str">
        <f t="shared" si="1177"/>
        <v>20252</v>
      </c>
      <c r="AQ3875" s="203" t="str">
        <f t="shared" si="1178"/>
        <v>20252RMB</v>
      </c>
      <c r="AR3875" s="206" t="str">
        <f t="shared" si="1179"/>
        <v>YAMAHA_Mounter</v>
      </c>
      <c r="AS3875" s="22">
        <f t="shared" si="1180"/>
        <v>1</v>
      </c>
      <c r="AT3875" s="24" t="str">
        <f t="shared" si="1181"/>
        <v>0-3 months</v>
      </c>
      <c r="AU3875" s="22" t="s">
        <v>3240</v>
      </c>
    </row>
    <row r="3876" spans="1:47">
      <c r="A3876" s="33" t="str">
        <f t="shared" si="1172"/>
        <v>FY 24/25</v>
      </c>
      <c r="B3876" s="23">
        <v>2025</v>
      </c>
      <c r="C3876" s="23">
        <v>1</v>
      </c>
      <c r="D3876" s="202" t="str">
        <f t="shared" si="1165"/>
        <v>Q4</v>
      </c>
      <c r="E3876" s="33" t="str">
        <f t="shared" si="1171"/>
        <v>FY 24/25</v>
      </c>
      <c r="F3876" s="23">
        <v>2025</v>
      </c>
      <c r="G3876" s="23">
        <v>2</v>
      </c>
      <c r="H3876" s="29"/>
      <c r="I3876" s="204" t="str">
        <f t="shared" si="1173"/>
        <v>Q4</v>
      </c>
      <c r="J3876" s="188" t="s">
        <v>3676</v>
      </c>
      <c r="K3876" s="29" t="s">
        <v>3677</v>
      </c>
      <c r="L3876" s="24" t="s">
        <v>92</v>
      </c>
      <c r="M3876" s="13" t="s">
        <v>60</v>
      </c>
      <c r="N3876" s="22">
        <v>1</v>
      </c>
      <c r="O3876" s="22"/>
      <c r="P3876" s="202" t="str">
        <f t="shared" si="1182"/>
        <v>MAIN UNIT</v>
      </c>
      <c r="Q3876" s="22" t="s">
        <v>68</v>
      </c>
      <c r="R3876" s="22" t="s">
        <v>62</v>
      </c>
      <c r="S3876" s="22" t="s">
        <v>50</v>
      </c>
      <c r="T3876" s="22" t="s">
        <v>88</v>
      </c>
      <c r="U3876" s="22" t="s">
        <v>70</v>
      </c>
      <c r="V3876" s="22" t="s">
        <v>1400</v>
      </c>
      <c r="W3876" s="22" t="s">
        <v>64</v>
      </c>
      <c r="X3876" s="104">
        <v>882500</v>
      </c>
      <c r="Y3876" s="195" t="str">
        <f t="shared" si="1167"/>
        <v>1.13</v>
      </c>
      <c r="Z3876" s="196">
        <f t="shared" si="1166"/>
        <v>882500</v>
      </c>
      <c r="AA3876" s="22">
        <v>1.073</v>
      </c>
      <c r="AB3876" s="197">
        <f t="shared" si="1170"/>
        <v>837984.51327433635</v>
      </c>
      <c r="AC3876" s="198">
        <f t="shared" si="1174"/>
        <v>133071.94070796462</v>
      </c>
      <c r="AD3876" s="170">
        <v>0.1588</v>
      </c>
      <c r="AE3876" s="199">
        <f t="shared" si="1175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68"/>
        <v>30691842.970796466</v>
      </c>
      <c r="AJ3876" s="200">
        <f t="shared" si="1169"/>
        <v>4088324.205777524</v>
      </c>
      <c r="AK3876" s="201">
        <f t="shared" si="1176"/>
        <v>0.1332055624573473</v>
      </c>
      <c r="AL3876" s="24"/>
      <c r="AM3876" s="24"/>
      <c r="AN3876" s="24"/>
      <c r="AO3876" s="24"/>
      <c r="AP3876" s="165" t="str">
        <f t="shared" si="1177"/>
        <v>20252</v>
      </c>
      <c r="AQ3876" s="203" t="str">
        <f t="shared" si="1178"/>
        <v>20252RMB</v>
      </c>
      <c r="AR3876" s="206" t="str">
        <f t="shared" si="1179"/>
        <v>YAMAHA_Mounter</v>
      </c>
      <c r="AS3876" s="22">
        <f t="shared" si="1180"/>
        <v>1</v>
      </c>
      <c r="AT3876" s="24" t="str">
        <f t="shared" si="1181"/>
        <v>0-3 months</v>
      </c>
      <c r="AU3876" s="22" t="s">
        <v>3240</v>
      </c>
    </row>
    <row r="3877" spans="1:47">
      <c r="A3877" s="33" t="str">
        <f t="shared" si="1172"/>
        <v>FY 24/25</v>
      </c>
      <c r="B3877" s="23">
        <v>2025</v>
      </c>
      <c r="C3877" s="23">
        <v>1</v>
      </c>
      <c r="D3877" s="202" t="str">
        <f t="shared" si="1165"/>
        <v>Q4</v>
      </c>
      <c r="E3877" s="33" t="str">
        <f t="shared" si="1171"/>
        <v>FY 24/25</v>
      </c>
      <c r="F3877" s="23">
        <v>2025</v>
      </c>
      <c r="G3877" s="23">
        <v>2</v>
      </c>
      <c r="H3877" s="29"/>
      <c r="I3877" s="204" t="str">
        <f t="shared" si="1173"/>
        <v>Q4</v>
      </c>
      <c r="J3877" s="188" t="s">
        <v>3676</v>
      </c>
      <c r="K3877" s="29" t="s">
        <v>3677</v>
      </c>
      <c r="L3877" s="24" t="s">
        <v>67</v>
      </c>
      <c r="M3877" s="13" t="s">
        <v>60</v>
      </c>
      <c r="N3877" s="22">
        <v>1</v>
      </c>
      <c r="O3877" s="22"/>
      <c r="P3877" s="202" t="str">
        <f t="shared" si="1182"/>
        <v>MAIN UNIT</v>
      </c>
      <c r="Q3877" s="22" t="s">
        <v>68</v>
      </c>
      <c r="R3877" s="22" t="s">
        <v>62</v>
      </c>
      <c r="S3877" s="22" t="s">
        <v>50</v>
      </c>
      <c r="T3877" s="22" t="s">
        <v>88</v>
      </c>
      <c r="U3877" s="22" t="s">
        <v>70</v>
      </c>
      <c r="V3877" s="22" t="s">
        <v>1400</v>
      </c>
      <c r="W3877" s="22" t="s">
        <v>64</v>
      </c>
      <c r="X3877" s="104">
        <v>882500</v>
      </c>
      <c r="Y3877" s="195" t="str">
        <f t="shared" si="1167"/>
        <v>1.13</v>
      </c>
      <c r="Z3877" s="196">
        <f t="shared" si="1166"/>
        <v>882500</v>
      </c>
      <c r="AA3877" s="22">
        <v>1.073</v>
      </c>
      <c r="AB3877" s="197">
        <f t="shared" si="1170"/>
        <v>837984.51327433635</v>
      </c>
      <c r="AC3877" s="198">
        <f t="shared" si="1174"/>
        <v>133071.94070796462</v>
      </c>
      <c r="AD3877" s="170">
        <v>0.1588</v>
      </c>
      <c r="AE3877" s="199">
        <f t="shared" si="1175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68"/>
        <v>30691842.970796466</v>
      </c>
      <c r="AJ3877" s="200">
        <f t="shared" si="1169"/>
        <v>4088324.205777524</v>
      </c>
      <c r="AK3877" s="201">
        <f t="shared" si="1176"/>
        <v>0.1332055624573473</v>
      </c>
      <c r="AL3877" s="24"/>
      <c r="AM3877" s="24"/>
      <c r="AN3877" s="24"/>
      <c r="AO3877" s="24"/>
      <c r="AP3877" s="165" t="str">
        <f t="shared" si="1177"/>
        <v>20252</v>
      </c>
      <c r="AQ3877" s="203" t="str">
        <f t="shared" si="1178"/>
        <v>20252RMB</v>
      </c>
      <c r="AR3877" s="206" t="str">
        <f t="shared" si="1179"/>
        <v>YAMAHA_Mounter</v>
      </c>
      <c r="AS3877" s="22">
        <f t="shared" si="1180"/>
        <v>1</v>
      </c>
      <c r="AT3877" s="24" t="str">
        <f t="shared" si="1181"/>
        <v>0-3 months</v>
      </c>
      <c r="AU3877" s="22" t="s">
        <v>3240</v>
      </c>
    </row>
    <row r="3878" spans="1:47">
      <c r="A3878" s="33" t="str">
        <f t="shared" si="1172"/>
        <v>FY 24/25</v>
      </c>
      <c r="B3878" s="23">
        <v>2025</v>
      </c>
      <c r="C3878" s="23">
        <v>1</v>
      </c>
      <c r="D3878" s="202" t="str">
        <f t="shared" si="1165"/>
        <v>Q4</v>
      </c>
      <c r="E3878" s="33" t="str">
        <f t="shared" si="1171"/>
        <v>FY 24/25</v>
      </c>
      <c r="F3878" s="23">
        <v>2025</v>
      </c>
      <c r="G3878" s="23">
        <v>2</v>
      </c>
      <c r="H3878" s="29"/>
      <c r="I3878" s="204" t="str">
        <f t="shared" si="1173"/>
        <v>Q4</v>
      </c>
      <c r="J3878" s="188" t="s">
        <v>3676</v>
      </c>
      <c r="K3878" s="29" t="s">
        <v>3677</v>
      </c>
      <c r="L3878" s="24" t="s">
        <v>67</v>
      </c>
      <c r="M3878" s="13" t="s">
        <v>60</v>
      </c>
      <c r="N3878" s="22">
        <v>1</v>
      </c>
      <c r="O3878" s="22"/>
      <c r="P3878" s="202" t="str">
        <f t="shared" si="1182"/>
        <v>MAIN UNIT</v>
      </c>
      <c r="Q3878" s="22" t="s">
        <v>68</v>
      </c>
      <c r="R3878" s="22" t="s">
        <v>62</v>
      </c>
      <c r="S3878" s="22" t="s">
        <v>50</v>
      </c>
      <c r="T3878" s="22" t="s">
        <v>88</v>
      </c>
      <c r="U3878" s="22" t="s">
        <v>70</v>
      </c>
      <c r="V3878" s="22" t="s">
        <v>1400</v>
      </c>
      <c r="W3878" s="22" t="s">
        <v>64</v>
      </c>
      <c r="X3878" s="104">
        <v>882500</v>
      </c>
      <c r="Y3878" s="195" t="str">
        <f t="shared" si="1167"/>
        <v>1.13</v>
      </c>
      <c r="Z3878" s="196">
        <f t="shared" si="1166"/>
        <v>882500</v>
      </c>
      <c r="AA3878" s="22">
        <v>1.073</v>
      </c>
      <c r="AB3878" s="197">
        <f t="shared" si="1170"/>
        <v>837984.51327433635</v>
      </c>
      <c r="AC3878" s="198">
        <f t="shared" si="1174"/>
        <v>133071.94070796462</v>
      </c>
      <c r="AD3878" s="170">
        <v>0.1588</v>
      </c>
      <c r="AE3878" s="199">
        <f t="shared" si="1175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68"/>
        <v>30691842.970796466</v>
      </c>
      <c r="AJ3878" s="200">
        <f t="shared" si="1169"/>
        <v>4088324.205777524</v>
      </c>
      <c r="AK3878" s="201">
        <f t="shared" si="1176"/>
        <v>0.1332055624573473</v>
      </c>
      <c r="AL3878" s="24"/>
      <c r="AM3878" s="24"/>
      <c r="AN3878" s="24"/>
      <c r="AO3878" s="24"/>
      <c r="AP3878" s="165" t="str">
        <f t="shared" si="1177"/>
        <v>20252</v>
      </c>
      <c r="AQ3878" s="203" t="str">
        <f t="shared" si="1178"/>
        <v>20252RMB</v>
      </c>
      <c r="AR3878" s="206" t="str">
        <f t="shared" si="1179"/>
        <v>YAMAHA_Mounter</v>
      </c>
      <c r="AS3878" s="22">
        <f t="shared" si="1180"/>
        <v>1</v>
      </c>
      <c r="AT3878" s="24" t="str">
        <f t="shared" si="1181"/>
        <v>0-3 months</v>
      </c>
      <c r="AU3878" s="22" t="s">
        <v>3240</v>
      </c>
    </row>
    <row r="3879" spans="1:47">
      <c r="A3879" s="33" t="str">
        <f t="shared" si="1172"/>
        <v>FY 24/25</v>
      </c>
      <c r="B3879" s="23">
        <v>2025</v>
      </c>
      <c r="C3879" s="23">
        <v>1</v>
      </c>
      <c r="D3879" s="202" t="str">
        <f t="shared" si="1165"/>
        <v>Q4</v>
      </c>
      <c r="E3879" s="33" t="str">
        <f t="shared" si="1171"/>
        <v>FY 24/25</v>
      </c>
      <c r="F3879" s="23">
        <v>2025</v>
      </c>
      <c r="G3879" s="23">
        <v>3</v>
      </c>
      <c r="H3879" s="29"/>
      <c r="I3879" s="204" t="str">
        <f t="shared" si="1173"/>
        <v>Q4</v>
      </c>
      <c r="J3879" s="188" t="s">
        <v>3678</v>
      </c>
      <c r="K3879" s="29" t="s">
        <v>3679</v>
      </c>
      <c r="L3879" s="24" t="s">
        <v>3680</v>
      </c>
      <c r="M3879" s="22" t="s">
        <v>2607</v>
      </c>
      <c r="N3879" s="22">
        <v>1</v>
      </c>
      <c r="O3879" s="22"/>
      <c r="P3879" s="202" t="str">
        <f t="shared" si="1182"/>
        <v>MAIN UNIT</v>
      </c>
      <c r="Q3879" s="22" t="s">
        <v>68</v>
      </c>
      <c r="R3879" s="22" t="s">
        <v>2055</v>
      </c>
      <c r="S3879" s="22" t="s">
        <v>49</v>
      </c>
      <c r="T3879" s="22" t="s">
        <v>78</v>
      </c>
      <c r="U3879" s="22" t="s">
        <v>720</v>
      </c>
      <c r="V3879" s="22" t="s">
        <v>3566</v>
      </c>
      <c r="W3879" s="22" t="s">
        <v>64</v>
      </c>
      <c r="X3879" s="104">
        <v>625200</v>
      </c>
      <c r="Y3879" s="195" t="str">
        <f t="shared" si="1167"/>
        <v>1.13</v>
      </c>
      <c r="Z3879" s="196">
        <f t="shared" si="1166"/>
        <v>625200</v>
      </c>
      <c r="AA3879" s="22">
        <v>1.0669999999999999</v>
      </c>
      <c r="AB3879" s="197">
        <f t="shared" si="1170"/>
        <v>590343.7168141593</v>
      </c>
      <c r="AC3879" s="198">
        <f t="shared" si="1174"/>
        <v>70841.246017699115</v>
      </c>
      <c r="AD3879" s="169">
        <v>0.12</v>
      </c>
      <c r="AE3879" s="199">
        <f t="shared" si="1175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68"/>
        <v>17732428.654867258</v>
      </c>
      <c r="AJ3879" s="200">
        <f t="shared" si="1169"/>
        <v>2127891.4385840711</v>
      </c>
      <c r="AK3879" s="201">
        <f t="shared" si="1176"/>
        <v>0.12000000000000001</v>
      </c>
      <c r="AL3879" s="24"/>
      <c r="AM3879" s="24"/>
      <c r="AN3879" s="24"/>
      <c r="AO3879" s="24"/>
      <c r="AP3879" s="165" t="str">
        <f t="shared" si="1177"/>
        <v>20253</v>
      </c>
      <c r="AQ3879" s="203" t="str">
        <f t="shared" si="1178"/>
        <v>20253RMB</v>
      </c>
      <c r="AR3879" s="206" t="str">
        <f t="shared" si="1179"/>
        <v>HELLER</v>
      </c>
      <c r="AS3879" s="22">
        <f t="shared" si="1180"/>
        <v>2</v>
      </c>
      <c r="AT3879" s="24" t="str">
        <f t="shared" si="1181"/>
        <v>0-3 months</v>
      </c>
      <c r="AU3879" s="22" t="s">
        <v>3751</v>
      </c>
    </row>
    <row r="3880" spans="1:47">
      <c r="A3880" s="33" t="str">
        <f t="shared" si="1172"/>
        <v>FY 24/25</v>
      </c>
      <c r="B3880" s="23">
        <v>2025</v>
      </c>
      <c r="C3880" s="23">
        <v>1</v>
      </c>
      <c r="D3880" s="202" t="str">
        <f t="shared" si="1165"/>
        <v>Q4</v>
      </c>
      <c r="E3880" s="33" t="str">
        <f t="shared" si="1171"/>
        <v>FY 24/25</v>
      </c>
      <c r="F3880" s="23">
        <v>2025</v>
      </c>
      <c r="G3880" s="23">
        <v>2</v>
      </c>
      <c r="H3880" s="29"/>
      <c r="I3880" s="204" t="str">
        <f t="shared" si="1173"/>
        <v>Q4</v>
      </c>
      <c r="J3880" s="188" t="s">
        <v>3681</v>
      </c>
      <c r="K3880" s="29" t="s">
        <v>660</v>
      </c>
      <c r="L3880" s="24" t="s">
        <v>92</v>
      </c>
      <c r="M3880" s="13" t="s">
        <v>60</v>
      </c>
      <c r="N3880" s="22">
        <v>1</v>
      </c>
      <c r="O3880" s="22"/>
      <c r="P3880" s="202" t="str">
        <f t="shared" si="1182"/>
        <v>MAIN UNIT</v>
      </c>
      <c r="Q3880" s="22" t="s">
        <v>61</v>
      </c>
      <c r="R3880" s="22" t="s">
        <v>62</v>
      </c>
      <c r="S3880" s="22" t="s">
        <v>49</v>
      </c>
      <c r="T3880" s="22" t="s">
        <v>78</v>
      </c>
      <c r="U3880" s="22" t="s">
        <v>78</v>
      </c>
      <c r="V3880" s="22" t="s">
        <v>121</v>
      </c>
      <c r="W3880" s="22" t="s">
        <v>109</v>
      </c>
      <c r="X3880" s="104">
        <v>12800000</v>
      </c>
      <c r="Y3880" s="195" t="str">
        <f t="shared" si="1167"/>
        <v>1</v>
      </c>
      <c r="Z3880" s="196">
        <f t="shared" si="1166"/>
        <v>12800000</v>
      </c>
      <c r="AA3880" s="22">
        <v>5.11E-2</v>
      </c>
      <c r="AB3880" s="197">
        <f t="shared" si="1170"/>
        <v>654080</v>
      </c>
      <c r="AC3880" s="198">
        <f t="shared" si="1174"/>
        <v>98569.856</v>
      </c>
      <c r="AD3880" s="170">
        <v>0.1507</v>
      </c>
      <c r="AE3880" s="199">
        <f t="shared" si="1175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68"/>
        <v>30691842.970796466</v>
      </c>
      <c r="AJ3880" s="200">
        <f t="shared" si="1169"/>
        <v>4088324.205777524</v>
      </c>
      <c r="AK3880" s="201">
        <f t="shared" si="1176"/>
        <v>0.1332055624573473</v>
      </c>
      <c r="AL3880" s="24"/>
      <c r="AM3880" s="24"/>
      <c r="AN3880" s="24"/>
      <c r="AO3880" s="24"/>
      <c r="AP3880" s="165" t="str">
        <f t="shared" si="1177"/>
        <v>20252</v>
      </c>
      <c r="AQ3880" s="203" t="str">
        <f t="shared" si="1178"/>
        <v>20252JPY</v>
      </c>
      <c r="AR3880" s="206" t="str">
        <f t="shared" si="1179"/>
        <v>YAMAHA_Mounter</v>
      </c>
      <c r="AS3880" s="22">
        <f t="shared" si="1180"/>
        <v>1</v>
      </c>
      <c r="AT3880" s="24" t="str">
        <f t="shared" si="1181"/>
        <v>0-3 months</v>
      </c>
      <c r="AU3880" s="22" t="s">
        <v>3745</v>
      </c>
    </row>
    <row r="3881" spans="1:47">
      <c r="A3881" s="33" t="str">
        <f t="shared" si="1172"/>
        <v>FY 24/25</v>
      </c>
      <c r="B3881" s="23">
        <v>2025</v>
      </c>
      <c r="C3881" s="23">
        <v>1</v>
      </c>
      <c r="D3881" s="202" t="str">
        <f t="shared" si="1165"/>
        <v>Q4</v>
      </c>
      <c r="E3881" s="33" t="str">
        <f t="shared" si="1171"/>
        <v>FY 24/25</v>
      </c>
      <c r="F3881" s="23">
        <v>2025</v>
      </c>
      <c r="G3881" s="23">
        <v>2</v>
      </c>
      <c r="H3881" s="29"/>
      <c r="I3881" s="204" t="str">
        <f t="shared" si="1173"/>
        <v>Q4</v>
      </c>
      <c r="J3881" s="188" t="s">
        <v>3681</v>
      </c>
      <c r="K3881" s="29" t="s">
        <v>660</v>
      </c>
      <c r="L3881" s="24" t="s">
        <v>92</v>
      </c>
      <c r="M3881" s="13" t="s">
        <v>60</v>
      </c>
      <c r="N3881" s="22">
        <v>1</v>
      </c>
      <c r="O3881" s="22"/>
      <c r="P3881" s="202" t="str">
        <f t="shared" si="1182"/>
        <v>MAIN UNIT</v>
      </c>
      <c r="Q3881" s="22" t="s">
        <v>61</v>
      </c>
      <c r="R3881" s="22" t="s">
        <v>62</v>
      </c>
      <c r="S3881" s="22" t="s">
        <v>49</v>
      </c>
      <c r="T3881" s="22" t="s">
        <v>78</v>
      </c>
      <c r="U3881" s="22" t="s">
        <v>78</v>
      </c>
      <c r="V3881" s="22" t="s">
        <v>121</v>
      </c>
      <c r="W3881" s="22" t="s">
        <v>109</v>
      </c>
      <c r="X3881" s="104">
        <v>12800000</v>
      </c>
      <c r="Y3881" s="195" t="str">
        <f t="shared" si="1167"/>
        <v>1</v>
      </c>
      <c r="Z3881" s="196">
        <f t="shared" si="1166"/>
        <v>12800000</v>
      </c>
      <c r="AA3881" s="22">
        <v>5.11E-2</v>
      </c>
      <c r="AB3881" s="197">
        <f t="shared" si="1170"/>
        <v>654080</v>
      </c>
      <c r="AC3881" s="198">
        <f t="shared" si="1174"/>
        <v>98569.856</v>
      </c>
      <c r="AD3881" s="170">
        <v>0.1507</v>
      </c>
      <c r="AE3881" s="199">
        <f t="shared" si="1175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68"/>
        <v>30691842.970796466</v>
      </c>
      <c r="AJ3881" s="200">
        <f t="shared" si="1169"/>
        <v>4088324.205777524</v>
      </c>
      <c r="AK3881" s="201">
        <f t="shared" si="1176"/>
        <v>0.1332055624573473</v>
      </c>
      <c r="AL3881" s="24"/>
      <c r="AM3881" s="24"/>
      <c r="AN3881" s="24"/>
      <c r="AO3881" s="24"/>
      <c r="AP3881" s="165" t="str">
        <f t="shared" si="1177"/>
        <v>20252</v>
      </c>
      <c r="AQ3881" s="203" t="str">
        <f t="shared" si="1178"/>
        <v>20252JPY</v>
      </c>
      <c r="AR3881" s="206" t="str">
        <f t="shared" si="1179"/>
        <v>YAMAHA_Mounter</v>
      </c>
      <c r="AS3881" s="22">
        <f t="shared" si="1180"/>
        <v>1</v>
      </c>
      <c r="AT3881" s="24" t="str">
        <f t="shared" si="1181"/>
        <v>0-3 months</v>
      </c>
      <c r="AU3881" s="22" t="s">
        <v>3745</v>
      </c>
    </row>
    <row r="3882" spans="1:47">
      <c r="A3882" s="33" t="str">
        <f t="shared" si="1172"/>
        <v>FY 24/25</v>
      </c>
      <c r="B3882" s="23">
        <v>2025</v>
      </c>
      <c r="C3882" s="23">
        <v>1</v>
      </c>
      <c r="D3882" s="202" t="str">
        <f t="shared" si="1165"/>
        <v>Q4</v>
      </c>
      <c r="E3882" s="33" t="str">
        <f t="shared" si="1171"/>
        <v>FY 24/25</v>
      </c>
      <c r="F3882" s="23">
        <v>2025</v>
      </c>
      <c r="G3882" s="23">
        <v>3</v>
      </c>
      <c r="H3882" s="29"/>
      <c r="I3882" s="204" t="str">
        <f t="shared" si="1173"/>
        <v>Q4</v>
      </c>
      <c r="J3882" s="188" t="s">
        <v>3682</v>
      </c>
      <c r="K3882" s="29" t="s">
        <v>3542</v>
      </c>
      <c r="L3882" s="24" t="s">
        <v>92</v>
      </c>
      <c r="M3882" s="13" t="s">
        <v>60</v>
      </c>
      <c r="N3882" s="22">
        <v>1</v>
      </c>
      <c r="O3882" s="22"/>
      <c r="P3882" s="202" t="str">
        <f t="shared" si="1182"/>
        <v>MAIN UNIT</v>
      </c>
      <c r="Q3882" s="22" t="s">
        <v>68</v>
      </c>
      <c r="R3882" s="22" t="s">
        <v>62</v>
      </c>
      <c r="S3882" s="22" t="s">
        <v>49</v>
      </c>
      <c r="T3882" s="22" t="s">
        <v>78</v>
      </c>
      <c r="U3882" s="22" t="s">
        <v>1071</v>
      </c>
      <c r="V3882" s="22" t="s">
        <v>3095</v>
      </c>
      <c r="W3882" s="22" t="s">
        <v>109</v>
      </c>
      <c r="X3882" s="104">
        <v>12500000</v>
      </c>
      <c r="Y3882" s="195" t="str">
        <f t="shared" si="1167"/>
        <v>1</v>
      </c>
      <c r="Z3882" s="196">
        <f t="shared" si="1166"/>
        <v>12500000</v>
      </c>
      <c r="AA3882" s="22">
        <v>5.2999999999999999E-2</v>
      </c>
      <c r="AB3882" s="197">
        <f t="shared" si="1170"/>
        <v>662500</v>
      </c>
      <c r="AC3882" s="198">
        <f t="shared" si="1174"/>
        <v>79500</v>
      </c>
      <c r="AD3882" s="169">
        <v>0.12</v>
      </c>
      <c r="AE3882" s="199">
        <f t="shared" si="1175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68"/>
        <v>17732428.654867258</v>
      </c>
      <c r="AJ3882" s="200">
        <f t="shared" si="1169"/>
        <v>2127891.4385840711</v>
      </c>
      <c r="AK3882" s="201">
        <f t="shared" si="1176"/>
        <v>0.12000000000000001</v>
      </c>
      <c r="AL3882" s="24"/>
      <c r="AM3882" s="24"/>
      <c r="AN3882" s="24"/>
      <c r="AO3882" s="24"/>
      <c r="AP3882" s="165" t="str">
        <f t="shared" si="1177"/>
        <v>20253</v>
      </c>
      <c r="AQ3882" s="203" t="str">
        <f t="shared" si="1178"/>
        <v>20253JPY</v>
      </c>
      <c r="AR3882" s="206" t="str">
        <f t="shared" si="1179"/>
        <v>YAMAHA_Mounter</v>
      </c>
      <c r="AS3882" s="22">
        <f t="shared" si="1180"/>
        <v>2</v>
      </c>
      <c r="AT3882" s="24" t="str">
        <f t="shared" si="1181"/>
        <v>0-3 months</v>
      </c>
      <c r="AU3882" s="22" t="s">
        <v>3745</v>
      </c>
    </row>
    <row r="3883" spans="1:47">
      <c r="A3883" s="33" t="str">
        <f t="shared" si="1172"/>
        <v>FY 24/25</v>
      </c>
      <c r="B3883" s="23">
        <v>2025</v>
      </c>
      <c r="C3883" s="23">
        <v>1</v>
      </c>
      <c r="D3883" s="202" t="str">
        <f t="shared" si="1165"/>
        <v>Q4</v>
      </c>
      <c r="E3883" s="33" t="str">
        <f t="shared" si="1171"/>
        <v>FY 24/25</v>
      </c>
      <c r="F3883" s="23">
        <v>2025</v>
      </c>
      <c r="G3883" s="23">
        <v>3</v>
      </c>
      <c r="H3883" s="29"/>
      <c r="I3883" s="204" t="str">
        <f t="shared" si="1173"/>
        <v>Q4</v>
      </c>
      <c r="J3883" s="188" t="s">
        <v>3682</v>
      </c>
      <c r="K3883" s="29" t="s">
        <v>3542</v>
      </c>
      <c r="L3883" s="24" t="s">
        <v>67</v>
      </c>
      <c r="M3883" s="13" t="s">
        <v>60</v>
      </c>
      <c r="N3883" s="22">
        <v>1</v>
      </c>
      <c r="O3883" s="22"/>
      <c r="P3883" s="202" t="str">
        <f t="shared" si="1182"/>
        <v>MAIN UNIT</v>
      </c>
      <c r="Q3883" s="22" t="s">
        <v>68</v>
      </c>
      <c r="R3883" s="22" t="s">
        <v>62</v>
      </c>
      <c r="S3883" s="22" t="s">
        <v>49</v>
      </c>
      <c r="T3883" s="22" t="s">
        <v>78</v>
      </c>
      <c r="U3883" s="22" t="s">
        <v>1071</v>
      </c>
      <c r="V3883" s="22" t="s">
        <v>3095</v>
      </c>
      <c r="W3883" s="22" t="s">
        <v>109</v>
      </c>
      <c r="X3883" s="104">
        <v>7670000</v>
      </c>
      <c r="Y3883" s="195" t="str">
        <f t="shared" si="1167"/>
        <v>1</v>
      </c>
      <c r="Z3883" s="196">
        <f t="shared" si="1166"/>
        <v>7670000</v>
      </c>
      <c r="AA3883" s="22">
        <v>5.2999999999999999E-2</v>
      </c>
      <c r="AB3883" s="197">
        <f t="shared" si="1170"/>
        <v>406510</v>
      </c>
      <c r="AC3883" s="198">
        <f t="shared" si="1174"/>
        <v>48781.2</v>
      </c>
      <c r="AD3883" s="169">
        <v>0.12</v>
      </c>
      <c r="AE3883" s="199">
        <f t="shared" si="1175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68"/>
        <v>17732428.654867258</v>
      </c>
      <c r="AJ3883" s="200">
        <f t="shared" si="1169"/>
        <v>2127891.4385840711</v>
      </c>
      <c r="AK3883" s="201">
        <f t="shared" si="1176"/>
        <v>0.12000000000000001</v>
      </c>
      <c r="AL3883" s="24"/>
      <c r="AM3883" s="24"/>
      <c r="AN3883" s="24"/>
      <c r="AO3883" s="24"/>
      <c r="AP3883" s="165" t="str">
        <f t="shared" si="1177"/>
        <v>20253</v>
      </c>
      <c r="AQ3883" s="203" t="str">
        <f t="shared" si="1178"/>
        <v>20253JPY</v>
      </c>
      <c r="AR3883" s="206" t="str">
        <f t="shared" si="1179"/>
        <v>YAMAHA_Mounter</v>
      </c>
      <c r="AS3883" s="22">
        <f t="shared" si="1180"/>
        <v>2</v>
      </c>
      <c r="AT3883" s="24" t="str">
        <f t="shared" si="1181"/>
        <v>0-3 months</v>
      </c>
      <c r="AU3883" s="22" t="s">
        <v>3745</v>
      </c>
    </row>
    <row r="3884" spans="1:47">
      <c r="A3884" s="33" t="str">
        <f t="shared" si="1172"/>
        <v>FY 24/25</v>
      </c>
      <c r="B3884" s="23">
        <v>2025</v>
      </c>
      <c r="C3884" s="23">
        <v>1</v>
      </c>
      <c r="D3884" s="202" t="str">
        <f t="shared" si="1165"/>
        <v>Q4</v>
      </c>
      <c r="E3884" s="33" t="str">
        <f t="shared" si="1171"/>
        <v>FY 25/26</v>
      </c>
      <c r="F3884" s="23">
        <v>2025</v>
      </c>
      <c r="G3884" s="23">
        <v>4</v>
      </c>
      <c r="H3884" s="29"/>
      <c r="I3884" s="204" t="str">
        <f t="shared" si="1173"/>
        <v>Q1</v>
      </c>
      <c r="J3884" s="188" t="s">
        <v>3754</v>
      </c>
      <c r="K3884" s="29" t="s">
        <v>3611</v>
      </c>
      <c r="L3884" s="17" t="s">
        <v>3351</v>
      </c>
      <c r="M3884" s="13" t="s">
        <v>60</v>
      </c>
      <c r="N3884" s="22">
        <v>1</v>
      </c>
      <c r="O3884" s="22"/>
      <c r="P3884" s="202" t="str">
        <f t="shared" si="1182"/>
        <v>MAIN UNIT</v>
      </c>
      <c r="Q3884" s="22" t="s">
        <v>61</v>
      </c>
      <c r="R3884" s="22" t="s">
        <v>2055</v>
      </c>
      <c r="S3884" s="22" t="s">
        <v>49</v>
      </c>
      <c r="T3884" s="22" t="s">
        <v>78</v>
      </c>
      <c r="U3884" s="22" t="s">
        <v>246</v>
      </c>
      <c r="V3884" s="22" t="s">
        <v>2057</v>
      </c>
      <c r="W3884" s="22" t="s">
        <v>901</v>
      </c>
      <c r="X3884" s="104">
        <v>35700</v>
      </c>
      <c r="Y3884" s="195" t="str">
        <f t="shared" si="1167"/>
        <v>1</v>
      </c>
      <c r="Z3884" s="196">
        <f t="shared" si="1166"/>
        <v>35700</v>
      </c>
      <c r="AA3884" s="22">
        <v>7.8</v>
      </c>
      <c r="AB3884" s="197">
        <f t="shared" si="1170"/>
        <v>278460</v>
      </c>
      <c r="AC3884" s="198">
        <f t="shared" si="1174"/>
        <v>33415.199999999997</v>
      </c>
      <c r="AD3884" s="169">
        <v>0.12</v>
      </c>
      <c r="AE3884" s="199">
        <f t="shared" si="1175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68"/>
        <v>29497483.159292053</v>
      </c>
      <c r="AJ3884" s="200">
        <f t="shared" si="1169"/>
        <v>3539697.9791150414</v>
      </c>
      <c r="AK3884" s="201">
        <f t="shared" si="1176"/>
        <v>0.11999999999999983</v>
      </c>
      <c r="AL3884" s="24"/>
      <c r="AM3884" s="24"/>
      <c r="AN3884" s="24"/>
      <c r="AO3884" s="24"/>
      <c r="AP3884" s="165" t="str">
        <f t="shared" si="1177"/>
        <v>20254</v>
      </c>
      <c r="AQ3884" s="203" t="str">
        <f t="shared" si="1178"/>
        <v>20254USD</v>
      </c>
      <c r="AR3884" s="206" t="str">
        <f t="shared" si="1179"/>
        <v>YAMAHA_Non_Mounter</v>
      </c>
      <c r="AS3884" s="22">
        <f t="shared" si="1180"/>
        <v>3</v>
      </c>
      <c r="AT3884" s="24" t="str">
        <f t="shared" si="1181"/>
        <v>0-3 months</v>
      </c>
      <c r="AU3884" s="22" t="s">
        <v>3749</v>
      </c>
    </row>
    <row r="3885" spans="1:47">
      <c r="A3885" s="33" t="str">
        <f t="shared" si="1172"/>
        <v>FY 24/25</v>
      </c>
      <c r="B3885" s="23">
        <v>2025</v>
      </c>
      <c r="C3885" s="23">
        <v>1</v>
      </c>
      <c r="D3885" s="202" t="str">
        <f t="shared" si="1165"/>
        <v>Q4</v>
      </c>
      <c r="E3885" s="33" t="str">
        <f t="shared" si="1171"/>
        <v>FY 25/26</v>
      </c>
      <c r="F3885" s="23">
        <v>2025</v>
      </c>
      <c r="G3885" s="23">
        <v>4</v>
      </c>
      <c r="H3885" s="29"/>
      <c r="I3885" s="204" t="str">
        <f t="shared" si="1173"/>
        <v>Q1</v>
      </c>
      <c r="J3885" s="188" t="s">
        <v>3754</v>
      </c>
      <c r="K3885" s="29" t="s">
        <v>3611</v>
      </c>
      <c r="L3885" s="17" t="s">
        <v>3351</v>
      </c>
      <c r="M3885" s="13" t="s">
        <v>60</v>
      </c>
      <c r="N3885" s="22">
        <v>1</v>
      </c>
      <c r="O3885" s="22"/>
      <c r="P3885" s="202" t="str">
        <f t="shared" si="1182"/>
        <v>MAIN UNIT</v>
      </c>
      <c r="Q3885" s="22" t="s">
        <v>61</v>
      </c>
      <c r="R3885" s="22" t="s">
        <v>2055</v>
      </c>
      <c r="S3885" s="22" t="s">
        <v>49</v>
      </c>
      <c r="T3885" s="22" t="s">
        <v>78</v>
      </c>
      <c r="U3885" s="22" t="s">
        <v>246</v>
      </c>
      <c r="V3885" s="22" t="s">
        <v>2057</v>
      </c>
      <c r="W3885" s="22" t="s">
        <v>901</v>
      </c>
      <c r="X3885" s="104">
        <v>35700</v>
      </c>
      <c r="Y3885" s="195" t="str">
        <f t="shared" si="1167"/>
        <v>1</v>
      </c>
      <c r="Z3885" s="196">
        <f t="shared" si="1166"/>
        <v>35700</v>
      </c>
      <c r="AA3885" s="22">
        <v>7.8</v>
      </c>
      <c r="AB3885" s="197">
        <f t="shared" si="1170"/>
        <v>278460</v>
      </c>
      <c r="AC3885" s="198">
        <f t="shared" si="1174"/>
        <v>33415.199999999997</v>
      </c>
      <c r="AD3885" s="169">
        <v>0.12</v>
      </c>
      <c r="AE3885" s="199">
        <f t="shared" si="1175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68"/>
        <v>29497483.159292053</v>
      </c>
      <c r="AJ3885" s="200">
        <f t="shared" si="1169"/>
        <v>3539697.9791150414</v>
      </c>
      <c r="AK3885" s="201">
        <f t="shared" si="1176"/>
        <v>0.11999999999999983</v>
      </c>
      <c r="AL3885" s="24"/>
      <c r="AM3885" s="24"/>
      <c r="AN3885" s="24"/>
      <c r="AO3885" s="24"/>
      <c r="AP3885" s="165" t="str">
        <f t="shared" si="1177"/>
        <v>20254</v>
      </c>
      <c r="AQ3885" s="203" t="str">
        <f t="shared" si="1178"/>
        <v>20254USD</v>
      </c>
      <c r="AR3885" s="206" t="str">
        <f t="shared" si="1179"/>
        <v>YAMAHA_Non_Mounter</v>
      </c>
      <c r="AS3885" s="22">
        <f t="shared" si="1180"/>
        <v>3</v>
      </c>
      <c r="AT3885" s="24" t="str">
        <f t="shared" si="1181"/>
        <v>0-3 months</v>
      </c>
      <c r="AU3885" s="22" t="s">
        <v>3749</v>
      </c>
    </row>
    <row r="3886" spans="1:47">
      <c r="A3886" s="33" t="str">
        <f t="shared" si="1172"/>
        <v>FY 24/25</v>
      </c>
      <c r="B3886" s="23">
        <v>2025</v>
      </c>
      <c r="C3886" s="23">
        <v>1</v>
      </c>
      <c r="D3886" s="202" t="str">
        <f t="shared" si="1165"/>
        <v>Q4</v>
      </c>
      <c r="E3886" s="33" t="str">
        <f t="shared" si="1171"/>
        <v>FY 25/26</v>
      </c>
      <c r="F3886" s="23">
        <v>2025</v>
      </c>
      <c r="G3886" s="23">
        <v>4</v>
      </c>
      <c r="H3886" s="29"/>
      <c r="I3886" s="204" t="str">
        <f t="shared" si="1173"/>
        <v>Q1</v>
      </c>
      <c r="J3886" s="188" t="s">
        <v>3754</v>
      </c>
      <c r="K3886" s="29" t="s">
        <v>3611</v>
      </c>
      <c r="L3886" s="24" t="s">
        <v>3353</v>
      </c>
      <c r="M3886" s="13" t="s">
        <v>60</v>
      </c>
      <c r="N3886" s="22">
        <v>1</v>
      </c>
      <c r="O3886" s="22"/>
      <c r="P3886" s="202" t="str">
        <f t="shared" si="1182"/>
        <v>MAIN UNIT</v>
      </c>
      <c r="Q3886" s="22" t="s">
        <v>61</v>
      </c>
      <c r="R3886" s="22" t="s">
        <v>2055</v>
      </c>
      <c r="S3886" s="22" t="s">
        <v>49</v>
      </c>
      <c r="T3886" s="22" t="s">
        <v>78</v>
      </c>
      <c r="U3886" s="22" t="s">
        <v>246</v>
      </c>
      <c r="V3886" s="22" t="s">
        <v>2057</v>
      </c>
      <c r="W3886" s="22" t="s">
        <v>901</v>
      </c>
      <c r="X3886" s="104">
        <v>80580</v>
      </c>
      <c r="Y3886" s="195" t="str">
        <f t="shared" si="1167"/>
        <v>1</v>
      </c>
      <c r="Z3886" s="196">
        <f t="shared" si="1166"/>
        <v>80580</v>
      </c>
      <c r="AA3886" s="22">
        <v>7.8</v>
      </c>
      <c r="AB3886" s="197">
        <f t="shared" si="1170"/>
        <v>628524</v>
      </c>
      <c r="AC3886" s="198">
        <f t="shared" si="1174"/>
        <v>75422.87999999999</v>
      </c>
      <c r="AD3886" s="169">
        <v>0.12</v>
      </c>
      <c r="AE3886" s="199">
        <f t="shared" si="1175"/>
        <v>0</v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68"/>
        <v>29497483.159292053</v>
      </c>
      <c r="AJ3886" s="200">
        <f t="shared" si="1169"/>
        <v>3539697.9791150414</v>
      </c>
      <c r="AK3886" s="201">
        <f t="shared" si="1176"/>
        <v>0.11999999999999983</v>
      </c>
      <c r="AL3886" s="24"/>
      <c r="AM3886" s="24"/>
      <c r="AN3886" s="24"/>
      <c r="AO3886" s="24"/>
      <c r="AP3886" s="165" t="str">
        <f t="shared" si="1177"/>
        <v>20254</v>
      </c>
      <c r="AQ3886" s="203" t="str">
        <f t="shared" si="1178"/>
        <v>20254USD</v>
      </c>
      <c r="AR3886" s="206" t="str">
        <f t="shared" si="1179"/>
        <v>YAMAHA_Non_Mounter</v>
      </c>
      <c r="AS3886" s="22">
        <f t="shared" si="1180"/>
        <v>3</v>
      </c>
      <c r="AT3886" s="24" t="str">
        <f t="shared" si="1181"/>
        <v>0-3 months</v>
      </c>
      <c r="AU3886" s="22" t="s">
        <v>3749</v>
      </c>
    </row>
    <row r="3887" spans="1:47">
      <c r="A3887" s="33" t="str">
        <f t="shared" si="1172"/>
        <v>FY 24/25</v>
      </c>
      <c r="B3887" s="23">
        <v>2025</v>
      </c>
      <c r="C3887" s="23">
        <v>1</v>
      </c>
      <c r="D3887" s="202" t="str">
        <f t="shared" si="1165"/>
        <v>Q4</v>
      </c>
      <c r="E3887" s="33" t="str">
        <f t="shared" si="1171"/>
        <v>FY 25/26</v>
      </c>
      <c r="F3887" s="23">
        <v>2025</v>
      </c>
      <c r="G3887" s="23">
        <v>4</v>
      </c>
      <c r="H3887" s="29"/>
      <c r="I3887" s="204" t="str">
        <f t="shared" si="1173"/>
        <v>Q1</v>
      </c>
      <c r="J3887" s="188" t="s">
        <v>3754</v>
      </c>
      <c r="K3887" s="29" t="s">
        <v>3611</v>
      </c>
      <c r="L3887" s="24" t="s">
        <v>2620</v>
      </c>
      <c r="M3887" s="13" t="s">
        <v>60</v>
      </c>
      <c r="N3887" s="22">
        <v>1</v>
      </c>
      <c r="O3887" s="22"/>
      <c r="P3887" s="202" t="str">
        <f t="shared" si="1182"/>
        <v>MAIN UNIT</v>
      </c>
      <c r="Q3887" s="22" t="s">
        <v>61</v>
      </c>
      <c r="R3887" s="22" t="s">
        <v>2055</v>
      </c>
      <c r="S3887" s="22" t="s">
        <v>49</v>
      </c>
      <c r="T3887" s="22" t="s">
        <v>78</v>
      </c>
      <c r="U3887" s="22" t="s">
        <v>246</v>
      </c>
      <c r="V3887" s="22" t="s">
        <v>2057</v>
      </c>
      <c r="W3887" s="22" t="s">
        <v>901</v>
      </c>
      <c r="X3887" s="104">
        <v>86650</v>
      </c>
      <c r="Y3887" s="195" t="str">
        <f t="shared" si="1167"/>
        <v>1</v>
      </c>
      <c r="Z3887" s="196">
        <f t="shared" si="1166"/>
        <v>86650</v>
      </c>
      <c r="AA3887" s="22">
        <v>7.8</v>
      </c>
      <c r="AB3887" s="197">
        <f t="shared" si="1170"/>
        <v>675870</v>
      </c>
      <c r="AC3887" s="198">
        <f t="shared" si="1174"/>
        <v>81104.399999999994</v>
      </c>
      <c r="AD3887" s="169">
        <v>0.12</v>
      </c>
      <c r="AE3887" s="199">
        <f t="shared" si="1175"/>
        <v>0</v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68"/>
        <v>29497483.159292053</v>
      </c>
      <c r="AJ3887" s="200">
        <f t="shared" si="1169"/>
        <v>3539697.9791150414</v>
      </c>
      <c r="AK3887" s="201">
        <f t="shared" si="1176"/>
        <v>0.11999999999999983</v>
      </c>
      <c r="AL3887" s="24"/>
      <c r="AM3887" s="24"/>
      <c r="AN3887" s="24"/>
      <c r="AO3887" s="24"/>
      <c r="AP3887" s="165" t="str">
        <f t="shared" si="1177"/>
        <v>20254</v>
      </c>
      <c r="AQ3887" s="203" t="str">
        <f t="shared" si="1178"/>
        <v>20254USD</v>
      </c>
      <c r="AR3887" s="206" t="str">
        <f t="shared" si="1179"/>
        <v>YAMAHA_Non_Mounter</v>
      </c>
      <c r="AS3887" s="22">
        <f t="shared" si="1180"/>
        <v>3</v>
      </c>
      <c r="AT3887" s="24" t="str">
        <f t="shared" si="1181"/>
        <v>0-3 months</v>
      </c>
      <c r="AU3887" s="22" t="s">
        <v>3749</v>
      </c>
    </row>
    <row r="3888" spans="1:47">
      <c r="A3888" s="33" t="str">
        <f t="shared" si="1172"/>
        <v>FY 24/25</v>
      </c>
      <c r="B3888" s="23">
        <v>2025</v>
      </c>
      <c r="C3888" s="23">
        <v>1</v>
      </c>
      <c r="D3888" s="202" t="str">
        <f t="shared" si="1165"/>
        <v>Q4</v>
      </c>
      <c r="E3888" s="33" t="str">
        <f t="shared" si="1171"/>
        <v>FY 25/26</v>
      </c>
      <c r="F3888" s="23">
        <v>2025</v>
      </c>
      <c r="G3888" s="23">
        <v>4</v>
      </c>
      <c r="H3888" s="29"/>
      <c r="I3888" s="204" t="str">
        <f t="shared" si="1173"/>
        <v>Q1</v>
      </c>
      <c r="J3888" s="188" t="s">
        <v>3754</v>
      </c>
      <c r="K3888" s="29" t="s">
        <v>3611</v>
      </c>
      <c r="L3888" s="24" t="s">
        <v>2620</v>
      </c>
      <c r="M3888" s="13" t="s">
        <v>60</v>
      </c>
      <c r="N3888" s="22">
        <v>1</v>
      </c>
      <c r="O3888" s="22"/>
      <c r="P3888" s="202" t="str">
        <f t="shared" si="1182"/>
        <v>MAIN UNIT</v>
      </c>
      <c r="Q3888" s="22" t="s">
        <v>61</v>
      </c>
      <c r="R3888" s="22" t="s">
        <v>2055</v>
      </c>
      <c r="S3888" s="22" t="s">
        <v>49</v>
      </c>
      <c r="T3888" s="22" t="s">
        <v>78</v>
      </c>
      <c r="U3888" s="22" t="s">
        <v>246</v>
      </c>
      <c r="V3888" s="22" t="s">
        <v>2057</v>
      </c>
      <c r="W3888" s="22" t="s">
        <v>901</v>
      </c>
      <c r="X3888" s="104">
        <v>86650</v>
      </c>
      <c r="Y3888" s="195" t="str">
        <f t="shared" si="1167"/>
        <v>1</v>
      </c>
      <c r="Z3888" s="196">
        <f t="shared" si="1166"/>
        <v>86650</v>
      </c>
      <c r="AA3888" s="22">
        <v>7.8</v>
      </c>
      <c r="AB3888" s="197">
        <f t="shared" si="1170"/>
        <v>675870</v>
      </c>
      <c r="AC3888" s="198">
        <f t="shared" si="1174"/>
        <v>81104.399999999994</v>
      </c>
      <c r="AD3888" s="169">
        <v>0.12</v>
      </c>
      <c r="AE3888" s="199">
        <f t="shared" si="1175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68"/>
        <v>29497483.159292053</v>
      </c>
      <c r="AJ3888" s="200">
        <f t="shared" si="1169"/>
        <v>3539697.9791150414</v>
      </c>
      <c r="AK3888" s="201">
        <f t="shared" si="1176"/>
        <v>0.11999999999999983</v>
      </c>
      <c r="AL3888" s="24"/>
      <c r="AM3888" s="24"/>
      <c r="AN3888" s="24"/>
      <c r="AO3888" s="24"/>
      <c r="AP3888" s="165" t="str">
        <f t="shared" si="1177"/>
        <v>20254</v>
      </c>
      <c r="AQ3888" s="203" t="str">
        <f t="shared" si="1178"/>
        <v>20254USD</v>
      </c>
      <c r="AR3888" s="206" t="str">
        <f t="shared" si="1179"/>
        <v>YAMAHA_Non_Mounter</v>
      </c>
      <c r="AS3888" s="22">
        <f t="shared" si="1180"/>
        <v>3</v>
      </c>
      <c r="AT3888" s="24" t="str">
        <f t="shared" si="1181"/>
        <v>0-3 months</v>
      </c>
      <c r="AU3888" s="22" t="s">
        <v>3749</v>
      </c>
    </row>
    <row r="3889" spans="1:47">
      <c r="A3889" s="33" t="str">
        <f t="shared" si="1172"/>
        <v>FY 24/25</v>
      </c>
      <c r="B3889" s="23">
        <v>2025</v>
      </c>
      <c r="C3889" s="23">
        <v>1</v>
      </c>
      <c r="D3889" s="202" t="str">
        <f t="shared" si="1165"/>
        <v>Q4</v>
      </c>
      <c r="E3889" s="33" t="str">
        <f t="shared" si="1171"/>
        <v>FY 25/26</v>
      </c>
      <c r="F3889" s="23">
        <v>2025</v>
      </c>
      <c r="G3889" s="23">
        <v>4</v>
      </c>
      <c r="H3889" s="29"/>
      <c r="I3889" s="204" t="str">
        <f t="shared" si="1173"/>
        <v>Q1</v>
      </c>
      <c r="J3889" s="188" t="s">
        <v>3754</v>
      </c>
      <c r="K3889" s="29" t="s">
        <v>3611</v>
      </c>
      <c r="L3889" s="24" t="s">
        <v>92</v>
      </c>
      <c r="M3889" s="13" t="s">
        <v>60</v>
      </c>
      <c r="N3889" s="22">
        <v>1</v>
      </c>
      <c r="O3889" s="22"/>
      <c r="P3889" s="202" t="str">
        <f t="shared" si="1182"/>
        <v>MAIN UNIT</v>
      </c>
      <c r="Q3889" s="22" t="s">
        <v>61</v>
      </c>
      <c r="R3889" s="22" t="s">
        <v>62</v>
      </c>
      <c r="S3889" s="22" t="s">
        <v>49</v>
      </c>
      <c r="T3889" s="22" t="s">
        <v>78</v>
      </c>
      <c r="U3889" s="22" t="s">
        <v>1038</v>
      </c>
      <c r="V3889" s="22" t="s">
        <v>131</v>
      </c>
      <c r="W3889" s="22" t="s">
        <v>901</v>
      </c>
      <c r="X3889" s="104">
        <v>103500</v>
      </c>
      <c r="Y3889" s="195" t="str">
        <f t="shared" si="1167"/>
        <v>1</v>
      </c>
      <c r="Z3889" s="196">
        <f t="shared" si="1166"/>
        <v>103500</v>
      </c>
      <c r="AA3889" s="22">
        <v>7.8</v>
      </c>
      <c r="AB3889" s="197">
        <f t="shared" si="1170"/>
        <v>807300</v>
      </c>
      <c r="AC3889" s="198">
        <f t="shared" si="1174"/>
        <v>96876</v>
      </c>
      <c r="AD3889" s="169">
        <v>0.12</v>
      </c>
      <c r="AE3889" s="199">
        <f t="shared" si="1175"/>
        <v>0</v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68"/>
        <v>29497483.159292053</v>
      </c>
      <c r="AJ3889" s="200">
        <f t="shared" si="1169"/>
        <v>3539697.9791150414</v>
      </c>
      <c r="AK3889" s="201">
        <f t="shared" si="1176"/>
        <v>0.11999999999999983</v>
      </c>
      <c r="AL3889" s="24"/>
      <c r="AM3889" s="24"/>
      <c r="AN3889" s="24"/>
      <c r="AO3889" s="24"/>
      <c r="AP3889" s="165" t="str">
        <f t="shared" si="1177"/>
        <v>20254</v>
      </c>
      <c r="AQ3889" s="203" t="str">
        <f t="shared" si="1178"/>
        <v>20254USD</v>
      </c>
      <c r="AR3889" s="206" t="str">
        <f t="shared" si="1179"/>
        <v>YAMAHA_Mounter</v>
      </c>
      <c r="AS3889" s="22">
        <f t="shared" si="1180"/>
        <v>3</v>
      </c>
      <c r="AT3889" s="24" t="str">
        <f t="shared" si="1181"/>
        <v>0-3 months</v>
      </c>
      <c r="AU3889" s="22" t="s">
        <v>3749</v>
      </c>
    </row>
    <row r="3890" spans="1:47">
      <c r="A3890" s="33" t="str">
        <f t="shared" si="1172"/>
        <v>FY 24/25</v>
      </c>
      <c r="B3890" s="23">
        <v>2025</v>
      </c>
      <c r="C3890" s="23">
        <v>1</v>
      </c>
      <c r="D3890" s="202" t="str">
        <f t="shared" ref="D3890:D3953" si="1183">IF(B3890="","",IF(AND(C3890&gt;=10,C3890&lt;=12),"Q3",IF(AND(C3890&gt;=1,C3890&lt;=3),"Q4",IF(AND(C3890&gt;=7,C3890&lt;=9),"Q2",IF(AND(C3890&gt;=4,C3890&lt;=6),"Q1")))))</f>
        <v>Q4</v>
      </c>
      <c r="E3890" s="33" t="str">
        <f t="shared" si="1171"/>
        <v>FY 25/26</v>
      </c>
      <c r="F3890" s="23">
        <v>2025</v>
      </c>
      <c r="G3890" s="23">
        <v>4</v>
      </c>
      <c r="H3890" s="29"/>
      <c r="I3890" s="204" t="str">
        <f t="shared" si="1173"/>
        <v>Q1</v>
      </c>
      <c r="J3890" s="188" t="s">
        <v>3754</v>
      </c>
      <c r="K3890" s="29" t="s">
        <v>3611</v>
      </c>
      <c r="L3890" s="24" t="s">
        <v>92</v>
      </c>
      <c r="M3890" s="13" t="s">
        <v>60</v>
      </c>
      <c r="N3890" s="22">
        <v>1</v>
      </c>
      <c r="O3890" s="22"/>
      <c r="P3890" s="202" t="str">
        <f t="shared" si="1182"/>
        <v>MAIN UNIT</v>
      </c>
      <c r="Q3890" s="22" t="s">
        <v>61</v>
      </c>
      <c r="R3890" s="22" t="s">
        <v>62</v>
      </c>
      <c r="S3890" s="22" t="s">
        <v>49</v>
      </c>
      <c r="T3890" s="22" t="s">
        <v>78</v>
      </c>
      <c r="U3890" s="22" t="s">
        <v>1038</v>
      </c>
      <c r="V3890" s="22" t="s">
        <v>131</v>
      </c>
      <c r="W3890" s="22" t="s">
        <v>901</v>
      </c>
      <c r="X3890" s="104">
        <v>103500</v>
      </c>
      <c r="Y3890" s="195" t="str">
        <f t="shared" si="1167"/>
        <v>1</v>
      </c>
      <c r="Z3890" s="196">
        <f t="shared" ref="Z3890:Z3953" si="1184">IF(X3890="","",X3890*MAX(O3890,N3890))</f>
        <v>103500</v>
      </c>
      <c r="AA3890" s="22">
        <v>7.8</v>
      </c>
      <c r="AB3890" s="197">
        <f t="shared" si="1170"/>
        <v>807300</v>
      </c>
      <c r="AC3890" s="198">
        <f t="shared" si="1174"/>
        <v>96876</v>
      </c>
      <c r="AD3890" s="169">
        <v>0.12</v>
      </c>
      <c r="AE3890" s="199">
        <f t="shared" si="1175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68"/>
        <v>29497483.159292053</v>
      </c>
      <c r="AJ3890" s="200">
        <f t="shared" si="1169"/>
        <v>3539697.9791150414</v>
      </c>
      <c r="AK3890" s="201">
        <f t="shared" si="1176"/>
        <v>0.11999999999999983</v>
      </c>
      <c r="AL3890" s="24"/>
      <c r="AM3890" s="24"/>
      <c r="AN3890" s="24"/>
      <c r="AO3890" s="24"/>
      <c r="AP3890" s="165" t="str">
        <f t="shared" si="1177"/>
        <v>20254</v>
      </c>
      <c r="AQ3890" s="203" t="str">
        <f t="shared" si="1178"/>
        <v>20254USD</v>
      </c>
      <c r="AR3890" s="206" t="str">
        <f t="shared" si="1179"/>
        <v>YAMAHA_Mounter</v>
      </c>
      <c r="AS3890" s="22">
        <f t="shared" si="1180"/>
        <v>3</v>
      </c>
      <c r="AT3890" s="24" t="str">
        <f t="shared" si="1181"/>
        <v>0-3 months</v>
      </c>
      <c r="AU3890" s="22" t="s">
        <v>3749</v>
      </c>
    </row>
    <row r="3891" spans="1:47">
      <c r="A3891" s="33" t="str">
        <f t="shared" si="1172"/>
        <v>FY 24/25</v>
      </c>
      <c r="B3891" s="23">
        <v>2025</v>
      </c>
      <c r="C3891" s="23">
        <v>1</v>
      </c>
      <c r="D3891" s="202" t="str">
        <f t="shared" si="1183"/>
        <v>Q4</v>
      </c>
      <c r="E3891" s="33" t="str">
        <f t="shared" si="1171"/>
        <v>FY 25/26</v>
      </c>
      <c r="F3891" s="23">
        <v>2025</v>
      </c>
      <c r="G3891" s="23">
        <v>4</v>
      </c>
      <c r="H3891" s="29"/>
      <c r="I3891" s="204" t="str">
        <f t="shared" si="1173"/>
        <v>Q1</v>
      </c>
      <c r="J3891" s="188" t="s">
        <v>3754</v>
      </c>
      <c r="K3891" s="29" t="s">
        <v>3611</v>
      </c>
      <c r="L3891" s="24" t="s">
        <v>92</v>
      </c>
      <c r="M3891" s="13" t="s">
        <v>60</v>
      </c>
      <c r="N3891" s="22">
        <v>1</v>
      </c>
      <c r="O3891" s="22"/>
      <c r="P3891" s="202" t="str">
        <f t="shared" si="1182"/>
        <v>MAIN UNIT</v>
      </c>
      <c r="Q3891" s="22" t="s">
        <v>61</v>
      </c>
      <c r="R3891" s="22" t="s">
        <v>62</v>
      </c>
      <c r="S3891" s="22" t="s">
        <v>49</v>
      </c>
      <c r="T3891" s="22" t="s">
        <v>78</v>
      </c>
      <c r="U3891" s="22" t="s">
        <v>1038</v>
      </c>
      <c r="V3891" s="22" t="s">
        <v>131</v>
      </c>
      <c r="W3891" s="22" t="s">
        <v>901</v>
      </c>
      <c r="X3891" s="104">
        <v>103500</v>
      </c>
      <c r="Y3891" s="195" t="str">
        <f t="shared" si="1167"/>
        <v>1</v>
      </c>
      <c r="Z3891" s="196">
        <f t="shared" si="1184"/>
        <v>103500</v>
      </c>
      <c r="AA3891" s="22">
        <v>7.8</v>
      </c>
      <c r="AB3891" s="197">
        <f t="shared" si="1170"/>
        <v>807300</v>
      </c>
      <c r="AC3891" s="198">
        <f t="shared" si="1174"/>
        <v>96876</v>
      </c>
      <c r="AD3891" s="169">
        <v>0.12</v>
      </c>
      <c r="AE3891" s="199">
        <f t="shared" si="1175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68"/>
        <v>29497483.159292053</v>
      </c>
      <c r="AJ3891" s="200">
        <f t="shared" si="1169"/>
        <v>3539697.9791150414</v>
      </c>
      <c r="AK3891" s="201">
        <f t="shared" si="1176"/>
        <v>0.11999999999999983</v>
      </c>
      <c r="AL3891" s="24"/>
      <c r="AM3891" s="24"/>
      <c r="AN3891" s="24"/>
      <c r="AO3891" s="24"/>
      <c r="AP3891" s="165" t="str">
        <f t="shared" si="1177"/>
        <v>20254</v>
      </c>
      <c r="AQ3891" s="203" t="str">
        <f t="shared" si="1178"/>
        <v>20254USD</v>
      </c>
      <c r="AR3891" s="206" t="str">
        <f t="shared" si="1179"/>
        <v>YAMAHA_Mounter</v>
      </c>
      <c r="AS3891" s="22">
        <f t="shared" si="1180"/>
        <v>3</v>
      </c>
      <c r="AT3891" s="24" t="str">
        <f t="shared" si="1181"/>
        <v>0-3 months</v>
      </c>
      <c r="AU3891" s="22" t="s">
        <v>3749</v>
      </c>
    </row>
    <row r="3892" spans="1:47">
      <c r="A3892" s="33" t="str">
        <f t="shared" si="1172"/>
        <v>FY 24/25</v>
      </c>
      <c r="B3892" s="23">
        <v>2025</v>
      </c>
      <c r="C3892" s="23">
        <v>1</v>
      </c>
      <c r="D3892" s="202" t="str">
        <f t="shared" si="1183"/>
        <v>Q4</v>
      </c>
      <c r="E3892" s="33" t="str">
        <f t="shared" si="1171"/>
        <v>FY 25/26</v>
      </c>
      <c r="F3892" s="23">
        <v>2025</v>
      </c>
      <c r="G3892" s="23">
        <v>4</v>
      </c>
      <c r="H3892" s="29"/>
      <c r="I3892" s="204" t="str">
        <f t="shared" si="1173"/>
        <v>Q1</v>
      </c>
      <c r="J3892" s="188" t="s">
        <v>3754</v>
      </c>
      <c r="K3892" s="29" t="s">
        <v>3611</v>
      </c>
      <c r="L3892" s="24" t="s">
        <v>92</v>
      </c>
      <c r="M3892" s="13" t="s">
        <v>60</v>
      </c>
      <c r="N3892" s="22">
        <v>1</v>
      </c>
      <c r="O3892" s="22"/>
      <c r="P3892" s="202" t="str">
        <f t="shared" si="1182"/>
        <v>MAIN UNIT</v>
      </c>
      <c r="Q3892" s="22" t="s">
        <v>61</v>
      </c>
      <c r="R3892" s="22" t="s">
        <v>62</v>
      </c>
      <c r="S3892" s="22" t="s">
        <v>49</v>
      </c>
      <c r="T3892" s="22" t="s">
        <v>78</v>
      </c>
      <c r="U3892" s="22" t="s">
        <v>1038</v>
      </c>
      <c r="V3892" s="22" t="s">
        <v>131</v>
      </c>
      <c r="W3892" s="22" t="s">
        <v>901</v>
      </c>
      <c r="X3892" s="104">
        <v>103500</v>
      </c>
      <c r="Y3892" s="195" t="str">
        <f t="shared" ref="Y3892:Y3955" si="1185">IF(W3892="","",IF(W3892="RMB","1.13", "1"))</f>
        <v>1</v>
      </c>
      <c r="Z3892" s="196">
        <f t="shared" si="1184"/>
        <v>103500</v>
      </c>
      <c r="AA3892" s="22">
        <v>7.8</v>
      </c>
      <c r="AB3892" s="197">
        <f t="shared" si="1170"/>
        <v>807300</v>
      </c>
      <c r="AC3892" s="198">
        <f t="shared" si="1174"/>
        <v>96876</v>
      </c>
      <c r="AD3892" s="169">
        <v>0.12</v>
      </c>
      <c r="AE3892" s="199">
        <f t="shared" si="1175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68"/>
        <v>29497483.159292053</v>
      </c>
      <c r="AJ3892" s="200">
        <f t="shared" si="1169"/>
        <v>3539697.9791150414</v>
      </c>
      <c r="AK3892" s="201">
        <f t="shared" si="1176"/>
        <v>0.11999999999999983</v>
      </c>
      <c r="AL3892" s="24"/>
      <c r="AM3892" s="24"/>
      <c r="AN3892" s="24"/>
      <c r="AO3892" s="24"/>
      <c r="AP3892" s="165" t="str">
        <f t="shared" si="1177"/>
        <v>20254</v>
      </c>
      <c r="AQ3892" s="203" t="str">
        <f t="shared" si="1178"/>
        <v>20254USD</v>
      </c>
      <c r="AR3892" s="206" t="str">
        <f t="shared" si="1179"/>
        <v>YAMAHA_Mounter</v>
      </c>
      <c r="AS3892" s="22">
        <f t="shared" si="1180"/>
        <v>3</v>
      </c>
      <c r="AT3892" s="24" t="str">
        <f t="shared" si="1181"/>
        <v>0-3 months</v>
      </c>
      <c r="AU3892" s="22" t="s">
        <v>3749</v>
      </c>
    </row>
    <row r="3893" spans="1:47">
      <c r="A3893" s="33" t="str">
        <f t="shared" si="1172"/>
        <v>FY 24/25</v>
      </c>
      <c r="B3893" s="23">
        <v>2025</v>
      </c>
      <c r="C3893" s="23">
        <v>1</v>
      </c>
      <c r="D3893" s="202" t="str">
        <f t="shared" si="1183"/>
        <v>Q4</v>
      </c>
      <c r="E3893" s="33" t="str">
        <f t="shared" si="1171"/>
        <v>FY 25/26</v>
      </c>
      <c r="F3893" s="23">
        <v>2025</v>
      </c>
      <c r="G3893" s="23">
        <v>4</v>
      </c>
      <c r="H3893" s="29"/>
      <c r="I3893" s="204" t="str">
        <f t="shared" si="1173"/>
        <v>Q1</v>
      </c>
      <c r="J3893" s="188" t="s">
        <v>3754</v>
      </c>
      <c r="K3893" s="29" t="s">
        <v>3611</v>
      </c>
      <c r="L3893" s="24" t="s">
        <v>67</v>
      </c>
      <c r="M3893" s="13" t="s">
        <v>60</v>
      </c>
      <c r="N3893" s="22">
        <v>1</v>
      </c>
      <c r="O3893" s="22"/>
      <c r="P3893" s="202" t="str">
        <f t="shared" si="1182"/>
        <v>MAIN UNIT</v>
      </c>
      <c r="Q3893" s="22" t="s">
        <v>61</v>
      </c>
      <c r="R3893" s="22" t="s">
        <v>62</v>
      </c>
      <c r="S3893" s="22" t="s">
        <v>49</v>
      </c>
      <c r="T3893" s="22" t="s">
        <v>78</v>
      </c>
      <c r="U3893" s="22" t="s">
        <v>1038</v>
      </c>
      <c r="V3893" s="22" t="s">
        <v>131</v>
      </c>
      <c r="W3893" s="22" t="s">
        <v>901</v>
      </c>
      <c r="X3893" s="104">
        <v>72050</v>
      </c>
      <c r="Y3893" s="195" t="str">
        <f t="shared" si="1185"/>
        <v>1</v>
      </c>
      <c r="Z3893" s="196">
        <f t="shared" si="1184"/>
        <v>72050</v>
      </c>
      <c r="AA3893" s="22">
        <v>7.8</v>
      </c>
      <c r="AB3893" s="197">
        <f t="shared" si="1170"/>
        <v>561990</v>
      </c>
      <c r="AC3893" s="198">
        <f t="shared" si="1174"/>
        <v>67438.8</v>
      </c>
      <c r="AD3893" s="169">
        <v>0.12</v>
      </c>
      <c r="AE3893" s="199">
        <f t="shared" si="1175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68"/>
        <v>29497483.159292053</v>
      </c>
      <c r="AJ3893" s="200">
        <f t="shared" si="1169"/>
        <v>3539697.9791150414</v>
      </c>
      <c r="AK3893" s="201">
        <f t="shared" si="1176"/>
        <v>0.11999999999999983</v>
      </c>
      <c r="AL3893" s="24"/>
      <c r="AM3893" s="24"/>
      <c r="AN3893" s="24"/>
      <c r="AO3893" s="24"/>
      <c r="AP3893" s="165" t="str">
        <f t="shared" si="1177"/>
        <v>20254</v>
      </c>
      <c r="AQ3893" s="203" t="str">
        <f t="shared" si="1178"/>
        <v>20254USD</v>
      </c>
      <c r="AR3893" s="206" t="str">
        <f t="shared" si="1179"/>
        <v>YAMAHA_Mounter</v>
      </c>
      <c r="AS3893" s="22">
        <f t="shared" si="1180"/>
        <v>3</v>
      </c>
      <c r="AT3893" s="24" t="str">
        <f t="shared" si="1181"/>
        <v>0-3 months</v>
      </c>
      <c r="AU3893" s="22" t="s">
        <v>3749</v>
      </c>
    </row>
    <row r="3894" spans="1:47">
      <c r="A3894" s="33" t="str">
        <f t="shared" si="1172"/>
        <v>FY 24/25</v>
      </c>
      <c r="B3894" s="23">
        <v>2025</v>
      </c>
      <c r="C3894" s="23">
        <v>1</v>
      </c>
      <c r="D3894" s="202" t="str">
        <f t="shared" si="1183"/>
        <v>Q4</v>
      </c>
      <c r="E3894" s="33" t="str">
        <f t="shared" si="1171"/>
        <v>FY 25/26</v>
      </c>
      <c r="F3894" s="23">
        <v>2025</v>
      </c>
      <c r="G3894" s="23">
        <v>4</v>
      </c>
      <c r="H3894" s="29"/>
      <c r="I3894" s="204" t="str">
        <f t="shared" si="1173"/>
        <v>Q1</v>
      </c>
      <c r="J3894" s="188" t="s">
        <v>3754</v>
      </c>
      <c r="K3894" s="29" t="s">
        <v>3611</v>
      </c>
      <c r="L3894" s="24" t="s">
        <v>67</v>
      </c>
      <c r="M3894" s="13" t="s">
        <v>60</v>
      </c>
      <c r="N3894" s="22">
        <v>1</v>
      </c>
      <c r="O3894" s="22"/>
      <c r="P3894" s="202" t="str">
        <f t="shared" si="1182"/>
        <v>MAIN UNIT</v>
      </c>
      <c r="Q3894" s="22" t="s">
        <v>61</v>
      </c>
      <c r="R3894" s="22" t="s">
        <v>62</v>
      </c>
      <c r="S3894" s="22" t="s">
        <v>49</v>
      </c>
      <c r="T3894" s="22" t="s">
        <v>78</v>
      </c>
      <c r="U3894" s="22" t="s">
        <v>1038</v>
      </c>
      <c r="V3894" s="22" t="s">
        <v>131</v>
      </c>
      <c r="W3894" s="22" t="s">
        <v>901</v>
      </c>
      <c r="X3894" s="104">
        <v>72050</v>
      </c>
      <c r="Y3894" s="195" t="str">
        <f t="shared" si="1185"/>
        <v>1</v>
      </c>
      <c r="Z3894" s="196">
        <f t="shared" si="1184"/>
        <v>72050</v>
      </c>
      <c r="AA3894" s="22">
        <v>7.8</v>
      </c>
      <c r="AB3894" s="197">
        <f t="shared" si="1170"/>
        <v>561990</v>
      </c>
      <c r="AC3894" s="198">
        <f t="shared" si="1174"/>
        <v>67438.8</v>
      </c>
      <c r="AD3894" s="169">
        <v>0.12</v>
      </c>
      <c r="AE3894" s="199">
        <f t="shared" si="1175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68"/>
        <v>29497483.159292053</v>
      </c>
      <c r="AJ3894" s="200">
        <f t="shared" si="1169"/>
        <v>3539697.9791150414</v>
      </c>
      <c r="AK3894" s="201">
        <f t="shared" si="1176"/>
        <v>0.11999999999999983</v>
      </c>
      <c r="AL3894" s="24"/>
      <c r="AM3894" s="24"/>
      <c r="AN3894" s="24"/>
      <c r="AO3894" s="24"/>
      <c r="AP3894" s="165" t="str">
        <f t="shared" si="1177"/>
        <v>20254</v>
      </c>
      <c r="AQ3894" s="203" t="str">
        <f t="shared" si="1178"/>
        <v>20254USD</v>
      </c>
      <c r="AR3894" s="206" t="str">
        <f t="shared" si="1179"/>
        <v>YAMAHA_Mounter</v>
      </c>
      <c r="AS3894" s="22">
        <f t="shared" si="1180"/>
        <v>3</v>
      </c>
      <c r="AT3894" s="24" t="str">
        <f t="shared" si="1181"/>
        <v>0-3 months</v>
      </c>
      <c r="AU3894" s="22" t="s">
        <v>3749</v>
      </c>
    </row>
    <row r="3895" spans="1:47">
      <c r="A3895" s="33" t="str">
        <f t="shared" si="1172"/>
        <v>FY 24/25</v>
      </c>
      <c r="B3895" s="23">
        <v>2025</v>
      </c>
      <c r="C3895" s="23">
        <v>1</v>
      </c>
      <c r="D3895" s="202" t="str">
        <f t="shared" si="1183"/>
        <v>Q4</v>
      </c>
      <c r="E3895" s="33" t="str">
        <f t="shared" si="1171"/>
        <v>FY 25/26</v>
      </c>
      <c r="F3895" s="23">
        <v>2025</v>
      </c>
      <c r="G3895" s="23">
        <v>4</v>
      </c>
      <c r="H3895" s="29"/>
      <c r="I3895" s="204" t="str">
        <f t="shared" si="1173"/>
        <v>Q1</v>
      </c>
      <c r="J3895" s="188" t="s">
        <v>3683</v>
      </c>
      <c r="K3895" s="29" t="s">
        <v>1830</v>
      </c>
      <c r="L3895" s="24" t="s">
        <v>3684</v>
      </c>
      <c r="M3895" s="13" t="s">
        <v>60</v>
      </c>
      <c r="N3895" s="22">
        <v>1</v>
      </c>
      <c r="O3895" s="22"/>
      <c r="P3895" s="202" t="str">
        <f t="shared" si="1182"/>
        <v>MAIN UNIT</v>
      </c>
      <c r="Q3895" s="22" t="s">
        <v>61</v>
      </c>
      <c r="R3895" s="22" t="s">
        <v>2055</v>
      </c>
      <c r="S3895" s="22" t="s">
        <v>50</v>
      </c>
      <c r="T3895" s="22" t="s">
        <v>93</v>
      </c>
      <c r="U3895" s="22" t="s">
        <v>70</v>
      </c>
      <c r="V3895" s="22" t="s">
        <v>102</v>
      </c>
      <c r="W3895" s="22" t="s">
        <v>64</v>
      </c>
      <c r="X3895" s="104">
        <v>306400</v>
      </c>
      <c r="Y3895" s="195" t="str">
        <f t="shared" si="1185"/>
        <v>1.13</v>
      </c>
      <c r="Z3895" s="196">
        <f t="shared" si="1184"/>
        <v>306400</v>
      </c>
      <c r="AA3895" s="22">
        <v>1.0669999999999999</v>
      </c>
      <c r="AB3895" s="197">
        <f t="shared" si="1170"/>
        <v>289317.52212389384</v>
      </c>
      <c r="AC3895" s="198">
        <f t="shared" si="1174"/>
        <v>34718.10265486726</v>
      </c>
      <c r="AD3895" s="169">
        <v>0.12</v>
      </c>
      <c r="AE3895" s="199">
        <f t="shared" si="1175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68"/>
        <v>29497483.159292053</v>
      </c>
      <c r="AJ3895" s="200">
        <f t="shared" si="1169"/>
        <v>3539697.9791150414</v>
      </c>
      <c r="AK3895" s="201">
        <f t="shared" si="1176"/>
        <v>0.11999999999999983</v>
      </c>
      <c r="AL3895" s="24"/>
      <c r="AM3895" s="24"/>
      <c r="AN3895" s="24"/>
      <c r="AO3895" s="24"/>
      <c r="AP3895" s="165" t="str">
        <f t="shared" si="1177"/>
        <v>20254</v>
      </c>
      <c r="AQ3895" s="203" t="str">
        <f t="shared" si="1178"/>
        <v>20254RMB</v>
      </c>
      <c r="AR3895" s="206" t="str">
        <f t="shared" si="1179"/>
        <v>YAMAHA_Non_Mounter</v>
      </c>
      <c r="AS3895" s="22">
        <f t="shared" si="1180"/>
        <v>3</v>
      </c>
      <c r="AT3895" s="24" t="str">
        <f t="shared" si="1181"/>
        <v>0-3 months</v>
      </c>
      <c r="AU3895" s="22" t="s">
        <v>3240</v>
      </c>
    </row>
    <row r="3896" spans="1:47">
      <c r="A3896" s="33" t="str">
        <f t="shared" si="1172"/>
        <v>FY 24/25</v>
      </c>
      <c r="B3896" s="23">
        <v>2025</v>
      </c>
      <c r="C3896" s="23">
        <v>1</v>
      </c>
      <c r="D3896" s="202" t="str">
        <f t="shared" si="1183"/>
        <v>Q4</v>
      </c>
      <c r="E3896" s="33" t="str">
        <f t="shared" si="1171"/>
        <v>FY 25/26</v>
      </c>
      <c r="F3896" s="23">
        <v>2025</v>
      </c>
      <c r="G3896" s="23">
        <v>4</v>
      </c>
      <c r="H3896" s="29"/>
      <c r="I3896" s="204" t="str">
        <f>IFERROR(IF(F3896="","",IF(F3896="TBA","TBA",IF(F3896="Cancel","Cancel",IF(AND(#REF!&gt;=10,#REF!&lt;=12),"Q3",IF(AND(#REF!&gt;=1,#REF!&lt;=3),"Q4",IF(AND(#REF!&gt;=7,#REF!&lt;=9),"Q2",IF(AND(#REF!&gt;=4,#REF!&lt;=6),"Q1"))))))),"")</f>
        <v/>
      </c>
      <c r="J3896" s="188" t="s">
        <v>3683</v>
      </c>
      <c r="K3896" s="29" t="s">
        <v>1830</v>
      </c>
      <c r="L3896" s="24" t="s">
        <v>3684</v>
      </c>
      <c r="M3896" s="13" t="s">
        <v>60</v>
      </c>
      <c r="N3896" s="22">
        <v>1</v>
      </c>
      <c r="O3896" s="22"/>
      <c r="P3896" s="202" t="str">
        <f t="shared" si="1182"/>
        <v>MAIN UNIT</v>
      </c>
      <c r="Q3896" s="22" t="s">
        <v>61</v>
      </c>
      <c r="R3896" s="22" t="s">
        <v>2055</v>
      </c>
      <c r="S3896" s="22" t="s">
        <v>50</v>
      </c>
      <c r="T3896" s="22" t="s">
        <v>93</v>
      </c>
      <c r="U3896" s="22" t="s">
        <v>70</v>
      </c>
      <c r="V3896" s="22" t="s">
        <v>102</v>
      </c>
      <c r="W3896" s="22" t="s">
        <v>64</v>
      </c>
      <c r="X3896" s="104">
        <v>306400</v>
      </c>
      <c r="Y3896" s="195" t="str">
        <f t="shared" si="1185"/>
        <v>1.13</v>
      </c>
      <c r="Z3896" s="196">
        <f t="shared" si="1184"/>
        <v>306400</v>
      </c>
      <c r="AA3896" s="22">
        <v>1.0669999999999999</v>
      </c>
      <c r="AB3896" s="197">
        <f t="shared" si="1170"/>
        <v>289317.52212389384</v>
      </c>
      <c r="AC3896" s="198">
        <f t="shared" si="1174"/>
        <v>34718.10265486726</v>
      </c>
      <c r="AD3896" s="169">
        <v>0.12</v>
      </c>
      <c r="AE3896" s="199">
        <f t="shared" si="1175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68"/>
        <v>29497483.159292053</v>
      </c>
      <c r="AJ3896" s="200">
        <f t="shared" si="1169"/>
        <v>3539697.9791150414</v>
      </c>
      <c r="AK3896" s="201">
        <f t="shared" ref="AK3896" si="1186">IF(AJ3896&gt;0,AJ3896/AI3896,"")</f>
        <v>0.11999999999999983</v>
      </c>
      <c r="AL3896" s="24"/>
      <c r="AM3896" s="24"/>
      <c r="AN3896" s="24"/>
      <c r="AO3896" s="24"/>
      <c r="AP3896" s="165" t="str">
        <f t="shared" ref="AP3896" si="1187">IF(F3896="","",F3896&amp;G3896)</f>
        <v>20254</v>
      </c>
      <c r="AQ3896" s="203" t="str">
        <f t="shared" ref="AQ3896" si="1188">IF(W3896="","",F3896&amp;G3896&amp;W3896)</f>
        <v>20254RMB</v>
      </c>
      <c r="AR3896" s="206" t="str">
        <f t="shared" ref="AR3896" si="1189">IFERROR(IF(AND(M3896="YAMAHA", R3896="C28"), "YAMAHA_Non_Mounter", IF(AND(M3896="YAMAHA", R3896="C49"), "YAMAHA_Mounter", M3896)),"")</f>
        <v>YAMAHA_Non_Mounter</v>
      </c>
      <c r="AS3896" s="22">
        <f t="shared" ref="AS3896" si="1190">IFERROR(IF(OR(G3896="TBA", G3896=""), "", DATEDIF(DATE(B3896, C3896, 1), DATE(F3896, G3896, 1), "M")),"")</f>
        <v>3</v>
      </c>
      <c r="AT3896" s="24" t="str">
        <f t="shared" ref="AT3896" si="1191">IF(ISNUMBER(AS3896), IF(AS3896&gt;=0, IF(AS3896&lt;=3, "0-3 months", IF(AS3896&lt;=6, "4-6 months", "&gt; 6 months"))), "")</f>
        <v>0-3 months</v>
      </c>
      <c r="AU3896" s="22" t="s">
        <v>3240</v>
      </c>
    </row>
    <row r="3897" spans="1:47">
      <c r="A3897" s="33" t="str">
        <f t="shared" si="1172"/>
        <v>FY 24/25</v>
      </c>
      <c r="B3897" s="23">
        <v>2025</v>
      </c>
      <c r="C3897" s="23">
        <v>1</v>
      </c>
      <c r="D3897" s="202" t="str">
        <f t="shared" si="1183"/>
        <v>Q4</v>
      </c>
      <c r="E3897" s="33" t="str">
        <f t="shared" si="1171"/>
        <v>FY 25/26</v>
      </c>
      <c r="F3897" s="23">
        <v>2025</v>
      </c>
      <c r="G3897" s="23">
        <v>4</v>
      </c>
      <c r="H3897" s="29"/>
      <c r="I3897" s="204" t="str">
        <f t="shared" si="1173"/>
        <v>Q1</v>
      </c>
      <c r="J3897" s="188" t="s">
        <v>3683</v>
      </c>
      <c r="K3897" s="29" t="s">
        <v>1830</v>
      </c>
      <c r="L3897" s="24" t="s">
        <v>92</v>
      </c>
      <c r="M3897" s="13" t="s">
        <v>60</v>
      </c>
      <c r="N3897" s="22">
        <v>1</v>
      </c>
      <c r="O3897" s="22"/>
      <c r="P3897" s="202" t="str">
        <f t="shared" si="1182"/>
        <v>MAIN UNIT</v>
      </c>
      <c r="Q3897" s="22" t="s">
        <v>61</v>
      </c>
      <c r="R3897" s="22" t="s">
        <v>62</v>
      </c>
      <c r="S3897" s="22" t="s">
        <v>50</v>
      </c>
      <c r="T3897" s="22" t="s">
        <v>93</v>
      </c>
      <c r="U3897" s="22" t="s">
        <v>70</v>
      </c>
      <c r="V3897" s="22" t="s">
        <v>102</v>
      </c>
      <c r="W3897" s="22" t="s">
        <v>64</v>
      </c>
      <c r="X3897" s="104">
        <v>750000</v>
      </c>
      <c r="Y3897" s="195" t="str">
        <f t="shared" si="1185"/>
        <v>1.13</v>
      </c>
      <c r="Z3897" s="196">
        <f t="shared" si="1184"/>
        <v>750000</v>
      </c>
      <c r="AA3897" s="22">
        <v>1.0669999999999999</v>
      </c>
      <c r="AB3897" s="197">
        <f t="shared" si="1170"/>
        <v>708185.84070796473</v>
      </c>
      <c r="AC3897" s="198">
        <f t="shared" si="1174"/>
        <v>84982.300884955766</v>
      </c>
      <c r="AD3897" s="169">
        <v>0.12</v>
      </c>
      <c r="AE3897" s="199">
        <f t="shared" si="1175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68"/>
        <v>29497483.159292053</v>
      </c>
      <c r="AJ3897" s="200">
        <f t="shared" si="1169"/>
        <v>3539697.9791150414</v>
      </c>
      <c r="AK3897" s="201">
        <f t="shared" si="1176"/>
        <v>0.11999999999999983</v>
      </c>
      <c r="AL3897" s="24"/>
      <c r="AM3897" s="24"/>
      <c r="AN3897" s="24"/>
      <c r="AO3897" s="24"/>
      <c r="AP3897" s="165" t="str">
        <f t="shared" si="1177"/>
        <v>20254</v>
      </c>
      <c r="AQ3897" s="203" t="str">
        <f t="shared" si="1178"/>
        <v>20254RMB</v>
      </c>
      <c r="AR3897" s="206" t="str">
        <f t="shared" si="1179"/>
        <v>YAMAHA_Mounter</v>
      </c>
      <c r="AS3897" s="22">
        <f t="shared" si="1180"/>
        <v>3</v>
      </c>
      <c r="AT3897" s="24" t="str">
        <f t="shared" si="1181"/>
        <v>0-3 months</v>
      </c>
      <c r="AU3897" s="22" t="s">
        <v>3240</v>
      </c>
    </row>
    <row r="3898" spans="1:47">
      <c r="A3898" s="33" t="str">
        <f t="shared" si="1172"/>
        <v>FY 24/25</v>
      </c>
      <c r="B3898" s="23">
        <v>2025</v>
      </c>
      <c r="C3898" s="23">
        <v>1</v>
      </c>
      <c r="D3898" s="202" t="str">
        <f t="shared" si="1183"/>
        <v>Q4</v>
      </c>
      <c r="E3898" s="33" t="str">
        <f t="shared" si="1171"/>
        <v>FY 25/26</v>
      </c>
      <c r="F3898" s="23">
        <v>2025</v>
      </c>
      <c r="G3898" s="23">
        <v>4</v>
      </c>
      <c r="H3898" s="29"/>
      <c r="I3898" s="204" t="str">
        <f t="shared" si="1173"/>
        <v>Q1</v>
      </c>
      <c r="J3898" s="188" t="s">
        <v>3683</v>
      </c>
      <c r="K3898" s="29" t="s">
        <v>1830</v>
      </c>
      <c r="L3898" s="24" t="s">
        <v>92</v>
      </c>
      <c r="M3898" s="13" t="s">
        <v>60</v>
      </c>
      <c r="N3898" s="22">
        <v>1</v>
      </c>
      <c r="O3898" s="22"/>
      <c r="P3898" s="202" t="str">
        <f t="shared" si="1182"/>
        <v>MAIN UNIT</v>
      </c>
      <c r="Q3898" s="22" t="s">
        <v>61</v>
      </c>
      <c r="R3898" s="22" t="s">
        <v>62</v>
      </c>
      <c r="S3898" s="22" t="s">
        <v>50</v>
      </c>
      <c r="T3898" s="22" t="s">
        <v>93</v>
      </c>
      <c r="U3898" s="22" t="s">
        <v>70</v>
      </c>
      <c r="V3898" s="22" t="s">
        <v>102</v>
      </c>
      <c r="W3898" s="22" t="s">
        <v>64</v>
      </c>
      <c r="X3898" s="104">
        <v>750000</v>
      </c>
      <c r="Y3898" s="195" t="str">
        <f t="shared" si="1185"/>
        <v>1.13</v>
      </c>
      <c r="Z3898" s="196">
        <f t="shared" si="1184"/>
        <v>750000</v>
      </c>
      <c r="AA3898" s="22">
        <v>1.0669999999999999</v>
      </c>
      <c r="AB3898" s="197">
        <f t="shared" si="1170"/>
        <v>708185.84070796473</v>
      </c>
      <c r="AC3898" s="198">
        <f t="shared" si="1174"/>
        <v>84982.300884955766</v>
      </c>
      <c r="AD3898" s="169">
        <v>0.12</v>
      </c>
      <c r="AE3898" s="199">
        <f t="shared" si="1175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68"/>
        <v>29497483.159292053</v>
      </c>
      <c r="AJ3898" s="200">
        <f t="shared" si="1169"/>
        <v>3539697.9791150414</v>
      </c>
      <c r="AK3898" s="201">
        <f t="shared" si="1176"/>
        <v>0.11999999999999983</v>
      </c>
      <c r="AL3898" s="24"/>
      <c r="AM3898" s="24"/>
      <c r="AN3898" s="24"/>
      <c r="AO3898" s="24"/>
      <c r="AP3898" s="165" t="str">
        <f t="shared" si="1177"/>
        <v>20254</v>
      </c>
      <c r="AQ3898" s="203" t="str">
        <f t="shared" si="1178"/>
        <v>20254RMB</v>
      </c>
      <c r="AR3898" s="206" t="str">
        <f t="shared" si="1179"/>
        <v>YAMAHA_Mounter</v>
      </c>
      <c r="AS3898" s="22">
        <f t="shared" si="1180"/>
        <v>3</v>
      </c>
      <c r="AT3898" s="24" t="str">
        <f t="shared" si="1181"/>
        <v>0-3 months</v>
      </c>
      <c r="AU3898" s="22" t="s">
        <v>3240</v>
      </c>
    </row>
    <row r="3899" spans="1:47">
      <c r="A3899" s="33" t="str">
        <f t="shared" si="1172"/>
        <v>FY 24/25</v>
      </c>
      <c r="B3899" s="23">
        <v>2025</v>
      </c>
      <c r="C3899" s="23">
        <v>1</v>
      </c>
      <c r="D3899" s="202" t="str">
        <f t="shared" si="1183"/>
        <v>Q4</v>
      </c>
      <c r="E3899" s="33" t="str">
        <f t="shared" si="1171"/>
        <v>FY 25/26</v>
      </c>
      <c r="F3899" s="23">
        <v>2025</v>
      </c>
      <c r="G3899" s="23">
        <v>4</v>
      </c>
      <c r="H3899" s="29"/>
      <c r="I3899" s="204" t="str">
        <f t="shared" si="1173"/>
        <v>Q1</v>
      </c>
      <c r="J3899" s="188" t="s">
        <v>3683</v>
      </c>
      <c r="K3899" s="29" t="s">
        <v>1830</v>
      </c>
      <c r="L3899" s="24" t="s">
        <v>92</v>
      </c>
      <c r="M3899" s="13" t="s">
        <v>60</v>
      </c>
      <c r="N3899" s="22">
        <v>1</v>
      </c>
      <c r="O3899" s="22"/>
      <c r="P3899" s="202" t="str">
        <f t="shared" si="1182"/>
        <v>MAIN UNIT</v>
      </c>
      <c r="Q3899" s="22" t="s">
        <v>61</v>
      </c>
      <c r="R3899" s="22" t="s">
        <v>62</v>
      </c>
      <c r="S3899" s="22" t="s">
        <v>50</v>
      </c>
      <c r="T3899" s="22" t="s">
        <v>93</v>
      </c>
      <c r="U3899" s="22" t="s">
        <v>70</v>
      </c>
      <c r="V3899" s="22" t="s">
        <v>102</v>
      </c>
      <c r="W3899" s="22" t="s">
        <v>64</v>
      </c>
      <c r="X3899" s="104">
        <v>750000</v>
      </c>
      <c r="Y3899" s="195" t="str">
        <f t="shared" si="1185"/>
        <v>1.13</v>
      </c>
      <c r="Z3899" s="196">
        <f t="shared" si="1184"/>
        <v>750000</v>
      </c>
      <c r="AA3899" s="22">
        <v>1.0669999999999999</v>
      </c>
      <c r="AB3899" s="197">
        <f t="shared" si="1170"/>
        <v>708185.84070796473</v>
      </c>
      <c r="AC3899" s="198">
        <f t="shared" si="1174"/>
        <v>84982.300884955766</v>
      </c>
      <c r="AD3899" s="169">
        <v>0.12</v>
      </c>
      <c r="AE3899" s="199">
        <f t="shared" si="1175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68"/>
        <v>29497483.159292053</v>
      </c>
      <c r="AJ3899" s="200">
        <f t="shared" si="1169"/>
        <v>3539697.9791150414</v>
      </c>
      <c r="AK3899" s="201">
        <f t="shared" si="1176"/>
        <v>0.11999999999999983</v>
      </c>
      <c r="AL3899" s="24"/>
      <c r="AM3899" s="24"/>
      <c r="AN3899" s="24"/>
      <c r="AO3899" s="24"/>
      <c r="AP3899" s="165" t="str">
        <f t="shared" si="1177"/>
        <v>20254</v>
      </c>
      <c r="AQ3899" s="203" t="str">
        <f t="shared" si="1178"/>
        <v>20254RMB</v>
      </c>
      <c r="AR3899" s="206" t="str">
        <f t="shared" si="1179"/>
        <v>YAMAHA_Mounter</v>
      </c>
      <c r="AS3899" s="22">
        <f t="shared" si="1180"/>
        <v>3</v>
      </c>
      <c r="AT3899" s="24" t="str">
        <f t="shared" si="1181"/>
        <v>0-3 months</v>
      </c>
      <c r="AU3899" s="22" t="s">
        <v>3240</v>
      </c>
    </row>
    <row r="3900" spans="1:47">
      <c r="A3900" s="33" t="str">
        <f t="shared" si="1172"/>
        <v>FY 24/25</v>
      </c>
      <c r="B3900" s="23">
        <v>2025</v>
      </c>
      <c r="C3900" s="23">
        <v>1</v>
      </c>
      <c r="D3900" s="202" t="str">
        <f t="shared" si="1183"/>
        <v>Q4</v>
      </c>
      <c r="E3900" s="33" t="str">
        <f t="shared" si="1171"/>
        <v>FY 25/26</v>
      </c>
      <c r="F3900" s="23">
        <v>2025</v>
      </c>
      <c r="G3900" s="23">
        <v>4</v>
      </c>
      <c r="H3900" s="29"/>
      <c r="I3900" s="204" t="str">
        <f t="shared" si="1173"/>
        <v>Q1</v>
      </c>
      <c r="J3900" s="188" t="s">
        <v>3683</v>
      </c>
      <c r="K3900" s="29" t="s">
        <v>1830</v>
      </c>
      <c r="L3900" s="24" t="s">
        <v>92</v>
      </c>
      <c r="M3900" s="13" t="s">
        <v>60</v>
      </c>
      <c r="N3900" s="22">
        <v>1</v>
      </c>
      <c r="O3900" s="22"/>
      <c r="P3900" s="202" t="str">
        <f t="shared" si="1182"/>
        <v>MAIN UNIT</v>
      </c>
      <c r="Q3900" s="22" t="s">
        <v>61</v>
      </c>
      <c r="R3900" s="22" t="s">
        <v>62</v>
      </c>
      <c r="S3900" s="22" t="s">
        <v>50</v>
      </c>
      <c r="T3900" s="22" t="s">
        <v>93</v>
      </c>
      <c r="U3900" s="22" t="s">
        <v>70</v>
      </c>
      <c r="V3900" s="22" t="s">
        <v>102</v>
      </c>
      <c r="W3900" s="22" t="s">
        <v>64</v>
      </c>
      <c r="X3900" s="104">
        <v>750000</v>
      </c>
      <c r="Y3900" s="195" t="str">
        <f t="shared" si="1185"/>
        <v>1.13</v>
      </c>
      <c r="Z3900" s="196">
        <f t="shared" si="1184"/>
        <v>750000</v>
      </c>
      <c r="AA3900" s="22">
        <v>1.0669999999999999</v>
      </c>
      <c r="AB3900" s="197">
        <f t="shared" si="1170"/>
        <v>708185.84070796473</v>
      </c>
      <c r="AC3900" s="198">
        <f t="shared" si="1174"/>
        <v>84982.300884955766</v>
      </c>
      <c r="AD3900" s="169">
        <v>0.12</v>
      </c>
      <c r="AE3900" s="199">
        <f t="shared" si="1175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68"/>
        <v>29497483.159292053</v>
      </c>
      <c r="AJ3900" s="200">
        <f t="shared" si="1169"/>
        <v>3539697.9791150414</v>
      </c>
      <c r="AK3900" s="201">
        <f t="shared" si="1176"/>
        <v>0.11999999999999983</v>
      </c>
      <c r="AL3900" s="24"/>
      <c r="AM3900" s="24"/>
      <c r="AN3900" s="24"/>
      <c r="AO3900" s="24"/>
      <c r="AP3900" s="165" t="str">
        <f t="shared" si="1177"/>
        <v>20254</v>
      </c>
      <c r="AQ3900" s="203" t="str">
        <f t="shared" si="1178"/>
        <v>20254RMB</v>
      </c>
      <c r="AR3900" s="206" t="str">
        <f t="shared" si="1179"/>
        <v>YAMAHA_Mounter</v>
      </c>
      <c r="AS3900" s="22">
        <f t="shared" si="1180"/>
        <v>3</v>
      </c>
      <c r="AT3900" s="24" t="str">
        <f t="shared" si="1181"/>
        <v>0-3 months</v>
      </c>
      <c r="AU3900" s="22" t="s">
        <v>3240</v>
      </c>
    </row>
    <row r="3901" spans="1:47">
      <c r="A3901" s="33" t="str">
        <f t="shared" si="1172"/>
        <v>FY 24/25</v>
      </c>
      <c r="B3901" s="23">
        <v>2025</v>
      </c>
      <c r="C3901" s="23">
        <v>1</v>
      </c>
      <c r="D3901" s="202" t="str">
        <f t="shared" si="1183"/>
        <v>Q4</v>
      </c>
      <c r="E3901" s="33" t="str">
        <f t="shared" si="1171"/>
        <v>FY 25/26</v>
      </c>
      <c r="F3901" s="23">
        <v>2025</v>
      </c>
      <c r="G3901" s="23">
        <v>4</v>
      </c>
      <c r="H3901" s="29"/>
      <c r="I3901" s="204" t="str">
        <f t="shared" si="1173"/>
        <v>Q1</v>
      </c>
      <c r="J3901" s="188" t="s">
        <v>3683</v>
      </c>
      <c r="K3901" s="29" t="s">
        <v>1830</v>
      </c>
      <c r="L3901" s="24" t="s">
        <v>92</v>
      </c>
      <c r="M3901" s="13" t="s">
        <v>60</v>
      </c>
      <c r="N3901" s="22">
        <v>1</v>
      </c>
      <c r="O3901" s="22"/>
      <c r="P3901" s="202" t="str">
        <f t="shared" si="1182"/>
        <v>MAIN UNIT</v>
      </c>
      <c r="Q3901" s="22" t="s">
        <v>61</v>
      </c>
      <c r="R3901" s="22" t="s">
        <v>62</v>
      </c>
      <c r="S3901" s="22" t="s">
        <v>50</v>
      </c>
      <c r="T3901" s="22" t="s">
        <v>93</v>
      </c>
      <c r="U3901" s="22" t="s">
        <v>70</v>
      </c>
      <c r="V3901" s="22" t="s">
        <v>102</v>
      </c>
      <c r="W3901" s="22" t="s">
        <v>64</v>
      </c>
      <c r="X3901" s="104">
        <v>750000</v>
      </c>
      <c r="Y3901" s="195" t="str">
        <f t="shared" si="1185"/>
        <v>1.13</v>
      </c>
      <c r="Z3901" s="196">
        <f t="shared" si="1184"/>
        <v>750000</v>
      </c>
      <c r="AA3901" s="22">
        <v>1.0669999999999999</v>
      </c>
      <c r="AB3901" s="197">
        <f t="shared" si="1170"/>
        <v>708185.84070796473</v>
      </c>
      <c r="AC3901" s="198">
        <f t="shared" si="1174"/>
        <v>84982.300884955766</v>
      </c>
      <c r="AD3901" s="169">
        <v>0.12</v>
      </c>
      <c r="AE3901" s="199">
        <f t="shared" si="1175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68"/>
        <v>29497483.159292053</v>
      </c>
      <c r="AJ3901" s="200">
        <f t="shared" si="1169"/>
        <v>3539697.9791150414</v>
      </c>
      <c r="AK3901" s="201">
        <f t="shared" si="1176"/>
        <v>0.11999999999999983</v>
      </c>
      <c r="AL3901" s="24"/>
      <c r="AM3901" s="24"/>
      <c r="AN3901" s="24"/>
      <c r="AO3901" s="24"/>
      <c r="AP3901" s="165" t="str">
        <f t="shared" si="1177"/>
        <v>20254</v>
      </c>
      <c r="AQ3901" s="203" t="str">
        <f t="shared" si="1178"/>
        <v>20254RMB</v>
      </c>
      <c r="AR3901" s="206" t="str">
        <f t="shared" si="1179"/>
        <v>YAMAHA_Mounter</v>
      </c>
      <c r="AS3901" s="22">
        <f t="shared" si="1180"/>
        <v>3</v>
      </c>
      <c r="AT3901" s="24" t="str">
        <f t="shared" si="1181"/>
        <v>0-3 months</v>
      </c>
      <c r="AU3901" s="22" t="s">
        <v>3240</v>
      </c>
    </row>
    <row r="3902" spans="1:47">
      <c r="A3902" s="33" t="str">
        <f t="shared" si="1172"/>
        <v>FY 24/25</v>
      </c>
      <c r="B3902" s="23">
        <v>2025</v>
      </c>
      <c r="C3902" s="23">
        <v>1</v>
      </c>
      <c r="D3902" s="202" t="str">
        <f t="shared" si="1183"/>
        <v>Q4</v>
      </c>
      <c r="E3902" s="33" t="str">
        <f t="shared" si="1171"/>
        <v>FY 25/26</v>
      </c>
      <c r="F3902" s="23">
        <v>2025</v>
      </c>
      <c r="G3902" s="23">
        <v>4</v>
      </c>
      <c r="H3902" s="29"/>
      <c r="I3902" s="204" t="str">
        <f t="shared" si="1173"/>
        <v>Q1</v>
      </c>
      <c r="J3902" s="188" t="s">
        <v>3683</v>
      </c>
      <c r="K3902" s="29" t="s">
        <v>1830</v>
      </c>
      <c r="L3902" s="24" t="s">
        <v>92</v>
      </c>
      <c r="M3902" s="13" t="s">
        <v>60</v>
      </c>
      <c r="N3902" s="22">
        <v>1</v>
      </c>
      <c r="O3902" s="22"/>
      <c r="P3902" s="202" t="str">
        <f t="shared" si="1182"/>
        <v>MAIN UNIT</v>
      </c>
      <c r="Q3902" s="22" t="s">
        <v>61</v>
      </c>
      <c r="R3902" s="22" t="s">
        <v>62</v>
      </c>
      <c r="S3902" s="22" t="s">
        <v>50</v>
      </c>
      <c r="T3902" s="22" t="s">
        <v>93</v>
      </c>
      <c r="U3902" s="22" t="s">
        <v>70</v>
      </c>
      <c r="V3902" s="22" t="s">
        <v>102</v>
      </c>
      <c r="W3902" s="22" t="s">
        <v>64</v>
      </c>
      <c r="X3902" s="104">
        <v>750000</v>
      </c>
      <c r="Y3902" s="195" t="str">
        <f t="shared" si="1185"/>
        <v>1.13</v>
      </c>
      <c r="Z3902" s="196">
        <f t="shared" si="1184"/>
        <v>750000</v>
      </c>
      <c r="AA3902" s="22">
        <v>1.0669999999999999</v>
      </c>
      <c r="AB3902" s="197">
        <f t="shared" si="1170"/>
        <v>708185.84070796473</v>
      </c>
      <c r="AC3902" s="198">
        <f t="shared" si="1174"/>
        <v>84982.300884955766</v>
      </c>
      <c r="AD3902" s="169">
        <v>0.12</v>
      </c>
      <c r="AE3902" s="199">
        <f t="shared" si="1175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68"/>
        <v>29497483.159292053</v>
      </c>
      <c r="AJ3902" s="200">
        <f t="shared" si="1169"/>
        <v>3539697.9791150414</v>
      </c>
      <c r="AK3902" s="201">
        <f t="shared" si="1176"/>
        <v>0.11999999999999983</v>
      </c>
      <c r="AL3902" s="24"/>
      <c r="AM3902" s="24"/>
      <c r="AN3902" s="24"/>
      <c r="AO3902" s="24"/>
      <c r="AP3902" s="165" t="str">
        <f t="shared" si="1177"/>
        <v>20254</v>
      </c>
      <c r="AQ3902" s="203" t="str">
        <f t="shared" si="1178"/>
        <v>20254RMB</v>
      </c>
      <c r="AR3902" s="206" t="str">
        <f t="shared" si="1179"/>
        <v>YAMAHA_Mounter</v>
      </c>
      <c r="AS3902" s="22">
        <f t="shared" si="1180"/>
        <v>3</v>
      </c>
      <c r="AT3902" s="24" t="str">
        <f t="shared" si="1181"/>
        <v>0-3 months</v>
      </c>
      <c r="AU3902" s="22" t="s">
        <v>3240</v>
      </c>
    </row>
    <row r="3903" spans="1:47">
      <c r="A3903" s="33" t="str">
        <f t="shared" si="1172"/>
        <v>FY 24/25</v>
      </c>
      <c r="B3903" s="23">
        <v>2025</v>
      </c>
      <c r="C3903" s="23">
        <v>1</v>
      </c>
      <c r="D3903" s="202" t="str">
        <f t="shared" si="1183"/>
        <v>Q4</v>
      </c>
      <c r="E3903" s="33" t="str">
        <f t="shared" si="1171"/>
        <v>FY 25/26</v>
      </c>
      <c r="F3903" s="23">
        <v>2025</v>
      </c>
      <c r="G3903" s="23">
        <v>4</v>
      </c>
      <c r="H3903" s="29"/>
      <c r="I3903" s="204" t="str">
        <f t="shared" si="1173"/>
        <v>Q1</v>
      </c>
      <c r="J3903" s="188" t="s">
        <v>3683</v>
      </c>
      <c r="K3903" s="29" t="s">
        <v>1830</v>
      </c>
      <c r="L3903" s="24" t="s">
        <v>92</v>
      </c>
      <c r="M3903" s="13" t="s">
        <v>60</v>
      </c>
      <c r="N3903" s="22">
        <v>1</v>
      </c>
      <c r="O3903" s="22"/>
      <c r="P3903" s="202" t="str">
        <f t="shared" si="1182"/>
        <v>MAIN UNIT</v>
      </c>
      <c r="Q3903" s="22" t="s">
        <v>61</v>
      </c>
      <c r="R3903" s="22" t="s">
        <v>62</v>
      </c>
      <c r="S3903" s="22" t="s">
        <v>50</v>
      </c>
      <c r="T3903" s="22" t="s">
        <v>93</v>
      </c>
      <c r="U3903" s="22" t="s">
        <v>70</v>
      </c>
      <c r="V3903" s="22" t="s">
        <v>102</v>
      </c>
      <c r="W3903" s="22" t="s">
        <v>64</v>
      </c>
      <c r="X3903" s="104">
        <v>750000</v>
      </c>
      <c r="Y3903" s="195" t="str">
        <f t="shared" si="1185"/>
        <v>1.13</v>
      </c>
      <c r="Z3903" s="196">
        <f t="shared" si="1184"/>
        <v>750000</v>
      </c>
      <c r="AA3903" s="22">
        <v>1.0669999999999999</v>
      </c>
      <c r="AB3903" s="197">
        <f t="shared" si="1170"/>
        <v>708185.84070796473</v>
      </c>
      <c r="AC3903" s="198">
        <f t="shared" si="1174"/>
        <v>84982.300884955766</v>
      </c>
      <c r="AD3903" s="169">
        <v>0.12</v>
      </c>
      <c r="AE3903" s="199">
        <f t="shared" si="1175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68"/>
        <v>29497483.159292053</v>
      </c>
      <c r="AJ3903" s="200">
        <f t="shared" si="1169"/>
        <v>3539697.9791150414</v>
      </c>
      <c r="AK3903" s="201">
        <f t="shared" si="1176"/>
        <v>0.11999999999999983</v>
      </c>
      <c r="AL3903" s="24"/>
      <c r="AM3903" s="24"/>
      <c r="AN3903" s="24"/>
      <c r="AO3903" s="24"/>
      <c r="AP3903" s="165" t="str">
        <f t="shared" si="1177"/>
        <v>20254</v>
      </c>
      <c r="AQ3903" s="203" t="str">
        <f t="shared" si="1178"/>
        <v>20254RMB</v>
      </c>
      <c r="AR3903" s="206" t="str">
        <f t="shared" si="1179"/>
        <v>YAMAHA_Mounter</v>
      </c>
      <c r="AS3903" s="22">
        <f t="shared" si="1180"/>
        <v>3</v>
      </c>
      <c r="AT3903" s="24" t="str">
        <f t="shared" si="1181"/>
        <v>0-3 months</v>
      </c>
      <c r="AU3903" s="22" t="s">
        <v>3240</v>
      </c>
    </row>
    <row r="3904" spans="1:47">
      <c r="A3904" s="33" t="str">
        <f t="shared" si="1172"/>
        <v>FY 24/25</v>
      </c>
      <c r="B3904" s="23">
        <v>2025</v>
      </c>
      <c r="C3904" s="23">
        <v>1</v>
      </c>
      <c r="D3904" s="202" t="str">
        <f t="shared" si="1183"/>
        <v>Q4</v>
      </c>
      <c r="E3904" s="33" t="str">
        <f t="shared" si="1171"/>
        <v>FY 25/26</v>
      </c>
      <c r="F3904" s="23">
        <v>2025</v>
      </c>
      <c r="G3904" s="23">
        <v>4</v>
      </c>
      <c r="H3904" s="29"/>
      <c r="I3904" s="204" t="str">
        <f t="shared" si="1173"/>
        <v>Q1</v>
      </c>
      <c r="J3904" s="188" t="s">
        <v>3683</v>
      </c>
      <c r="K3904" s="29" t="s">
        <v>1830</v>
      </c>
      <c r="L3904" s="24" t="s">
        <v>92</v>
      </c>
      <c r="M3904" s="13" t="s">
        <v>60</v>
      </c>
      <c r="N3904" s="22">
        <v>1</v>
      </c>
      <c r="O3904" s="22"/>
      <c r="P3904" s="202" t="str">
        <f t="shared" si="1182"/>
        <v>MAIN UNIT</v>
      </c>
      <c r="Q3904" s="22" t="s">
        <v>61</v>
      </c>
      <c r="R3904" s="22" t="s">
        <v>62</v>
      </c>
      <c r="S3904" s="22" t="s">
        <v>50</v>
      </c>
      <c r="T3904" s="22" t="s">
        <v>93</v>
      </c>
      <c r="U3904" s="22" t="s">
        <v>70</v>
      </c>
      <c r="V3904" s="22" t="s">
        <v>102</v>
      </c>
      <c r="W3904" s="22" t="s">
        <v>64</v>
      </c>
      <c r="X3904" s="104">
        <v>750000</v>
      </c>
      <c r="Y3904" s="195" t="str">
        <f t="shared" si="1185"/>
        <v>1.13</v>
      </c>
      <c r="Z3904" s="196">
        <f t="shared" si="1184"/>
        <v>750000</v>
      </c>
      <c r="AA3904" s="22">
        <v>1.0669999999999999</v>
      </c>
      <c r="AB3904" s="197">
        <f t="shared" si="1170"/>
        <v>708185.84070796473</v>
      </c>
      <c r="AC3904" s="198">
        <f t="shared" si="1174"/>
        <v>84982.300884955766</v>
      </c>
      <c r="AD3904" s="169">
        <v>0.12</v>
      </c>
      <c r="AE3904" s="199">
        <f t="shared" si="1175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68"/>
        <v>29497483.159292053</v>
      </c>
      <c r="AJ3904" s="200">
        <f t="shared" si="1169"/>
        <v>3539697.9791150414</v>
      </c>
      <c r="AK3904" s="201">
        <f t="shared" si="1176"/>
        <v>0.11999999999999983</v>
      </c>
      <c r="AL3904" s="24"/>
      <c r="AM3904" s="24"/>
      <c r="AN3904" s="24"/>
      <c r="AO3904" s="24"/>
      <c r="AP3904" s="165" t="str">
        <f t="shared" si="1177"/>
        <v>20254</v>
      </c>
      <c r="AQ3904" s="203" t="str">
        <f t="shared" si="1178"/>
        <v>20254RMB</v>
      </c>
      <c r="AR3904" s="206" t="str">
        <f t="shared" si="1179"/>
        <v>YAMAHA_Mounter</v>
      </c>
      <c r="AS3904" s="22">
        <f t="shared" si="1180"/>
        <v>3</v>
      </c>
      <c r="AT3904" s="24" t="str">
        <f t="shared" si="1181"/>
        <v>0-3 months</v>
      </c>
      <c r="AU3904" s="22" t="s">
        <v>3240</v>
      </c>
    </row>
    <row r="3905" spans="1:47">
      <c r="A3905" s="33" t="str">
        <f t="shared" si="1172"/>
        <v>FY 24/25</v>
      </c>
      <c r="B3905" s="23">
        <v>2025</v>
      </c>
      <c r="C3905" s="23">
        <v>1</v>
      </c>
      <c r="D3905" s="202" t="str">
        <f t="shared" si="1183"/>
        <v>Q4</v>
      </c>
      <c r="E3905" s="33" t="str">
        <f t="shared" si="1171"/>
        <v>FY 25/26</v>
      </c>
      <c r="F3905" s="23">
        <v>2025</v>
      </c>
      <c r="G3905" s="23">
        <v>4</v>
      </c>
      <c r="H3905" s="29"/>
      <c r="I3905" s="204" t="str">
        <f t="shared" si="1173"/>
        <v>Q1</v>
      </c>
      <c r="J3905" s="188" t="s">
        <v>3683</v>
      </c>
      <c r="K3905" s="29" t="s">
        <v>1830</v>
      </c>
      <c r="L3905" s="24" t="s">
        <v>92</v>
      </c>
      <c r="M3905" s="13" t="s">
        <v>60</v>
      </c>
      <c r="N3905" s="22">
        <v>1</v>
      </c>
      <c r="O3905" s="22"/>
      <c r="P3905" s="202" t="str">
        <f t="shared" si="1182"/>
        <v>MAIN UNIT</v>
      </c>
      <c r="Q3905" s="22" t="s">
        <v>61</v>
      </c>
      <c r="R3905" s="22" t="s">
        <v>62</v>
      </c>
      <c r="S3905" s="22" t="s">
        <v>50</v>
      </c>
      <c r="T3905" s="22" t="s">
        <v>93</v>
      </c>
      <c r="U3905" s="22" t="s">
        <v>70</v>
      </c>
      <c r="V3905" s="22" t="s">
        <v>102</v>
      </c>
      <c r="W3905" s="22" t="s">
        <v>64</v>
      </c>
      <c r="X3905" s="104">
        <v>750000</v>
      </c>
      <c r="Y3905" s="195" t="str">
        <f t="shared" si="1185"/>
        <v>1.13</v>
      </c>
      <c r="Z3905" s="196">
        <f t="shared" si="1184"/>
        <v>750000</v>
      </c>
      <c r="AA3905" s="22">
        <v>1.0669999999999999</v>
      </c>
      <c r="AB3905" s="197">
        <f t="shared" si="1170"/>
        <v>708185.84070796473</v>
      </c>
      <c r="AC3905" s="198">
        <f t="shared" si="1174"/>
        <v>84982.300884955766</v>
      </c>
      <c r="AD3905" s="169">
        <v>0.12</v>
      </c>
      <c r="AE3905" s="199">
        <f t="shared" si="1175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68"/>
        <v>29497483.159292053</v>
      </c>
      <c r="AJ3905" s="200">
        <f t="shared" si="1169"/>
        <v>3539697.9791150414</v>
      </c>
      <c r="AK3905" s="201">
        <f t="shared" si="1176"/>
        <v>0.11999999999999983</v>
      </c>
      <c r="AL3905" s="24"/>
      <c r="AM3905" s="24"/>
      <c r="AN3905" s="24"/>
      <c r="AO3905" s="24"/>
      <c r="AP3905" s="165" t="str">
        <f t="shared" si="1177"/>
        <v>20254</v>
      </c>
      <c r="AQ3905" s="203" t="str">
        <f t="shared" si="1178"/>
        <v>20254RMB</v>
      </c>
      <c r="AR3905" s="206" t="str">
        <f t="shared" si="1179"/>
        <v>YAMAHA_Mounter</v>
      </c>
      <c r="AS3905" s="22">
        <f t="shared" si="1180"/>
        <v>3</v>
      </c>
      <c r="AT3905" s="24" t="str">
        <f t="shared" si="1181"/>
        <v>0-3 months</v>
      </c>
      <c r="AU3905" s="22" t="s">
        <v>3240</v>
      </c>
    </row>
    <row r="3906" spans="1:47">
      <c r="A3906" s="33" t="str">
        <f t="shared" si="1172"/>
        <v>FY 24/25</v>
      </c>
      <c r="B3906" s="23">
        <v>2025</v>
      </c>
      <c r="C3906" s="23">
        <v>1</v>
      </c>
      <c r="D3906" s="202" t="str">
        <f t="shared" si="1183"/>
        <v>Q4</v>
      </c>
      <c r="E3906" s="33" t="str">
        <f t="shared" si="1171"/>
        <v>FY 25/26</v>
      </c>
      <c r="F3906" s="23">
        <v>2025</v>
      </c>
      <c r="G3906" s="23">
        <v>4</v>
      </c>
      <c r="H3906" s="29"/>
      <c r="I3906" s="204" t="str">
        <f t="shared" si="1173"/>
        <v>Q1</v>
      </c>
      <c r="J3906" s="188" t="s">
        <v>3683</v>
      </c>
      <c r="K3906" s="29" t="s">
        <v>1830</v>
      </c>
      <c r="L3906" s="24" t="s">
        <v>67</v>
      </c>
      <c r="M3906" s="13" t="s">
        <v>60</v>
      </c>
      <c r="N3906" s="22">
        <v>1</v>
      </c>
      <c r="O3906" s="22"/>
      <c r="P3906" s="202" t="str">
        <f t="shared" si="1182"/>
        <v>MAIN UNIT</v>
      </c>
      <c r="Q3906" s="22" t="s">
        <v>61</v>
      </c>
      <c r="R3906" s="22" t="s">
        <v>62</v>
      </c>
      <c r="S3906" s="22" t="s">
        <v>50</v>
      </c>
      <c r="T3906" s="22" t="s">
        <v>93</v>
      </c>
      <c r="U3906" s="22" t="s">
        <v>70</v>
      </c>
      <c r="V3906" s="22" t="s">
        <v>102</v>
      </c>
      <c r="W3906" s="22" t="s">
        <v>64</v>
      </c>
      <c r="X3906" s="104">
        <v>734670</v>
      </c>
      <c r="Y3906" s="195" t="str">
        <f t="shared" si="1185"/>
        <v>1.13</v>
      </c>
      <c r="Z3906" s="196">
        <f t="shared" si="1184"/>
        <v>734670</v>
      </c>
      <c r="AA3906" s="22">
        <v>1.0669999999999999</v>
      </c>
      <c r="AB3906" s="197">
        <f t="shared" si="1170"/>
        <v>693710.52212389384</v>
      </c>
      <c r="AC3906" s="198">
        <f t="shared" si="1174"/>
        <v>83245.262654867256</v>
      </c>
      <c r="AD3906" s="169">
        <v>0.12</v>
      </c>
      <c r="AE3906" s="199">
        <f t="shared" si="1175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13" si="1192">IF(P3906="C66 SERVICE","",SUMIFS(AB:AB,F:F,F3906,G:G,G3906,E:E,E3906))</f>
        <v>29497483.159292053</v>
      </c>
      <c r="AJ3906" s="200">
        <f t="shared" ref="AJ3906:AJ3913" si="1193">IF(P3906="C66 SERVICE","",SUMIFS(AC:AC,F:F,F3906,G:G,G3906,E:E,E3906))</f>
        <v>3539697.9791150414</v>
      </c>
      <c r="AK3906" s="201">
        <f t="shared" si="1176"/>
        <v>0.11999999999999983</v>
      </c>
      <c r="AL3906" s="24"/>
      <c r="AM3906" s="24"/>
      <c r="AN3906" s="24"/>
      <c r="AO3906" s="24"/>
      <c r="AP3906" s="165" t="str">
        <f t="shared" si="1177"/>
        <v>20254</v>
      </c>
      <c r="AQ3906" s="203" t="str">
        <f t="shared" si="1178"/>
        <v>20254RMB</v>
      </c>
      <c r="AR3906" s="206" t="str">
        <f t="shared" si="1179"/>
        <v>YAMAHA_Mounter</v>
      </c>
      <c r="AS3906" s="22">
        <f t="shared" si="1180"/>
        <v>3</v>
      </c>
      <c r="AT3906" s="24" t="str">
        <f t="shared" si="1181"/>
        <v>0-3 months</v>
      </c>
      <c r="AU3906" s="22" t="s">
        <v>3240</v>
      </c>
    </row>
    <row r="3907" spans="1:47">
      <c r="A3907" s="33" t="str">
        <f t="shared" si="1172"/>
        <v>FY 24/25</v>
      </c>
      <c r="B3907" s="23">
        <v>2025</v>
      </c>
      <c r="C3907" s="23">
        <v>1</v>
      </c>
      <c r="D3907" s="202" t="str">
        <f t="shared" si="1183"/>
        <v>Q4</v>
      </c>
      <c r="E3907" s="33" t="str">
        <f t="shared" si="1171"/>
        <v>FY 25/26</v>
      </c>
      <c r="F3907" s="23">
        <v>2025</v>
      </c>
      <c r="G3907" s="23">
        <v>4</v>
      </c>
      <c r="H3907" s="29"/>
      <c r="I3907" s="204" t="str">
        <f t="shared" si="1173"/>
        <v>Q1</v>
      </c>
      <c r="J3907" s="188" t="s">
        <v>3683</v>
      </c>
      <c r="K3907" s="29" t="s">
        <v>1830</v>
      </c>
      <c r="L3907" s="24" t="s">
        <v>67</v>
      </c>
      <c r="M3907" s="13" t="s">
        <v>60</v>
      </c>
      <c r="N3907" s="22">
        <v>1</v>
      </c>
      <c r="O3907" s="22"/>
      <c r="P3907" s="202" t="str">
        <f t="shared" si="1182"/>
        <v>MAIN UNIT</v>
      </c>
      <c r="Q3907" s="22" t="s">
        <v>61</v>
      </c>
      <c r="R3907" s="22" t="s">
        <v>62</v>
      </c>
      <c r="S3907" s="22" t="s">
        <v>50</v>
      </c>
      <c r="T3907" s="22" t="s">
        <v>93</v>
      </c>
      <c r="U3907" s="22" t="s">
        <v>70</v>
      </c>
      <c r="V3907" s="22" t="s">
        <v>102</v>
      </c>
      <c r="W3907" s="22" t="s">
        <v>64</v>
      </c>
      <c r="X3907" s="104">
        <v>734670</v>
      </c>
      <c r="Y3907" s="195" t="str">
        <f t="shared" si="1185"/>
        <v>1.13</v>
      </c>
      <c r="Z3907" s="196">
        <f t="shared" si="1184"/>
        <v>734670</v>
      </c>
      <c r="AA3907" s="22">
        <v>1.0669999999999999</v>
      </c>
      <c r="AB3907" s="197">
        <f t="shared" si="1170"/>
        <v>693710.52212389384</v>
      </c>
      <c r="AC3907" s="198">
        <f t="shared" si="1174"/>
        <v>83245.262654867256</v>
      </c>
      <c r="AD3907" s="169">
        <v>0.12</v>
      </c>
      <c r="AE3907" s="199">
        <f t="shared" si="1175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2"/>
        <v>29497483.159292053</v>
      </c>
      <c r="AJ3907" s="200">
        <f t="shared" si="1193"/>
        <v>3539697.9791150414</v>
      </c>
      <c r="AK3907" s="201">
        <f t="shared" si="1176"/>
        <v>0.11999999999999983</v>
      </c>
      <c r="AL3907" s="24"/>
      <c r="AM3907" s="24"/>
      <c r="AN3907" s="24"/>
      <c r="AO3907" s="24"/>
      <c r="AP3907" s="165" t="str">
        <f t="shared" si="1177"/>
        <v>20254</v>
      </c>
      <c r="AQ3907" s="203" t="str">
        <f t="shared" si="1178"/>
        <v>20254RMB</v>
      </c>
      <c r="AR3907" s="206" t="str">
        <f t="shared" si="1179"/>
        <v>YAMAHA_Mounter</v>
      </c>
      <c r="AS3907" s="22">
        <f t="shared" si="1180"/>
        <v>3</v>
      </c>
      <c r="AT3907" s="24" t="str">
        <f t="shared" si="1181"/>
        <v>0-3 months</v>
      </c>
      <c r="AU3907" s="22" t="s">
        <v>3240</v>
      </c>
    </row>
    <row r="3908" spans="1:47">
      <c r="A3908" s="33" t="str">
        <f t="shared" si="1172"/>
        <v>FY 24/25</v>
      </c>
      <c r="B3908" s="23">
        <v>2025</v>
      </c>
      <c r="C3908" s="23">
        <v>1</v>
      </c>
      <c r="D3908" s="202" t="str">
        <f t="shared" si="1183"/>
        <v>Q4</v>
      </c>
      <c r="E3908" s="33" t="str">
        <f t="shared" si="1171"/>
        <v>FY 25/26</v>
      </c>
      <c r="F3908" s="23">
        <v>2025</v>
      </c>
      <c r="G3908" s="23">
        <v>4</v>
      </c>
      <c r="H3908" s="29"/>
      <c r="I3908" s="204" t="str">
        <f t="shared" si="1173"/>
        <v>Q1</v>
      </c>
      <c r="J3908" s="188" t="s">
        <v>3683</v>
      </c>
      <c r="K3908" s="29" t="s">
        <v>1830</v>
      </c>
      <c r="L3908" s="24" t="s">
        <v>3685</v>
      </c>
      <c r="M3908" s="13" t="s">
        <v>60</v>
      </c>
      <c r="N3908" s="22">
        <v>1</v>
      </c>
      <c r="O3908" s="22"/>
      <c r="P3908" s="202" t="str">
        <f t="shared" si="1182"/>
        <v>MAIN UNIT</v>
      </c>
      <c r="Q3908" s="22" t="s">
        <v>61</v>
      </c>
      <c r="R3908" s="22" t="s">
        <v>2055</v>
      </c>
      <c r="S3908" s="22" t="s">
        <v>50</v>
      </c>
      <c r="T3908" s="22" t="s">
        <v>93</v>
      </c>
      <c r="U3908" s="22" t="s">
        <v>70</v>
      </c>
      <c r="V3908" s="22" t="s">
        <v>102</v>
      </c>
      <c r="W3908" s="22" t="s">
        <v>64</v>
      </c>
      <c r="X3908" s="104">
        <v>636660</v>
      </c>
      <c r="Y3908" s="195" t="str">
        <f t="shared" si="1185"/>
        <v>1.13</v>
      </c>
      <c r="Z3908" s="196">
        <f t="shared" si="1184"/>
        <v>636660</v>
      </c>
      <c r="AA3908" s="22">
        <v>1.0669999999999999</v>
      </c>
      <c r="AB3908" s="197">
        <f t="shared" si="1170"/>
        <v>601164.79646017705</v>
      </c>
      <c r="AC3908" s="198">
        <f t="shared" si="1174"/>
        <v>72139.77557522124</v>
      </c>
      <c r="AD3908" s="169">
        <v>0.12</v>
      </c>
      <c r="AE3908" s="199">
        <f t="shared" si="1175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2"/>
        <v>29497483.159292053</v>
      </c>
      <c r="AJ3908" s="200">
        <f t="shared" si="1193"/>
        <v>3539697.9791150414</v>
      </c>
      <c r="AK3908" s="201">
        <f t="shared" si="1176"/>
        <v>0.11999999999999983</v>
      </c>
      <c r="AL3908" s="24"/>
      <c r="AM3908" s="24"/>
      <c r="AN3908" s="24"/>
      <c r="AO3908" s="24"/>
      <c r="AP3908" s="165" t="str">
        <f t="shared" si="1177"/>
        <v>20254</v>
      </c>
      <c r="AQ3908" s="203" t="str">
        <f t="shared" si="1178"/>
        <v>20254RMB</v>
      </c>
      <c r="AR3908" s="206" t="str">
        <f t="shared" si="1179"/>
        <v>YAMAHA_Non_Mounter</v>
      </c>
      <c r="AS3908" s="22">
        <f t="shared" si="1180"/>
        <v>3</v>
      </c>
      <c r="AT3908" s="24" t="str">
        <f t="shared" si="1181"/>
        <v>0-3 months</v>
      </c>
      <c r="AU3908" s="22" t="s">
        <v>3240</v>
      </c>
    </row>
    <row r="3909" spans="1:47">
      <c r="A3909" s="33" t="str">
        <f t="shared" si="1172"/>
        <v>FY 24/25</v>
      </c>
      <c r="B3909" s="23">
        <v>2025</v>
      </c>
      <c r="C3909" s="23">
        <v>1</v>
      </c>
      <c r="D3909" s="202" t="str">
        <f t="shared" si="1183"/>
        <v>Q4</v>
      </c>
      <c r="E3909" s="33" t="str">
        <f t="shared" si="1171"/>
        <v>FY 25/26</v>
      </c>
      <c r="F3909" s="23">
        <v>2025</v>
      </c>
      <c r="G3909" s="23">
        <v>4</v>
      </c>
      <c r="H3909" s="29"/>
      <c r="I3909" s="204" t="str">
        <f t="shared" si="1173"/>
        <v>Q1</v>
      </c>
      <c r="J3909" s="188" t="s">
        <v>3683</v>
      </c>
      <c r="K3909" s="29" t="s">
        <v>1830</v>
      </c>
      <c r="L3909" s="24" t="s">
        <v>3685</v>
      </c>
      <c r="M3909" s="13" t="s">
        <v>60</v>
      </c>
      <c r="N3909" s="22">
        <v>1</v>
      </c>
      <c r="O3909" s="22"/>
      <c r="P3909" s="202" t="str">
        <f t="shared" si="1182"/>
        <v>MAIN UNIT</v>
      </c>
      <c r="Q3909" s="22" t="s">
        <v>61</v>
      </c>
      <c r="R3909" s="22" t="s">
        <v>2055</v>
      </c>
      <c r="S3909" s="22" t="s">
        <v>50</v>
      </c>
      <c r="T3909" s="22" t="s">
        <v>93</v>
      </c>
      <c r="U3909" s="22" t="s">
        <v>70</v>
      </c>
      <c r="V3909" s="22" t="s">
        <v>102</v>
      </c>
      <c r="W3909" s="22" t="s">
        <v>64</v>
      </c>
      <c r="X3909" s="104">
        <v>636660</v>
      </c>
      <c r="Y3909" s="195" t="str">
        <f t="shared" si="1185"/>
        <v>1.13</v>
      </c>
      <c r="Z3909" s="196">
        <f t="shared" si="1184"/>
        <v>636660</v>
      </c>
      <c r="AA3909" s="22">
        <v>1.0669999999999999</v>
      </c>
      <c r="AB3909" s="197">
        <f t="shared" si="1170"/>
        <v>601164.79646017705</v>
      </c>
      <c r="AC3909" s="198">
        <f t="shared" si="1174"/>
        <v>72139.77557522124</v>
      </c>
      <c r="AD3909" s="169">
        <v>0.12</v>
      </c>
      <c r="AE3909" s="199">
        <f t="shared" si="1175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2"/>
        <v>29497483.159292053</v>
      </c>
      <c r="AJ3909" s="200">
        <f t="shared" si="1193"/>
        <v>3539697.9791150414</v>
      </c>
      <c r="AK3909" s="201">
        <f t="shared" si="1176"/>
        <v>0.11999999999999983</v>
      </c>
      <c r="AL3909" s="24"/>
      <c r="AM3909" s="24"/>
      <c r="AN3909" s="24"/>
      <c r="AO3909" s="24"/>
      <c r="AP3909" s="165" t="str">
        <f t="shared" si="1177"/>
        <v>20254</v>
      </c>
      <c r="AQ3909" s="203" t="str">
        <f t="shared" si="1178"/>
        <v>20254RMB</v>
      </c>
      <c r="AR3909" s="206" t="str">
        <f t="shared" si="1179"/>
        <v>YAMAHA_Non_Mounter</v>
      </c>
      <c r="AS3909" s="22">
        <f t="shared" si="1180"/>
        <v>3</v>
      </c>
      <c r="AT3909" s="24" t="str">
        <f t="shared" si="1181"/>
        <v>0-3 months</v>
      </c>
      <c r="AU3909" s="22" t="s">
        <v>3240</v>
      </c>
    </row>
    <row r="3910" spans="1:47">
      <c r="A3910" s="33" t="str">
        <f t="shared" si="1172"/>
        <v>FY 24/25</v>
      </c>
      <c r="B3910" s="23">
        <v>2025</v>
      </c>
      <c r="C3910" s="23">
        <v>1</v>
      </c>
      <c r="D3910" s="202" t="str">
        <f t="shared" si="1183"/>
        <v>Q4</v>
      </c>
      <c r="E3910" s="33" t="str">
        <f t="shared" si="1171"/>
        <v>FY 25/26</v>
      </c>
      <c r="F3910" s="23">
        <v>2025</v>
      </c>
      <c r="G3910" s="23">
        <v>4</v>
      </c>
      <c r="H3910" s="29"/>
      <c r="I3910" s="204" t="str">
        <f t="shared" si="1173"/>
        <v>Q1</v>
      </c>
      <c r="J3910" s="188" t="s">
        <v>3683</v>
      </c>
      <c r="K3910" s="29" t="s">
        <v>1830</v>
      </c>
      <c r="L3910" s="24" t="s">
        <v>3685</v>
      </c>
      <c r="M3910" s="13" t="s">
        <v>60</v>
      </c>
      <c r="N3910" s="22">
        <v>1</v>
      </c>
      <c r="O3910" s="22"/>
      <c r="P3910" s="202" t="str">
        <f t="shared" si="1182"/>
        <v>MAIN UNIT</v>
      </c>
      <c r="Q3910" s="22" t="s">
        <v>61</v>
      </c>
      <c r="R3910" s="22" t="s">
        <v>2055</v>
      </c>
      <c r="S3910" s="22" t="s">
        <v>50</v>
      </c>
      <c r="T3910" s="22" t="s">
        <v>93</v>
      </c>
      <c r="U3910" s="22" t="s">
        <v>70</v>
      </c>
      <c r="V3910" s="22" t="s">
        <v>102</v>
      </c>
      <c r="W3910" s="22" t="s">
        <v>64</v>
      </c>
      <c r="X3910" s="104">
        <v>636660</v>
      </c>
      <c r="Y3910" s="195" t="str">
        <f t="shared" si="1185"/>
        <v>1.13</v>
      </c>
      <c r="Z3910" s="196">
        <f t="shared" si="1184"/>
        <v>636660</v>
      </c>
      <c r="AA3910" s="22">
        <v>1.0669999999999999</v>
      </c>
      <c r="AB3910" s="197">
        <f t="shared" si="1170"/>
        <v>601164.79646017705</v>
      </c>
      <c r="AC3910" s="198">
        <f t="shared" si="1174"/>
        <v>72139.77557522124</v>
      </c>
      <c r="AD3910" s="169">
        <v>0.12</v>
      </c>
      <c r="AE3910" s="199">
        <f t="shared" si="1175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2"/>
        <v>29497483.159292053</v>
      </c>
      <c r="AJ3910" s="200">
        <f t="shared" si="1193"/>
        <v>3539697.9791150414</v>
      </c>
      <c r="AK3910" s="201">
        <f t="shared" si="1176"/>
        <v>0.11999999999999983</v>
      </c>
      <c r="AL3910" s="24"/>
      <c r="AM3910" s="24"/>
      <c r="AN3910" s="24"/>
      <c r="AO3910" s="24"/>
      <c r="AP3910" s="165" t="str">
        <f t="shared" si="1177"/>
        <v>20254</v>
      </c>
      <c r="AQ3910" s="203" t="str">
        <f t="shared" si="1178"/>
        <v>20254RMB</v>
      </c>
      <c r="AR3910" s="206" t="str">
        <f t="shared" si="1179"/>
        <v>YAMAHA_Non_Mounter</v>
      </c>
      <c r="AS3910" s="22">
        <f t="shared" si="1180"/>
        <v>3</v>
      </c>
      <c r="AT3910" s="24" t="str">
        <f t="shared" si="1181"/>
        <v>0-3 months</v>
      </c>
      <c r="AU3910" s="22" t="s">
        <v>3240</v>
      </c>
    </row>
    <row r="3911" spans="1:47">
      <c r="A3911" s="33" t="str">
        <f t="shared" si="1172"/>
        <v>FY 24/25</v>
      </c>
      <c r="B3911" s="23">
        <v>2025</v>
      </c>
      <c r="C3911" s="23">
        <v>1</v>
      </c>
      <c r="D3911" s="202" t="str">
        <f t="shared" si="1183"/>
        <v>Q4</v>
      </c>
      <c r="E3911" s="33" t="str">
        <f t="shared" si="1171"/>
        <v>FY 25/26</v>
      </c>
      <c r="F3911" s="23">
        <v>2025</v>
      </c>
      <c r="G3911" s="23">
        <v>4</v>
      </c>
      <c r="H3911" s="29"/>
      <c r="I3911" s="204" t="str">
        <f t="shared" si="1173"/>
        <v>Q1</v>
      </c>
      <c r="J3911" s="188" t="s">
        <v>3683</v>
      </c>
      <c r="K3911" s="29" t="s">
        <v>1830</v>
      </c>
      <c r="L3911" s="24" t="s">
        <v>3685</v>
      </c>
      <c r="M3911" s="13" t="s">
        <v>60</v>
      </c>
      <c r="N3911" s="22">
        <v>1</v>
      </c>
      <c r="O3911" s="22"/>
      <c r="P3911" s="202" t="str">
        <f t="shared" si="1182"/>
        <v>MAIN UNIT</v>
      </c>
      <c r="Q3911" s="22" t="s">
        <v>61</v>
      </c>
      <c r="R3911" s="22" t="s">
        <v>2055</v>
      </c>
      <c r="S3911" s="22" t="s">
        <v>50</v>
      </c>
      <c r="T3911" s="22" t="s">
        <v>93</v>
      </c>
      <c r="U3911" s="22" t="s">
        <v>70</v>
      </c>
      <c r="V3911" s="22" t="s">
        <v>102</v>
      </c>
      <c r="W3911" s="22" t="s">
        <v>64</v>
      </c>
      <c r="X3911" s="104">
        <v>636660</v>
      </c>
      <c r="Y3911" s="195" t="str">
        <f t="shared" si="1185"/>
        <v>1.13</v>
      </c>
      <c r="Z3911" s="196">
        <f t="shared" si="1184"/>
        <v>636660</v>
      </c>
      <c r="AA3911" s="22">
        <v>1.0669999999999999</v>
      </c>
      <c r="AB3911" s="197">
        <f t="shared" si="1170"/>
        <v>601164.79646017705</v>
      </c>
      <c r="AC3911" s="198">
        <f t="shared" si="1174"/>
        <v>72139.77557522124</v>
      </c>
      <c r="AD3911" s="169">
        <v>0.12</v>
      </c>
      <c r="AE3911" s="199">
        <f t="shared" si="1175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2"/>
        <v>29497483.159292053</v>
      </c>
      <c r="AJ3911" s="200">
        <f t="shared" si="1193"/>
        <v>3539697.9791150414</v>
      </c>
      <c r="AK3911" s="201">
        <f t="shared" si="1176"/>
        <v>0.11999999999999983</v>
      </c>
      <c r="AL3911" s="24"/>
      <c r="AM3911" s="24"/>
      <c r="AN3911" s="24"/>
      <c r="AO3911" s="24"/>
      <c r="AP3911" s="165" t="str">
        <f t="shared" si="1177"/>
        <v>20254</v>
      </c>
      <c r="AQ3911" s="203" t="str">
        <f t="shared" si="1178"/>
        <v>20254RMB</v>
      </c>
      <c r="AR3911" s="206" t="str">
        <f t="shared" si="1179"/>
        <v>YAMAHA_Non_Mounter</v>
      </c>
      <c r="AS3911" s="22">
        <f t="shared" si="1180"/>
        <v>3</v>
      </c>
      <c r="AT3911" s="24" t="str">
        <f t="shared" si="1181"/>
        <v>0-3 months</v>
      </c>
      <c r="AU3911" s="22" t="s">
        <v>3240</v>
      </c>
    </row>
    <row r="3912" spans="1:47">
      <c r="A3912" s="33" t="str">
        <f t="shared" si="1172"/>
        <v>FY 24/25</v>
      </c>
      <c r="B3912" s="23">
        <v>2025</v>
      </c>
      <c r="C3912" s="23">
        <v>1</v>
      </c>
      <c r="D3912" s="202" t="str">
        <f t="shared" si="1183"/>
        <v>Q4</v>
      </c>
      <c r="E3912" s="33" t="str">
        <f t="shared" si="1171"/>
        <v>FY 25/26</v>
      </c>
      <c r="F3912" s="23">
        <v>2025</v>
      </c>
      <c r="G3912" s="23">
        <v>4</v>
      </c>
      <c r="H3912" s="29"/>
      <c r="I3912" s="204" t="str">
        <f t="shared" si="1173"/>
        <v>Q1</v>
      </c>
      <c r="J3912" s="188" t="s">
        <v>3683</v>
      </c>
      <c r="K3912" s="29" t="s">
        <v>1830</v>
      </c>
      <c r="L3912" s="24" t="s">
        <v>3685</v>
      </c>
      <c r="M3912" s="13" t="s">
        <v>60</v>
      </c>
      <c r="N3912" s="22">
        <v>1</v>
      </c>
      <c r="O3912" s="22"/>
      <c r="P3912" s="202" t="str">
        <f t="shared" si="1182"/>
        <v>MAIN UNIT</v>
      </c>
      <c r="Q3912" s="22" t="s">
        <v>61</v>
      </c>
      <c r="R3912" s="22" t="s">
        <v>2055</v>
      </c>
      <c r="S3912" s="22" t="s">
        <v>50</v>
      </c>
      <c r="T3912" s="22" t="s">
        <v>93</v>
      </c>
      <c r="U3912" s="22" t="s">
        <v>70</v>
      </c>
      <c r="V3912" s="22" t="s">
        <v>102</v>
      </c>
      <c r="W3912" s="22" t="s">
        <v>64</v>
      </c>
      <c r="X3912" s="104">
        <v>636660</v>
      </c>
      <c r="Y3912" s="195" t="str">
        <f t="shared" si="1185"/>
        <v>1.13</v>
      </c>
      <c r="Z3912" s="196">
        <f t="shared" si="1184"/>
        <v>636660</v>
      </c>
      <c r="AA3912" s="22">
        <v>1.0669999999999999</v>
      </c>
      <c r="AB3912" s="197">
        <f t="shared" si="1170"/>
        <v>601164.79646017705</v>
      </c>
      <c r="AC3912" s="198">
        <f t="shared" si="1174"/>
        <v>72139.77557522124</v>
      </c>
      <c r="AD3912" s="169">
        <v>0.12</v>
      </c>
      <c r="AE3912" s="199">
        <f t="shared" si="1175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2"/>
        <v>29497483.159292053</v>
      </c>
      <c r="AJ3912" s="200">
        <f t="shared" si="1193"/>
        <v>3539697.9791150414</v>
      </c>
      <c r="AK3912" s="201">
        <f t="shared" si="1176"/>
        <v>0.11999999999999983</v>
      </c>
      <c r="AL3912" s="24"/>
      <c r="AM3912" s="24"/>
      <c r="AN3912" s="24"/>
      <c r="AO3912" s="24"/>
      <c r="AP3912" s="165" t="str">
        <f t="shared" si="1177"/>
        <v>20254</v>
      </c>
      <c r="AQ3912" s="203" t="str">
        <f t="shared" si="1178"/>
        <v>20254RMB</v>
      </c>
      <c r="AR3912" s="206" t="str">
        <f t="shared" si="1179"/>
        <v>YAMAHA_Non_Mounter</v>
      </c>
      <c r="AS3912" s="22">
        <f t="shared" si="1180"/>
        <v>3</v>
      </c>
      <c r="AT3912" s="24" t="str">
        <f t="shared" si="1181"/>
        <v>0-3 months</v>
      </c>
      <c r="AU3912" s="22" t="s">
        <v>3240</v>
      </c>
    </row>
    <row r="3913" spans="1:47">
      <c r="A3913" s="33" t="str">
        <f t="shared" si="1172"/>
        <v>FY 24/25</v>
      </c>
      <c r="B3913" s="23">
        <v>2025</v>
      </c>
      <c r="C3913" s="23">
        <v>1</v>
      </c>
      <c r="D3913" s="202" t="str">
        <f t="shared" si="1183"/>
        <v>Q4</v>
      </c>
      <c r="E3913" s="33" t="str">
        <f t="shared" si="1171"/>
        <v>FY 25/26</v>
      </c>
      <c r="F3913" s="23">
        <v>2025</v>
      </c>
      <c r="G3913" s="23">
        <v>4</v>
      </c>
      <c r="H3913" s="29"/>
      <c r="I3913" s="204" t="str">
        <f t="shared" si="1173"/>
        <v>Q1</v>
      </c>
      <c r="J3913" s="188" t="s">
        <v>3683</v>
      </c>
      <c r="K3913" s="29" t="s">
        <v>1830</v>
      </c>
      <c r="L3913" s="24" t="s">
        <v>3453</v>
      </c>
      <c r="M3913" s="22" t="s">
        <v>2607</v>
      </c>
      <c r="N3913" s="22">
        <v>1</v>
      </c>
      <c r="O3913" s="22"/>
      <c r="P3913" s="202" t="str">
        <f t="shared" si="1182"/>
        <v>MAIN UNIT</v>
      </c>
      <c r="Q3913" s="22" t="s">
        <v>61</v>
      </c>
      <c r="R3913" s="22" t="s">
        <v>2055</v>
      </c>
      <c r="S3913" s="22" t="s">
        <v>50</v>
      </c>
      <c r="T3913" s="22" t="s">
        <v>93</v>
      </c>
      <c r="U3913" s="22" t="s">
        <v>70</v>
      </c>
      <c r="V3913" s="22" t="s">
        <v>102</v>
      </c>
      <c r="W3913" s="22" t="s">
        <v>64</v>
      </c>
      <c r="X3913" s="104">
        <v>544605</v>
      </c>
      <c r="Y3913" s="195" t="str">
        <f t="shared" si="1185"/>
        <v>1.13</v>
      </c>
      <c r="Z3913" s="196">
        <f t="shared" si="1184"/>
        <v>544605</v>
      </c>
      <c r="AA3913" s="22">
        <v>1.0669999999999999</v>
      </c>
      <c r="AB3913" s="197">
        <f t="shared" si="1170"/>
        <v>514242.06637168146</v>
      </c>
      <c r="AC3913" s="198">
        <f t="shared" si="1174"/>
        <v>61709.04796460177</v>
      </c>
      <c r="AD3913" s="169">
        <v>0.12</v>
      </c>
      <c r="AE3913" s="199">
        <f t="shared" si="1175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2"/>
        <v>29497483.159292053</v>
      </c>
      <c r="AJ3913" s="200">
        <f t="shared" si="1193"/>
        <v>3539697.9791150414</v>
      </c>
      <c r="AK3913" s="201">
        <f t="shared" si="1176"/>
        <v>0.11999999999999983</v>
      </c>
      <c r="AL3913" s="24"/>
      <c r="AM3913" s="24"/>
      <c r="AN3913" s="24"/>
      <c r="AO3913" s="24"/>
      <c r="AP3913" s="165" t="str">
        <f t="shared" si="1177"/>
        <v>20254</v>
      </c>
      <c r="AQ3913" s="203" t="str">
        <f t="shared" si="1178"/>
        <v>20254RMB</v>
      </c>
      <c r="AR3913" s="206" t="str">
        <f t="shared" si="1179"/>
        <v>HELLER</v>
      </c>
      <c r="AS3913" s="22">
        <f t="shared" si="1180"/>
        <v>3</v>
      </c>
      <c r="AT3913" s="24" t="str">
        <f t="shared" si="1181"/>
        <v>0-3 months</v>
      </c>
      <c r="AU3913" s="22" t="s">
        <v>3240</v>
      </c>
    </row>
    <row r="3914" spans="1:47">
      <c r="A3914" s="33" t="str">
        <f t="shared" si="1172"/>
        <v>FY 24/25</v>
      </c>
      <c r="B3914" s="23">
        <v>2025</v>
      </c>
      <c r="C3914" s="23">
        <v>1</v>
      </c>
      <c r="D3914" s="202" t="str">
        <f t="shared" si="1183"/>
        <v>Q4</v>
      </c>
      <c r="E3914" s="33" t="str">
        <f>IF(G3896="Cancel","Cancel",IF(G3896="TBA","TBA",IFERROR(IF(I3914="Q4","FY "&amp;RIGHT(F3914,2)-1&amp;"/"&amp;RIGHT(F3914,2),"FY "&amp;RIGHT(F3914,2)&amp;"/"&amp;RIGHT(F3914,2)+1),"")))</f>
        <v>FY 25/26</v>
      </c>
      <c r="F3914" s="23">
        <v>2025</v>
      </c>
      <c r="G3914" s="23">
        <v>4</v>
      </c>
      <c r="H3914" s="29"/>
      <c r="I3914" s="204" t="str">
        <f>IFERROR(IF(F3914="","",IF(F3914="TBA","TBA",IF(F3914="Cancel","Cancel",IF(AND(G3896&gt;=10,G3896&lt;=12),"Q3",IF(AND(G3896&gt;=1,G3896&lt;=3),"Q4",IF(AND(G3896&gt;=7,G3896&lt;=9),"Q2",IF(AND(G3896&gt;=4,G3896&lt;=6),"Q1"))))))),"")</f>
        <v>Q1</v>
      </c>
      <c r="J3914" s="188" t="s">
        <v>3683</v>
      </c>
      <c r="K3914" s="29" t="s">
        <v>1830</v>
      </c>
      <c r="L3914" s="24" t="s">
        <v>3453</v>
      </c>
      <c r="M3914" s="22" t="s">
        <v>2607</v>
      </c>
      <c r="N3914" s="22">
        <v>1</v>
      </c>
      <c r="O3914" s="22"/>
      <c r="P3914" s="202" t="str">
        <f t="shared" si="1182"/>
        <v>MAIN UNIT</v>
      </c>
      <c r="Q3914" s="22" t="s">
        <v>61</v>
      </c>
      <c r="R3914" s="22" t="s">
        <v>2055</v>
      </c>
      <c r="S3914" s="22" t="s">
        <v>50</v>
      </c>
      <c r="T3914" s="22" t="s">
        <v>93</v>
      </c>
      <c r="U3914" s="22" t="s">
        <v>70</v>
      </c>
      <c r="V3914" s="22" t="s">
        <v>102</v>
      </c>
      <c r="W3914" s="22" t="s">
        <v>64</v>
      </c>
      <c r="X3914" s="104">
        <v>544605</v>
      </c>
      <c r="Y3914" s="195" t="str">
        <f t="shared" si="1185"/>
        <v>1.13</v>
      </c>
      <c r="Z3914" s="196">
        <f t="shared" si="1184"/>
        <v>544605</v>
      </c>
      <c r="AA3914" s="22">
        <v>1.0669999999999999</v>
      </c>
      <c r="AB3914" s="197">
        <f t="shared" si="1170"/>
        <v>514242.06637168146</v>
      </c>
      <c r="AC3914" s="198">
        <f t="shared" si="1174"/>
        <v>61709.04796460177</v>
      </c>
      <c r="AD3914" s="169">
        <v>0.12</v>
      </c>
      <c r="AE3914" s="199">
        <f t="shared" si="1175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IF(G3896="","",IF(AND(COUNTIFS($J$18:J3914,J3914)=1,G3896&lt;&gt;""),1,""))</f>
        <v/>
      </c>
      <c r="AI3914" s="200">
        <f>IF(P3914="C66 SERVICE","",SUMIFS(AB:AB,F:F,F3914,G:G,G3896,E:E,E3914))</f>
        <v>29497483.159292053</v>
      </c>
      <c r="AJ3914" s="200">
        <f>IF(P3914="C66 SERVICE","",SUMIFS(AC:AC,F:F,F3914,G:G,G3896,E:E,E3914))</f>
        <v>3539697.9791150414</v>
      </c>
      <c r="AK3914" s="201">
        <f t="shared" si="1176"/>
        <v>0.11999999999999983</v>
      </c>
      <c r="AL3914" s="24"/>
      <c r="AM3914" s="24"/>
      <c r="AN3914" s="24"/>
      <c r="AO3914" s="24"/>
      <c r="AP3914" s="165" t="str">
        <f>IF(F3914="","",F3914&amp;G3896)</f>
        <v>20254</v>
      </c>
      <c r="AQ3914" s="203" t="str">
        <f>IF(W3914="","",F3914&amp;G3896&amp;W3914)</f>
        <v>20254RMB</v>
      </c>
      <c r="AR3914" s="206" t="str">
        <f t="shared" si="1179"/>
        <v>HELLER</v>
      </c>
      <c r="AS3914" s="22">
        <f>IFERROR(IF(OR(G3896="TBA", G3896=""), "", DATEDIF(DATE(B3914, C3914, 1), DATE(F3914, G3896, 1), "M")),"")</f>
        <v>3</v>
      </c>
      <c r="AT3914" s="24" t="str">
        <f t="shared" si="1181"/>
        <v>0-3 months</v>
      </c>
      <c r="AU3914" s="22" t="s">
        <v>3240</v>
      </c>
    </row>
    <row r="3915" spans="1:47">
      <c r="A3915" s="33" t="str">
        <f t="shared" si="1172"/>
        <v>FY 24/25</v>
      </c>
      <c r="B3915" s="23">
        <v>2025</v>
      </c>
      <c r="C3915" s="23">
        <v>1</v>
      </c>
      <c r="D3915" s="202" t="str">
        <f t="shared" si="1183"/>
        <v>Q4</v>
      </c>
      <c r="E3915" s="33" t="str">
        <f t="shared" si="1171"/>
        <v>FY 24/25</v>
      </c>
      <c r="F3915" s="23">
        <v>2025</v>
      </c>
      <c r="G3915" s="23">
        <v>2</v>
      </c>
      <c r="H3915" s="29"/>
      <c r="I3915" s="204" t="str">
        <f t="shared" si="1173"/>
        <v>Q4</v>
      </c>
      <c r="J3915" s="188" t="s">
        <v>3686</v>
      </c>
      <c r="K3915" s="29" t="s">
        <v>1446</v>
      </c>
      <c r="L3915" s="24" t="s">
        <v>67</v>
      </c>
      <c r="M3915" s="13" t="s">
        <v>60</v>
      </c>
      <c r="N3915" s="22">
        <v>1</v>
      </c>
      <c r="O3915" s="22"/>
      <c r="P3915" s="202" t="str">
        <f t="shared" si="1182"/>
        <v>MAIN UNIT</v>
      </c>
      <c r="Q3915" s="22" t="s">
        <v>68</v>
      </c>
      <c r="R3915" s="22" t="s">
        <v>62</v>
      </c>
      <c r="S3915" s="22" t="s">
        <v>52</v>
      </c>
      <c r="T3915" s="22" t="s">
        <v>1659</v>
      </c>
      <c r="U3915" s="22" t="s">
        <v>177</v>
      </c>
      <c r="V3915" s="22" t="s">
        <v>178</v>
      </c>
      <c r="W3915" s="22" t="s">
        <v>64</v>
      </c>
      <c r="X3915" s="237">
        <v>431522</v>
      </c>
      <c r="Y3915" s="195" t="str">
        <f t="shared" si="1185"/>
        <v>1.13</v>
      </c>
      <c r="Z3915" s="196">
        <f t="shared" si="1184"/>
        <v>431522</v>
      </c>
      <c r="AA3915" s="22">
        <v>1.073</v>
      </c>
      <c r="AB3915" s="197">
        <f t="shared" si="1170"/>
        <v>409754.96106194693</v>
      </c>
      <c r="AC3915" s="198">
        <f t="shared" si="1174"/>
        <v>33722.833295398232</v>
      </c>
      <c r="AD3915" s="170">
        <v>8.2299999999999998E-2</v>
      </c>
      <c r="AE3915" s="199">
        <f t="shared" si="1175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ref="AI3915:AI3946" si="1194">IF(P3915="C66 SERVICE","",SUMIFS(AB:AB,F:F,F3915,G:G,G3915,E:E,E3915))</f>
        <v>30691842.970796466</v>
      </c>
      <c r="AJ3915" s="200">
        <f t="shared" ref="AJ3915:AJ3946" si="1195">IF(P3915="C66 SERVICE","",SUMIFS(AC:AC,F:F,F3915,G:G,G3915,E:E,E3915))</f>
        <v>4088324.205777524</v>
      </c>
      <c r="AK3915" s="201">
        <f t="shared" si="1176"/>
        <v>0.1332055624573473</v>
      </c>
      <c r="AL3915" s="24"/>
      <c r="AM3915" s="24"/>
      <c r="AN3915" s="24"/>
      <c r="AO3915" s="24"/>
      <c r="AP3915" s="165" t="str">
        <f t="shared" si="1177"/>
        <v>20252</v>
      </c>
      <c r="AQ3915" s="203" t="str">
        <f t="shared" si="1178"/>
        <v>20252RMB</v>
      </c>
      <c r="AR3915" s="206" t="str">
        <f t="shared" si="1179"/>
        <v>YAMAHA_Mounter</v>
      </c>
      <c r="AS3915" s="22">
        <f t="shared" si="1180"/>
        <v>1</v>
      </c>
      <c r="AT3915" s="24" t="str">
        <f t="shared" si="1181"/>
        <v>0-3 months</v>
      </c>
      <c r="AU3915" s="22" t="s">
        <v>3240</v>
      </c>
    </row>
    <row r="3916" spans="1:47">
      <c r="A3916" s="33" t="str">
        <f t="shared" si="1172"/>
        <v>FY 24/25</v>
      </c>
      <c r="B3916" s="23">
        <v>2025</v>
      </c>
      <c r="C3916" s="23">
        <v>1</v>
      </c>
      <c r="D3916" s="202" t="str">
        <f t="shared" si="1183"/>
        <v>Q4</v>
      </c>
      <c r="E3916" s="33" t="str">
        <f t="shared" si="1171"/>
        <v>FY 24/25</v>
      </c>
      <c r="F3916" s="23">
        <v>2025</v>
      </c>
      <c r="G3916" s="23">
        <v>2</v>
      </c>
      <c r="H3916" s="29"/>
      <c r="I3916" s="204" t="str">
        <f t="shared" si="1173"/>
        <v>Q4</v>
      </c>
      <c r="J3916" s="188" t="s">
        <v>3686</v>
      </c>
      <c r="K3916" s="29" t="s">
        <v>1446</v>
      </c>
      <c r="L3916" s="24" t="s">
        <v>67</v>
      </c>
      <c r="M3916" s="13" t="s">
        <v>60</v>
      </c>
      <c r="N3916" s="22">
        <v>1</v>
      </c>
      <c r="O3916" s="22"/>
      <c r="P3916" s="202" t="str">
        <f t="shared" si="1182"/>
        <v>MAIN UNIT</v>
      </c>
      <c r="Q3916" s="22" t="s">
        <v>68</v>
      </c>
      <c r="R3916" s="22" t="s">
        <v>62</v>
      </c>
      <c r="S3916" s="22" t="s">
        <v>52</v>
      </c>
      <c r="T3916" s="22" t="s">
        <v>1659</v>
      </c>
      <c r="U3916" s="22" t="s">
        <v>177</v>
      </c>
      <c r="V3916" s="22" t="s">
        <v>178</v>
      </c>
      <c r="W3916" s="22" t="s">
        <v>64</v>
      </c>
      <c r="X3916" s="237">
        <v>431522</v>
      </c>
      <c r="Y3916" s="195" t="str">
        <f t="shared" si="1185"/>
        <v>1.13</v>
      </c>
      <c r="Z3916" s="196">
        <f t="shared" si="1184"/>
        <v>431522</v>
      </c>
      <c r="AA3916" s="22">
        <v>1.073</v>
      </c>
      <c r="AB3916" s="197">
        <f t="shared" si="1170"/>
        <v>409754.96106194693</v>
      </c>
      <c r="AC3916" s="198">
        <f t="shared" si="1174"/>
        <v>33722.833295398232</v>
      </c>
      <c r="AD3916" s="170">
        <v>8.2299999999999998E-2</v>
      </c>
      <c r="AE3916" s="199">
        <f t="shared" si="1175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4"/>
        <v>30691842.970796466</v>
      </c>
      <c r="AJ3916" s="200">
        <f t="shared" si="1195"/>
        <v>4088324.205777524</v>
      </c>
      <c r="AK3916" s="201">
        <f t="shared" si="1176"/>
        <v>0.1332055624573473</v>
      </c>
      <c r="AL3916" s="24"/>
      <c r="AM3916" s="24"/>
      <c r="AN3916" s="24"/>
      <c r="AO3916" s="24"/>
      <c r="AP3916" s="165" t="str">
        <f t="shared" si="1177"/>
        <v>20252</v>
      </c>
      <c r="AQ3916" s="203" t="str">
        <f t="shared" si="1178"/>
        <v>20252RMB</v>
      </c>
      <c r="AR3916" s="206" t="str">
        <f t="shared" si="1179"/>
        <v>YAMAHA_Mounter</v>
      </c>
      <c r="AS3916" s="22">
        <f t="shared" si="1180"/>
        <v>1</v>
      </c>
      <c r="AT3916" s="24" t="str">
        <f t="shared" si="1181"/>
        <v>0-3 months</v>
      </c>
      <c r="AU3916" s="22" t="s">
        <v>3240</v>
      </c>
    </row>
    <row r="3917" spans="1:47">
      <c r="A3917" s="33" t="str">
        <f t="shared" si="1172"/>
        <v>FY 24/25</v>
      </c>
      <c r="B3917" s="23">
        <v>2025</v>
      </c>
      <c r="C3917" s="23">
        <v>1</v>
      </c>
      <c r="D3917" s="202" t="str">
        <f t="shared" si="1183"/>
        <v>Q4</v>
      </c>
      <c r="E3917" s="33" t="str">
        <f t="shared" si="1171"/>
        <v>FY 25/26</v>
      </c>
      <c r="F3917" s="23">
        <v>2025</v>
      </c>
      <c r="G3917" s="23">
        <v>4</v>
      </c>
      <c r="H3917" s="29"/>
      <c r="I3917" s="204" t="str">
        <f t="shared" si="1173"/>
        <v>Q1</v>
      </c>
      <c r="J3917" s="188" t="s">
        <v>3687</v>
      </c>
      <c r="K3917" s="29" t="s">
        <v>1488</v>
      </c>
      <c r="L3917" s="24" t="s">
        <v>2620</v>
      </c>
      <c r="M3917" s="13" t="s">
        <v>60</v>
      </c>
      <c r="N3917" s="22">
        <v>1</v>
      </c>
      <c r="O3917" s="22"/>
      <c r="P3917" s="202" t="str">
        <f t="shared" si="1182"/>
        <v>MAIN UNIT</v>
      </c>
      <c r="Q3917" s="22" t="s">
        <v>61</v>
      </c>
      <c r="R3917" s="22" t="s">
        <v>2055</v>
      </c>
      <c r="S3917" s="22" t="s">
        <v>52</v>
      </c>
      <c r="T3917" s="22" t="s">
        <v>412</v>
      </c>
      <c r="U3917" s="22" t="s">
        <v>1077</v>
      </c>
      <c r="V3917" s="22" t="s">
        <v>143</v>
      </c>
      <c r="W3917" s="22" t="s">
        <v>64</v>
      </c>
      <c r="X3917" s="104">
        <v>450000</v>
      </c>
      <c r="Y3917" s="195" t="str">
        <f t="shared" si="1185"/>
        <v>1.13</v>
      </c>
      <c r="Z3917" s="196">
        <f t="shared" si="1184"/>
        <v>450000</v>
      </c>
      <c r="AA3917" s="22">
        <v>1.0669999999999999</v>
      </c>
      <c r="AB3917" s="197">
        <f t="shared" si="1170"/>
        <v>424911.50442477874</v>
      </c>
      <c r="AC3917" s="198">
        <f t="shared" si="1174"/>
        <v>50989.380530973445</v>
      </c>
      <c r="AD3917" s="169">
        <v>0.12</v>
      </c>
      <c r="AE3917" s="199">
        <f t="shared" si="1175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4"/>
        <v>29497483.159292053</v>
      </c>
      <c r="AJ3917" s="200">
        <f t="shared" si="1195"/>
        <v>3539697.9791150414</v>
      </c>
      <c r="AK3917" s="201">
        <f t="shared" si="1176"/>
        <v>0.11999999999999983</v>
      </c>
      <c r="AL3917" s="24"/>
      <c r="AM3917" s="24"/>
      <c r="AN3917" s="24"/>
      <c r="AO3917" s="24"/>
      <c r="AP3917" s="165" t="str">
        <f t="shared" si="1177"/>
        <v>20254</v>
      </c>
      <c r="AQ3917" s="203" t="str">
        <f t="shared" si="1178"/>
        <v>20254RMB</v>
      </c>
      <c r="AR3917" s="206" t="str">
        <f t="shared" si="1179"/>
        <v>YAMAHA_Non_Mounter</v>
      </c>
      <c r="AS3917" s="22">
        <f t="shared" si="1180"/>
        <v>3</v>
      </c>
      <c r="AT3917" s="24" t="str">
        <f t="shared" si="1181"/>
        <v>0-3 months</v>
      </c>
      <c r="AU3917" s="22" t="s">
        <v>3240</v>
      </c>
    </row>
    <row r="3918" spans="1:47">
      <c r="A3918" s="33" t="str">
        <f t="shared" si="1172"/>
        <v>FY 24/25</v>
      </c>
      <c r="B3918" s="23">
        <v>2025</v>
      </c>
      <c r="C3918" s="23">
        <v>1</v>
      </c>
      <c r="D3918" s="202" t="str">
        <f t="shared" si="1183"/>
        <v>Q4</v>
      </c>
      <c r="E3918" s="33" t="str">
        <f t="shared" si="1171"/>
        <v>FY 25/26</v>
      </c>
      <c r="F3918" s="23">
        <v>2025</v>
      </c>
      <c r="G3918" s="23">
        <v>4</v>
      </c>
      <c r="H3918" s="29"/>
      <c r="I3918" s="204" t="str">
        <f t="shared" si="1173"/>
        <v>Q1</v>
      </c>
      <c r="J3918" s="188" t="s">
        <v>3687</v>
      </c>
      <c r="K3918" s="29" t="s">
        <v>1488</v>
      </c>
      <c r="L3918" s="24" t="s">
        <v>2620</v>
      </c>
      <c r="M3918" s="13" t="s">
        <v>60</v>
      </c>
      <c r="N3918" s="22">
        <v>1</v>
      </c>
      <c r="O3918" s="22"/>
      <c r="P3918" s="202" t="str">
        <f t="shared" si="1182"/>
        <v>MAIN UNIT</v>
      </c>
      <c r="Q3918" s="22" t="s">
        <v>61</v>
      </c>
      <c r="R3918" s="22" t="s">
        <v>2055</v>
      </c>
      <c r="S3918" s="22" t="s">
        <v>52</v>
      </c>
      <c r="T3918" s="22" t="s">
        <v>412</v>
      </c>
      <c r="U3918" s="22" t="s">
        <v>1077</v>
      </c>
      <c r="V3918" s="22" t="s">
        <v>143</v>
      </c>
      <c r="W3918" s="22" t="s">
        <v>64</v>
      </c>
      <c r="X3918" s="104">
        <v>450000</v>
      </c>
      <c r="Y3918" s="195" t="str">
        <f t="shared" si="1185"/>
        <v>1.13</v>
      </c>
      <c r="Z3918" s="196">
        <f t="shared" si="1184"/>
        <v>450000</v>
      </c>
      <c r="AA3918" s="22">
        <v>1.0669999999999999</v>
      </c>
      <c r="AB3918" s="197">
        <f t="shared" si="1170"/>
        <v>424911.50442477874</v>
      </c>
      <c r="AC3918" s="198">
        <f t="shared" si="1174"/>
        <v>50989.380530973445</v>
      </c>
      <c r="AD3918" s="169">
        <v>0.12</v>
      </c>
      <c r="AE3918" s="199">
        <f t="shared" si="1175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4"/>
        <v>29497483.159292053</v>
      </c>
      <c r="AJ3918" s="200">
        <f t="shared" si="1195"/>
        <v>3539697.9791150414</v>
      </c>
      <c r="AK3918" s="201">
        <f t="shared" si="1176"/>
        <v>0.11999999999999983</v>
      </c>
      <c r="AL3918" s="24"/>
      <c r="AM3918" s="24"/>
      <c r="AN3918" s="24"/>
      <c r="AO3918" s="24"/>
      <c r="AP3918" s="165" t="str">
        <f t="shared" si="1177"/>
        <v>20254</v>
      </c>
      <c r="AQ3918" s="203" t="str">
        <f t="shared" si="1178"/>
        <v>20254RMB</v>
      </c>
      <c r="AR3918" s="206" t="str">
        <f t="shared" si="1179"/>
        <v>YAMAHA_Non_Mounter</v>
      </c>
      <c r="AS3918" s="22">
        <f t="shared" si="1180"/>
        <v>3</v>
      </c>
      <c r="AT3918" s="24" t="str">
        <f t="shared" si="1181"/>
        <v>0-3 months</v>
      </c>
      <c r="AU3918" s="22" t="s">
        <v>3240</v>
      </c>
    </row>
    <row r="3919" spans="1:47">
      <c r="A3919" s="33" t="str">
        <f t="shared" si="1172"/>
        <v>FY 24/25</v>
      </c>
      <c r="B3919" s="23">
        <v>2025</v>
      </c>
      <c r="C3919" s="23">
        <v>1</v>
      </c>
      <c r="D3919" s="202" t="str">
        <f t="shared" si="1183"/>
        <v>Q4</v>
      </c>
      <c r="E3919" s="33" t="str">
        <f t="shared" si="1171"/>
        <v>FY 24/25</v>
      </c>
      <c r="F3919" s="23">
        <v>2025</v>
      </c>
      <c r="G3919" s="23">
        <v>3</v>
      </c>
      <c r="H3919" s="29"/>
      <c r="I3919" s="204" t="str">
        <f t="shared" si="1173"/>
        <v>Q4</v>
      </c>
      <c r="J3919" s="188">
        <v>71375</v>
      </c>
      <c r="K3919" s="29" t="s">
        <v>2608</v>
      </c>
      <c r="L3919" s="24" t="s">
        <v>3453</v>
      </c>
      <c r="M3919" s="22" t="s">
        <v>2607</v>
      </c>
      <c r="N3919" s="22">
        <v>1</v>
      </c>
      <c r="O3919" s="22"/>
      <c r="P3919" s="202" t="str">
        <f t="shared" si="1182"/>
        <v>MAIN UNIT</v>
      </c>
      <c r="Q3919" s="22" t="s">
        <v>61</v>
      </c>
      <c r="R3919" s="22" t="s">
        <v>2055</v>
      </c>
      <c r="S3919" s="22" t="s">
        <v>51</v>
      </c>
      <c r="T3919" s="22" t="s">
        <v>992</v>
      </c>
      <c r="U3919" s="22" t="s">
        <v>149</v>
      </c>
      <c r="V3919" s="22" t="s">
        <v>134</v>
      </c>
      <c r="W3919" s="22" t="s">
        <v>901</v>
      </c>
      <c r="X3919" s="104">
        <v>96900</v>
      </c>
      <c r="Y3919" s="195" t="str">
        <f t="shared" si="1185"/>
        <v>1</v>
      </c>
      <c r="Z3919" s="196">
        <f t="shared" si="1184"/>
        <v>96900</v>
      </c>
      <c r="AA3919" s="22">
        <v>7.8</v>
      </c>
      <c r="AB3919" s="197">
        <f t="shared" si="1170"/>
        <v>755820</v>
      </c>
      <c r="AC3919" s="198">
        <f t="shared" si="1174"/>
        <v>90698.4</v>
      </c>
      <c r="AD3919" s="169">
        <v>0.12</v>
      </c>
      <c r="AE3919" s="199">
        <f t="shared" si="1175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4"/>
        <v>17732428.654867258</v>
      </c>
      <c r="AJ3919" s="200">
        <f t="shared" si="1195"/>
        <v>2127891.4385840711</v>
      </c>
      <c r="AK3919" s="201">
        <f t="shared" si="1176"/>
        <v>0.12000000000000001</v>
      </c>
      <c r="AL3919" s="24"/>
      <c r="AM3919" s="24"/>
      <c r="AN3919" s="24"/>
      <c r="AO3919" s="24"/>
      <c r="AP3919" s="165" t="str">
        <f t="shared" si="1177"/>
        <v>20253</v>
      </c>
      <c r="AQ3919" s="203" t="str">
        <f t="shared" si="1178"/>
        <v>20253USD</v>
      </c>
      <c r="AR3919" s="206" t="str">
        <f t="shared" si="1179"/>
        <v>HELLER</v>
      </c>
      <c r="AS3919" s="22">
        <f t="shared" si="1180"/>
        <v>2</v>
      </c>
      <c r="AT3919" s="24" t="str">
        <f t="shared" si="1181"/>
        <v>0-3 months</v>
      </c>
      <c r="AU3919" s="22" t="s">
        <v>3240</v>
      </c>
    </row>
    <row r="3920" spans="1:47" ht="39.6">
      <c r="A3920" s="33" t="str">
        <f t="shared" si="1172"/>
        <v/>
      </c>
      <c r="B3920" s="23"/>
      <c r="C3920" s="23"/>
      <c r="D3920" s="202" t="str">
        <f t="shared" si="1183"/>
        <v/>
      </c>
      <c r="E3920" s="33" t="s">
        <v>3172</v>
      </c>
      <c r="F3920" s="23">
        <v>2025</v>
      </c>
      <c r="G3920" s="23">
        <v>1</v>
      </c>
      <c r="H3920" s="29"/>
      <c r="I3920" s="204" t="str">
        <f t="shared" si="1173"/>
        <v>Q4</v>
      </c>
      <c r="J3920" s="188"/>
      <c r="K3920" s="29"/>
      <c r="L3920" s="24" t="s">
        <v>43</v>
      </c>
      <c r="M3920" s="22" t="s">
        <v>43</v>
      </c>
      <c r="N3920" s="22">
        <v>0</v>
      </c>
      <c r="O3920" s="22"/>
      <c r="P3920" s="202" t="str">
        <f t="shared" si="1182"/>
        <v>C66 SERVICE/OTHERS</v>
      </c>
      <c r="Q3920" s="22" t="s">
        <v>45</v>
      </c>
      <c r="R3920" s="22" t="s">
        <v>45</v>
      </c>
      <c r="S3920" s="22" t="s">
        <v>52</v>
      </c>
      <c r="T3920" s="22"/>
      <c r="U3920" s="22"/>
      <c r="V3920" s="22"/>
      <c r="W3920" s="22"/>
      <c r="X3920" s="104"/>
      <c r="Y3920" s="195" t="str">
        <f t="shared" si="1185"/>
        <v/>
      </c>
      <c r="Z3920" s="196" t="str">
        <f t="shared" si="1184"/>
        <v/>
      </c>
      <c r="AA3920" s="22"/>
      <c r="AB3920" s="197">
        <v>3000</v>
      </c>
      <c r="AC3920" s="198">
        <f t="shared" si="1174"/>
        <v>900</v>
      </c>
      <c r="AD3920" s="162">
        <v>0.3</v>
      </c>
      <c r="AE3920" s="199">
        <f t="shared" si="1175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4"/>
        <v>16190947.162761064</v>
      </c>
      <c r="AJ3920" s="200">
        <f t="shared" si="1195"/>
        <v>2256328.1660673413</v>
      </c>
      <c r="AK3920" s="201">
        <f t="shared" si="1176"/>
        <v>0.13935739171929745</v>
      </c>
      <c r="AL3920" s="24"/>
      <c r="AM3920" s="24"/>
      <c r="AN3920" s="24"/>
      <c r="AO3920" s="24"/>
      <c r="AP3920" s="165" t="str">
        <f t="shared" si="1177"/>
        <v>20251</v>
      </c>
      <c r="AQ3920" s="203" t="str">
        <f t="shared" si="1178"/>
        <v/>
      </c>
      <c r="AR3920" s="206" t="str">
        <f t="shared" si="1179"/>
        <v>C66 SERVICE</v>
      </c>
      <c r="AS3920" s="22" t="str">
        <f t="shared" si="1180"/>
        <v/>
      </c>
      <c r="AT3920" s="24" t="str">
        <f t="shared" si="1181"/>
        <v/>
      </c>
      <c r="AU3920" s="22">
        <v>0</v>
      </c>
    </row>
    <row r="3921" spans="1:47" ht="39.6">
      <c r="A3921" s="33" t="str">
        <f t="shared" si="1172"/>
        <v/>
      </c>
      <c r="B3921" s="23"/>
      <c r="C3921" s="23"/>
      <c r="D3921" s="202" t="str">
        <f t="shared" si="1183"/>
        <v/>
      </c>
      <c r="E3921" s="33" t="s">
        <v>3172</v>
      </c>
      <c r="F3921" s="23">
        <v>2025</v>
      </c>
      <c r="G3921" s="23">
        <v>1</v>
      </c>
      <c r="H3921" s="29"/>
      <c r="I3921" s="204" t="str">
        <f t="shared" si="1173"/>
        <v>Q4</v>
      </c>
      <c r="J3921" s="188"/>
      <c r="K3921" s="29"/>
      <c r="L3921" s="24" t="s">
        <v>43</v>
      </c>
      <c r="M3921" s="22" t="s">
        <v>43</v>
      </c>
      <c r="N3921" s="22">
        <v>0</v>
      </c>
      <c r="O3921" s="22"/>
      <c r="P3921" s="202" t="str">
        <f t="shared" si="1182"/>
        <v>C66 SERVICE/OTHERS</v>
      </c>
      <c r="Q3921" s="22" t="s">
        <v>45</v>
      </c>
      <c r="R3921" s="22" t="s">
        <v>45</v>
      </c>
      <c r="S3921" s="22" t="s">
        <v>51</v>
      </c>
      <c r="T3921" s="22"/>
      <c r="U3921" s="22"/>
      <c r="V3921" s="22"/>
      <c r="W3921" s="22"/>
      <c r="X3921" s="104"/>
      <c r="Y3921" s="195" t="str">
        <f t="shared" si="1185"/>
        <v/>
      </c>
      <c r="Z3921" s="196" t="str">
        <f t="shared" si="1184"/>
        <v/>
      </c>
      <c r="AA3921" s="22"/>
      <c r="AB3921" s="197">
        <v>7000</v>
      </c>
      <c r="AC3921" s="198">
        <f t="shared" si="1174"/>
        <v>2100</v>
      </c>
      <c r="AD3921" s="162">
        <v>0.3</v>
      </c>
      <c r="AE3921" s="199">
        <f t="shared" si="1175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4"/>
        <v>16190947.162761064</v>
      </c>
      <c r="AJ3921" s="200">
        <f t="shared" si="1195"/>
        <v>2256328.1660673413</v>
      </c>
      <c r="AK3921" s="201">
        <f t="shared" si="1176"/>
        <v>0.13935739171929745</v>
      </c>
      <c r="AL3921" s="24"/>
      <c r="AM3921" s="24"/>
      <c r="AN3921" s="24"/>
      <c r="AO3921" s="24"/>
      <c r="AP3921" s="165" t="str">
        <f t="shared" si="1177"/>
        <v>20251</v>
      </c>
      <c r="AQ3921" s="203" t="str">
        <f t="shared" si="1178"/>
        <v/>
      </c>
      <c r="AR3921" s="206" t="str">
        <f t="shared" si="1179"/>
        <v>C66 SERVICE</v>
      </c>
      <c r="AS3921" s="22" t="str">
        <f t="shared" si="1180"/>
        <v/>
      </c>
      <c r="AT3921" s="24" t="str">
        <f t="shared" si="1181"/>
        <v/>
      </c>
      <c r="AU3921" s="22">
        <v>0</v>
      </c>
    </row>
    <row r="3922" spans="1:47" ht="39.6">
      <c r="A3922" s="33" t="str">
        <f t="shared" si="1172"/>
        <v/>
      </c>
      <c r="B3922" s="23"/>
      <c r="C3922" s="23"/>
      <c r="D3922" s="202" t="str">
        <f t="shared" si="1183"/>
        <v/>
      </c>
      <c r="E3922" s="33" t="s">
        <v>3172</v>
      </c>
      <c r="F3922" s="23">
        <v>2025</v>
      </c>
      <c r="G3922" s="23">
        <v>1</v>
      </c>
      <c r="H3922" s="29"/>
      <c r="I3922" s="204" t="str">
        <f t="shared" si="1173"/>
        <v>Q4</v>
      </c>
      <c r="J3922" s="188"/>
      <c r="K3922" s="29"/>
      <c r="L3922" s="24" t="s">
        <v>43</v>
      </c>
      <c r="M3922" s="22" t="s">
        <v>43</v>
      </c>
      <c r="N3922" s="22">
        <v>0</v>
      </c>
      <c r="O3922" s="22"/>
      <c r="P3922" s="202" t="str">
        <f t="shared" si="1182"/>
        <v>C66 SERVICE/OTHERS</v>
      </c>
      <c r="Q3922" s="22" t="s">
        <v>45</v>
      </c>
      <c r="R3922" s="22" t="s">
        <v>45</v>
      </c>
      <c r="S3922" s="22" t="s">
        <v>50</v>
      </c>
      <c r="T3922" s="22"/>
      <c r="U3922" s="22"/>
      <c r="V3922" s="22"/>
      <c r="W3922" s="22"/>
      <c r="X3922" s="104"/>
      <c r="Y3922" s="195" t="str">
        <f t="shared" si="1185"/>
        <v/>
      </c>
      <c r="Z3922" s="196" t="str">
        <f t="shared" si="1184"/>
        <v/>
      </c>
      <c r="AA3922" s="22"/>
      <c r="AB3922" s="197">
        <v>34000</v>
      </c>
      <c r="AC3922" s="198">
        <f t="shared" si="1174"/>
        <v>10200</v>
      </c>
      <c r="AD3922" s="162">
        <v>0.3</v>
      </c>
      <c r="AE3922" s="199">
        <f t="shared" si="1175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4"/>
        <v>16190947.162761064</v>
      </c>
      <c r="AJ3922" s="200">
        <f t="shared" si="1195"/>
        <v>2256328.1660673413</v>
      </c>
      <c r="AK3922" s="201">
        <f t="shared" si="1176"/>
        <v>0.13935739171929745</v>
      </c>
      <c r="AL3922" s="24"/>
      <c r="AM3922" s="24"/>
      <c r="AN3922" s="24"/>
      <c r="AO3922" s="24"/>
      <c r="AP3922" s="165" t="str">
        <f t="shared" si="1177"/>
        <v>20251</v>
      </c>
      <c r="AQ3922" s="203" t="str">
        <f t="shared" si="1178"/>
        <v/>
      </c>
      <c r="AR3922" s="206" t="str">
        <f t="shared" si="1179"/>
        <v>C66 SERVICE</v>
      </c>
      <c r="AS3922" s="22" t="str">
        <f t="shared" si="1180"/>
        <v/>
      </c>
      <c r="AT3922" s="24" t="str">
        <f t="shared" si="1181"/>
        <v/>
      </c>
      <c r="AU3922" s="22">
        <v>0</v>
      </c>
    </row>
    <row r="3923" spans="1:47" ht="39.6">
      <c r="A3923" s="33" t="str">
        <f t="shared" si="1172"/>
        <v/>
      </c>
      <c r="B3923" s="23"/>
      <c r="C3923" s="23"/>
      <c r="D3923" s="202" t="str">
        <f t="shared" si="1183"/>
        <v/>
      </c>
      <c r="E3923" s="33" t="s">
        <v>3172</v>
      </c>
      <c r="F3923" s="23">
        <v>2025</v>
      </c>
      <c r="G3923" s="23">
        <v>1</v>
      </c>
      <c r="H3923" s="29"/>
      <c r="I3923" s="204" t="str">
        <f t="shared" si="1173"/>
        <v>Q4</v>
      </c>
      <c r="J3923" s="188"/>
      <c r="K3923" s="29"/>
      <c r="L3923" s="24" t="s">
        <v>43</v>
      </c>
      <c r="M3923" s="22" t="s">
        <v>43</v>
      </c>
      <c r="N3923" s="22">
        <v>0</v>
      </c>
      <c r="O3923" s="22"/>
      <c r="P3923" s="202" t="str">
        <f t="shared" si="1182"/>
        <v>C66 SERVICE/OTHERS</v>
      </c>
      <c r="Q3923" s="22" t="s">
        <v>45</v>
      </c>
      <c r="R3923" s="22" t="s">
        <v>45</v>
      </c>
      <c r="S3923" s="22" t="s">
        <v>49</v>
      </c>
      <c r="T3923" s="22"/>
      <c r="U3923" s="22"/>
      <c r="V3923" s="22"/>
      <c r="W3923" s="22"/>
      <c r="X3923" s="104"/>
      <c r="Y3923" s="195" t="str">
        <f t="shared" si="1185"/>
        <v/>
      </c>
      <c r="Z3923" s="196" t="str">
        <f t="shared" si="1184"/>
        <v/>
      </c>
      <c r="AA3923" s="22"/>
      <c r="AB3923" s="197">
        <v>120000</v>
      </c>
      <c r="AC3923" s="198">
        <f t="shared" si="1174"/>
        <v>36000</v>
      </c>
      <c r="AD3923" s="162">
        <v>0.3</v>
      </c>
      <c r="AE3923" s="199">
        <f t="shared" si="1175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4"/>
        <v>16190947.162761064</v>
      </c>
      <c r="AJ3923" s="200">
        <f t="shared" si="1195"/>
        <v>2256328.1660673413</v>
      </c>
      <c r="AK3923" s="201">
        <f t="shared" si="1176"/>
        <v>0.13935739171929745</v>
      </c>
      <c r="AL3923" s="24"/>
      <c r="AM3923" s="24"/>
      <c r="AN3923" s="24"/>
      <c r="AO3923" s="24"/>
      <c r="AP3923" s="165" t="str">
        <f t="shared" si="1177"/>
        <v>20251</v>
      </c>
      <c r="AQ3923" s="203" t="str">
        <f t="shared" si="1178"/>
        <v/>
      </c>
      <c r="AR3923" s="206" t="str">
        <f t="shared" si="1179"/>
        <v>C66 SERVICE</v>
      </c>
      <c r="AS3923" s="22" t="str">
        <f t="shared" si="1180"/>
        <v/>
      </c>
      <c r="AT3923" s="24" t="str">
        <f t="shared" si="1181"/>
        <v/>
      </c>
      <c r="AU3923" s="22">
        <v>0</v>
      </c>
    </row>
    <row r="3924" spans="1:47">
      <c r="A3924" s="33" t="str">
        <f t="shared" si="1172"/>
        <v>FY 24/25</v>
      </c>
      <c r="B3924" s="23">
        <v>2025</v>
      </c>
      <c r="C3924" s="23">
        <v>1</v>
      </c>
      <c r="D3924" s="202" t="str">
        <f t="shared" si="1183"/>
        <v>Q4</v>
      </c>
      <c r="E3924" s="33" t="str">
        <f t="shared" si="1171"/>
        <v>FY 24/25</v>
      </c>
      <c r="F3924" s="23">
        <v>2025</v>
      </c>
      <c r="G3924" s="23">
        <v>3</v>
      </c>
      <c r="H3924" s="29"/>
      <c r="I3924" s="204" t="str">
        <f t="shared" si="1173"/>
        <v>Q4</v>
      </c>
      <c r="J3924" s="188" t="s">
        <v>3688</v>
      </c>
      <c r="K3924" s="29" t="s">
        <v>3689</v>
      </c>
      <c r="L3924" s="24" t="s">
        <v>92</v>
      </c>
      <c r="M3924" s="13" t="s">
        <v>60</v>
      </c>
      <c r="N3924" s="22">
        <v>1</v>
      </c>
      <c r="O3924" s="22"/>
      <c r="P3924" s="202" t="str">
        <f t="shared" si="1182"/>
        <v>MAIN UNIT</v>
      </c>
      <c r="Q3924" s="22" t="s">
        <v>61</v>
      </c>
      <c r="R3924" s="22" t="s">
        <v>62</v>
      </c>
      <c r="S3924" s="22" t="s">
        <v>51</v>
      </c>
      <c r="T3924" s="22" t="s">
        <v>219</v>
      </c>
      <c r="U3924" s="22" t="s">
        <v>149</v>
      </c>
      <c r="V3924" s="22" t="s">
        <v>134</v>
      </c>
      <c r="W3924" s="22" t="s">
        <v>64</v>
      </c>
      <c r="X3924" s="104">
        <v>750000</v>
      </c>
      <c r="Y3924" s="195" t="str">
        <f t="shared" si="1185"/>
        <v>1.13</v>
      </c>
      <c r="Z3924" s="196">
        <f t="shared" si="1184"/>
        <v>750000</v>
      </c>
      <c r="AA3924" s="22">
        <v>1.0669999999999999</v>
      </c>
      <c r="AB3924" s="197">
        <f t="shared" ref="AB3924:AB3985" si="1196">IF(AND(R3924&lt;&gt;"C66",R3924&lt;&gt;""),Z3924/Y3924*AA3924,"")</f>
        <v>708185.84070796473</v>
      </c>
      <c r="AC3924" s="198">
        <f t="shared" si="1174"/>
        <v>84982.300884955766</v>
      </c>
      <c r="AD3924" s="169">
        <v>0.12</v>
      </c>
      <c r="AE3924" s="199">
        <f t="shared" si="1175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4"/>
        <v>17732428.654867258</v>
      </c>
      <c r="AJ3924" s="200">
        <f t="shared" si="1195"/>
        <v>2127891.4385840711</v>
      </c>
      <c r="AK3924" s="201">
        <f t="shared" si="1176"/>
        <v>0.12000000000000001</v>
      </c>
      <c r="AL3924" s="24"/>
      <c r="AM3924" s="24"/>
      <c r="AN3924" s="24"/>
      <c r="AO3924" s="24"/>
      <c r="AP3924" s="165" t="str">
        <f t="shared" si="1177"/>
        <v>20253</v>
      </c>
      <c r="AQ3924" s="203" t="str">
        <f t="shared" si="1178"/>
        <v>20253RMB</v>
      </c>
      <c r="AR3924" s="206" t="str">
        <f t="shared" si="1179"/>
        <v>YAMAHA_Mounter</v>
      </c>
      <c r="AS3924" s="22">
        <f t="shared" si="1180"/>
        <v>2</v>
      </c>
      <c r="AT3924" s="24" t="str">
        <f t="shared" si="1181"/>
        <v>0-3 months</v>
      </c>
      <c r="AU3924" s="22" t="s">
        <v>3240</v>
      </c>
    </row>
    <row r="3925" spans="1:47">
      <c r="A3925" s="33" t="str">
        <f t="shared" si="1172"/>
        <v>FY 24/25</v>
      </c>
      <c r="B3925" s="23">
        <v>2025</v>
      </c>
      <c r="C3925" s="23">
        <v>1</v>
      </c>
      <c r="D3925" s="202" t="str">
        <f t="shared" si="1183"/>
        <v>Q4</v>
      </c>
      <c r="E3925" s="33" t="str">
        <f t="shared" si="1171"/>
        <v>FY 24/25</v>
      </c>
      <c r="F3925" s="23">
        <v>2025</v>
      </c>
      <c r="G3925" s="23">
        <v>3</v>
      </c>
      <c r="H3925" s="29"/>
      <c r="I3925" s="204" t="str">
        <f t="shared" si="1173"/>
        <v>Q4</v>
      </c>
      <c r="J3925" s="188" t="s">
        <v>3688</v>
      </c>
      <c r="K3925" s="29" t="s">
        <v>3689</v>
      </c>
      <c r="L3925" s="24" t="s">
        <v>67</v>
      </c>
      <c r="M3925" s="13" t="s">
        <v>60</v>
      </c>
      <c r="N3925" s="22">
        <v>1</v>
      </c>
      <c r="O3925" s="22"/>
      <c r="P3925" s="202" t="str">
        <f t="shared" si="1182"/>
        <v>MAIN UNIT</v>
      </c>
      <c r="Q3925" s="22" t="s">
        <v>61</v>
      </c>
      <c r="R3925" s="22" t="s">
        <v>62</v>
      </c>
      <c r="S3925" s="22" t="s">
        <v>51</v>
      </c>
      <c r="T3925" s="22" t="s">
        <v>219</v>
      </c>
      <c r="U3925" s="22" t="s">
        <v>149</v>
      </c>
      <c r="V3925" s="22" t="s">
        <v>134</v>
      </c>
      <c r="W3925" s="22" t="s">
        <v>64</v>
      </c>
      <c r="X3925" s="104">
        <v>620000</v>
      </c>
      <c r="Y3925" s="195" t="str">
        <f t="shared" si="1185"/>
        <v>1.13</v>
      </c>
      <c r="Z3925" s="196">
        <f t="shared" si="1184"/>
        <v>620000</v>
      </c>
      <c r="AA3925" s="22">
        <v>1.0669999999999999</v>
      </c>
      <c r="AB3925" s="197">
        <f t="shared" si="1196"/>
        <v>585433.62831858417</v>
      </c>
      <c r="AC3925" s="198">
        <f t="shared" si="1174"/>
        <v>70252.035398230102</v>
      </c>
      <c r="AD3925" s="169">
        <v>0.12</v>
      </c>
      <c r="AE3925" s="199">
        <f t="shared" si="1175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4"/>
        <v>17732428.654867258</v>
      </c>
      <c r="AJ3925" s="200">
        <f t="shared" si="1195"/>
        <v>2127891.4385840711</v>
      </c>
      <c r="AK3925" s="201">
        <f t="shared" si="1176"/>
        <v>0.12000000000000001</v>
      </c>
      <c r="AL3925" s="24"/>
      <c r="AM3925" s="24"/>
      <c r="AN3925" s="24"/>
      <c r="AO3925" s="24"/>
      <c r="AP3925" s="165" t="str">
        <f t="shared" si="1177"/>
        <v>20253</v>
      </c>
      <c r="AQ3925" s="203" t="str">
        <f t="shared" si="1178"/>
        <v>20253RMB</v>
      </c>
      <c r="AR3925" s="206" t="str">
        <f t="shared" si="1179"/>
        <v>YAMAHA_Mounter</v>
      </c>
      <c r="AS3925" s="22">
        <f t="shared" si="1180"/>
        <v>2</v>
      </c>
      <c r="AT3925" s="24" t="str">
        <f t="shared" si="1181"/>
        <v>0-3 months</v>
      </c>
      <c r="AU3925" s="22" t="s">
        <v>3240</v>
      </c>
    </row>
    <row r="3926" spans="1:47">
      <c r="A3926" s="33" t="str">
        <f t="shared" si="1172"/>
        <v>FY 24/25</v>
      </c>
      <c r="B3926" s="23">
        <v>2025</v>
      </c>
      <c r="C3926" s="23">
        <v>2</v>
      </c>
      <c r="D3926" s="202" t="str">
        <f t="shared" si="1183"/>
        <v>Q4</v>
      </c>
      <c r="E3926" s="33" t="str">
        <f t="shared" si="1171"/>
        <v>FY 24/25</v>
      </c>
      <c r="F3926" s="23">
        <v>2025</v>
      </c>
      <c r="G3926" s="23">
        <v>2</v>
      </c>
      <c r="H3926" s="29"/>
      <c r="I3926" s="204" t="str">
        <f t="shared" si="1173"/>
        <v>Q4</v>
      </c>
      <c r="J3926" s="188" t="s">
        <v>3692</v>
      </c>
      <c r="K3926" s="29" t="s">
        <v>3693</v>
      </c>
      <c r="L3926" s="24" t="s">
        <v>92</v>
      </c>
      <c r="M3926" s="13" t="s">
        <v>60</v>
      </c>
      <c r="N3926" s="22">
        <v>1</v>
      </c>
      <c r="O3926" s="22"/>
      <c r="P3926" s="202" t="str">
        <f t="shared" si="1182"/>
        <v>MAIN UNIT</v>
      </c>
      <c r="Q3926" s="22" t="s">
        <v>61</v>
      </c>
      <c r="R3926" s="22" t="s">
        <v>62</v>
      </c>
      <c r="S3926" s="22" t="s">
        <v>49</v>
      </c>
      <c r="T3926" s="22" t="s">
        <v>78</v>
      </c>
      <c r="U3926" s="22" t="s">
        <v>1071</v>
      </c>
      <c r="V3926" s="22" t="s">
        <v>121</v>
      </c>
      <c r="W3926" s="22" t="s">
        <v>64</v>
      </c>
      <c r="X3926" s="104">
        <v>670000</v>
      </c>
      <c r="Y3926" s="195" t="str">
        <f t="shared" si="1185"/>
        <v>1.13</v>
      </c>
      <c r="Z3926" s="196">
        <f t="shared" si="1184"/>
        <v>670000</v>
      </c>
      <c r="AA3926" s="22">
        <v>1.073</v>
      </c>
      <c r="AB3926" s="197">
        <f t="shared" si="1196"/>
        <v>636203.53982300893</v>
      </c>
      <c r="AC3926" s="198">
        <f t="shared" si="1174"/>
        <v>88814.014159292055</v>
      </c>
      <c r="AD3926" s="170">
        <v>0.1396</v>
      </c>
      <c r="AE3926" s="199">
        <f t="shared" si="1175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4"/>
        <v>30691842.970796466</v>
      </c>
      <c r="AJ3926" s="200">
        <f t="shared" si="1195"/>
        <v>4088324.205777524</v>
      </c>
      <c r="AK3926" s="201">
        <f t="shared" si="1176"/>
        <v>0.1332055624573473</v>
      </c>
      <c r="AL3926" s="24"/>
      <c r="AM3926" s="24"/>
      <c r="AN3926" s="24"/>
      <c r="AO3926" s="24"/>
      <c r="AP3926" s="165" t="str">
        <f t="shared" si="1177"/>
        <v>20252</v>
      </c>
      <c r="AQ3926" s="203" t="str">
        <f t="shared" si="1178"/>
        <v>20252RMB</v>
      </c>
      <c r="AR3926" s="206" t="str">
        <f t="shared" si="1179"/>
        <v>YAMAHA_Mounter</v>
      </c>
      <c r="AS3926" s="22">
        <f t="shared" si="1180"/>
        <v>0</v>
      </c>
      <c r="AT3926" s="24" t="str">
        <f t="shared" si="1181"/>
        <v>0-3 months</v>
      </c>
      <c r="AU3926" s="22" t="s">
        <v>3751</v>
      </c>
    </row>
    <row r="3927" spans="1:47">
      <c r="A3927" s="33" t="str">
        <f t="shared" si="1172"/>
        <v>FY 24/25</v>
      </c>
      <c r="B3927" s="23">
        <v>2025</v>
      </c>
      <c r="C3927" s="23">
        <v>2</v>
      </c>
      <c r="D3927" s="202" t="str">
        <f t="shared" si="1183"/>
        <v>Q4</v>
      </c>
      <c r="E3927" s="33" t="str">
        <f t="shared" si="1171"/>
        <v>FY 25/26</v>
      </c>
      <c r="F3927" s="23">
        <v>2025</v>
      </c>
      <c r="G3927" s="23">
        <v>5</v>
      </c>
      <c r="H3927" s="29"/>
      <c r="I3927" s="204" t="str">
        <f t="shared" si="1173"/>
        <v>Q1</v>
      </c>
      <c r="J3927" s="188" t="s">
        <v>3694</v>
      </c>
      <c r="K3927" s="29" t="s">
        <v>3695</v>
      </c>
      <c r="L3927" s="24" t="s">
        <v>3698</v>
      </c>
      <c r="M3927" s="13" t="s">
        <v>60</v>
      </c>
      <c r="N3927" s="22">
        <v>1</v>
      </c>
      <c r="O3927" s="22"/>
      <c r="P3927" s="202" t="str">
        <f t="shared" si="1182"/>
        <v>MAIN UNIT</v>
      </c>
      <c r="Q3927" s="22" t="s">
        <v>61</v>
      </c>
      <c r="R3927" s="22" t="s">
        <v>62</v>
      </c>
      <c r="S3927" s="22" t="s">
        <v>49</v>
      </c>
      <c r="T3927" s="22" t="s">
        <v>78</v>
      </c>
      <c r="U3927" s="22" t="s">
        <v>78</v>
      </c>
      <c r="V3927" s="22" t="s">
        <v>126</v>
      </c>
      <c r="W3927" s="22" t="s">
        <v>109</v>
      </c>
      <c r="X3927" s="104">
        <v>29837877</v>
      </c>
      <c r="Y3927" s="195" t="str">
        <f t="shared" si="1185"/>
        <v>1</v>
      </c>
      <c r="Z3927" s="196">
        <f t="shared" si="1184"/>
        <v>29837877</v>
      </c>
      <c r="AA3927" s="22">
        <v>5.2999999999999999E-2</v>
      </c>
      <c r="AB3927" s="197">
        <f t="shared" si="1196"/>
        <v>1581407.4809999999</v>
      </c>
      <c r="AC3927" s="198">
        <f t="shared" si="1174"/>
        <v>189768.89771999998</v>
      </c>
      <c r="AD3927" s="169">
        <v>0.12</v>
      </c>
      <c r="AE3927" s="199">
        <f t="shared" si="1175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4"/>
        <v>14766529.81520354</v>
      </c>
      <c r="AJ3927" s="200">
        <f t="shared" si="1195"/>
        <v>1771983.5778244243</v>
      </c>
      <c r="AK3927" s="201">
        <f t="shared" si="1176"/>
        <v>0.11999999999999997</v>
      </c>
      <c r="AL3927" s="24"/>
      <c r="AM3927" s="24"/>
      <c r="AN3927" s="24"/>
      <c r="AO3927" s="24"/>
      <c r="AP3927" s="165" t="str">
        <f t="shared" si="1177"/>
        <v>20255</v>
      </c>
      <c r="AQ3927" s="203" t="str">
        <f t="shared" si="1178"/>
        <v>20255JPY</v>
      </c>
      <c r="AR3927" s="206" t="str">
        <f t="shared" si="1179"/>
        <v>YAMAHA_Mounter</v>
      </c>
      <c r="AS3927" s="22">
        <f t="shared" si="1180"/>
        <v>3</v>
      </c>
      <c r="AT3927" s="24" t="str">
        <f t="shared" si="1181"/>
        <v>0-3 months</v>
      </c>
      <c r="AU3927" s="22" t="s">
        <v>3745</v>
      </c>
    </row>
    <row r="3928" spans="1:47">
      <c r="A3928" s="33" t="str">
        <f t="shared" si="1172"/>
        <v>FY 24/25</v>
      </c>
      <c r="B3928" s="23">
        <v>2025</v>
      </c>
      <c r="C3928" s="23">
        <v>2</v>
      </c>
      <c r="D3928" s="202" t="str">
        <f t="shared" si="1183"/>
        <v>Q4</v>
      </c>
      <c r="E3928" s="33" t="str">
        <f t="shared" ref="E3928:E3991" si="1197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5</v>
      </c>
      <c r="H3928" s="29"/>
      <c r="I3928" s="204" t="str">
        <f t="shared" si="1173"/>
        <v>Q1</v>
      </c>
      <c r="J3928" s="188" t="s">
        <v>3694</v>
      </c>
      <c r="K3928" s="29" t="s">
        <v>3695</v>
      </c>
      <c r="L3928" s="24" t="s">
        <v>3698</v>
      </c>
      <c r="M3928" s="13" t="s">
        <v>60</v>
      </c>
      <c r="N3928" s="22">
        <v>1</v>
      </c>
      <c r="O3928" s="22"/>
      <c r="P3928" s="202" t="str">
        <f t="shared" si="1182"/>
        <v>MAIN UNIT</v>
      </c>
      <c r="Q3928" s="22" t="s">
        <v>61</v>
      </c>
      <c r="R3928" s="22" t="s">
        <v>62</v>
      </c>
      <c r="S3928" s="22" t="s">
        <v>49</v>
      </c>
      <c r="T3928" s="22" t="s">
        <v>78</v>
      </c>
      <c r="U3928" s="22" t="s">
        <v>78</v>
      </c>
      <c r="V3928" s="22" t="s">
        <v>126</v>
      </c>
      <c r="W3928" s="22" t="s">
        <v>109</v>
      </c>
      <c r="X3928" s="104">
        <v>29837877</v>
      </c>
      <c r="Y3928" s="195" t="str">
        <f t="shared" si="1185"/>
        <v>1</v>
      </c>
      <c r="Z3928" s="196">
        <f t="shared" si="1184"/>
        <v>29837877</v>
      </c>
      <c r="AA3928" s="22">
        <v>5.2999999999999999E-2</v>
      </c>
      <c r="AB3928" s="197">
        <f t="shared" si="1196"/>
        <v>1581407.4809999999</v>
      </c>
      <c r="AC3928" s="198">
        <f t="shared" si="1174"/>
        <v>189768.89771999998</v>
      </c>
      <c r="AD3928" s="169">
        <v>0.12</v>
      </c>
      <c r="AE3928" s="199">
        <f t="shared" si="1175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4"/>
        <v>14766529.81520354</v>
      </c>
      <c r="AJ3928" s="200">
        <f t="shared" si="1195"/>
        <v>1771983.5778244243</v>
      </c>
      <c r="AK3928" s="201">
        <f t="shared" si="1176"/>
        <v>0.11999999999999997</v>
      </c>
      <c r="AL3928" s="24"/>
      <c r="AM3928" s="24"/>
      <c r="AN3928" s="24"/>
      <c r="AO3928" s="24"/>
      <c r="AP3928" s="165" t="str">
        <f t="shared" si="1177"/>
        <v>20255</v>
      </c>
      <c r="AQ3928" s="203" t="str">
        <f t="shared" si="1178"/>
        <v>20255JPY</v>
      </c>
      <c r="AR3928" s="206" t="str">
        <f t="shared" si="1179"/>
        <v>YAMAHA_Mounter</v>
      </c>
      <c r="AS3928" s="22">
        <f t="shared" si="1180"/>
        <v>3</v>
      </c>
      <c r="AT3928" s="24" t="str">
        <f t="shared" si="1181"/>
        <v>0-3 months</v>
      </c>
      <c r="AU3928" s="22" t="s">
        <v>3745</v>
      </c>
    </row>
    <row r="3929" spans="1:47">
      <c r="A3929" s="33" t="str">
        <f t="shared" si="1172"/>
        <v>FY 24/25</v>
      </c>
      <c r="B3929" s="23">
        <v>2025</v>
      </c>
      <c r="C3929" s="23">
        <v>2</v>
      </c>
      <c r="D3929" s="202" t="str">
        <f t="shared" si="1183"/>
        <v>Q4</v>
      </c>
      <c r="E3929" s="33" t="str">
        <f t="shared" si="1197"/>
        <v>FY 25/26</v>
      </c>
      <c r="F3929" s="23">
        <v>2025</v>
      </c>
      <c r="G3929" s="23">
        <v>5</v>
      </c>
      <c r="H3929" s="29"/>
      <c r="I3929" s="204" t="str">
        <f t="shared" si="1173"/>
        <v>Q1</v>
      </c>
      <c r="J3929" s="188" t="s">
        <v>3694</v>
      </c>
      <c r="K3929" s="29" t="s">
        <v>3695</v>
      </c>
      <c r="L3929" s="24" t="s">
        <v>3698</v>
      </c>
      <c r="M3929" s="13" t="s">
        <v>60</v>
      </c>
      <c r="N3929" s="22">
        <v>1</v>
      </c>
      <c r="O3929" s="22"/>
      <c r="P3929" s="202" t="str">
        <f t="shared" si="1182"/>
        <v>MAIN UNIT</v>
      </c>
      <c r="Q3929" s="22" t="s">
        <v>61</v>
      </c>
      <c r="R3929" s="22" t="s">
        <v>62</v>
      </c>
      <c r="S3929" s="22" t="s">
        <v>49</v>
      </c>
      <c r="T3929" s="22" t="s">
        <v>78</v>
      </c>
      <c r="U3929" s="22" t="s">
        <v>78</v>
      </c>
      <c r="V3929" s="22" t="s">
        <v>126</v>
      </c>
      <c r="W3929" s="22" t="s">
        <v>109</v>
      </c>
      <c r="X3929" s="104">
        <v>29837877</v>
      </c>
      <c r="Y3929" s="195" t="str">
        <f t="shared" si="1185"/>
        <v>1</v>
      </c>
      <c r="Z3929" s="196">
        <f t="shared" si="1184"/>
        <v>29837877</v>
      </c>
      <c r="AA3929" s="22">
        <v>5.2999999999999999E-2</v>
      </c>
      <c r="AB3929" s="197">
        <f t="shared" si="1196"/>
        <v>1581407.4809999999</v>
      </c>
      <c r="AC3929" s="198">
        <f t="shared" si="1174"/>
        <v>189768.89771999998</v>
      </c>
      <c r="AD3929" s="169">
        <v>0.12</v>
      </c>
      <c r="AE3929" s="199">
        <f t="shared" si="1175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4"/>
        <v>14766529.81520354</v>
      </c>
      <c r="AJ3929" s="200">
        <f t="shared" si="1195"/>
        <v>1771983.5778244243</v>
      </c>
      <c r="AK3929" s="201">
        <f t="shared" si="1176"/>
        <v>0.11999999999999997</v>
      </c>
      <c r="AL3929" s="24"/>
      <c r="AM3929" s="24"/>
      <c r="AN3929" s="24"/>
      <c r="AO3929" s="24"/>
      <c r="AP3929" s="165" t="str">
        <f t="shared" si="1177"/>
        <v>20255</v>
      </c>
      <c r="AQ3929" s="203" t="str">
        <f t="shared" si="1178"/>
        <v>20255JPY</v>
      </c>
      <c r="AR3929" s="206" t="str">
        <f t="shared" si="1179"/>
        <v>YAMAHA_Mounter</v>
      </c>
      <c r="AS3929" s="22">
        <f t="shared" si="1180"/>
        <v>3</v>
      </c>
      <c r="AT3929" s="24" t="str">
        <f t="shared" si="1181"/>
        <v>0-3 months</v>
      </c>
      <c r="AU3929" s="22" t="s">
        <v>3745</v>
      </c>
    </row>
    <row r="3930" spans="1:47">
      <c r="A3930" s="33" t="str">
        <f t="shared" si="1172"/>
        <v>FY 24/25</v>
      </c>
      <c r="B3930" s="23">
        <v>2025</v>
      </c>
      <c r="C3930" s="23">
        <v>2</v>
      </c>
      <c r="D3930" s="202" t="str">
        <f t="shared" si="1183"/>
        <v>Q4</v>
      </c>
      <c r="E3930" s="33" t="str">
        <f t="shared" si="1197"/>
        <v>FY 25/26</v>
      </c>
      <c r="F3930" s="23">
        <v>2025</v>
      </c>
      <c r="G3930" s="23">
        <v>5</v>
      </c>
      <c r="H3930" s="29"/>
      <c r="I3930" s="204" t="str">
        <f t="shared" si="1173"/>
        <v>Q1</v>
      </c>
      <c r="J3930" s="188" t="s">
        <v>3694</v>
      </c>
      <c r="K3930" s="29" t="s">
        <v>3695</v>
      </c>
      <c r="L3930" s="24" t="s">
        <v>3698</v>
      </c>
      <c r="M3930" s="13" t="s">
        <v>60</v>
      </c>
      <c r="N3930" s="22">
        <v>1</v>
      </c>
      <c r="O3930" s="22"/>
      <c r="P3930" s="202" t="str">
        <f t="shared" si="1182"/>
        <v>MAIN UNIT</v>
      </c>
      <c r="Q3930" s="22" t="s">
        <v>61</v>
      </c>
      <c r="R3930" s="22" t="s">
        <v>62</v>
      </c>
      <c r="S3930" s="22" t="s">
        <v>49</v>
      </c>
      <c r="T3930" s="22" t="s">
        <v>78</v>
      </c>
      <c r="U3930" s="22" t="s">
        <v>78</v>
      </c>
      <c r="V3930" s="22" t="s">
        <v>126</v>
      </c>
      <c r="W3930" s="22" t="s">
        <v>109</v>
      </c>
      <c r="X3930" s="104">
        <v>29837877</v>
      </c>
      <c r="Y3930" s="195" t="str">
        <f t="shared" si="1185"/>
        <v>1</v>
      </c>
      <c r="Z3930" s="196">
        <f t="shared" si="1184"/>
        <v>29837877</v>
      </c>
      <c r="AA3930" s="22">
        <v>5.2999999999999999E-2</v>
      </c>
      <c r="AB3930" s="197">
        <f t="shared" si="1196"/>
        <v>1581407.4809999999</v>
      </c>
      <c r="AC3930" s="198">
        <f t="shared" si="1174"/>
        <v>189768.89771999998</v>
      </c>
      <c r="AD3930" s="169">
        <v>0.12</v>
      </c>
      <c r="AE3930" s="199">
        <f t="shared" si="1175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4"/>
        <v>14766529.81520354</v>
      </c>
      <c r="AJ3930" s="200">
        <f t="shared" si="1195"/>
        <v>1771983.5778244243</v>
      </c>
      <c r="AK3930" s="201">
        <f t="shared" si="1176"/>
        <v>0.11999999999999997</v>
      </c>
      <c r="AL3930" s="24"/>
      <c r="AM3930" s="24"/>
      <c r="AN3930" s="24"/>
      <c r="AO3930" s="24"/>
      <c r="AP3930" s="165" t="str">
        <f t="shared" si="1177"/>
        <v>20255</v>
      </c>
      <c r="AQ3930" s="203" t="str">
        <f t="shared" si="1178"/>
        <v>20255JPY</v>
      </c>
      <c r="AR3930" s="206" t="str">
        <f t="shared" si="1179"/>
        <v>YAMAHA_Mounter</v>
      </c>
      <c r="AS3930" s="22">
        <f t="shared" si="1180"/>
        <v>3</v>
      </c>
      <c r="AT3930" s="24" t="str">
        <f t="shared" si="1181"/>
        <v>0-3 months</v>
      </c>
      <c r="AU3930" s="22" t="s">
        <v>3745</v>
      </c>
    </row>
    <row r="3931" spans="1:47">
      <c r="A3931" s="33" t="str">
        <f t="shared" si="1172"/>
        <v>FY 24/25</v>
      </c>
      <c r="B3931" s="23">
        <v>2025</v>
      </c>
      <c r="C3931" s="23">
        <v>2</v>
      </c>
      <c r="D3931" s="202" t="str">
        <f t="shared" si="1183"/>
        <v>Q4</v>
      </c>
      <c r="E3931" s="33" t="str">
        <f t="shared" si="1197"/>
        <v>FY 25/26</v>
      </c>
      <c r="F3931" s="23">
        <v>2025</v>
      </c>
      <c r="G3931" s="23">
        <v>5</v>
      </c>
      <c r="H3931" s="29"/>
      <c r="I3931" s="204" t="str">
        <f t="shared" si="1173"/>
        <v>Q1</v>
      </c>
      <c r="J3931" s="188" t="s">
        <v>3694</v>
      </c>
      <c r="K3931" s="29" t="s">
        <v>3695</v>
      </c>
      <c r="L3931" s="24" t="s">
        <v>3698</v>
      </c>
      <c r="M3931" s="13" t="s">
        <v>60</v>
      </c>
      <c r="N3931" s="22">
        <v>1</v>
      </c>
      <c r="O3931" s="22"/>
      <c r="P3931" s="202" t="str">
        <f t="shared" si="1182"/>
        <v>MAIN UNIT</v>
      </c>
      <c r="Q3931" s="22" t="s">
        <v>61</v>
      </c>
      <c r="R3931" s="22" t="s">
        <v>62</v>
      </c>
      <c r="S3931" s="22" t="s">
        <v>49</v>
      </c>
      <c r="T3931" s="22" t="s">
        <v>78</v>
      </c>
      <c r="U3931" s="22" t="s">
        <v>78</v>
      </c>
      <c r="V3931" s="22" t="s">
        <v>126</v>
      </c>
      <c r="W3931" s="22" t="s">
        <v>109</v>
      </c>
      <c r="X3931" s="104">
        <v>29837877</v>
      </c>
      <c r="Y3931" s="195" t="str">
        <f t="shared" si="1185"/>
        <v>1</v>
      </c>
      <c r="Z3931" s="196">
        <f t="shared" si="1184"/>
        <v>29837877</v>
      </c>
      <c r="AA3931" s="22">
        <v>5.2999999999999999E-2</v>
      </c>
      <c r="AB3931" s="197">
        <f t="shared" si="1196"/>
        <v>1581407.4809999999</v>
      </c>
      <c r="AC3931" s="198">
        <f t="shared" si="1174"/>
        <v>189768.89771999998</v>
      </c>
      <c r="AD3931" s="169">
        <v>0.12</v>
      </c>
      <c r="AE3931" s="199">
        <f t="shared" si="1175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4"/>
        <v>14766529.81520354</v>
      </c>
      <c r="AJ3931" s="200">
        <f t="shared" si="1195"/>
        <v>1771983.5778244243</v>
      </c>
      <c r="AK3931" s="201">
        <f t="shared" si="1176"/>
        <v>0.11999999999999997</v>
      </c>
      <c r="AL3931" s="24"/>
      <c r="AM3931" s="24"/>
      <c r="AN3931" s="24"/>
      <c r="AO3931" s="24"/>
      <c r="AP3931" s="165" t="str">
        <f t="shared" si="1177"/>
        <v>20255</v>
      </c>
      <c r="AQ3931" s="203" t="str">
        <f t="shared" si="1178"/>
        <v>20255JPY</v>
      </c>
      <c r="AR3931" s="206" t="str">
        <f t="shared" si="1179"/>
        <v>YAMAHA_Mounter</v>
      </c>
      <c r="AS3931" s="22">
        <f t="shared" si="1180"/>
        <v>3</v>
      </c>
      <c r="AT3931" s="24" t="str">
        <f t="shared" si="1181"/>
        <v>0-3 months</v>
      </c>
      <c r="AU3931" s="22" t="s">
        <v>3745</v>
      </c>
    </row>
    <row r="3932" spans="1:47">
      <c r="A3932" s="33" t="str">
        <f t="shared" si="1172"/>
        <v>FY 24/25</v>
      </c>
      <c r="B3932" s="23">
        <v>2025</v>
      </c>
      <c r="C3932" s="23">
        <v>2</v>
      </c>
      <c r="D3932" s="202" t="str">
        <f t="shared" si="1183"/>
        <v>Q4</v>
      </c>
      <c r="E3932" s="33" t="str">
        <f t="shared" si="1197"/>
        <v>FY 25/26</v>
      </c>
      <c r="F3932" s="23">
        <v>2025</v>
      </c>
      <c r="G3932" s="23">
        <v>5</v>
      </c>
      <c r="H3932" s="29"/>
      <c r="I3932" s="204" t="str">
        <f t="shared" si="1173"/>
        <v>Q1</v>
      </c>
      <c r="J3932" s="188" t="s">
        <v>3694</v>
      </c>
      <c r="K3932" s="29" t="s">
        <v>3695</v>
      </c>
      <c r="L3932" s="24" t="s">
        <v>3698</v>
      </c>
      <c r="M3932" s="13" t="s">
        <v>60</v>
      </c>
      <c r="N3932" s="22">
        <v>1</v>
      </c>
      <c r="O3932" s="22"/>
      <c r="P3932" s="202" t="str">
        <f t="shared" si="1182"/>
        <v>MAIN UNIT</v>
      </c>
      <c r="Q3932" s="22" t="s">
        <v>61</v>
      </c>
      <c r="R3932" s="22" t="s">
        <v>62</v>
      </c>
      <c r="S3932" s="22" t="s">
        <v>49</v>
      </c>
      <c r="T3932" s="22" t="s">
        <v>78</v>
      </c>
      <c r="U3932" s="22" t="s">
        <v>78</v>
      </c>
      <c r="V3932" s="22" t="s">
        <v>126</v>
      </c>
      <c r="W3932" s="22" t="s">
        <v>109</v>
      </c>
      <c r="X3932" s="104">
        <v>29837877</v>
      </c>
      <c r="Y3932" s="195" t="str">
        <f t="shared" si="1185"/>
        <v>1</v>
      </c>
      <c r="Z3932" s="196">
        <f t="shared" si="1184"/>
        <v>29837877</v>
      </c>
      <c r="AA3932" s="22">
        <v>5.2999999999999999E-2</v>
      </c>
      <c r="AB3932" s="197">
        <f t="shared" si="1196"/>
        <v>1581407.4809999999</v>
      </c>
      <c r="AC3932" s="198">
        <f t="shared" si="1174"/>
        <v>189768.89771999998</v>
      </c>
      <c r="AD3932" s="169">
        <v>0.12</v>
      </c>
      <c r="AE3932" s="199">
        <f t="shared" si="1175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4"/>
        <v>14766529.81520354</v>
      </c>
      <c r="AJ3932" s="200">
        <f t="shared" si="1195"/>
        <v>1771983.5778244243</v>
      </c>
      <c r="AK3932" s="201">
        <f t="shared" si="1176"/>
        <v>0.11999999999999997</v>
      </c>
      <c r="AL3932" s="24"/>
      <c r="AM3932" s="24"/>
      <c r="AN3932" s="24"/>
      <c r="AO3932" s="24"/>
      <c r="AP3932" s="165" t="str">
        <f t="shared" si="1177"/>
        <v>20255</v>
      </c>
      <c r="AQ3932" s="203" t="str">
        <f t="shared" si="1178"/>
        <v>20255JPY</v>
      </c>
      <c r="AR3932" s="206" t="str">
        <f t="shared" si="1179"/>
        <v>YAMAHA_Mounter</v>
      </c>
      <c r="AS3932" s="22">
        <f t="shared" si="1180"/>
        <v>3</v>
      </c>
      <c r="AT3932" s="24" t="str">
        <f t="shared" si="1181"/>
        <v>0-3 months</v>
      </c>
      <c r="AU3932" s="22" t="s">
        <v>3745</v>
      </c>
    </row>
    <row r="3933" spans="1:47">
      <c r="A3933" s="33" t="str">
        <f t="shared" si="1172"/>
        <v>FY 24/25</v>
      </c>
      <c r="B3933" s="23">
        <v>2025</v>
      </c>
      <c r="C3933" s="23">
        <v>2</v>
      </c>
      <c r="D3933" s="202" t="str">
        <f t="shared" si="1183"/>
        <v>Q4</v>
      </c>
      <c r="E3933" s="33" t="str">
        <f t="shared" si="1197"/>
        <v>FY 24/25</v>
      </c>
      <c r="F3933" s="23">
        <v>2025</v>
      </c>
      <c r="G3933" s="23">
        <v>3</v>
      </c>
      <c r="H3933" s="29"/>
      <c r="I3933" s="204" t="str">
        <f t="shared" si="1173"/>
        <v>Q4</v>
      </c>
      <c r="J3933" s="188" t="s">
        <v>3696</v>
      </c>
      <c r="K3933" s="239" t="s">
        <v>3697</v>
      </c>
      <c r="L3933" s="24" t="s">
        <v>67</v>
      </c>
      <c r="M3933" s="13" t="s">
        <v>60</v>
      </c>
      <c r="N3933" s="22">
        <v>1</v>
      </c>
      <c r="O3933" s="22"/>
      <c r="P3933" s="202" t="str">
        <f t="shared" si="1182"/>
        <v>MAIN UNIT</v>
      </c>
      <c r="Q3933" s="22" t="s">
        <v>61</v>
      </c>
      <c r="R3933" s="22" t="s">
        <v>62</v>
      </c>
      <c r="S3933" s="22" t="s">
        <v>50</v>
      </c>
      <c r="T3933" s="22" t="s">
        <v>93</v>
      </c>
      <c r="U3933" s="22" t="s">
        <v>70</v>
      </c>
      <c r="V3933" s="22" t="s">
        <v>71</v>
      </c>
      <c r="W3933" s="22" t="s">
        <v>64</v>
      </c>
      <c r="X3933" s="104">
        <v>423800</v>
      </c>
      <c r="Y3933" s="195" t="str">
        <f t="shared" si="1185"/>
        <v>1.13</v>
      </c>
      <c r="Z3933" s="196">
        <f t="shared" si="1184"/>
        <v>423800</v>
      </c>
      <c r="AA3933" s="22">
        <v>1.0669999999999999</v>
      </c>
      <c r="AB3933" s="197">
        <f t="shared" si="1196"/>
        <v>400172.2123893805</v>
      </c>
      <c r="AC3933" s="198">
        <f t="shared" si="1174"/>
        <v>48020.665486725658</v>
      </c>
      <c r="AD3933" s="169">
        <v>0.12</v>
      </c>
      <c r="AE3933" s="199">
        <f t="shared" si="1175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4"/>
        <v>17732428.654867258</v>
      </c>
      <c r="AJ3933" s="200">
        <f t="shared" si="1195"/>
        <v>2127891.4385840711</v>
      </c>
      <c r="AK3933" s="201">
        <f t="shared" si="1176"/>
        <v>0.12000000000000001</v>
      </c>
      <c r="AL3933" s="24"/>
      <c r="AM3933" s="24"/>
      <c r="AN3933" s="24"/>
      <c r="AO3933" s="24"/>
      <c r="AP3933" s="165" t="str">
        <f t="shared" si="1177"/>
        <v>20253</v>
      </c>
      <c r="AQ3933" s="203" t="str">
        <f t="shared" si="1178"/>
        <v>20253RMB</v>
      </c>
      <c r="AR3933" s="206" t="str">
        <f t="shared" si="1179"/>
        <v>YAMAHA_Mounter</v>
      </c>
      <c r="AS3933" s="22">
        <f t="shared" si="1180"/>
        <v>1</v>
      </c>
      <c r="AT3933" s="24" t="str">
        <f t="shared" si="1181"/>
        <v>0-3 months</v>
      </c>
      <c r="AU3933" s="22" t="s">
        <v>3240</v>
      </c>
    </row>
    <row r="3934" spans="1:47">
      <c r="A3934" s="33" t="str">
        <f t="shared" si="1172"/>
        <v>FY 24/25</v>
      </c>
      <c r="B3934" s="23">
        <v>2025</v>
      </c>
      <c r="C3934" s="23">
        <v>2</v>
      </c>
      <c r="D3934" s="202" t="str">
        <f t="shared" si="1183"/>
        <v>Q4</v>
      </c>
      <c r="E3934" s="33" t="str">
        <f t="shared" si="1197"/>
        <v>FY 25/26</v>
      </c>
      <c r="F3934" s="23">
        <v>2025</v>
      </c>
      <c r="G3934" s="23">
        <v>5</v>
      </c>
      <c r="H3934" s="29"/>
      <c r="I3934" s="204" t="str">
        <f t="shared" si="1173"/>
        <v>Q1</v>
      </c>
      <c r="J3934" s="188" t="s">
        <v>3699</v>
      </c>
      <c r="K3934" s="29" t="s">
        <v>3700</v>
      </c>
      <c r="L3934" s="24" t="s">
        <v>3698</v>
      </c>
      <c r="M3934" s="13" t="s">
        <v>60</v>
      </c>
      <c r="N3934" s="22">
        <v>1</v>
      </c>
      <c r="O3934" s="22"/>
      <c r="P3934" s="202" t="str">
        <f t="shared" si="1182"/>
        <v>MAIN UNIT</v>
      </c>
      <c r="Q3934" s="22" t="s">
        <v>68</v>
      </c>
      <c r="R3934" s="22" t="s">
        <v>62</v>
      </c>
      <c r="S3934" s="22" t="s">
        <v>49</v>
      </c>
      <c r="T3934" s="22" t="s">
        <v>78</v>
      </c>
      <c r="U3934" s="22" t="s">
        <v>78</v>
      </c>
      <c r="V3934" s="22" t="s">
        <v>112</v>
      </c>
      <c r="W3934" s="22" t="s">
        <v>109</v>
      </c>
      <c r="X3934" s="104">
        <v>15000000</v>
      </c>
      <c r="Y3934" s="195" t="str">
        <f t="shared" si="1185"/>
        <v>1</v>
      </c>
      <c r="Z3934" s="196">
        <f t="shared" si="1184"/>
        <v>15000000</v>
      </c>
      <c r="AA3934" s="22">
        <v>5.2999999999999999E-2</v>
      </c>
      <c r="AB3934" s="197">
        <f t="shared" si="1196"/>
        <v>795000</v>
      </c>
      <c r="AC3934" s="198">
        <f t="shared" si="1174"/>
        <v>95400</v>
      </c>
      <c r="AD3934" s="169">
        <v>0.12</v>
      </c>
      <c r="AE3934" s="199">
        <f t="shared" si="1175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4"/>
        <v>14766529.81520354</v>
      </c>
      <c r="AJ3934" s="200">
        <f t="shared" si="1195"/>
        <v>1771983.5778244243</v>
      </c>
      <c r="AK3934" s="201">
        <f t="shared" si="1176"/>
        <v>0.11999999999999997</v>
      </c>
      <c r="AL3934" s="24"/>
      <c r="AM3934" s="24"/>
      <c r="AN3934" s="24"/>
      <c r="AO3934" s="24"/>
      <c r="AP3934" s="165" t="str">
        <f t="shared" si="1177"/>
        <v>20255</v>
      </c>
      <c r="AQ3934" s="203" t="str">
        <f t="shared" si="1178"/>
        <v>20255JPY</v>
      </c>
      <c r="AR3934" s="206" t="str">
        <f t="shared" si="1179"/>
        <v>YAMAHA_Mounter</v>
      </c>
      <c r="AS3934" s="22">
        <f t="shared" si="1180"/>
        <v>3</v>
      </c>
      <c r="AT3934" s="24" t="str">
        <f t="shared" si="1181"/>
        <v>0-3 months</v>
      </c>
      <c r="AU3934" s="22" t="s">
        <v>3745</v>
      </c>
    </row>
    <row r="3935" spans="1:47">
      <c r="A3935" s="33" t="str">
        <f t="shared" si="1172"/>
        <v>FY 24/25</v>
      </c>
      <c r="B3935" s="23">
        <v>2025</v>
      </c>
      <c r="C3935" s="23">
        <v>2</v>
      </c>
      <c r="D3935" s="202" t="str">
        <f t="shared" si="1183"/>
        <v>Q4</v>
      </c>
      <c r="E3935" s="33" t="str">
        <f t="shared" si="1197"/>
        <v>FY 25/26</v>
      </c>
      <c r="F3935" s="23">
        <v>2025</v>
      </c>
      <c r="G3935" s="23">
        <v>5</v>
      </c>
      <c r="H3935" s="29"/>
      <c r="I3935" s="204" t="str">
        <f t="shared" si="1173"/>
        <v>Q1</v>
      </c>
      <c r="J3935" s="188" t="s">
        <v>3699</v>
      </c>
      <c r="K3935" s="29" t="s">
        <v>3700</v>
      </c>
      <c r="L3935" s="24" t="s">
        <v>3698</v>
      </c>
      <c r="M3935" s="13" t="s">
        <v>60</v>
      </c>
      <c r="N3935" s="22">
        <v>1</v>
      </c>
      <c r="O3935" s="22"/>
      <c r="P3935" s="202" t="str">
        <f t="shared" si="1182"/>
        <v>MAIN UNIT</v>
      </c>
      <c r="Q3935" s="22" t="s">
        <v>68</v>
      </c>
      <c r="R3935" s="22" t="s">
        <v>62</v>
      </c>
      <c r="S3935" s="22" t="s">
        <v>49</v>
      </c>
      <c r="T3935" s="22" t="s">
        <v>78</v>
      </c>
      <c r="U3935" s="22" t="s">
        <v>78</v>
      </c>
      <c r="V3935" s="22" t="s">
        <v>112</v>
      </c>
      <c r="W3935" s="22" t="s">
        <v>109</v>
      </c>
      <c r="X3935" s="104">
        <v>15000000</v>
      </c>
      <c r="Y3935" s="195" t="str">
        <f t="shared" si="1185"/>
        <v>1</v>
      </c>
      <c r="Z3935" s="196">
        <f t="shared" si="1184"/>
        <v>15000000</v>
      </c>
      <c r="AA3935" s="22">
        <v>5.2999999999999999E-2</v>
      </c>
      <c r="AB3935" s="197">
        <f t="shared" si="1196"/>
        <v>795000</v>
      </c>
      <c r="AC3935" s="198">
        <f t="shared" si="1174"/>
        <v>95400</v>
      </c>
      <c r="AD3935" s="169">
        <v>0.12</v>
      </c>
      <c r="AE3935" s="199">
        <f t="shared" si="1175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4"/>
        <v>14766529.81520354</v>
      </c>
      <c r="AJ3935" s="200">
        <f t="shared" si="1195"/>
        <v>1771983.5778244243</v>
      </c>
      <c r="AK3935" s="201">
        <f t="shared" si="1176"/>
        <v>0.11999999999999997</v>
      </c>
      <c r="AL3935" s="24"/>
      <c r="AM3935" s="24"/>
      <c r="AN3935" s="24"/>
      <c r="AO3935" s="24"/>
      <c r="AP3935" s="165" t="str">
        <f t="shared" si="1177"/>
        <v>20255</v>
      </c>
      <c r="AQ3935" s="203" t="str">
        <f t="shared" si="1178"/>
        <v>20255JPY</v>
      </c>
      <c r="AR3935" s="206" t="str">
        <f t="shared" si="1179"/>
        <v>YAMAHA_Mounter</v>
      </c>
      <c r="AS3935" s="22">
        <f t="shared" si="1180"/>
        <v>3</v>
      </c>
      <c r="AT3935" s="24" t="str">
        <f t="shared" si="1181"/>
        <v>0-3 months</v>
      </c>
      <c r="AU3935" s="22" t="s">
        <v>3745</v>
      </c>
    </row>
    <row r="3936" spans="1:47">
      <c r="A3936" s="33" t="str">
        <f t="shared" ref="A3936:A3999" si="1198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3"/>
        <v>Q4</v>
      </c>
      <c r="E3936" s="33" t="str">
        <f t="shared" si="1197"/>
        <v>FY 25/26</v>
      </c>
      <c r="F3936" s="23">
        <v>2025</v>
      </c>
      <c r="G3936" s="23">
        <v>5</v>
      </c>
      <c r="H3936" s="29"/>
      <c r="I3936" s="204" t="str">
        <f t="shared" ref="I3936:I3999" si="1199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3699</v>
      </c>
      <c r="K3936" s="29" t="s">
        <v>3700</v>
      </c>
      <c r="L3936" s="24" t="s">
        <v>67</v>
      </c>
      <c r="M3936" s="13" t="s">
        <v>60</v>
      </c>
      <c r="N3936" s="22">
        <v>1</v>
      </c>
      <c r="O3936" s="22"/>
      <c r="P3936" s="202" t="str">
        <f t="shared" si="1182"/>
        <v>MAIN UNIT</v>
      </c>
      <c r="Q3936" s="22" t="s">
        <v>68</v>
      </c>
      <c r="R3936" s="22" t="s">
        <v>62</v>
      </c>
      <c r="S3936" s="22" t="s">
        <v>49</v>
      </c>
      <c r="T3936" s="22" t="s">
        <v>78</v>
      </c>
      <c r="U3936" s="22" t="s">
        <v>78</v>
      </c>
      <c r="V3936" s="22" t="s">
        <v>112</v>
      </c>
      <c r="W3936" s="22" t="s">
        <v>109</v>
      </c>
      <c r="X3936" s="104">
        <v>8336500</v>
      </c>
      <c r="Y3936" s="195" t="str">
        <f t="shared" si="1185"/>
        <v>1</v>
      </c>
      <c r="Z3936" s="196">
        <f t="shared" si="1184"/>
        <v>8336500</v>
      </c>
      <c r="AA3936" s="22">
        <v>5.2999999999999999E-2</v>
      </c>
      <c r="AB3936" s="197">
        <f t="shared" si="1196"/>
        <v>441834.5</v>
      </c>
      <c r="AC3936" s="198">
        <f t="shared" ref="AC3936:AC3994" si="1200">IF(R3936&lt;&gt;"",AB3936*AD3936,"")</f>
        <v>53020.14</v>
      </c>
      <c r="AD3936" s="169">
        <v>0.12</v>
      </c>
      <c r="AE3936" s="199">
        <f t="shared" ref="AE3936:AE3994" si="1201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4"/>
        <v>14766529.81520354</v>
      </c>
      <c r="AJ3936" s="200">
        <f t="shared" si="1195"/>
        <v>1771983.5778244243</v>
      </c>
      <c r="AK3936" s="201">
        <f t="shared" ref="AK3936:AK3994" si="1202">IF(AJ3936&gt;0,AJ3936/AI3936,"")</f>
        <v>0.11999999999999997</v>
      </c>
      <c r="AL3936" s="24"/>
      <c r="AM3936" s="24"/>
      <c r="AN3936" s="24"/>
      <c r="AO3936" s="24"/>
      <c r="AP3936" s="165" t="str">
        <f t="shared" ref="AP3936:AP3996" si="1203">IF(F3936="","",F3936&amp;G3936)</f>
        <v>20255</v>
      </c>
      <c r="AQ3936" s="203" t="str">
        <f t="shared" ref="AQ3936:AQ3996" si="1204">IF(W3936="","",F3936&amp;G3936&amp;W3936)</f>
        <v>20255JPY</v>
      </c>
      <c r="AR3936" s="206" t="str">
        <f t="shared" ref="AR3936:AR3996" si="1205">IFERROR(IF(AND(M3936="YAMAHA", R3936="C28"), "YAMAHA_Non_Mounter", IF(AND(M3936="YAMAHA", R3936="C49"), "YAMAHA_Mounter", M3936)),"")</f>
        <v>YAMAHA_Mounter</v>
      </c>
      <c r="AS3936" s="22">
        <f t="shared" ref="AS3936:AS3996" si="1206">IFERROR(IF(OR(G3936="TBA", G3936=""), "", DATEDIF(DATE(B3936, C3936, 1), DATE(F3936, G3936, 1), "M")),"")</f>
        <v>3</v>
      </c>
      <c r="AT3936" s="24" t="str">
        <f t="shared" ref="AT3936:AT3996" si="1207">IF(ISNUMBER(AS3936), IF(AS3936&gt;=0, IF(AS3936&lt;=3, "0-3 months", IF(AS3936&lt;=6, "4-6 months", "&gt; 6 months"))), "")</f>
        <v>0-3 months</v>
      </c>
      <c r="AU3936" s="22" t="s">
        <v>3745</v>
      </c>
    </row>
    <row r="3937" spans="1:47">
      <c r="A3937" s="33" t="str">
        <f t="shared" si="1198"/>
        <v>FY 24/25</v>
      </c>
      <c r="B3937" s="23">
        <v>2025</v>
      </c>
      <c r="C3937" s="23">
        <v>2</v>
      </c>
      <c r="D3937" s="202" t="str">
        <f t="shared" si="1183"/>
        <v>Q4</v>
      </c>
      <c r="E3937" s="33" t="str">
        <f t="shared" si="1197"/>
        <v>FY 25/26</v>
      </c>
      <c r="F3937" s="23">
        <v>2025</v>
      </c>
      <c r="G3937" s="23">
        <v>5</v>
      </c>
      <c r="H3937" s="29"/>
      <c r="I3937" s="204" t="str">
        <f t="shared" si="1199"/>
        <v>Q1</v>
      </c>
      <c r="J3937" s="188" t="s">
        <v>3699</v>
      </c>
      <c r="K3937" s="29" t="s">
        <v>3700</v>
      </c>
      <c r="L3937" s="24" t="s">
        <v>67</v>
      </c>
      <c r="M3937" s="13" t="s">
        <v>60</v>
      </c>
      <c r="N3937" s="22">
        <v>1</v>
      </c>
      <c r="O3937" s="22"/>
      <c r="P3937" s="202" t="str">
        <f t="shared" ref="P3937:P3994" si="1208">IF(M3937="","",IF(AND(N3937&gt;0,L3937&lt;&gt;""),"MAIN UNIT",IF(AND(O3937&gt;0,L3937&lt;&gt;""),"SERVICE/ PARTS","C66 SERVICE/OTHERS")))</f>
        <v>MAIN UNIT</v>
      </c>
      <c r="Q3937" s="22" t="s">
        <v>68</v>
      </c>
      <c r="R3937" s="22" t="s">
        <v>62</v>
      </c>
      <c r="S3937" s="22" t="s">
        <v>49</v>
      </c>
      <c r="T3937" s="22" t="s">
        <v>78</v>
      </c>
      <c r="U3937" s="22" t="s">
        <v>78</v>
      </c>
      <c r="V3937" s="22" t="s">
        <v>112</v>
      </c>
      <c r="W3937" s="22" t="s">
        <v>109</v>
      </c>
      <c r="X3937" s="104">
        <v>8336500</v>
      </c>
      <c r="Y3937" s="195" t="str">
        <f t="shared" si="1185"/>
        <v>1</v>
      </c>
      <c r="Z3937" s="196">
        <f t="shared" si="1184"/>
        <v>8336500</v>
      </c>
      <c r="AA3937" s="22">
        <v>5.2999999999999999E-2</v>
      </c>
      <c r="AB3937" s="197">
        <f t="shared" si="1196"/>
        <v>441834.5</v>
      </c>
      <c r="AC3937" s="198">
        <f t="shared" si="1200"/>
        <v>53020.14</v>
      </c>
      <c r="AD3937" s="169">
        <v>0.12</v>
      </c>
      <c r="AE3937" s="199">
        <f t="shared" si="1201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4"/>
        <v>14766529.81520354</v>
      </c>
      <c r="AJ3937" s="200">
        <f t="shared" si="1195"/>
        <v>1771983.5778244243</v>
      </c>
      <c r="AK3937" s="201">
        <f t="shared" si="1202"/>
        <v>0.11999999999999997</v>
      </c>
      <c r="AL3937" s="24"/>
      <c r="AM3937" s="24"/>
      <c r="AN3937" s="24"/>
      <c r="AO3937" s="24"/>
      <c r="AP3937" s="165" t="str">
        <f t="shared" si="1203"/>
        <v>20255</v>
      </c>
      <c r="AQ3937" s="203" t="str">
        <f t="shared" si="1204"/>
        <v>20255JPY</v>
      </c>
      <c r="AR3937" s="206" t="str">
        <f t="shared" si="1205"/>
        <v>YAMAHA_Mounter</v>
      </c>
      <c r="AS3937" s="22">
        <f t="shared" si="1206"/>
        <v>3</v>
      </c>
      <c r="AT3937" s="24" t="str">
        <f t="shared" si="1207"/>
        <v>0-3 months</v>
      </c>
      <c r="AU3937" s="22" t="s">
        <v>3745</v>
      </c>
    </row>
    <row r="3938" spans="1:47">
      <c r="A3938" s="33" t="str">
        <f t="shared" si="1198"/>
        <v>FY 24/25</v>
      </c>
      <c r="B3938" s="23">
        <v>2025</v>
      </c>
      <c r="C3938" s="23">
        <v>2</v>
      </c>
      <c r="D3938" s="202" t="str">
        <f t="shared" si="1183"/>
        <v>Q4</v>
      </c>
      <c r="E3938" s="33" t="str">
        <f t="shared" si="1197"/>
        <v>FY 24/25</v>
      </c>
      <c r="F3938" s="23">
        <v>2025</v>
      </c>
      <c r="G3938" s="23">
        <v>2</v>
      </c>
      <c r="H3938" s="29"/>
      <c r="I3938" s="204" t="str">
        <f t="shared" si="1199"/>
        <v>Q4</v>
      </c>
      <c r="J3938" s="188" t="s">
        <v>3701</v>
      </c>
      <c r="K3938" s="29" t="s">
        <v>3702</v>
      </c>
      <c r="L3938" s="24" t="s">
        <v>67</v>
      </c>
      <c r="M3938" s="13" t="s">
        <v>60</v>
      </c>
      <c r="N3938" s="22">
        <v>1</v>
      </c>
      <c r="O3938" s="22"/>
      <c r="P3938" s="202" t="str">
        <f t="shared" si="1208"/>
        <v>MAIN UNIT</v>
      </c>
      <c r="Q3938" s="22" t="s">
        <v>68</v>
      </c>
      <c r="R3938" s="22" t="s">
        <v>62</v>
      </c>
      <c r="S3938" s="22" t="s">
        <v>49</v>
      </c>
      <c r="T3938" s="22" t="s">
        <v>78</v>
      </c>
      <c r="U3938" s="22" t="s">
        <v>1071</v>
      </c>
      <c r="V3938" s="22" t="s">
        <v>311</v>
      </c>
      <c r="W3938" s="22" t="s">
        <v>109</v>
      </c>
      <c r="X3938" s="104">
        <v>11400000</v>
      </c>
      <c r="Y3938" s="195" t="str">
        <f t="shared" si="1185"/>
        <v>1</v>
      </c>
      <c r="Z3938" s="196">
        <f t="shared" si="1184"/>
        <v>11400000</v>
      </c>
      <c r="AA3938" s="22">
        <v>5.11E-2</v>
      </c>
      <c r="AB3938" s="197">
        <f t="shared" si="1196"/>
        <v>582540</v>
      </c>
      <c r="AC3938" s="198">
        <f t="shared" si="1200"/>
        <v>59710.35</v>
      </c>
      <c r="AD3938" s="170">
        <v>0.10249999999999999</v>
      </c>
      <c r="AE3938" s="199">
        <f t="shared" si="1201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4"/>
        <v>30691842.970796466</v>
      </c>
      <c r="AJ3938" s="200">
        <f t="shared" si="1195"/>
        <v>4088324.205777524</v>
      </c>
      <c r="AK3938" s="201">
        <f t="shared" si="1202"/>
        <v>0.1332055624573473</v>
      </c>
      <c r="AL3938" s="24"/>
      <c r="AM3938" s="24"/>
      <c r="AN3938" s="24"/>
      <c r="AO3938" s="24"/>
      <c r="AP3938" s="165" t="str">
        <f t="shared" si="1203"/>
        <v>20252</v>
      </c>
      <c r="AQ3938" s="203" t="str">
        <f t="shared" si="1204"/>
        <v>20252JPY</v>
      </c>
      <c r="AR3938" s="206" t="str">
        <f t="shared" si="1205"/>
        <v>YAMAHA_Mounter</v>
      </c>
      <c r="AS3938" s="22">
        <f t="shared" si="1206"/>
        <v>0</v>
      </c>
      <c r="AT3938" s="24" t="str">
        <f t="shared" si="1207"/>
        <v>0-3 months</v>
      </c>
      <c r="AU3938" s="22" t="s">
        <v>3745</v>
      </c>
    </row>
    <row r="3939" spans="1:47">
      <c r="A3939" s="33" t="str">
        <f t="shared" si="1198"/>
        <v>FY 24/25</v>
      </c>
      <c r="B3939" s="23">
        <v>2025</v>
      </c>
      <c r="C3939" s="23">
        <v>2</v>
      </c>
      <c r="D3939" s="202" t="str">
        <f t="shared" si="1183"/>
        <v>Q4</v>
      </c>
      <c r="E3939" s="33" t="str">
        <f t="shared" si="1197"/>
        <v>FY 24/25</v>
      </c>
      <c r="F3939" s="23">
        <v>2025</v>
      </c>
      <c r="G3939" s="23">
        <v>2</v>
      </c>
      <c r="H3939" s="29"/>
      <c r="I3939" s="204" t="str">
        <f t="shared" si="1199"/>
        <v>Q4</v>
      </c>
      <c r="J3939" s="188" t="s">
        <v>3703</v>
      </c>
      <c r="K3939" s="29" t="s">
        <v>3487</v>
      </c>
      <c r="L3939" s="24" t="s">
        <v>92</v>
      </c>
      <c r="M3939" s="13" t="s">
        <v>60</v>
      </c>
      <c r="N3939" s="22">
        <v>1</v>
      </c>
      <c r="O3939" s="22"/>
      <c r="P3939" s="202" t="str">
        <f t="shared" si="1208"/>
        <v>MAIN UNIT</v>
      </c>
      <c r="Q3939" s="22" t="s">
        <v>61</v>
      </c>
      <c r="R3939" s="22" t="s">
        <v>62</v>
      </c>
      <c r="S3939" s="22" t="s">
        <v>51</v>
      </c>
      <c r="T3939" s="22" t="s">
        <v>349</v>
      </c>
      <c r="U3939" s="22" t="s">
        <v>149</v>
      </c>
      <c r="V3939" s="22" t="s">
        <v>954</v>
      </c>
      <c r="W3939" s="22" t="s">
        <v>64</v>
      </c>
      <c r="X3939" s="104">
        <v>700000</v>
      </c>
      <c r="Y3939" s="195" t="str">
        <f t="shared" si="1185"/>
        <v>1.13</v>
      </c>
      <c r="Z3939" s="196">
        <f t="shared" si="1184"/>
        <v>700000</v>
      </c>
      <c r="AA3939" s="22">
        <v>1.073</v>
      </c>
      <c r="AB3939" s="197">
        <f t="shared" si="1196"/>
        <v>664690.26548672561</v>
      </c>
      <c r="AC3939" s="198">
        <f t="shared" si="1200"/>
        <v>44401.30973451327</v>
      </c>
      <c r="AD3939" s="170">
        <v>6.6799999999999998E-2</v>
      </c>
      <c r="AE3939" s="199">
        <f t="shared" si="1201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4"/>
        <v>30691842.970796466</v>
      </c>
      <c r="AJ3939" s="200">
        <f t="shared" si="1195"/>
        <v>4088324.205777524</v>
      </c>
      <c r="AK3939" s="201">
        <f t="shared" si="1202"/>
        <v>0.1332055624573473</v>
      </c>
      <c r="AL3939" s="24"/>
      <c r="AM3939" s="24"/>
      <c r="AN3939" s="24"/>
      <c r="AO3939" s="24"/>
      <c r="AP3939" s="165" t="str">
        <f t="shared" si="1203"/>
        <v>20252</v>
      </c>
      <c r="AQ3939" s="203" t="str">
        <f t="shared" si="1204"/>
        <v>20252RMB</v>
      </c>
      <c r="AR3939" s="206" t="str">
        <f t="shared" si="1205"/>
        <v>YAMAHA_Mounter</v>
      </c>
      <c r="AS3939" s="22">
        <f t="shared" si="1206"/>
        <v>0</v>
      </c>
      <c r="AT3939" s="24" t="str">
        <f t="shared" si="1207"/>
        <v>0-3 months</v>
      </c>
      <c r="AU3939" s="22" t="s">
        <v>3240</v>
      </c>
    </row>
    <row r="3940" spans="1:47">
      <c r="A3940" s="33" t="str">
        <f t="shared" si="1198"/>
        <v>FY 24/25</v>
      </c>
      <c r="B3940" s="23">
        <v>2025</v>
      </c>
      <c r="C3940" s="23">
        <v>2</v>
      </c>
      <c r="D3940" s="202" t="str">
        <f t="shared" si="1183"/>
        <v>Q4</v>
      </c>
      <c r="E3940" s="33" t="str">
        <f t="shared" si="1197"/>
        <v>FY 24/25</v>
      </c>
      <c r="F3940" s="23">
        <v>2025</v>
      </c>
      <c r="G3940" s="23">
        <v>2</v>
      </c>
      <c r="H3940" s="29"/>
      <c r="I3940" s="204" t="str">
        <f t="shared" si="1199"/>
        <v>Q4</v>
      </c>
      <c r="J3940" s="188" t="s">
        <v>3703</v>
      </c>
      <c r="K3940" s="29" t="s">
        <v>3487</v>
      </c>
      <c r="L3940" s="24" t="s">
        <v>92</v>
      </c>
      <c r="M3940" s="13" t="s">
        <v>60</v>
      </c>
      <c r="N3940" s="22">
        <v>1</v>
      </c>
      <c r="O3940" s="22"/>
      <c r="P3940" s="202" t="str">
        <f t="shared" si="1208"/>
        <v>MAIN UNIT</v>
      </c>
      <c r="Q3940" s="22" t="s">
        <v>61</v>
      </c>
      <c r="R3940" s="22" t="s">
        <v>62</v>
      </c>
      <c r="S3940" s="22" t="s">
        <v>51</v>
      </c>
      <c r="T3940" s="22" t="s">
        <v>349</v>
      </c>
      <c r="U3940" s="22" t="s">
        <v>149</v>
      </c>
      <c r="V3940" s="22" t="s">
        <v>954</v>
      </c>
      <c r="W3940" s="22" t="s">
        <v>64</v>
      </c>
      <c r="X3940" s="104">
        <v>700000</v>
      </c>
      <c r="Y3940" s="195" t="str">
        <f t="shared" si="1185"/>
        <v>1.13</v>
      </c>
      <c r="Z3940" s="196">
        <f t="shared" si="1184"/>
        <v>700000</v>
      </c>
      <c r="AA3940" s="22">
        <v>1.073</v>
      </c>
      <c r="AB3940" s="197">
        <f t="shared" si="1196"/>
        <v>664690.26548672561</v>
      </c>
      <c r="AC3940" s="198">
        <f t="shared" si="1200"/>
        <v>44401.30973451327</v>
      </c>
      <c r="AD3940" s="170">
        <v>6.6799999999999998E-2</v>
      </c>
      <c r="AE3940" s="199">
        <f t="shared" si="1201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4"/>
        <v>30691842.970796466</v>
      </c>
      <c r="AJ3940" s="200">
        <f t="shared" si="1195"/>
        <v>4088324.205777524</v>
      </c>
      <c r="AK3940" s="201">
        <f t="shared" si="1202"/>
        <v>0.1332055624573473</v>
      </c>
      <c r="AL3940" s="24"/>
      <c r="AM3940" s="24"/>
      <c r="AN3940" s="24"/>
      <c r="AO3940" s="24"/>
      <c r="AP3940" s="165" t="str">
        <f t="shared" si="1203"/>
        <v>20252</v>
      </c>
      <c r="AQ3940" s="203" t="str">
        <f t="shared" si="1204"/>
        <v>20252RMB</v>
      </c>
      <c r="AR3940" s="206" t="str">
        <f t="shared" si="1205"/>
        <v>YAMAHA_Mounter</v>
      </c>
      <c r="AS3940" s="22">
        <f t="shared" si="1206"/>
        <v>0</v>
      </c>
      <c r="AT3940" s="24" t="str">
        <f t="shared" si="1207"/>
        <v>0-3 months</v>
      </c>
      <c r="AU3940" s="22" t="s">
        <v>3240</v>
      </c>
    </row>
    <row r="3941" spans="1:47">
      <c r="A3941" s="33" t="str">
        <f t="shared" si="1198"/>
        <v>FY 24/25</v>
      </c>
      <c r="B3941" s="23">
        <v>2025</v>
      </c>
      <c r="C3941" s="23">
        <v>2</v>
      </c>
      <c r="D3941" s="202" t="str">
        <f t="shared" si="1183"/>
        <v>Q4</v>
      </c>
      <c r="E3941" s="33" t="str">
        <f t="shared" si="1197"/>
        <v>FY 24/25</v>
      </c>
      <c r="F3941" s="23">
        <v>2025</v>
      </c>
      <c r="G3941" s="23">
        <v>2</v>
      </c>
      <c r="H3941" s="29"/>
      <c r="I3941" s="204" t="str">
        <f t="shared" si="1199"/>
        <v>Q4</v>
      </c>
      <c r="J3941" s="188" t="s">
        <v>3703</v>
      </c>
      <c r="K3941" s="29" t="s">
        <v>3487</v>
      </c>
      <c r="L3941" s="24" t="s">
        <v>67</v>
      </c>
      <c r="M3941" s="13" t="s">
        <v>60</v>
      </c>
      <c r="N3941" s="22">
        <v>1</v>
      </c>
      <c r="O3941" s="22"/>
      <c r="P3941" s="202" t="str">
        <f t="shared" si="1208"/>
        <v>MAIN UNIT</v>
      </c>
      <c r="Q3941" s="22" t="s">
        <v>61</v>
      </c>
      <c r="R3941" s="22" t="s">
        <v>62</v>
      </c>
      <c r="S3941" s="22" t="s">
        <v>51</v>
      </c>
      <c r="T3941" s="22" t="s">
        <v>349</v>
      </c>
      <c r="U3941" s="22" t="s">
        <v>149</v>
      </c>
      <c r="V3941" s="22" t="s">
        <v>954</v>
      </c>
      <c r="W3941" s="22" t="s">
        <v>64</v>
      </c>
      <c r="X3941" s="104">
        <v>500000</v>
      </c>
      <c r="Y3941" s="195" t="str">
        <f t="shared" si="1185"/>
        <v>1.13</v>
      </c>
      <c r="Z3941" s="196">
        <f t="shared" si="1184"/>
        <v>500000</v>
      </c>
      <c r="AA3941" s="22">
        <v>1.073</v>
      </c>
      <c r="AB3941" s="197">
        <f t="shared" si="1196"/>
        <v>474778.76106194692</v>
      </c>
      <c r="AC3941" s="198">
        <f t="shared" si="1200"/>
        <v>31715.221238938055</v>
      </c>
      <c r="AD3941" s="170">
        <v>6.6799999999999998E-2</v>
      </c>
      <c r="AE3941" s="199">
        <f t="shared" si="1201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4"/>
        <v>30691842.970796466</v>
      </c>
      <c r="AJ3941" s="200">
        <f t="shared" si="1195"/>
        <v>4088324.205777524</v>
      </c>
      <c r="AK3941" s="201">
        <f t="shared" si="1202"/>
        <v>0.1332055624573473</v>
      </c>
      <c r="AL3941" s="24"/>
      <c r="AM3941" s="24"/>
      <c r="AN3941" s="24"/>
      <c r="AO3941" s="24"/>
      <c r="AP3941" s="165" t="str">
        <f t="shared" si="1203"/>
        <v>20252</v>
      </c>
      <c r="AQ3941" s="203" t="str">
        <f t="shared" si="1204"/>
        <v>20252RMB</v>
      </c>
      <c r="AR3941" s="206" t="str">
        <f t="shared" si="1205"/>
        <v>YAMAHA_Mounter</v>
      </c>
      <c r="AS3941" s="22">
        <f t="shared" si="1206"/>
        <v>0</v>
      </c>
      <c r="AT3941" s="24" t="str">
        <f t="shared" si="1207"/>
        <v>0-3 months</v>
      </c>
      <c r="AU3941" s="22" t="s">
        <v>3240</v>
      </c>
    </row>
    <row r="3942" spans="1:47">
      <c r="A3942" s="33" t="str">
        <f t="shared" si="1198"/>
        <v>FY 24/25</v>
      </c>
      <c r="B3942" s="23">
        <v>2025</v>
      </c>
      <c r="C3942" s="23">
        <v>2</v>
      </c>
      <c r="D3942" s="202" t="str">
        <f t="shared" si="1183"/>
        <v>Q4</v>
      </c>
      <c r="E3942" s="33" t="str">
        <f t="shared" si="1197"/>
        <v>FY 25/26</v>
      </c>
      <c r="F3942" s="23">
        <v>2025</v>
      </c>
      <c r="G3942" s="23">
        <v>4</v>
      </c>
      <c r="H3942" s="29"/>
      <c r="I3942" s="204" t="str">
        <f t="shared" si="1199"/>
        <v>Q1</v>
      </c>
      <c r="J3942" s="188" t="s">
        <v>3704</v>
      </c>
      <c r="K3942" s="29" t="s">
        <v>3706</v>
      </c>
      <c r="L3942" s="24" t="s">
        <v>67</v>
      </c>
      <c r="M3942" s="13" t="s">
        <v>60</v>
      </c>
      <c r="N3942" s="22">
        <v>1</v>
      </c>
      <c r="O3942" s="22"/>
      <c r="P3942" s="202" t="str">
        <f t="shared" si="1208"/>
        <v>MAIN UNIT</v>
      </c>
      <c r="Q3942" s="22" t="s">
        <v>68</v>
      </c>
      <c r="R3942" s="22" t="s">
        <v>62</v>
      </c>
      <c r="S3942" s="22" t="s">
        <v>51</v>
      </c>
      <c r="T3942" s="22" t="s">
        <v>349</v>
      </c>
      <c r="U3942" s="22" t="s">
        <v>149</v>
      </c>
      <c r="V3942" s="22" t="s">
        <v>954</v>
      </c>
      <c r="W3942" s="22" t="s">
        <v>64</v>
      </c>
      <c r="X3942" s="104">
        <v>390000</v>
      </c>
      <c r="Y3942" s="195" t="str">
        <f t="shared" si="1185"/>
        <v>1.13</v>
      </c>
      <c r="Z3942" s="196">
        <f t="shared" si="1184"/>
        <v>390000</v>
      </c>
      <c r="AA3942" s="22">
        <v>1.0669999999999999</v>
      </c>
      <c r="AB3942" s="197">
        <f t="shared" si="1196"/>
        <v>368256.63716814161</v>
      </c>
      <c r="AC3942" s="198">
        <f t="shared" si="1200"/>
        <v>44190.796460176993</v>
      </c>
      <c r="AD3942" s="169">
        <v>0.12</v>
      </c>
      <c r="AE3942" s="199">
        <f t="shared" si="1201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4"/>
        <v>29497483.159292053</v>
      </c>
      <c r="AJ3942" s="200">
        <f t="shared" si="1195"/>
        <v>3539697.9791150414</v>
      </c>
      <c r="AK3942" s="201">
        <f t="shared" si="1202"/>
        <v>0.11999999999999983</v>
      </c>
      <c r="AL3942" s="24"/>
      <c r="AM3942" s="24"/>
      <c r="AN3942" s="24"/>
      <c r="AO3942" s="24"/>
      <c r="AP3942" s="165" t="str">
        <f t="shared" si="1203"/>
        <v>20254</v>
      </c>
      <c r="AQ3942" s="203" t="str">
        <f t="shared" si="1204"/>
        <v>20254RMB</v>
      </c>
      <c r="AR3942" s="206" t="str">
        <f t="shared" si="1205"/>
        <v>YAMAHA_Mounter</v>
      </c>
      <c r="AS3942" s="22">
        <f t="shared" si="1206"/>
        <v>2</v>
      </c>
      <c r="AT3942" s="24" t="str">
        <f t="shared" si="1207"/>
        <v>0-3 months</v>
      </c>
      <c r="AU3942" s="22" t="s">
        <v>3240</v>
      </c>
    </row>
    <row r="3943" spans="1:47">
      <c r="A3943" s="33" t="str">
        <f t="shared" si="1198"/>
        <v>FY 24/25</v>
      </c>
      <c r="B3943" s="23">
        <v>2025</v>
      </c>
      <c r="C3943" s="23">
        <v>2</v>
      </c>
      <c r="D3943" s="202" t="str">
        <f t="shared" si="1183"/>
        <v>Q4</v>
      </c>
      <c r="E3943" s="33" t="str">
        <f t="shared" si="1197"/>
        <v>FY 24/25</v>
      </c>
      <c r="F3943" s="23">
        <v>2025</v>
      </c>
      <c r="G3943" s="23">
        <v>3</v>
      </c>
      <c r="H3943" s="29"/>
      <c r="I3943" s="204" t="str">
        <f t="shared" si="1199"/>
        <v>Q4</v>
      </c>
      <c r="J3943" s="188" t="s">
        <v>3705</v>
      </c>
      <c r="K3943" s="29" t="s">
        <v>3587</v>
      </c>
      <c r="L3943" s="24" t="s">
        <v>92</v>
      </c>
      <c r="M3943" s="13" t="s">
        <v>60</v>
      </c>
      <c r="N3943" s="22">
        <v>1</v>
      </c>
      <c r="O3943" s="22"/>
      <c r="P3943" s="202" t="str">
        <f t="shared" si="1208"/>
        <v>MAIN UNIT</v>
      </c>
      <c r="Q3943" s="22" t="s">
        <v>61</v>
      </c>
      <c r="R3943" s="22" t="s">
        <v>62</v>
      </c>
      <c r="S3943" s="22" t="s">
        <v>51</v>
      </c>
      <c r="T3943" s="22" t="s">
        <v>3559</v>
      </c>
      <c r="U3943" s="22" t="s">
        <v>149</v>
      </c>
      <c r="V3943" s="22" t="s">
        <v>134</v>
      </c>
      <c r="W3943" s="22" t="s">
        <v>64</v>
      </c>
      <c r="X3943" s="104">
        <v>815000</v>
      </c>
      <c r="Y3943" s="195" t="str">
        <f t="shared" si="1185"/>
        <v>1.13</v>
      </c>
      <c r="Z3943" s="196">
        <f t="shared" si="1184"/>
        <v>815000</v>
      </c>
      <c r="AA3943" s="22">
        <v>1.0669999999999999</v>
      </c>
      <c r="AB3943" s="197">
        <f t="shared" si="1196"/>
        <v>769561.94690265495</v>
      </c>
      <c r="AC3943" s="198">
        <f t="shared" si="1200"/>
        <v>92347.433628318584</v>
      </c>
      <c r="AD3943" s="169">
        <v>0.12</v>
      </c>
      <c r="AE3943" s="199">
        <f t="shared" si="1201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4"/>
        <v>17732428.654867258</v>
      </c>
      <c r="AJ3943" s="200">
        <f t="shared" si="1195"/>
        <v>2127891.4385840711</v>
      </c>
      <c r="AK3943" s="201">
        <f t="shared" si="1202"/>
        <v>0.12000000000000001</v>
      </c>
      <c r="AL3943" s="24"/>
      <c r="AM3943" s="24"/>
      <c r="AN3943" s="24"/>
      <c r="AO3943" s="24"/>
      <c r="AP3943" s="165" t="str">
        <f t="shared" si="1203"/>
        <v>20253</v>
      </c>
      <c r="AQ3943" s="203" t="str">
        <f t="shared" si="1204"/>
        <v>20253RMB</v>
      </c>
      <c r="AR3943" s="206" t="str">
        <f t="shared" si="1205"/>
        <v>YAMAHA_Mounter</v>
      </c>
      <c r="AS3943" s="22">
        <f t="shared" si="1206"/>
        <v>1</v>
      </c>
      <c r="AT3943" s="24" t="str">
        <f t="shared" si="1207"/>
        <v>0-3 months</v>
      </c>
      <c r="AU3943" s="22" t="s">
        <v>3240</v>
      </c>
    </row>
    <row r="3944" spans="1:47">
      <c r="A3944" s="33" t="str">
        <f t="shared" si="1198"/>
        <v>FY 24/25</v>
      </c>
      <c r="B3944" s="23">
        <v>2025</v>
      </c>
      <c r="C3944" s="23">
        <v>2</v>
      </c>
      <c r="D3944" s="202" t="str">
        <f t="shared" si="1183"/>
        <v>Q4</v>
      </c>
      <c r="E3944" s="33" t="str">
        <f t="shared" si="1197"/>
        <v>FY 24/25</v>
      </c>
      <c r="F3944" s="23">
        <v>2025</v>
      </c>
      <c r="G3944" s="23">
        <v>3</v>
      </c>
      <c r="H3944" s="29"/>
      <c r="I3944" s="204" t="str">
        <f t="shared" si="1199"/>
        <v>Q4</v>
      </c>
      <c r="J3944" s="188" t="s">
        <v>3705</v>
      </c>
      <c r="K3944" s="29" t="s">
        <v>3587</v>
      </c>
      <c r="L3944" s="24" t="s">
        <v>67</v>
      </c>
      <c r="M3944" s="13" t="s">
        <v>60</v>
      </c>
      <c r="N3944" s="22">
        <v>1</v>
      </c>
      <c r="O3944" s="22"/>
      <c r="P3944" s="202" t="str">
        <f t="shared" si="1208"/>
        <v>MAIN UNIT</v>
      </c>
      <c r="Q3944" s="22" t="s">
        <v>61</v>
      </c>
      <c r="R3944" s="22" t="s">
        <v>62</v>
      </c>
      <c r="S3944" s="22" t="s">
        <v>51</v>
      </c>
      <c r="T3944" s="22" t="s">
        <v>3559</v>
      </c>
      <c r="U3944" s="22" t="s">
        <v>149</v>
      </c>
      <c r="V3944" s="22" t="s">
        <v>134</v>
      </c>
      <c r="W3944" s="22" t="s">
        <v>64</v>
      </c>
      <c r="X3944" s="104">
        <v>720000</v>
      </c>
      <c r="Y3944" s="195" t="str">
        <f t="shared" si="1185"/>
        <v>1.13</v>
      </c>
      <c r="Z3944" s="196">
        <f t="shared" si="1184"/>
        <v>720000</v>
      </c>
      <c r="AA3944" s="22">
        <v>1.0669999999999999</v>
      </c>
      <c r="AB3944" s="197">
        <f t="shared" si="1196"/>
        <v>679858.40707964601</v>
      </c>
      <c r="AC3944" s="198">
        <f t="shared" si="1200"/>
        <v>81583.008849557518</v>
      </c>
      <c r="AD3944" s="169">
        <v>0.12</v>
      </c>
      <c r="AE3944" s="199">
        <f t="shared" si="1201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4"/>
        <v>17732428.654867258</v>
      </c>
      <c r="AJ3944" s="200">
        <f t="shared" si="1195"/>
        <v>2127891.4385840711</v>
      </c>
      <c r="AK3944" s="201">
        <f t="shared" si="1202"/>
        <v>0.12000000000000001</v>
      </c>
      <c r="AL3944" s="24"/>
      <c r="AM3944" s="24"/>
      <c r="AN3944" s="24"/>
      <c r="AO3944" s="24"/>
      <c r="AP3944" s="165" t="str">
        <f t="shared" si="1203"/>
        <v>20253</v>
      </c>
      <c r="AQ3944" s="203" t="str">
        <f t="shared" si="1204"/>
        <v>20253RMB</v>
      </c>
      <c r="AR3944" s="206" t="str">
        <f t="shared" si="1205"/>
        <v>YAMAHA_Mounter</v>
      </c>
      <c r="AS3944" s="22">
        <f t="shared" si="1206"/>
        <v>1</v>
      </c>
      <c r="AT3944" s="24" t="str">
        <f t="shared" si="1207"/>
        <v>0-3 months</v>
      </c>
      <c r="AU3944" s="22" t="s">
        <v>3240</v>
      </c>
    </row>
    <row r="3945" spans="1:47">
      <c r="A3945" s="33" t="str">
        <f t="shared" si="1198"/>
        <v>FY 24/25</v>
      </c>
      <c r="B3945" s="23">
        <v>2025</v>
      </c>
      <c r="C3945" s="23">
        <v>2</v>
      </c>
      <c r="D3945" s="202" t="str">
        <f t="shared" si="1183"/>
        <v>Q4</v>
      </c>
      <c r="E3945" s="33" t="str">
        <f t="shared" si="1197"/>
        <v>FY 24/25</v>
      </c>
      <c r="F3945" s="23">
        <v>2025</v>
      </c>
      <c r="G3945" s="23">
        <v>2</v>
      </c>
      <c r="H3945" s="29"/>
      <c r="I3945" s="204" t="str">
        <f t="shared" si="1199"/>
        <v>Q4</v>
      </c>
      <c r="J3945" s="188" t="s">
        <v>3707</v>
      </c>
      <c r="K3945" s="29" t="s">
        <v>1968</v>
      </c>
      <c r="L3945" s="24" t="s">
        <v>67</v>
      </c>
      <c r="M3945" s="13" t="s">
        <v>60</v>
      </c>
      <c r="N3945" s="22">
        <v>1</v>
      </c>
      <c r="O3945" s="22"/>
      <c r="P3945" s="202" t="str">
        <f t="shared" si="1208"/>
        <v>MAIN UNIT</v>
      </c>
      <c r="Q3945" s="22" t="s">
        <v>61</v>
      </c>
      <c r="R3945" s="22" t="s">
        <v>62</v>
      </c>
      <c r="S3945" s="22" t="s">
        <v>49</v>
      </c>
      <c r="T3945" s="22" t="s">
        <v>78</v>
      </c>
      <c r="U3945" s="22" t="s">
        <v>78</v>
      </c>
      <c r="V3945" s="22" t="s">
        <v>1407</v>
      </c>
      <c r="W3945" s="22" t="s">
        <v>109</v>
      </c>
      <c r="X3945" s="104">
        <v>9800000</v>
      </c>
      <c r="Y3945" s="195" t="str">
        <f t="shared" si="1185"/>
        <v>1</v>
      </c>
      <c r="Z3945" s="196">
        <f t="shared" si="1184"/>
        <v>9800000</v>
      </c>
      <c r="AA3945" s="22">
        <v>5.11E-2</v>
      </c>
      <c r="AB3945" s="197">
        <f t="shared" si="1196"/>
        <v>500780</v>
      </c>
      <c r="AC3945" s="198">
        <f t="shared" si="1200"/>
        <v>55536.502</v>
      </c>
      <c r="AD3945" s="170">
        <v>0.1109</v>
      </c>
      <c r="AE3945" s="199">
        <f t="shared" si="1201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4"/>
        <v>30691842.970796466</v>
      </c>
      <c r="AJ3945" s="200">
        <f t="shared" si="1195"/>
        <v>4088324.205777524</v>
      </c>
      <c r="AK3945" s="201">
        <f t="shared" si="1202"/>
        <v>0.1332055624573473</v>
      </c>
      <c r="AL3945" s="24"/>
      <c r="AM3945" s="24"/>
      <c r="AN3945" s="24"/>
      <c r="AO3945" s="24"/>
      <c r="AP3945" s="165" t="str">
        <f t="shared" si="1203"/>
        <v>20252</v>
      </c>
      <c r="AQ3945" s="203" t="str">
        <f t="shared" si="1204"/>
        <v>20252JPY</v>
      </c>
      <c r="AR3945" s="206" t="str">
        <f t="shared" si="1205"/>
        <v>YAMAHA_Mounter</v>
      </c>
      <c r="AS3945" s="22">
        <f t="shared" si="1206"/>
        <v>0</v>
      </c>
      <c r="AT3945" s="24" t="str">
        <f t="shared" si="1207"/>
        <v>0-3 months</v>
      </c>
      <c r="AU3945" s="22" t="s">
        <v>3745</v>
      </c>
    </row>
    <row r="3946" spans="1:47">
      <c r="A3946" s="33" t="str">
        <f t="shared" si="1198"/>
        <v>FY 24/25</v>
      </c>
      <c r="B3946" s="23">
        <v>2025</v>
      </c>
      <c r="C3946" s="23">
        <v>2</v>
      </c>
      <c r="D3946" s="202" t="str">
        <f t="shared" si="1183"/>
        <v>Q4</v>
      </c>
      <c r="E3946" s="33" t="str">
        <f t="shared" si="1197"/>
        <v>FY 24/25</v>
      </c>
      <c r="F3946" s="23">
        <v>2025</v>
      </c>
      <c r="G3946" s="23">
        <v>2</v>
      </c>
      <c r="H3946" s="29"/>
      <c r="I3946" s="204" t="str">
        <f t="shared" si="1199"/>
        <v>Q4</v>
      </c>
      <c r="J3946" s="188" t="s">
        <v>3708</v>
      </c>
      <c r="K3946" s="29" t="s">
        <v>3709</v>
      </c>
      <c r="L3946" s="24" t="s">
        <v>67</v>
      </c>
      <c r="M3946" s="13" t="s">
        <v>60</v>
      </c>
      <c r="N3946" s="22">
        <v>1</v>
      </c>
      <c r="O3946" s="22"/>
      <c r="P3946" s="202" t="str">
        <f t="shared" si="1208"/>
        <v>MAIN UNIT</v>
      </c>
      <c r="Q3946" s="22" t="s">
        <v>68</v>
      </c>
      <c r="R3946" s="22" t="s">
        <v>62</v>
      </c>
      <c r="S3946" s="22" t="s">
        <v>50</v>
      </c>
      <c r="T3946" s="22" t="s">
        <v>88</v>
      </c>
      <c r="U3946" s="22" t="s">
        <v>70</v>
      </c>
      <c r="V3946" s="22" t="s">
        <v>1010</v>
      </c>
      <c r="W3946" s="22" t="s">
        <v>64</v>
      </c>
      <c r="X3946" s="104">
        <v>700000</v>
      </c>
      <c r="Y3946" s="195" t="str">
        <f t="shared" si="1185"/>
        <v>1.13</v>
      </c>
      <c r="Z3946" s="196">
        <f t="shared" si="1184"/>
        <v>700000</v>
      </c>
      <c r="AA3946" s="22">
        <v>1.073</v>
      </c>
      <c r="AB3946" s="197">
        <f t="shared" si="1196"/>
        <v>664690.26548672561</v>
      </c>
      <c r="AC3946" s="198">
        <f t="shared" si="1200"/>
        <v>57362.769911504423</v>
      </c>
      <c r="AD3946" s="170">
        <v>8.6300000000000002E-2</v>
      </c>
      <c r="AE3946" s="199">
        <f t="shared" si="1201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 t="shared" si="1194"/>
        <v>30691842.970796466</v>
      </c>
      <c r="AJ3946" s="200">
        <f t="shared" si="1195"/>
        <v>4088324.205777524</v>
      </c>
      <c r="AK3946" s="201">
        <f t="shared" si="1202"/>
        <v>0.1332055624573473</v>
      </c>
      <c r="AL3946" s="24"/>
      <c r="AM3946" s="24"/>
      <c r="AN3946" s="24"/>
      <c r="AO3946" s="24"/>
      <c r="AP3946" s="165" t="str">
        <f t="shared" si="1203"/>
        <v>20252</v>
      </c>
      <c r="AQ3946" s="203" t="str">
        <f t="shared" si="1204"/>
        <v>20252RMB</v>
      </c>
      <c r="AR3946" s="206" t="str">
        <f t="shared" si="1205"/>
        <v>YAMAHA_Mounter</v>
      </c>
      <c r="AS3946" s="22">
        <f t="shared" si="1206"/>
        <v>0</v>
      </c>
      <c r="AT3946" s="24" t="str">
        <f t="shared" si="1207"/>
        <v>0-3 months</v>
      </c>
      <c r="AU3946" s="22" t="s">
        <v>3240</v>
      </c>
    </row>
    <row r="3947" spans="1:47">
      <c r="A3947" s="33" t="str">
        <f t="shared" si="1198"/>
        <v>FY 24/25</v>
      </c>
      <c r="B3947" s="23">
        <v>2025</v>
      </c>
      <c r="C3947" s="23">
        <v>2</v>
      </c>
      <c r="D3947" s="202" t="str">
        <f t="shared" si="1183"/>
        <v>Q4</v>
      </c>
      <c r="E3947" s="33" t="str">
        <f t="shared" si="1197"/>
        <v>FY 24/25</v>
      </c>
      <c r="F3947" s="23">
        <v>2025</v>
      </c>
      <c r="G3947" s="23">
        <v>2</v>
      </c>
      <c r="H3947" s="29"/>
      <c r="I3947" s="204" t="str">
        <f t="shared" si="1199"/>
        <v>Q4</v>
      </c>
      <c r="J3947" s="188" t="s">
        <v>3708</v>
      </c>
      <c r="K3947" s="29" t="s">
        <v>3709</v>
      </c>
      <c r="L3947" s="24" t="s">
        <v>92</v>
      </c>
      <c r="M3947" s="13" t="s">
        <v>60</v>
      </c>
      <c r="N3947" s="22">
        <v>1</v>
      </c>
      <c r="O3947" s="22"/>
      <c r="P3947" s="202" t="str">
        <f t="shared" si="1208"/>
        <v>MAIN UNIT</v>
      </c>
      <c r="Q3947" s="22" t="s">
        <v>68</v>
      </c>
      <c r="R3947" s="22" t="s">
        <v>62</v>
      </c>
      <c r="S3947" s="22" t="s">
        <v>50</v>
      </c>
      <c r="T3947" s="22" t="s">
        <v>88</v>
      </c>
      <c r="U3947" s="22" t="s">
        <v>70</v>
      </c>
      <c r="V3947" s="22" t="s">
        <v>1010</v>
      </c>
      <c r="W3947" s="22" t="s">
        <v>64</v>
      </c>
      <c r="X3947" s="104">
        <v>450000</v>
      </c>
      <c r="Y3947" s="195" t="str">
        <f t="shared" si="1185"/>
        <v>1.13</v>
      </c>
      <c r="Z3947" s="196">
        <f t="shared" si="1184"/>
        <v>450000</v>
      </c>
      <c r="AA3947" s="22">
        <v>1.073</v>
      </c>
      <c r="AB3947" s="197">
        <f t="shared" si="1196"/>
        <v>427300.88495575223</v>
      </c>
      <c r="AC3947" s="198">
        <f t="shared" si="1200"/>
        <v>36876.066371681416</v>
      </c>
      <c r="AD3947" s="170">
        <v>8.6300000000000002E-2</v>
      </c>
      <c r="AE3947" s="199">
        <f t="shared" si="1201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ref="AI3947:AI3978" si="1209">IF(P3947="C66 SERVICE","",SUMIFS(AB:AB,F:F,F3947,G:G,G3947,E:E,E3947))</f>
        <v>30691842.970796466</v>
      </c>
      <c r="AJ3947" s="200">
        <f t="shared" ref="AJ3947:AJ3978" si="1210">IF(P3947="C66 SERVICE","",SUMIFS(AC:AC,F:F,F3947,G:G,G3947,E:E,E3947))</f>
        <v>4088324.205777524</v>
      </c>
      <c r="AK3947" s="201">
        <f t="shared" si="1202"/>
        <v>0.1332055624573473</v>
      </c>
      <c r="AL3947" s="24"/>
      <c r="AM3947" s="24"/>
      <c r="AN3947" s="24"/>
      <c r="AO3947" s="24"/>
      <c r="AP3947" s="165" t="str">
        <f t="shared" si="1203"/>
        <v>20252</v>
      </c>
      <c r="AQ3947" s="203" t="str">
        <f t="shared" si="1204"/>
        <v>20252RMB</v>
      </c>
      <c r="AR3947" s="206" t="str">
        <f t="shared" si="1205"/>
        <v>YAMAHA_Mounter</v>
      </c>
      <c r="AS3947" s="22">
        <f t="shared" si="1206"/>
        <v>0</v>
      </c>
      <c r="AT3947" s="24" t="str">
        <f t="shared" si="1207"/>
        <v>0-3 months</v>
      </c>
      <c r="AU3947" s="22" t="s">
        <v>3240</v>
      </c>
    </row>
    <row r="3948" spans="1:47">
      <c r="A3948" s="33" t="str">
        <f t="shared" si="1198"/>
        <v>FY 24/25</v>
      </c>
      <c r="B3948" s="23">
        <v>2025</v>
      </c>
      <c r="C3948" s="23">
        <v>2</v>
      </c>
      <c r="D3948" s="202" t="str">
        <f t="shared" si="1183"/>
        <v>Q4</v>
      </c>
      <c r="E3948" s="33" t="str">
        <f t="shared" si="1197"/>
        <v>FY 25/26</v>
      </c>
      <c r="F3948" s="23">
        <v>2025</v>
      </c>
      <c r="G3948" s="23">
        <v>5</v>
      </c>
      <c r="H3948" s="29"/>
      <c r="I3948" s="204" t="str">
        <f t="shared" si="1199"/>
        <v>Q1</v>
      </c>
      <c r="J3948" s="188" t="s">
        <v>3710</v>
      </c>
      <c r="K3948" s="29" t="s">
        <v>3142</v>
      </c>
      <c r="L3948" s="24" t="s">
        <v>293</v>
      </c>
      <c r="M3948" s="13" t="s">
        <v>60</v>
      </c>
      <c r="N3948" s="22">
        <v>1</v>
      </c>
      <c r="O3948" s="22"/>
      <c r="P3948" s="202" t="str">
        <f t="shared" si="1208"/>
        <v>MAIN UNIT</v>
      </c>
      <c r="Q3948" s="22" t="s">
        <v>61</v>
      </c>
      <c r="R3948" s="22" t="s">
        <v>62</v>
      </c>
      <c r="S3948" s="22" t="s">
        <v>49</v>
      </c>
      <c r="T3948" s="22" t="s">
        <v>78</v>
      </c>
      <c r="U3948" s="22" t="s">
        <v>78</v>
      </c>
      <c r="V3948" s="22" t="s">
        <v>3134</v>
      </c>
      <c r="W3948" s="22" t="s">
        <v>64</v>
      </c>
      <c r="X3948" s="104">
        <v>900000</v>
      </c>
      <c r="Y3948" s="195" t="str">
        <f t="shared" si="1185"/>
        <v>1.13</v>
      </c>
      <c r="Z3948" s="196">
        <f t="shared" si="1184"/>
        <v>900000</v>
      </c>
      <c r="AA3948" s="22">
        <v>1.0669999999999999</v>
      </c>
      <c r="AB3948" s="197">
        <f t="shared" si="1196"/>
        <v>849823.00884955749</v>
      </c>
      <c r="AC3948" s="198">
        <f t="shared" si="1200"/>
        <v>101978.76106194689</v>
      </c>
      <c r="AD3948" s="169">
        <v>0.12</v>
      </c>
      <c r="AE3948" s="199">
        <f t="shared" si="1201"/>
        <v>0</v>
      </c>
      <c r="AF3948" s="199" t="str">
        <f>IF(AND(COUNTIFS($J$18:J3948,J3948)=1,AE3948=1),1,"")</f>
        <v/>
      </c>
      <c r="AG3948" s="199">
        <f>IF(C3948="","",IF(AND(COUNTIFS($J$18:J3948,J3948)=1,C3948&lt;&gt;""),1,""))</f>
        <v>1</v>
      </c>
      <c r="AH3948" s="199">
        <f>IF(G3948="","",IF(AND(COUNTIFS($J$18:J3948,J3948)=1,G3948&lt;&gt;""),1,""))</f>
        <v>1</v>
      </c>
      <c r="AI3948" s="200">
        <f t="shared" si="1209"/>
        <v>14766529.81520354</v>
      </c>
      <c r="AJ3948" s="200">
        <f t="shared" si="1210"/>
        <v>1771983.5778244243</v>
      </c>
      <c r="AK3948" s="201">
        <f t="shared" si="1202"/>
        <v>0.11999999999999997</v>
      </c>
      <c r="AL3948" s="24"/>
      <c r="AM3948" s="24"/>
      <c r="AN3948" s="24"/>
      <c r="AO3948" s="24"/>
      <c r="AP3948" s="165" t="str">
        <f t="shared" si="1203"/>
        <v>20255</v>
      </c>
      <c r="AQ3948" s="203" t="str">
        <f t="shared" si="1204"/>
        <v>20255RMB</v>
      </c>
      <c r="AR3948" s="206" t="str">
        <f t="shared" si="1205"/>
        <v>YAMAHA_Mounter</v>
      </c>
      <c r="AS3948" s="22">
        <f t="shared" si="1206"/>
        <v>3</v>
      </c>
      <c r="AT3948" s="24" t="str">
        <f t="shared" si="1207"/>
        <v>0-3 months</v>
      </c>
      <c r="AU3948" s="22" t="s">
        <v>3751</v>
      </c>
    </row>
    <row r="3949" spans="1:47">
      <c r="A3949" s="33" t="str">
        <f t="shared" si="1198"/>
        <v>FY 24/25</v>
      </c>
      <c r="B3949" s="23">
        <v>2025</v>
      </c>
      <c r="C3949" s="23">
        <v>2</v>
      </c>
      <c r="D3949" s="202" t="str">
        <f t="shared" si="1183"/>
        <v>Q4</v>
      </c>
      <c r="E3949" s="33" t="str">
        <f t="shared" si="1197"/>
        <v>FY 25/26</v>
      </c>
      <c r="F3949" s="23">
        <v>2025</v>
      </c>
      <c r="G3949" s="23">
        <v>5</v>
      </c>
      <c r="H3949" s="29"/>
      <c r="I3949" s="204" t="str">
        <f t="shared" si="1199"/>
        <v>Q1</v>
      </c>
      <c r="J3949" s="188" t="s">
        <v>3710</v>
      </c>
      <c r="K3949" s="29" t="s">
        <v>3142</v>
      </c>
      <c r="L3949" s="24" t="s">
        <v>293</v>
      </c>
      <c r="M3949" s="13" t="s">
        <v>60</v>
      </c>
      <c r="N3949" s="22">
        <v>1</v>
      </c>
      <c r="O3949" s="22"/>
      <c r="P3949" s="202" t="str">
        <f t="shared" si="1208"/>
        <v>MAIN UNIT</v>
      </c>
      <c r="Q3949" s="22" t="s">
        <v>61</v>
      </c>
      <c r="R3949" s="22" t="s">
        <v>62</v>
      </c>
      <c r="S3949" s="22" t="s">
        <v>49</v>
      </c>
      <c r="T3949" s="22" t="s">
        <v>78</v>
      </c>
      <c r="U3949" s="22" t="s">
        <v>78</v>
      </c>
      <c r="V3949" s="22" t="s">
        <v>3134</v>
      </c>
      <c r="W3949" s="22" t="s">
        <v>64</v>
      </c>
      <c r="X3949" s="104">
        <v>900000</v>
      </c>
      <c r="Y3949" s="195" t="str">
        <f t="shared" si="1185"/>
        <v>1.13</v>
      </c>
      <c r="Z3949" s="196">
        <f t="shared" si="1184"/>
        <v>900000</v>
      </c>
      <c r="AA3949" s="22">
        <v>1.0669999999999999</v>
      </c>
      <c r="AB3949" s="197">
        <f t="shared" si="1196"/>
        <v>849823.00884955749</v>
      </c>
      <c r="AC3949" s="198">
        <f t="shared" si="1200"/>
        <v>101978.76106194689</v>
      </c>
      <c r="AD3949" s="169">
        <v>0.12</v>
      </c>
      <c r="AE3949" s="199">
        <f t="shared" si="1201"/>
        <v>0</v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209"/>
        <v>14766529.81520354</v>
      </c>
      <c r="AJ3949" s="200">
        <f t="shared" si="1210"/>
        <v>1771983.5778244243</v>
      </c>
      <c r="AK3949" s="201">
        <f t="shared" si="1202"/>
        <v>0.11999999999999997</v>
      </c>
      <c r="AL3949" s="24"/>
      <c r="AM3949" s="24"/>
      <c r="AN3949" s="24"/>
      <c r="AO3949" s="24"/>
      <c r="AP3949" s="165" t="str">
        <f t="shared" si="1203"/>
        <v>20255</v>
      </c>
      <c r="AQ3949" s="203" t="str">
        <f t="shared" si="1204"/>
        <v>20255RMB</v>
      </c>
      <c r="AR3949" s="206" t="str">
        <f t="shared" si="1205"/>
        <v>YAMAHA_Mounter</v>
      </c>
      <c r="AS3949" s="22">
        <f t="shared" si="1206"/>
        <v>3</v>
      </c>
      <c r="AT3949" s="24" t="str">
        <f t="shared" si="1207"/>
        <v>0-3 months</v>
      </c>
      <c r="AU3949" s="22" t="s">
        <v>3751</v>
      </c>
    </row>
    <row r="3950" spans="1:47">
      <c r="A3950" s="33" t="str">
        <f t="shared" si="1198"/>
        <v>FY 24/25</v>
      </c>
      <c r="B3950" s="23">
        <v>2025</v>
      </c>
      <c r="C3950" s="23">
        <v>2</v>
      </c>
      <c r="D3950" s="202" t="str">
        <f t="shared" si="1183"/>
        <v>Q4</v>
      </c>
      <c r="E3950" s="33" t="str">
        <f t="shared" si="1197"/>
        <v>FY 24/25</v>
      </c>
      <c r="F3950" s="23">
        <v>2025</v>
      </c>
      <c r="G3950" s="23">
        <v>3</v>
      </c>
      <c r="H3950" s="29"/>
      <c r="I3950" s="204" t="str">
        <f t="shared" si="1199"/>
        <v>Q4</v>
      </c>
      <c r="J3950" s="188" t="s">
        <v>3711</v>
      </c>
      <c r="K3950" s="29" t="s">
        <v>1065</v>
      </c>
      <c r="L3950" s="24" t="s">
        <v>67</v>
      </c>
      <c r="M3950" s="13" t="s">
        <v>60</v>
      </c>
      <c r="N3950" s="22">
        <v>1</v>
      </c>
      <c r="O3950" s="22"/>
      <c r="P3950" s="202" t="str">
        <f t="shared" si="1208"/>
        <v>MAIN UNIT</v>
      </c>
      <c r="Q3950" s="22" t="s">
        <v>61</v>
      </c>
      <c r="R3950" s="22" t="s">
        <v>62</v>
      </c>
      <c r="S3950" s="22" t="s">
        <v>49</v>
      </c>
      <c r="T3950" s="22" t="s">
        <v>78</v>
      </c>
      <c r="U3950" s="22" t="s">
        <v>78</v>
      </c>
      <c r="V3950" s="22" t="s">
        <v>126</v>
      </c>
      <c r="W3950" s="22" t="s">
        <v>64</v>
      </c>
      <c r="X3950" s="104">
        <v>391100</v>
      </c>
      <c r="Y3950" s="195" t="str">
        <f t="shared" si="1185"/>
        <v>1.13</v>
      </c>
      <c r="Z3950" s="196">
        <f t="shared" si="1184"/>
        <v>391100</v>
      </c>
      <c r="AA3950" s="22">
        <v>1.0669999999999999</v>
      </c>
      <c r="AB3950" s="197">
        <f t="shared" si="1196"/>
        <v>369295.30973451328</v>
      </c>
      <c r="AC3950" s="198">
        <f t="shared" si="1200"/>
        <v>44315.437168141594</v>
      </c>
      <c r="AD3950" s="169">
        <v>0.12</v>
      </c>
      <c r="AE3950" s="199">
        <f t="shared" si="1201"/>
        <v>0</v>
      </c>
      <c r="AF3950" s="199" t="str">
        <f>IF(AND(COUNTIFS($J$18:J3950,J3950)=1,AE3950=1),1,"")</f>
        <v/>
      </c>
      <c r="AG3950" s="199">
        <f>IF(C3950="","",IF(AND(COUNTIFS($J$18:J3950,J3950)=1,C3950&lt;&gt;""),1,""))</f>
        <v>1</v>
      </c>
      <c r="AH3950" s="199">
        <f>IF(G3950="","",IF(AND(COUNTIFS($J$18:J3950,J3950)=1,G3950&lt;&gt;""),1,""))</f>
        <v>1</v>
      </c>
      <c r="AI3950" s="200">
        <f t="shared" si="1209"/>
        <v>17732428.654867258</v>
      </c>
      <c r="AJ3950" s="200">
        <f t="shared" si="1210"/>
        <v>2127891.4385840711</v>
      </c>
      <c r="AK3950" s="201">
        <f t="shared" si="1202"/>
        <v>0.12000000000000001</v>
      </c>
      <c r="AL3950" s="24"/>
      <c r="AM3950" s="24"/>
      <c r="AN3950" s="24"/>
      <c r="AO3950" s="24"/>
      <c r="AP3950" s="165" t="str">
        <f t="shared" si="1203"/>
        <v>20253</v>
      </c>
      <c r="AQ3950" s="203" t="str">
        <f t="shared" si="1204"/>
        <v>20253RMB</v>
      </c>
      <c r="AR3950" s="206" t="str">
        <f t="shared" si="1205"/>
        <v>YAMAHA_Mounter</v>
      </c>
      <c r="AS3950" s="22">
        <f t="shared" si="1206"/>
        <v>1</v>
      </c>
      <c r="AT3950" s="24" t="str">
        <f t="shared" si="1207"/>
        <v>0-3 months</v>
      </c>
      <c r="AU3950" s="22" t="s">
        <v>3751</v>
      </c>
    </row>
    <row r="3951" spans="1:47">
      <c r="A3951" s="33" t="str">
        <f t="shared" si="1198"/>
        <v>FY 24/25</v>
      </c>
      <c r="B3951" s="23">
        <v>2025</v>
      </c>
      <c r="C3951" s="23">
        <v>2</v>
      </c>
      <c r="D3951" s="202" t="str">
        <f t="shared" si="1183"/>
        <v>Q4</v>
      </c>
      <c r="E3951" s="33" t="str">
        <f t="shared" si="1197"/>
        <v>FY 24/25</v>
      </c>
      <c r="F3951" s="23">
        <v>2025</v>
      </c>
      <c r="G3951" s="23">
        <v>3</v>
      </c>
      <c r="H3951" s="29"/>
      <c r="I3951" s="204" t="str">
        <f t="shared" si="1199"/>
        <v>Q4</v>
      </c>
      <c r="J3951" s="188" t="s">
        <v>3711</v>
      </c>
      <c r="K3951" s="29" t="s">
        <v>1065</v>
      </c>
      <c r="L3951" s="24" t="s">
        <v>67</v>
      </c>
      <c r="M3951" s="13" t="s">
        <v>60</v>
      </c>
      <c r="N3951" s="22">
        <v>1</v>
      </c>
      <c r="O3951" s="22"/>
      <c r="P3951" s="202" t="str">
        <f t="shared" si="1208"/>
        <v>MAIN UNIT</v>
      </c>
      <c r="Q3951" s="22" t="s">
        <v>61</v>
      </c>
      <c r="R3951" s="22" t="s">
        <v>62</v>
      </c>
      <c r="S3951" s="22" t="s">
        <v>49</v>
      </c>
      <c r="T3951" s="22" t="s">
        <v>78</v>
      </c>
      <c r="U3951" s="22" t="s">
        <v>78</v>
      </c>
      <c r="V3951" s="22" t="s">
        <v>126</v>
      </c>
      <c r="W3951" s="22" t="s">
        <v>64</v>
      </c>
      <c r="X3951" s="104">
        <v>391100</v>
      </c>
      <c r="Y3951" s="195" t="str">
        <f t="shared" si="1185"/>
        <v>1.13</v>
      </c>
      <c r="Z3951" s="196">
        <f t="shared" si="1184"/>
        <v>391100</v>
      </c>
      <c r="AA3951" s="22">
        <v>1.0669999999999999</v>
      </c>
      <c r="AB3951" s="197">
        <f t="shared" si="1196"/>
        <v>369295.30973451328</v>
      </c>
      <c r="AC3951" s="198">
        <f t="shared" si="1200"/>
        <v>44315.437168141594</v>
      </c>
      <c r="AD3951" s="169">
        <v>0.12</v>
      </c>
      <c r="AE3951" s="199">
        <f t="shared" si="1201"/>
        <v>0</v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209"/>
        <v>17732428.654867258</v>
      </c>
      <c r="AJ3951" s="200">
        <f t="shared" si="1210"/>
        <v>2127891.4385840711</v>
      </c>
      <c r="AK3951" s="201">
        <f t="shared" si="1202"/>
        <v>0.12000000000000001</v>
      </c>
      <c r="AL3951" s="24"/>
      <c r="AM3951" s="24"/>
      <c r="AN3951" s="24"/>
      <c r="AO3951" s="24"/>
      <c r="AP3951" s="165" t="str">
        <f t="shared" si="1203"/>
        <v>20253</v>
      </c>
      <c r="AQ3951" s="203" t="str">
        <f t="shared" si="1204"/>
        <v>20253RMB</v>
      </c>
      <c r="AR3951" s="206" t="str">
        <f t="shared" si="1205"/>
        <v>YAMAHA_Mounter</v>
      </c>
      <c r="AS3951" s="22">
        <f t="shared" si="1206"/>
        <v>1</v>
      </c>
      <c r="AT3951" s="24" t="str">
        <f t="shared" si="1207"/>
        <v>0-3 months</v>
      </c>
      <c r="AU3951" s="22" t="s">
        <v>3751</v>
      </c>
    </row>
    <row r="3952" spans="1:47">
      <c r="A3952" s="33" t="str">
        <f t="shared" si="1198"/>
        <v>FY 24/25</v>
      </c>
      <c r="B3952" s="23">
        <v>2025</v>
      </c>
      <c r="C3952" s="23">
        <v>2</v>
      </c>
      <c r="D3952" s="202" t="str">
        <f t="shared" si="1183"/>
        <v>Q4</v>
      </c>
      <c r="E3952" s="33" t="str">
        <f t="shared" si="1197"/>
        <v>FY 24/25</v>
      </c>
      <c r="F3952" s="23">
        <v>2025</v>
      </c>
      <c r="G3952" s="23">
        <v>3</v>
      </c>
      <c r="H3952" s="29"/>
      <c r="I3952" s="204" t="str">
        <f t="shared" si="1199"/>
        <v>Q4</v>
      </c>
      <c r="J3952" s="188" t="s">
        <v>3757</v>
      </c>
      <c r="K3952" s="29" t="s">
        <v>3758</v>
      </c>
      <c r="L3952" s="24" t="s">
        <v>67</v>
      </c>
      <c r="M3952" s="13" t="s">
        <v>60</v>
      </c>
      <c r="N3952" s="22">
        <v>1</v>
      </c>
      <c r="O3952" s="22"/>
      <c r="P3952" s="202" t="str">
        <f t="shared" si="1208"/>
        <v>MAIN UNIT</v>
      </c>
      <c r="Q3952" s="22" t="s">
        <v>61</v>
      </c>
      <c r="R3952" s="22" t="s">
        <v>62</v>
      </c>
      <c r="S3952" s="22" t="s">
        <v>49</v>
      </c>
      <c r="T3952" s="22" t="s">
        <v>78</v>
      </c>
      <c r="U3952" s="22" t="s">
        <v>1071</v>
      </c>
      <c r="V3952" s="22" t="s">
        <v>1407</v>
      </c>
      <c r="W3952" s="22" t="s">
        <v>64</v>
      </c>
      <c r="X3952" s="104">
        <v>370000</v>
      </c>
      <c r="Y3952" s="195" t="str">
        <f t="shared" si="1185"/>
        <v>1.13</v>
      </c>
      <c r="Z3952" s="196">
        <f t="shared" si="1184"/>
        <v>370000</v>
      </c>
      <c r="AA3952" s="22">
        <v>1.0669999999999999</v>
      </c>
      <c r="AB3952" s="197">
        <f t="shared" si="1196"/>
        <v>349371.68141592923</v>
      </c>
      <c r="AC3952" s="198">
        <f t="shared" si="1200"/>
        <v>41924.601769911504</v>
      </c>
      <c r="AD3952" s="169">
        <v>0.12</v>
      </c>
      <c r="AE3952" s="199">
        <f t="shared" si="1201"/>
        <v>0</v>
      </c>
      <c r="AF3952" s="199" t="str">
        <f>IF(AND(COUNTIFS($J$18:J3952,J3952)=1,AE3952=1),1,"")</f>
        <v/>
      </c>
      <c r="AG3952" s="199">
        <f>IF(C3952="","",IF(AND(COUNTIFS($J$18:J3952,J3952)=1,C3952&lt;&gt;""),1,""))</f>
        <v>1</v>
      </c>
      <c r="AH3952" s="199">
        <f>IF(G3952="","",IF(AND(COUNTIFS($J$18:J3952,J3952)=1,G3952&lt;&gt;""),1,""))</f>
        <v>1</v>
      </c>
      <c r="AI3952" s="200">
        <f t="shared" si="1209"/>
        <v>17732428.654867258</v>
      </c>
      <c r="AJ3952" s="200">
        <f t="shared" si="1210"/>
        <v>2127891.4385840711</v>
      </c>
      <c r="AK3952" s="201">
        <f t="shared" si="1202"/>
        <v>0.12000000000000001</v>
      </c>
      <c r="AL3952" s="24"/>
      <c r="AM3952" s="24"/>
      <c r="AN3952" s="24"/>
      <c r="AO3952" s="24"/>
      <c r="AP3952" s="165" t="str">
        <f t="shared" si="1203"/>
        <v>20253</v>
      </c>
      <c r="AQ3952" s="203" t="str">
        <f t="shared" si="1204"/>
        <v>20253RMB</v>
      </c>
      <c r="AR3952" s="206" t="str">
        <f t="shared" si="1205"/>
        <v>YAMAHA_Mounter</v>
      </c>
      <c r="AS3952" s="22">
        <f t="shared" si="1206"/>
        <v>1</v>
      </c>
      <c r="AT3952" s="24" t="str">
        <f t="shared" si="1207"/>
        <v>0-3 months</v>
      </c>
      <c r="AU3952" s="22" t="s">
        <v>3751</v>
      </c>
    </row>
    <row r="3953" spans="1:47">
      <c r="A3953" s="33" t="str">
        <f t="shared" si="1198"/>
        <v>FY 24/25</v>
      </c>
      <c r="B3953" s="23">
        <v>2025</v>
      </c>
      <c r="C3953" s="23">
        <v>2</v>
      </c>
      <c r="D3953" s="202" t="str">
        <f t="shared" si="1183"/>
        <v>Q4</v>
      </c>
      <c r="E3953" s="33" t="str">
        <f t="shared" si="1197"/>
        <v>FY 24/25</v>
      </c>
      <c r="F3953" s="23">
        <v>2025</v>
      </c>
      <c r="G3953" s="23">
        <v>3</v>
      </c>
      <c r="H3953" s="29"/>
      <c r="I3953" s="204" t="str">
        <f t="shared" si="1199"/>
        <v>Q4</v>
      </c>
      <c r="J3953" s="188" t="s">
        <v>3757</v>
      </c>
      <c r="K3953" s="29" t="s">
        <v>3758</v>
      </c>
      <c r="L3953" s="24" t="s">
        <v>67</v>
      </c>
      <c r="M3953" s="13" t="s">
        <v>60</v>
      </c>
      <c r="N3953" s="22">
        <v>1</v>
      </c>
      <c r="O3953" s="22"/>
      <c r="P3953" s="202" t="str">
        <f t="shared" si="1208"/>
        <v>MAIN UNIT</v>
      </c>
      <c r="Q3953" s="22" t="s">
        <v>61</v>
      </c>
      <c r="R3953" s="22" t="s">
        <v>62</v>
      </c>
      <c r="S3953" s="22" t="s">
        <v>49</v>
      </c>
      <c r="T3953" s="22" t="s">
        <v>78</v>
      </c>
      <c r="U3953" s="22" t="s">
        <v>1071</v>
      </c>
      <c r="V3953" s="22" t="s">
        <v>1407</v>
      </c>
      <c r="W3953" s="22" t="s">
        <v>64</v>
      </c>
      <c r="X3953" s="104">
        <v>370000</v>
      </c>
      <c r="Y3953" s="195" t="str">
        <f t="shared" si="1185"/>
        <v>1.13</v>
      </c>
      <c r="Z3953" s="196">
        <f t="shared" si="1184"/>
        <v>370000</v>
      </c>
      <c r="AA3953" s="22">
        <v>1.0669999999999999</v>
      </c>
      <c r="AB3953" s="197">
        <f t="shared" si="1196"/>
        <v>349371.68141592923</v>
      </c>
      <c r="AC3953" s="198">
        <f t="shared" si="1200"/>
        <v>41924.601769911504</v>
      </c>
      <c r="AD3953" s="169">
        <v>0.12</v>
      </c>
      <c r="AE3953" s="199">
        <f t="shared" si="1201"/>
        <v>0</v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209"/>
        <v>17732428.654867258</v>
      </c>
      <c r="AJ3953" s="200">
        <f t="shared" si="1210"/>
        <v>2127891.4385840711</v>
      </c>
      <c r="AK3953" s="201">
        <f t="shared" si="1202"/>
        <v>0.12000000000000001</v>
      </c>
      <c r="AL3953" s="24"/>
      <c r="AM3953" s="24"/>
      <c r="AN3953" s="24"/>
      <c r="AO3953" s="24"/>
      <c r="AP3953" s="165" t="str">
        <f t="shared" si="1203"/>
        <v>20253</v>
      </c>
      <c r="AQ3953" s="203" t="str">
        <f t="shared" si="1204"/>
        <v>20253RMB</v>
      </c>
      <c r="AR3953" s="206" t="str">
        <f t="shared" si="1205"/>
        <v>YAMAHA_Mounter</v>
      </c>
      <c r="AS3953" s="22">
        <f t="shared" si="1206"/>
        <v>1</v>
      </c>
      <c r="AT3953" s="24" t="str">
        <f t="shared" si="1207"/>
        <v>0-3 months</v>
      </c>
      <c r="AU3953" s="22" t="s">
        <v>3751</v>
      </c>
    </row>
    <row r="3954" spans="1:47">
      <c r="A3954" s="33" t="str">
        <f t="shared" si="1198"/>
        <v>FY 24/25</v>
      </c>
      <c r="B3954" s="23">
        <v>2025</v>
      </c>
      <c r="C3954" s="23">
        <v>2</v>
      </c>
      <c r="D3954" s="202" t="str">
        <f t="shared" ref="D3954:D4001" si="1211">IF(B3954="","",IF(AND(C3954&gt;=10,C3954&lt;=12),"Q3",IF(AND(C3954&gt;=1,C3954&lt;=3),"Q4",IF(AND(C3954&gt;=7,C3954&lt;=9),"Q2",IF(AND(C3954&gt;=4,C3954&lt;=6),"Q1")))))</f>
        <v>Q4</v>
      </c>
      <c r="E3954" s="33" t="str">
        <f t="shared" si="1197"/>
        <v>FY 25/26</v>
      </c>
      <c r="F3954" s="23">
        <v>2025</v>
      </c>
      <c r="G3954" s="23">
        <v>4</v>
      </c>
      <c r="H3954" s="29"/>
      <c r="I3954" s="204" t="str">
        <f t="shared" si="1199"/>
        <v>Q1</v>
      </c>
      <c r="J3954" s="188" t="s">
        <v>3713</v>
      </c>
      <c r="K3954" s="29" t="s">
        <v>3714</v>
      </c>
      <c r="L3954" s="24" t="s">
        <v>67</v>
      </c>
      <c r="M3954" s="13" t="s">
        <v>60</v>
      </c>
      <c r="N3954" s="22">
        <v>1</v>
      </c>
      <c r="O3954" s="22"/>
      <c r="P3954" s="202" t="str">
        <f t="shared" si="1208"/>
        <v>MAIN UNIT</v>
      </c>
      <c r="Q3954" s="22" t="s">
        <v>68</v>
      </c>
      <c r="R3954" s="22" t="s">
        <v>62</v>
      </c>
      <c r="S3954" s="22" t="s">
        <v>49</v>
      </c>
      <c r="T3954" s="22" t="s">
        <v>78</v>
      </c>
      <c r="U3954" s="22" t="s">
        <v>78</v>
      </c>
      <c r="V3954" s="22" t="s">
        <v>3095</v>
      </c>
      <c r="W3954" s="22" t="s">
        <v>109</v>
      </c>
      <c r="X3954" s="104">
        <v>8180000</v>
      </c>
      <c r="Y3954" s="195" t="str">
        <f t="shared" si="1185"/>
        <v>1</v>
      </c>
      <c r="Z3954" s="196">
        <f t="shared" ref="Z3954:Z3994" si="1212">IF(X3954="","",X3954*MAX(O3954,N3954))</f>
        <v>8180000</v>
      </c>
      <c r="AA3954" s="22">
        <v>5.2999999999999999E-2</v>
      </c>
      <c r="AB3954" s="197">
        <f t="shared" si="1196"/>
        <v>433540</v>
      </c>
      <c r="AC3954" s="198">
        <f t="shared" si="1200"/>
        <v>52024.799999999996</v>
      </c>
      <c r="AD3954" s="169">
        <v>0.12</v>
      </c>
      <c r="AE3954" s="199">
        <f t="shared" si="1201"/>
        <v>1</v>
      </c>
      <c r="AF3954" s="199">
        <f>IF(AND(COUNTIFS($J$18:J3954,J3954)=1,AE3954=1),1,"")</f>
        <v>1</v>
      </c>
      <c r="AG3954" s="199">
        <f>IF(C3954="","",IF(AND(COUNTIFS($J$18:J3954,J3954)=1,C3954&lt;&gt;""),1,""))</f>
        <v>1</v>
      </c>
      <c r="AH3954" s="199">
        <f>IF(G3954="","",IF(AND(COUNTIFS($J$18:J3954,J3954)=1,G3954&lt;&gt;""),1,""))</f>
        <v>1</v>
      </c>
      <c r="AI3954" s="200">
        <f t="shared" si="1209"/>
        <v>29497483.159292053</v>
      </c>
      <c r="AJ3954" s="200">
        <f t="shared" si="1210"/>
        <v>3539697.9791150414</v>
      </c>
      <c r="AK3954" s="201">
        <f t="shared" si="1202"/>
        <v>0.11999999999999983</v>
      </c>
      <c r="AL3954" s="24"/>
      <c r="AM3954" s="24"/>
      <c r="AN3954" s="24"/>
      <c r="AO3954" s="24"/>
      <c r="AP3954" s="165" t="str">
        <f t="shared" si="1203"/>
        <v>20254</v>
      </c>
      <c r="AQ3954" s="203" t="str">
        <f t="shared" si="1204"/>
        <v>20254JPY</v>
      </c>
      <c r="AR3954" s="206" t="str">
        <f t="shared" si="1205"/>
        <v>YAMAHA_Mounter</v>
      </c>
      <c r="AS3954" s="22">
        <f t="shared" si="1206"/>
        <v>2</v>
      </c>
      <c r="AT3954" s="24" t="str">
        <f t="shared" si="1207"/>
        <v>0-3 months</v>
      </c>
      <c r="AU3954" s="22" t="s">
        <v>3745</v>
      </c>
    </row>
    <row r="3955" spans="1:47">
      <c r="A3955" s="33" t="str">
        <f t="shared" si="1198"/>
        <v>FY 24/25</v>
      </c>
      <c r="B3955" s="23">
        <v>2025</v>
      </c>
      <c r="C3955" s="23">
        <v>2</v>
      </c>
      <c r="D3955" s="202" t="str">
        <f t="shared" si="1211"/>
        <v>Q4</v>
      </c>
      <c r="E3955" s="33" t="str">
        <f t="shared" si="1197"/>
        <v>FY 24/25</v>
      </c>
      <c r="F3955" s="23">
        <v>2025</v>
      </c>
      <c r="G3955" s="23">
        <v>3</v>
      </c>
      <c r="H3955" s="29"/>
      <c r="I3955" s="204" t="str">
        <f t="shared" si="1199"/>
        <v>Q4</v>
      </c>
      <c r="J3955" s="188" t="s">
        <v>3712</v>
      </c>
      <c r="K3955" s="29" t="s">
        <v>712</v>
      </c>
      <c r="L3955" s="24" t="s">
        <v>67</v>
      </c>
      <c r="M3955" s="13" t="s">
        <v>60</v>
      </c>
      <c r="N3955" s="22">
        <v>1</v>
      </c>
      <c r="O3955" s="22"/>
      <c r="P3955" s="202" t="str">
        <f t="shared" si="1208"/>
        <v>MAIN UNIT</v>
      </c>
      <c r="Q3955" s="22" t="s">
        <v>61</v>
      </c>
      <c r="R3955" s="22" t="s">
        <v>62</v>
      </c>
      <c r="S3955" s="22" t="s">
        <v>49</v>
      </c>
      <c r="T3955" s="22" t="s">
        <v>78</v>
      </c>
      <c r="U3955" s="22" t="s">
        <v>120</v>
      </c>
      <c r="V3955" s="22" t="s">
        <v>112</v>
      </c>
      <c r="W3955" s="22" t="s">
        <v>64</v>
      </c>
      <c r="X3955" s="104">
        <v>453250</v>
      </c>
      <c r="Y3955" s="195" t="str">
        <f t="shared" si="1185"/>
        <v>1.13</v>
      </c>
      <c r="Z3955" s="196">
        <f t="shared" si="1212"/>
        <v>453250</v>
      </c>
      <c r="AA3955" s="22">
        <v>1.0669999999999999</v>
      </c>
      <c r="AB3955" s="197">
        <f t="shared" si="1196"/>
        <v>427980.30973451328</v>
      </c>
      <c r="AC3955" s="198">
        <f t="shared" si="1200"/>
        <v>51357.637168141591</v>
      </c>
      <c r="AD3955" s="169">
        <v>0.12</v>
      </c>
      <c r="AE3955" s="199">
        <f t="shared" si="1201"/>
        <v>0</v>
      </c>
      <c r="AF3955" s="199" t="str">
        <f>IF(AND(COUNTIFS($J$18:J3955,J3955)=1,AE3955=1),1,"")</f>
        <v/>
      </c>
      <c r="AG3955" s="199">
        <f>IF(C3955="","",IF(AND(COUNTIFS($J$18:J3955,J3955)=1,C3955&lt;&gt;""),1,""))</f>
        <v>1</v>
      </c>
      <c r="AH3955" s="199">
        <f>IF(G3955="","",IF(AND(COUNTIFS($J$18:J3955,J3955)=1,G3955&lt;&gt;""),1,""))</f>
        <v>1</v>
      </c>
      <c r="AI3955" s="200">
        <f t="shared" si="1209"/>
        <v>17732428.654867258</v>
      </c>
      <c r="AJ3955" s="200">
        <f t="shared" si="1210"/>
        <v>2127891.4385840711</v>
      </c>
      <c r="AK3955" s="201">
        <f t="shared" si="1202"/>
        <v>0.12000000000000001</v>
      </c>
      <c r="AL3955" s="24"/>
      <c r="AM3955" s="24"/>
      <c r="AN3955" s="24"/>
      <c r="AO3955" s="24"/>
      <c r="AP3955" s="165" t="str">
        <f t="shared" si="1203"/>
        <v>20253</v>
      </c>
      <c r="AQ3955" s="203" t="str">
        <f t="shared" si="1204"/>
        <v>20253RMB</v>
      </c>
      <c r="AR3955" s="206" t="str">
        <f t="shared" si="1205"/>
        <v>YAMAHA_Mounter</v>
      </c>
      <c r="AS3955" s="22">
        <f t="shared" si="1206"/>
        <v>1</v>
      </c>
      <c r="AT3955" s="24" t="str">
        <f t="shared" si="1207"/>
        <v>0-3 months</v>
      </c>
      <c r="AU3955" s="22" t="s">
        <v>3751</v>
      </c>
    </row>
    <row r="3956" spans="1:47">
      <c r="A3956" s="33" t="str">
        <f t="shared" si="1198"/>
        <v>FY 24/25</v>
      </c>
      <c r="B3956" s="23">
        <v>2025</v>
      </c>
      <c r="C3956" s="23">
        <v>2</v>
      </c>
      <c r="D3956" s="202" t="str">
        <f t="shared" si="1211"/>
        <v>Q4</v>
      </c>
      <c r="E3956" s="33" t="str">
        <f t="shared" si="1197"/>
        <v>FY 24/25</v>
      </c>
      <c r="F3956" s="23">
        <v>2025</v>
      </c>
      <c r="G3956" s="23">
        <v>3</v>
      </c>
      <c r="H3956" s="29"/>
      <c r="I3956" s="204" t="str">
        <f t="shared" si="1199"/>
        <v>Q4</v>
      </c>
      <c r="J3956" s="188" t="s">
        <v>3712</v>
      </c>
      <c r="K3956" s="29" t="s">
        <v>712</v>
      </c>
      <c r="L3956" s="24" t="s">
        <v>67</v>
      </c>
      <c r="M3956" s="13" t="s">
        <v>60</v>
      </c>
      <c r="N3956" s="22">
        <v>1</v>
      </c>
      <c r="O3956" s="22"/>
      <c r="P3956" s="202" t="str">
        <f t="shared" si="1208"/>
        <v>MAIN UNIT</v>
      </c>
      <c r="Q3956" s="22" t="s">
        <v>61</v>
      </c>
      <c r="R3956" s="22" t="s">
        <v>62</v>
      </c>
      <c r="S3956" s="22" t="s">
        <v>49</v>
      </c>
      <c r="T3956" s="22" t="s">
        <v>78</v>
      </c>
      <c r="U3956" s="22" t="s">
        <v>120</v>
      </c>
      <c r="V3956" s="22" t="s">
        <v>112</v>
      </c>
      <c r="W3956" s="22" t="s">
        <v>64</v>
      </c>
      <c r="X3956" s="104">
        <v>453250</v>
      </c>
      <c r="Y3956" s="195" t="str">
        <f t="shared" ref="Y3956:Y3994" si="1213">IF(W3956="","",IF(W3956="RMB","1.13", "1"))</f>
        <v>1.13</v>
      </c>
      <c r="Z3956" s="196">
        <f t="shared" si="1212"/>
        <v>453250</v>
      </c>
      <c r="AA3956" s="22">
        <v>1.0669999999999999</v>
      </c>
      <c r="AB3956" s="197">
        <f t="shared" si="1196"/>
        <v>427980.30973451328</v>
      </c>
      <c r="AC3956" s="198">
        <f t="shared" si="1200"/>
        <v>51357.637168141591</v>
      </c>
      <c r="AD3956" s="169">
        <v>0.12</v>
      </c>
      <c r="AE3956" s="199">
        <f t="shared" si="1201"/>
        <v>0</v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209"/>
        <v>17732428.654867258</v>
      </c>
      <c r="AJ3956" s="200">
        <f t="shared" si="1210"/>
        <v>2127891.4385840711</v>
      </c>
      <c r="AK3956" s="201">
        <f t="shared" si="1202"/>
        <v>0.12000000000000001</v>
      </c>
      <c r="AL3956" s="24"/>
      <c r="AM3956" s="24"/>
      <c r="AN3956" s="24"/>
      <c r="AO3956" s="24"/>
      <c r="AP3956" s="165" t="str">
        <f t="shared" si="1203"/>
        <v>20253</v>
      </c>
      <c r="AQ3956" s="203" t="str">
        <f t="shared" si="1204"/>
        <v>20253RMB</v>
      </c>
      <c r="AR3956" s="206" t="str">
        <f t="shared" si="1205"/>
        <v>YAMAHA_Mounter</v>
      </c>
      <c r="AS3956" s="22">
        <f t="shared" si="1206"/>
        <v>1</v>
      </c>
      <c r="AT3956" s="24" t="str">
        <f t="shared" si="1207"/>
        <v>0-3 months</v>
      </c>
      <c r="AU3956" s="22" t="s">
        <v>3751</v>
      </c>
    </row>
    <row r="3957" spans="1:47">
      <c r="A3957" s="33" t="str">
        <f t="shared" si="1198"/>
        <v>FY 24/25</v>
      </c>
      <c r="B3957" s="23">
        <v>2025</v>
      </c>
      <c r="C3957" s="23">
        <v>2</v>
      </c>
      <c r="D3957" s="202" t="str">
        <f t="shared" si="1211"/>
        <v>Q4</v>
      </c>
      <c r="E3957" s="33" t="str">
        <f t="shared" si="1197"/>
        <v>FY 24/25</v>
      </c>
      <c r="F3957" s="23">
        <v>2025</v>
      </c>
      <c r="G3957" s="23">
        <v>3</v>
      </c>
      <c r="H3957" s="29"/>
      <c r="I3957" s="204" t="str">
        <f t="shared" si="1199"/>
        <v>Q4</v>
      </c>
      <c r="J3957" s="188" t="s">
        <v>3715</v>
      </c>
      <c r="K3957" s="164" t="s">
        <v>3718</v>
      </c>
      <c r="L3957" s="24" t="s">
        <v>92</v>
      </c>
      <c r="M3957" s="13" t="s">
        <v>60</v>
      </c>
      <c r="N3957" s="22">
        <v>1</v>
      </c>
      <c r="O3957" s="22"/>
      <c r="P3957" s="202" t="str">
        <f t="shared" si="1208"/>
        <v>MAIN UNIT</v>
      </c>
      <c r="Q3957" s="22" t="s">
        <v>61</v>
      </c>
      <c r="R3957" s="22" t="s">
        <v>62</v>
      </c>
      <c r="S3957" s="22" t="s">
        <v>50</v>
      </c>
      <c r="T3957" s="22" t="s">
        <v>88</v>
      </c>
      <c r="U3957" s="22" t="s">
        <v>70</v>
      </c>
      <c r="V3957" s="22" t="s">
        <v>1400</v>
      </c>
      <c r="W3957" s="22" t="s">
        <v>64</v>
      </c>
      <c r="X3957" s="104">
        <v>650000</v>
      </c>
      <c r="Y3957" s="195" t="str">
        <f t="shared" si="1213"/>
        <v>1.13</v>
      </c>
      <c r="Z3957" s="196">
        <f t="shared" si="1212"/>
        <v>650000</v>
      </c>
      <c r="AA3957" s="22">
        <v>1.0669999999999999</v>
      </c>
      <c r="AB3957" s="197">
        <f t="shared" si="1196"/>
        <v>613761.06194690266</v>
      </c>
      <c r="AC3957" s="198">
        <f t="shared" si="1200"/>
        <v>73651.327433628321</v>
      </c>
      <c r="AD3957" s="169">
        <v>0.12</v>
      </c>
      <c r="AE3957" s="199">
        <f t="shared" si="1201"/>
        <v>0</v>
      </c>
      <c r="AF3957" s="199" t="str">
        <f>IF(AND(COUNTIFS($J$18:J3957,J3957)=1,AE3957=1),1,"")</f>
        <v/>
      </c>
      <c r="AG3957" s="199">
        <f>IF(C3957="","",IF(AND(COUNTIFS($J$18:J3957,J3957)=1,C3957&lt;&gt;""),1,""))</f>
        <v>1</v>
      </c>
      <c r="AH3957" s="199">
        <f>IF(G3957="","",IF(AND(COUNTIFS($J$18:J3957,J3957)=1,G3957&lt;&gt;""),1,""))</f>
        <v>1</v>
      </c>
      <c r="AI3957" s="200">
        <f t="shared" si="1209"/>
        <v>17732428.654867258</v>
      </c>
      <c r="AJ3957" s="200">
        <f t="shared" si="1210"/>
        <v>2127891.4385840711</v>
      </c>
      <c r="AK3957" s="201">
        <f t="shared" si="1202"/>
        <v>0.12000000000000001</v>
      </c>
      <c r="AL3957" s="24"/>
      <c r="AM3957" s="24"/>
      <c r="AN3957" s="24"/>
      <c r="AO3957" s="24"/>
      <c r="AP3957" s="165" t="str">
        <f t="shared" si="1203"/>
        <v>20253</v>
      </c>
      <c r="AQ3957" s="203" t="str">
        <f t="shared" si="1204"/>
        <v>20253RMB</v>
      </c>
      <c r="AR3957" s="206" t="str">
        <f t="shared" si="1205"/>
        <v>YAMAHA_Mounter</v>
      </c>
      <c r="AS3957" s="22">
        <f t="shared" si="1206"/>
        <v>1</v>
      </c>
      <c r="AT3957" s="24" t="str">
        <f t="shared" si="1207"/>
        <v>0-3 months</v>
      </c>
      <c r="AU3957" s="22" t="s">
        <v>3240</v>
      </c>
    </row>
    <row r="3958" spans="1:47">
      <c r="A3958" s="33" t="str">
        <f t="shared" si="1198"/>
        <v>FY 24/25</v>
      </c>
      <c r="B3958" s="23">
        <v>2025</v>
      </c>
      <c r="C3958" s="23">
        <v>2</v>
      </c>
      <c r="D3958" s="202" t="str">
        <f t="shared" si="1211"/>
        <v>Q4</v>
      </c>
      <c r="E3958" s="33" t="str">
        <f t="shared" si="1197"/>
        <v>FY 24/25</v>
      </c>
      <c r="F3958" s="23">
        <v>2025</v>
      </c>
      <c r="G3958" s="23">
        <v>3</v>
      </c>
      <c r="H3958" s="29"/>
      <c r="I3958" s="204" t="str">
        <f t="shared" si="1199"/>
        <v>Q4</v>
      </c>
      <c r="J3958" s="188" t="s">
        <v>3715</v>
      </c>
      <c r="K3958" s="164" t="s">
        <v>3718</v>
      </c>
      <c r="L3958" s="24" t="s">
        <v>67</v>
      </c>
      <c r="M3958" s="13" t="s">
        <v>60</v>
      </c>
      <c r="N3958" s="22">
        <v>1</v>
      </c>
      <c r="O3958" s="22"/>
      <c r="P3958" s="202" t="str">
        <f t="shared" si="1208"/>
        <v>MAIN UNIT</v>
      </c>
      <c r="Q3958" s="22" t="s">
        <v>61</v>
      </c>
      <c r="R3958" s="22" t="s">
        <v>62</v>
      </c>
      <c r="S3958" s="22" t="s">
        <v>50</v>
      </c>
      <c r="T3958" s="22" t="s">
        <v>88</v>
      </c>
      <c r="U3958" s="22" t="s">
        <v>70</v>
      </c>
      <c r="V3958" s="22" t="s">
        <v>1400</v>
      </c>
      <c r="W3958" s="22" t="s">
        <v>64</v>
      </c>
      <c r="X3958" s="104">
        <v>389000</v>
      </c>
      <c r="Y3958" s="195" t="str">
        <f t="shared" si="1213"/>
        <v>1.13</v>
      </c>
      <c r="Z3958" s="196">
        <f t="shared" si="1212"/>
        <v>389000</v>
      </c>
      <c r="AA3958" s="22">
        <v>1.0669999999999999</v>
      </c>
      <c r="AB3958" s="197">
        <f t="shared" si="1196"/>
        <v>367312.38938053098</v>
      </c>
      <c r="AC3958" s="198">
        <f t="shared" si="1200"/>
        <v>44077.486725663715</v>
      </c>
      <c r="AD3958" s="169">
        <v>0.12</v>
      </c>
      <c r="AE3958" s="199">
        <f t="shared" si="1201"/>
        <v>0</v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209"/>
        <v>17732428.654867258</v>
      </c>
      <c r="AJ3958" s="200">
        <f t="shared" si="1210"/>
        <v>2127891.4385840711</v>
      </c>
      <c r="AK3958" s="201">
        <f t="shared" si="1202"/>
        <v>0.12000000000000001</v>
      </c>
      <c r="AL3958" s="24"/>
      <c r="AM3958" s="24"/>
      <c r="AN3958" s="24"/>
      <c r="AO3958" s="24"/>
      <c r="AP3958" s="165" t="str">
        <f t="shared" si="1203"/>
        <v>20253</v>
      </c>
      <c r="AQ3958" s="203" t="str">
        <f t="shared" si="1204"/>
        <v>20253RMB</v>
      </c>
      <c r="AR3958" s="206" t="str">
        <f t="shared" si="1205"/>
        <v>YAMAHA_Mounter</v>
      </c>
      <c r="AS3958" s="22">
        <f t="shared" si="1206"/>
        <v>1</v>
      </c>
      <c r="AT3958" s="24" t="str">
        <f t="shared" si="1207"/>
        <v>0-3 months</v>
      </c>
      <c r="AU3958" s="22" t="s">
        <v>3240</v>
      </c>
    </row>
    <row r="3959" spans="1:47" ht="26.4">
      <c r="A3959" s="33" t="str">
        <f t="shared" si="1198"/>
        <v>FY 24/25</v>
      </c>
      <c r="B3959" s="23">
        <v>2025</v>
      </c>
      <c r="C3959" s="23">
        <v>2</v>
      </c>
      <c r="D3959" s="202" t="str">
        <f t="shared" si="1211"/>
        <v>Q4</v>
      </c>
      <c r="E3959" s="33" t="str">
        <f t="shared" si="1197"/>
        <v>FY 24/25</v>
      </c>
      <c r="F3959" s="23">
        <v>2025</v>
      </c>
      <c r="G3959" s="23">
        <v>3</v>
      </c>
      <c r="H3959" s="29"/>
      <c r="I3959" s="204" t="str">
        <f t="shared" si="1199"/>
        <v>Q4</v>
      </c>
      <c r="J3959" s="188" t="s">
        <v>3715</v>
      </c>
      <c r="K3959" s="164" t="s">
        <v>3718</v>
      </c>
      <c r="L3959" s="24" t="s">
        <v>516</v>
      </c>
      <c r="M3959" s="13" t="s">
        <v>60</v>
      </c>
      <c r="N3959" s="22"/>
      <c r="O3959" s="22">
        <v>65</v>
      </c>
      <c r="P3959" s="202" t="str">
        <f t="shared" si="1208"/>
        <v>SERVICE/ PARTS</v>
      </c>
      <c r="Q3959" s="22" t="s">
        <v>61</v>
      </c>
      <c r="R3959" s="22" t="s">
        <v>62</v>
      </c>
      <c r="S3959" s="22" t="s">
        <v>50</v>
      </c>
      <c r="T3959" s="22" t="s">
        <v>88</v>
      </c>
      <c r="U3959" s="22" t="s">
        <v>70</v>
      </c>
      <c r="V3959" s="22" t="s">
        <v>1400</v>
      </c>
      <c r="W3959" s="22" t="s">
        <v>64</v>
      </c>
      <c r="X3959" s="104">
        <v>2476.9230769230771</v>
      </c>
      <c r="Y3959" s="195" t="str">
        <f t="shared" si="1213"/>
        <v>1.13</v>
      </c>
      <c r="Z3959" s="196">
        <f t="shared" si="1212"/>
        <v>161000</v>
      </c>
      <c r="AA3959" s="22">
        <v>1.0669999999999999</v>
      </c>
      <c r="AB3959" s="197">
        <f>IF(AND(R3959&lt;&gt;"C66",R3959&lt;&gt;""),Z3959/Y3959*AA3959,"")</f>
        <v>152023.89380530975</v>
      </c>
      <c r="AC3959" s="198">
        <f t="shared" si="1200"/>
        <v>18242.867256637168</v>
      </c>
      <c r="AD3959" s="169">
        <v>0.12</v>
      </c>
      <c r="AE3959" s="199">
        <f t="shared" si="1201"/>
        <v>0</v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209"/>
        <v>17732428.654867258</v>
      </c>
      <c r="AJ3959" s="200">
        <f t="shared" si="1210"/>
        <v>2127891.4385840711</v>
      </c>
      <c r="AK3959" s="201">
        <f t="shared" si="1202"/>
        <v>0.12000000000000001</v>
      </c>
      <c r="AL3959" s="24"/>
      <c r="AM3959" s="24"/>
      <c r="AN3959" s="24"/>
      <c r="AO3959" s="24"/>
      <c r="AP3959" s="165" t="str">
        <f t="shared" si="1203"/>
        <v>20253</v>
      </c>
      <c r="AQ3959" s="203" t="str">
        <f t="shared" si="1204"/>
        <v>20253RMB</v>
      </c>
      <c r="AR3959" s="206" t="str">
        <f t="shared" si="1205"/>
        <v>YAMAHA_Mounter</v>
      </c>
      <c r="AS3959" s="22">
        <f t="shared" si="1206"/>
        <v>1</v>
      </c>
      <c r="AT3959" s="24" t="str">
        <f t="shared" si="1207"/>
        <v>0-3 months</v>
      </c>
      <c r="AU3959" s="22" t="s">
        <v>3240</v>
      </c>
    </row>
    <row r="3960" spans="1:47">
      <c r="A3960" s="33" t="str">
        <f t="shared" si="1198"/>
        <v>FY 24/25</v>
      </c>
      <c r="B3960" s="23">
        <v>2025</v>
      </c>
      <c r="C3960" s="23">
        <v>2</v>
      </c>
      <c r="D3960" s="202" t="str">
        <f t="shared" si="1211"/>
        <v>Q4</v>
      </c>
      <c r="E3960" s="33" t="str">
        <f t="shared" si="1197"/>
        <v>FY 25/26</v>
      </c>
      <c r="F3960" s="23">
        <v>2025</v>
      </c>
      <c r="G3960" s="23">
        <v>5</v>
      </c>
      <c r="H3960" s="29"/>
      <c r="I3960" s="204" t="str">
        <f t="shared" si="1199"/>
        <v>Q1</v>
      </c>
      <c r="J3960" s="188" t="s">
        <v>3716</v>
      </c>
      <c r="K3960" s="164" t="s">
        <v>3719</v>
      </c>
      <c r="L3960" s="24" t="s">
        <v>3717</v>
      </c>
      <c r="M3960" s="13" t="s">
        <v>60</v>
      </c>
      <c r="N3960" s="22">
        <v>1</v>
      </c>
      <c r="O3960" s="22"/>
      <c r="P3960" s="202" t="str">
        <f t="shared" si="1208"/>
        <v>MAIN UNIT</v>
      </c>
      <c r="Q3960" s="22" t="s">
        <v>61</v>
      </c>
      <c r="R3960" s="22" t="s">
        <v>62</v>
      </c>
      <c r="S3960" s="22" t="s">
        <v>50</v>
      </c>
      <c r="T3960" s="22" t="s">
        <v>88</v>
      </c>
      <c r="U3960" s="22" t="s">
        <v>70</v>
      </c>
      <c r="V3960" s="22" t="s">
        <v>1010</v>
      </c>
      <c r="W3960" s="22" t="s">
        <v>64</v>
      </c>
      <c r="X3960" s="104">
        <v>750000</v>
      </c>
      <c r="Y3960" s="195" t="str">
        <f t="shared" si="1213"/>
        <v>1.13</v>
      </c>
      <c r="Z3960" s="196">
        <f t="shared" si="1212"/>
        <v>750000</v>
      </c>
      <c r="AA3960" s="22">
        <v>1.0669999999999999</v>
      </c>
      <c r="AB3960" s="197">
        <f t="shared" si="1196"/>
        <v>708185.84070796473</v>
      </c>
      <c r="AC3960" s="198">
        <f t="shared" si="1200"/>
        <v>84982.300884955766</v>
      </c>
      <c r="AD3960" s="169">
        <v>0.12</v>
      </c>
      <c r="AE3960" s="199">
        <f t="shared" si="1201"/>
        <v>0</v>
      </c>
      <c r="AF3960" s="199" t="str">
        <f>IF(AND(COUNTIFS($J$18:J3960,J3960)=1,AE3960=1),1,"")</f>
        <v/>
      </c>
      <c r="AG3960" s="199">
        <f>IF(C3960="","",IF(AND(COUNTIFS($J$18:J3960,J3960)=1,C3960&lt;&gt;""),1,""))</f>
        <v>1</v>
      </c>
      <c r="AH3960" s="199">
        <f>IF(G3960="","",IF(AND(COUNTIFS($J$18:J3960,J3960)=1,G3960&lt;&gt;""),1,""))</f>
        <v>1</v>
      </c>
      <c r="AI3960" s="200">
        <f t="shared" si="1209"/>
        <v>14766529.81520354</v>
      </c>
      <c r="AJ3960" s="200">
        <f t="shared" si="1210"/>
        <v>1771983.5778244243</v>
      </c>
      <c r="AK3960" s="201">
        <f t="shared" si="1202"/>
        <v>0.11999999999999997</v>
      </c>
      <c r="AL3960" s="24"/>
      <c r="AM3960" s="24"/>
      <c r="AN3960" s="24"/>
      <c r="AO3960" s="24"/>
      <c r="AP3960" s="165" t="str">
        <f t="shared" si="1203"/>
        <v>20255</v>
      </c>
      <c r="AQ3960" s="203" t="str">
        <f t="shared" si="1204"/>
        <v>20255RMB</v>
      </c>
      <c r="AR3960" s="206" t="str">
        <f t="shared" si="1205"/>
        <v>YAMAHA_Mounter</v>
      </c>
      <c r="AS3960" s="22">
        <f t="shared" si="1206"/>
        <v>3</v>
      </c>
      <c r="AT3960" s="24" t="str">
        <f t="shared" si="1207"/>
        <v>0-3 months</v>
      </c>
      <c r="AU3960" s="22" t="s">
        <v>3240</v>
      </c>
    </row>
    <row r="3961" spans="1:47">
      <c r="A3961" s="33" t="str">
        <f t="shared" si="1198"/>
        <v>FY 24/25</v>
      </c>
      <c r="B3961" s="23">
        <v>2025</v>
      </c>
      <c r="C3961" s="23">
        <v>2</v>
      </c>
      <c r="D3961" s="202" t="str">
        <f t="shared" si="1211"/>
        <v>Q4</v>
      </c>
      <c r="E3961" s="33" t="str">
        <f t="shared" si="1197"/>
        <v>FY 25/26</v>
      </c>
      <c r="F3961" s="23">
        <v>2025</v>
      </c>
      <c r="G3961" s="23">
        <v>5</v>
      </c>
      <c r="H3961" s="29"/>
      <c r="I3961" s="204" t="str">
        <f t="shared" si="1199"/>
        <v>Q1</v>
      </c>
      <c r="J3961" s="188" t="s">
        <v>3716</v>
      </c>
      <c r="K3961" s="164" t="s">
        <v>3719</v>
      </c>
      <c r="L3961" s="24" t="s">
        <v>67</v>
      </c>
      <c r="M3961" s="13" t="s">
        <v>60</v>
      </c>
      <c r="N3961" s="22">
        <v>1</v>
      </c>
      <c r="O3961" s="22"/>
      <c r="P3961" s="202" t="str">
        <f t="shared" si="1208"/>
        <v>MAIN UNIT</v>
      </c>
      <c r="Q3961" s="22" t="s">
        <v>61</v>
      </c>
      <c r="R3961" s="22" t="s">
        <v>62</v>
      </c>
      <c r="S3961" s="22" t="s">
        <v>50</v>
      </c>
      <c r="T3961" s="22" t="s">
        <v>88</v>
      </c>
      <c r="U3961" s="22" t="s">
        <v>70</v>
      </c>
      <c r="V3961" s="22" t="s">
        <v>1010</v>
      </c>
      <c r="W3961" s="22" t="s">
        <v>64</v>
      </c>
      <c r="X3961" s="104">
        <v>420000</v>
      </c>
      <c r="Y3961" s="195" t="str">
        <f t="shared" si="1213"/>
        <v>1.13</v>
      </c>
      <c r="Z3961" s="196">
        <f t="shared" si="1212"/>
        <v>420000</v>
      </c>
      <c r="AA3961" s="22">
        <v>1.0669999999999999</v>
      </c>
      <c r="AB3961" s="197">
        <f t="shared" si="1196"/>
        <v>396584.0707964602</v>
      </c>
      <c r="AC3961" s="198">
        <f t="shared" si="1200"/>
        <v>47590.088495575226</v>
      </c>
      <c r="AD3961" s="169">
        <v>0.12</v>
      </c>
      <c r="AE3961" s="199">
        <f t="shared" si="1201"/>
        <v>0</v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209"/>
        <v>14766529.81520354</v>
      </c>
      <c r="AJ3961" s="200">
        <f t="shared" si="1210"/>
        <v>1771983.5778244243</v>
      </c>
      <c r="AK3961" s="201">
        <f t="shared" si="1202"/>
        <v>0.11999999999999997</v>
      </c>
      <c r="AL3961" s="24"/>
      <c r="AM3961" s="24"/>
      <c r="AN3961" s="24"/>
      <c r="AO3961" s="24"/>
      <c r="AP3961" s="165" t="str">
        <f t="shared" si="1203"/>
        <v>20255</v>
      </c>
      <c r="AQ3961" s="203" t="str">
        <f t="shared" si="1204"/>
        <v>20255RMB</v>
      </c>
      <c r="AR3961" s="206" t="str">
        <f t="shared" si="1205"/>
        <v>YAMAHA_Mounter</v>
      </c>
      <c r="AS3961" s="22">
        <f t="shared" si="1206"/>
        <v>3</v>
      </c>
      <c r="AT3961" s="24" t="str">
        <f t="shared" si="1207"/>
        <v>0-3 months</v>
      </c>
      <c r="AU3961" s="22" t="s">
        <v>3240</v>
      </c>
    </row>
    <row r="3962" spans="1:47">
      <c r="A3962" s="33" t="str">
        <f t="shared" si="1198"/>
        <v>FY 24/25</v>
      </c>
      <c r="B3962" s="23">
        <v>2025</v>
      </c>
      <c r="C3962" s="23">
        <v>2</v>
      </c>
      <c r="D3962" s="202" t="str">
        <f t="shared" si="1211"/>
        <v>Q4</v>
      </c>
      <c r="E3962" s="33" t="str">
        <f t="shared" si="1197"/>
        <v>FY 24/25</v>
      </c>
      <c r="F3962" s="23">
        <v>2025</v>
      </c>
      <c r="G3962" s="23">
        <v>3</v>
      </c>
      <c r="H3962" s="29"/>
      <c r="I3962" s="204" t="str">
        <f t="shared" si="1199"/>
        <v>Q4</v>
      </c>
      <c r="J3962" s="188" t="s">
        <v>3720</v>
      </c>
      <c r="K3962" s="29" t="s">
        <v>960</v>
      </c>
      <c r="L3962" s="24" t="s">
        <v>67</v>
      </c>
      <c r="M3962" s="13" t="s">
        <v>60</v>
      </c>
      <c r="N3962" s="22">
        <v>1</v>
      </c>
      <c r="O3962" s="22"/>
      <c r="P3962" s="202" t="str">
        <f t="shared" si="1208"/>
        <v>MAIN UNIT</v>
      </c>
      <c r="Q3962" s="22" t="s">
        <v>61</v>
      </c>
      <c r="R3962" s="22" t="s">
        <v>62</v>
      </c>
      <c r="S3962" s="22" t="s">
        <v>49</v>
      </c>
      <c r="T3962" s="22" t="s">
        <v>78</v>
      </c>
      <c r="U3962" s="22" t="s">
        <v>78</v>
      </c>
      <c r="V3962" s="22" t="s">
        <v>126</v>
      </c>
      <c r="W3962" s="22" t="s">
        <v>64</v>
      </c>
      <c r="X3962" s="104">
        <v>402500</v>
      </c>
      <c r="Y3962" s="195" t="str">
        <f t="shared" si="1213"/>
        <v>1.13</v>
      </c>
      <c r="Z3962" s="196">
        <f t="shared" si="1212"/>
        <v>402500</v>
      </c>
      <c r="AA3962" s="22">
        <v>1.0669999999999999</v>
      </c>
      <c r="AB3962" s="197">
        <f t="shared" si="1196"/>
        <v>380059.73451327439</v>
      </c>
      <c r="AC3962" s="198">
        <f t="shared" si="1200"/>
        <v>45607.168141592927</v>
      </c>
      <c r="AD3962" s="169">
        <v>0.12</v>
      </c>
      <c r="AE3962" s="199">
        <f t="shared" si="1201"/>
        <v>0</v>
      </c>
      <c r="AF3962" s="199" t="str">
        <f>IF(AND(COUNTIFS($J$18:J3962,J3962)=1,AE3962=1),1,"")</f>
        <v/>
      </c>
      <c r="AG3962" s="199">
        <f>IF(C3962="","",IF(AND(COUNTIFS($J$18:J3962,J3962)=1,C3962&lt;&gt;""),1,""))</f>
        <v>1</v>
      </c>
      <c r="AH3962" s="199">
        <f>IF(G3962="","",IF(AND(COUNTIFS($J$18:J3962,J3962)=1,G3962&lt;&gt;""),1,""))</f>
        <v>1</v>
      </c>
      <c r="AI3962" s="200">
        <f t="shared" si="1209"/>
        <v>17732428.654867258</v>
      </c>
      <c r="AJ3962" s="200">
        <f t="shared" si="1210"/>
        <v>2127891.4385840711</v>
      </c>
      <c r="AK3962" s="201">
        <f t="shared" si="1202"/>
        <v>0.12000000000000001</v>
      </c>
      <c r="AL3962" s="24"/>
      <c r="AM3962" s="24"/>
      <c r="AN3962" s="24"/>
      <c r="AO3962" s="24"/>
      <c r="AP3962" s="165" t="str">
        <f t="shared" si="1203"/>
        <v>20253</v>
      </c>
      <c r="AQ3962" s="203" t="str">
        <f t="shared" si="1204"/>
        <v>20253RMB</v>
      </c>
      <c r="AR3962" s="206" t="str">
        <f t="shared" si="1205"/>
        <v>YAMAHA_Mounter</v>
      </c>
      <c r="AS3962" s="22">
        <f t="shared" si="1206"/>
        <v>1</v>
      </c>
      <c r="AT3962" s="24" t="str">
        <f t="shared" si="1207"/>
        <v>0-3 months</v>
      </c>
      <c r="AU3962" s="22" t="s">
        <v>3751</v>
      </c>
    </row>
    <row r="3963" spans="1:47">
      <c r="A3963" s="33" t="str">
        <f t="shared" si="1198"/>
        <v>FY 24/25</v>
      </c>
      <c r="B3963" s="23">
        <v>2025</v>
      </c>
      <c r="C3963" s="23">
        <v>2</v>
      </c>
      <c r="D3963" s="202" t="str">
        <f t="shared" si="1211"/>
        <v>Q4</v>
      </c>
      <c r="E3963" s="33" t="str">
        <f t="shared" si="1197"/>
        <v>FY 24/25</v>
      </c>
      <c r="F3963" s="23">
        <v>2025</v>
      </c>
      <c r="G3963" s="23">
        <v>3</v>
      </c>
      <c r="H3963" s="29"/>
      <c r="I3963" s="204" t="str">
        <f t="shared" si="1199"/>
        <v>Q4</v>
      </c>
      <c r="J3963" s="188" t="s">
        <v>3720</v>
      </c>
      <c r="K3963" s="29" t="s">
        <v>960</v>
      </c>
      <c r="L3963" s="24" t="s">
        <v>67</v>
      </c>
      <c r="M3963" s="13" t="s">
        <v>60</v>
      </c>
      <c r="N3963" s="22">
        <v>1</v>
      </c>
      <c r="O3963" s="22"/>
      <c r="P3963" s="202" t="str">
        <f t="shared" si="1208"/>
        <v>MAIN UNIT</v>
      </c>
      <c r="Q3963" s="22" t="s">
        <v>61</v>
      </c>
      <c r="R3963" s="22" t="s">
        <v>62</v>
      </c>
      <c r="S3963" s="22" t="s">
        <v>49</v>
      </c>
      <c r="T3963" s="22" t="s">
        <v>78</v>
      </c>
      <c r="U3963" s="22" t="s">
        <v>78</v>
      </c>
      <c r="V3963" s="22" t="s">
        <v>126</v>
      </c>
      <c r="W3963" s="22" t="s">
        <v>64</v>
      </c>
      <c r="X3963" s="104">
        <v>402500</v>
      </c>
      <c r="Y3963" s="195" t="str">
        <f t="shared" si="1213"/>
        <v>1.13</v>
      </c>
      <c r="Z3963" s="196">
        <f t="shared" si="1212"/>
        <v>402500</v>
      </c>
      <c r="AA3963" s="22">
        <v>1.0669999999999999</v>
      </c>
      <c r="AB3963" s="197">
        <f t="shared" si="1196"/>
        <v>380059.73451327439</v>
      </c>
      <c r="AC3963" s="198">
        <f t="shared" si="1200"/>
        <v>45607.168141592927</v>
      </c>
      <c r="AD3963" s="169">
        <v>0.12</v>
      </c>
      <c r="AE3963" s="199">
        <f t="shared" si="1201"/>
        <v>0</v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209"/>
        <v>17732428.654867258</v>
      </c>
      <c r="AJ3963" s="200">
        <f t="shared" si="1210"/>
        <v>2127891.4385840711</v>
      </c>
      <c r="AK3963" s="201">
        <f t="shared" si="1202"/>
        <v>0.12000000000000001</v>
      </c>
      <c r="AL3963" s="24"/>
      <c r="AM3963" s="24"/>
      <c r="AN3963" s="24"/>
      <c r="AO3963" s="24"/>
      <c r="AP3963" s="165" t="str">
        <f t="shared" si="1203"/>
        <v>20253</v>
      </c>
      <c r="AQ3963" s="203" t="str">
        <f t="shared" si="1204"/>
        <v>20253RMB</v>
      </c>
      <c r="AR3963" s="206" t="str">
        <f t="shared" si="1205"/>
        <v>YAMAHA_Mounter</v>
      </c>
      <c r="AS3963" s="22">
        <f t="shared" si="1206"/>
        <v>1</v>
      </c>
      <c r="AT3963" s="24" t="str">
        <f t="shared" si="1207"/>
        <v>0-3 months</v>
      </c>
      <c r="AU3963" s="22" t="s">
        <v>3751</v>
      </c>
    </row>
    <row r="3964" spans="1:47">
      <c r="A3964" s="33" t="str">
        <f t="shared" si="1198"/>
        <v>FY 24/25</v>
      </c>
      <c r="B3964" s="23">
        <v>2025</v>
      </c>
      <c r="C3964" s="23">
        <v>2</v>
      </c>
      <c r="D3964" s="202" t="str">
        <f t="shared" si="1211"/>
        <v>Q4</v>
      </c>
      <c r="E3964" s="33" t="str">
        <f t="shared" si="1197"/>
        <v>FY 24/25</v>
      </c>
      <c r="F3964" s="23">
        <v>2025</v>
      </c>
      <c r="G3964" s="23">
        <v>3</v>
      </c>
      <c r="H3964" s="29"/>
      <c r="I3964" s="204" t="str">
        <f t="shared" si="1199"/>
        <v>Q4</v>
      </c>
      <c r="J3964" s="186" t="s">
        <v>3721</v>
      </c>
      <c r="K3964" s="29" t="s">
        <v>905</v>
      </c>
      <c r="L3964" s="24" t="s">
        <v>67</v>
      </c>
      <c r="M3964" s="13" t="s">
        <v>60</v>
      </c>
      <c r="N3964" s="22">
        <v>1</v>
      </c>
      <c r="O3964" s="22"/>
      <c r="P3964" s="202" t="str">
        <f t="shared" si="1208"/>
        <v>MAIN UNIT</v>
      </c>
      <c r="Q3964" s="22" t="s">
        <v>61</v>
      </c>
      <c r="R3964" s="22" t="s">
        <v>62</v>
      </c>
      <c r="S3964" s="22" t="s">
        <v>49</v>
      </c>
      <c r="T3964" s="22" t="s">
        <v>78</v>
      </c>
      <c r="U3964" s="22" t="s">
        <v>78</v>
      </c>
      <c r="V3964" s="22" t="s">
        <v>80</v>
      </c>
      <c r="W3964" s="22" t="s">
        <v>64</v>
      </c>
      <c r="X3964" s="104">
        <v>375000</v>
      </c>
      <c r="Y3964" s="195" t="str">
        <f t="shared" si="1213"/>
        <v>1.13</v>
      </c>
      <c r="Z3964" s="196">
        <f t="shared" si="1212"/>
        <v>375000</v>
      </c>
      <c r="AA3964" s="22">
        <v>1.0669999999999999</v>
      </c>
      <c r="AB3964" s="197">
        <f t="shared" si="1196"/>
        <v>354092.92035398236</v>
      </c>
      <c r="AC3964" s="198">
        <f t="shared" si="1200"/>
        <v>42491.150442477883</v>
      </c>
      <c r="AD3964" s="169">
        <v>0.12</v>
      </c>
      <c r="AE3964" s="199">
        <f t="shared" si="1201"/>
        <v>0</v>
      </c>
      <c r="AF3964" s="199" t="str">
        <f>IF(AND(COUNTIFS($J$18:J3964,J3964)=1,AE3964=1),1,"")</f>
        <v/>
      </c>
      <c r="AG3964" s="199">
        <f>IF(C3964="","",IF(AND(COUNTIFS($J$18:J3964,J3964)=1,C3964&lt;&gt;""),1,""))</f>
        <v>1</v>
      </c>
      <c r="AH3964" s="199">
        <f>IF(G3964="","",IF(AND(COUNTIFS($J$18:J3964,J3964)=1,G3964&lt;&gt;""),1,""))</f>
        <v>1</v>
      </c>
      <c r="AI3964" s="200">
        <f t="shared" si="1209"/>
        <v>17732428.654867258</v>
      </c>
      <c r="AJ3964" s="200">
        <f t="shared" si="1210"/>
        <v>2127891.4385840711</v>
      </c>
      <c r="AK3964" s="201">
        <f t="shared" si="1202"/>
        <v>0.12000000000000001</v>
      </c>
      <c r="AL3964" s="24"/>
      <c r="AM3964" s="24"/>
      <c r="AN3964" s="24"/>
      <c r="AO3964" s="24"/>
      <c r="AP3964" s="165" t="str">
        <f t="shared" si="1203"/>
        <v>20253</v>
      </c>
      <c r="AQ3964" s="203" t="str">
        <f t="shared" si="1204"/>
        <v>20253RMB</v>
      </c>
      <c r="AR3964" s="206" t="str">
        <f t="shared" si="1205"/>
        <v>YAMAHA_Mounter</v>
      </c>
      <c r="AS3964" s="22">
        <f t="shared" si="1206"/>
        <v>1</v>
      </c>
      <c r="AT3964" s="24" t="str">
        <f t="shared" si="1207"/>
        <v>0-3 months</v>
      </c>
      <c r="AU3964" s="22" t="s">
        <v>3240</v>
      </c>
    </row>
    <row r="3965" spans="1:47">
      <c r="A3965" s="33" t="str">
        <f t="shared" si="1198"/>
        <v>FY 24/25</v>
      </c>
      <c r="B3965" s="23">
        <v>2025</v>
      </c>
      <c r="C3965" s="23">
        <v>2</v>
      </c>
      <c r="D3965" s="202" t="str">
        <f t="shared" si="1211"/>
        <v>Q4</v>
      </c>
      <c r="E3965" s="33" t="str">
        <f t="shared" si="1197"/>
        <v>FY 24/25</v>
      </c>
      <c r="F3965" s="23">
        <v>2025</v>
      </c>
      <c r="G3965" s="23">
        <v>3</v>
      </c>
      <c r="H3965" s="29"/>
      <c r="I3965" s="204" t="str">
        <f t="shared" si="1199"/>
        <v>Q4</v>
      </c>
      <c r="J3965" s="188" t="s">
        <v>3722</v>
      </c>
      <c r="K3965" s="29" t="s">
        <v>3700</v>
      </c>
      <c r="L3965" s="24" t="s">
        <v>67</v>
      </c>
      <c r="M3965" s="13" t="s">
        <v>60</v>
      </c>
      <c r="N3965" s="22">
        <v>1</v>
      </c>
      <c r="O3965" s="22"/>
      <c r="P3965" s="202" t="str">
        <f t="shared" si="1208"/>
        <v>MAIN UNIT</v>
      </c>
      <c r="Q3965" s="22" t="s">
        <v>68</v>
      </c>
      <c r="R3965" s="22" t="s">
        <v>62</v>
      </c>
      <c r="S3965" s="22" t="s">
        <v>49</v>
      </c>
      <c r="T3965" s="22" t="s">
        <v>78</v>
      </c>
      <c r="U3965" s="22" t="s">
        <v>78</v>
      </c>
      <c r="V3965" s="22" t="s">
        <v>112</v>
      </c>
      <c r="W3965" s="22" t="s">
        <v>64</v>
      </c>
      <c r="X3965" s="104">
        <v>480000</v>
      </c>
      <c r="Y3965" s="195" t="str">
        <f t="shared" si="1213"/>
        <v>1.13</v>
      </c>
      <c r="Z3965" s="196">
        <f t="shared" si="1212"/>
        <v>480000</v>
      </c>
      <c r="AA3965" s="22">
        <v>1.0669999999999999</v>
      </c>
      <c r="AB3965" s="197">
        <f t="shared" si="1196"/>
        <v>453238.93805309734</v>
      </c>
      <c r="AC3965" s="198">
        <f t="shared" si="1200"/>
        <v>54388.672566371679</v>
      </c>
      <c r="AD3965" s="169">
        <v>0.12</v>
      </c>
      <c r="AE3965" s="199">
        <f t="shared" si="1201"/>
        <v>1</v>
      </c>
      <c r="AF3965" s="199">
        <f>IF(AND(COUNTIFS($J$18:J3965,J3965)=1,AE3965=1),1,"")</f>
        <v>1</v>
      </c>
      <c r="AG3965" s="199">
        <f>IF(C3965="","",IF(AND(COUNTIFS($J$18:J3965,J3965)=1,C3965&lt;&gt;""),1,""))</f>
        <v>1</v>
      </c>
      <c r="AH3965" s="199">
        <f>IF(G3965="","",IF(AND(COUNTIFS($J$18:J3965,J3965)=1,G3965&lt;&gt;""),1,""))</f>
        <v>1</v>
      </c>
      <c r="AI3965" s="200">
        <f t="shared" si="1209"/>
        <v>17732428.654867258</v>
      </c>
      <c r="AJ3965" s="200">
        <f t="shared" si="1210"/>
        <v>2127891.4385840711</v>
      </c>
      <c r="AK3965" s="201">
        <f t="shared" si="1202"/>
        <v>0.12000000000000001</v>
      </c>
      <c r="AL3965" s="24"/>
      <c r="AM3965" s="24"/>
      <c r="AN3965" s="24"/>
      <c r="AO3965" s="24"/>
      <c r="AP3965" s="165" t="str">
        <f t="shared" si="1203"/>
        <v>20253</v>
      </c>
      <c r="AQ3965" s="203" t="str">
        <f t="shared" si="1204"/>
        <v>20253RMB</v>
      </c>
      <c r="AR3965" s="206" t="str">
        <f t="shared" si="1205"/>
        <v>YAMAHA_Mounter</v>
      </c>
      <c r="AS3965" s="22">
        <f t="shared" si="1206"/>
        <v>1</v>
      </c>
      <c r="AT3965" s="24" t="str">
        <f t="shared" si="1207"/>
        <v>0-3 months</v>
      </c>
      <c r="AU3965" s="22" t="s">
        <v>3751</v>
      </c>
    </row>
    <row r="3966" spans="1:47">
      <c r="A3966" s="33" t="str">
        <f t="shared" si="1198"/>
        <v>FY 24/25</v>
      </c>
      <c r="B3966" s="23">
        <v>2025</v>
      </c>
      <c r="C3966" s="23">
        <v>2</v>
      </c>
      <c r="D3966" s="202" t="str">
        <f t="shared" si="1211"/>
        <v>Q4</v>
      </c>
      <c r="E3966" s="33" t="str">
        <f t="shared" si="1197"/>
        <v>FY 24/25</v>
      </c>
      <c r="F3966" s="23">
        <v>2025</v>
      </c>
      <c r="G3966" s="23">
        <v>3</v>
      </c>
      <c r="H3966" s="29"/>
      <c r="I3966" s="204" t="str">
        <f t="shared" si="1199"/>
        <v>Q4</v>
      </c>
      <c r="J3966" s="188" t="s">
        <v>3722</v>
      </c>
      <c r="K3966" s="29" t="s">
        <v>3700</v>
      </c>
      <c r="L3966" s="24" t="s">
        <v>67</v>
      </c>
      <c r="M3966" s="13" t="s">
        <v>60</v>
      </c>
      <c r="N3966" s="22">
        <v>1</v>
      </c>
      <c r="O3966" s="22"/>
      <c r="P3966" s="202" t="str">
        <f t="shared" si="1208"/>
        <v>MAIN UNIT</v>
      </c>
      <c r="Q3966" s="22" t="s">
        <v>68</v>
      </c>
      <c r="R3966" s="22" t="s">
        <v>62</v>
      </c>
      <c r="S3966" s="22" t="s">
        <v>49</v>
      </c>
      <c r="T3966" s="22" t="s">
        <v>78</v>
      </c>
      <c r="U3966" s="22" t="s">
        <v>78</v>
      </c>
      <c r="V3966" s="22" t="s">
        <v>112</v>
      </c>
      <c r="W3966" s="22" t="s">
        <v>64</v>
      </c>
      <c r="X3966" s="104">
        <v>480000</v>
      </c>
      <c r="Y3966" s="195" t="str">
        <f t="shared" si="1213"/>
        <v>1.13</v>
      </c>
      <c r="Z3966" s="196">
        <f t="shared" si="1212"/>
        <v>480000</v>
      </c>
      <c r="AA3966" s="22">
        <v>1.0669999999999999</v>
      </c>
      <c r="AB3966" s="197">
        <f t="shared" si="1196"/>
        <v>453238.93805309734</v>
      </c>
      <c r="AC3966" s="198">
        <f t="shared" si="1200"/>
        <v>54388.672566371679</v>
      </c>
      <c r="AD3966" s="169">
        <v>0.12</v>
      </c>
      <c r="AE3966" s="199">
        <f t="shared" si="1201"/>
        <v>1</v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209"/>
        <v>17732428.654867258</v>
      </c>
      <c r="AJ3966" s="200">
        <f t="shared" si="1210"/>
        <v>2127891.4385840711</v>
      </c>
      <c r="AK3966" s="201">
        <f t="shared" si="1202"/>
        <v>0.12000000000000001</v>
      </c>
      <c r="AL3966" s="24"/>
      <c r="AM3966" s="24"/>
      <c r="AN3966" s="24"/>
      <c r="AO3966" s="24"/>
      <c r="AP3966" s="165" t="str">
        <f t="shared" si="1203"/>
        <v>20253</v>
      </c>
      <c r="AQ3966" s="203" t="str">
        <f t="shared" si="1204"/>
        <v>20253RMB</v>
      </c>
      <c r="AR3966" s="206" t="str">
        <f t="shared" si="1205"/>
        <v>YAMAHA_Mounter</v>
      </c>
      <c r="AS3966" s="22">
        <f t="shared" si="1206"/>
        <v>1</v>
      </c>
      <c r="AT3966" s="24" t="str">
        <f t="shared" si="1207"/>
        <v>0-3 months</v>
      </c>
      <c r="AU3966" s="22" t="s">
        <v>3751</v>
      </c>
    </row>
    <row r="3967" spans="1:47">
      <c r="A3967" s="33" t="str">
        <f t="shared" si="1198"/>
        <v>FY 24/25</v>
      </c>
      <c r="B3967" s="23">
        <v>2025</v>
      </c>
      <c r="C3967" s="23">
        <v>3</v>
      </c>
      <c r="D3967" s="202" t="str">
        <f t="shared" si="1211"/>
        <v>Q4</v>
      </c>
      <c r="E3967" s="33" t="str">
        <f t="shared" si="1197"/>
        <v>FY 24/25</v>
      </c>
      <c r="F3967" s="23">
        <v>2025</v>
      </c>
      <c r="G3967" s="23">
        <v>3</v>
      </c>
      <c r="H3967" s="29"/>
      <c r="I3967" s="204" t="str">
        <f t="shared" si="1199"/>
        <v>Q4</v>
      </c>
      <c r="J3967" s="188" t="s">
        <v>3723</v>
      </c>
      <c r="K3967" s="29" t="s">
        <v>981</v>
      </c>
      <c r="L3967" s="24" t="s">
        <v>67</v>
      </c>
      <c r="M3967" s="13" t="s">
        <v>60</v>
      </c>
      <c r="N3967" s="22">
        <v>1</v>
      </c>
      <c r="O3967" s="22"/>
      <c r="P3967" s="202" t="str">
        <f t="shared" si="1208"/>
        <v>MAIN UNIT</v>
      </c>
      <c r="Q3967" s="22" t="s">
        <v>61</v>
      </c>
      <c r="R3967" s="22" t="s">
        <v>62</v>
      </c>
      <c r="S3967" s="22" t="s">
        <v>49</v>
      </c>
      <c r="T3967" s="22" t="s">
        <v>78</v>
      </c>
      <c r="U3967" s="22" t="s">
        <v>1071</v>
      </c>
      <c r="V3967" s="22" t="s">
        <v>112</v>
      </c>
      <c r="W3967" s="22" t="s">
        <v>64</v>
      </c>
      <c r="X3967" s="104">
        <v>395000</v>
      </c>
      <c r="Y3967" s="195" t="str">
        <f t="shared" si="1213"/>
        <v>1.13</v>
      </c>
      <c r="Z3967" s="196">
        <f t="shared" si="1212"/>
        <v>395000</v>
      </c>
      <c r="AA3967" s="22">
        <v>1.0669999999999999</v>
      </c>
      <c r="AB3967" s="197">
        <f t="shared" si="1196"/>
        <v>372977.87610619469</v>
      </c>
      <c r="AC3967" s="198">
        <f t="shared" si="1200"/>
        <v>44757.345132743358</v>
      </c>
      <c r="AD3967" s="169">
        <v>0.12</v>
      </c>
      <c r="AE3967" s="199">
        <f t="shared" si="1201"/>
        <v>0</v>
      </c>
      <c r="AF3967" s="199" t="str">
        <f>IF(AND(COUNTIFS($J$18:J3967,J3967)=1,AE3967=1),1,"")</f>
        <v/>
      </c>
      <c r="AG3967" s="199">
        <f>IF(C3967="","",IF(AND(COUNTIFS($J$18:J3967,J3967)=1,C3967&lt;&gt;""),1,""))</f>
        <v>1</v>
      </c>
      <c r="AH3967" s="199">
        <f>IF(G3967="","",IF(AND(COUNTIFS($J$18:J3967,J3967)=1,G3967&lt;&gt;""),1,""))</f>
        <v>1</v>
      </c>
      <c r="AI3967" s="200">
        <f t="shared" si="1209"/>
        <v>17732428.654867258</v>
      </c>
      <c r="AJ3967" s="200">
        <f t="shared" si="1210"/>
        <v>2127891.4385840711</v>
      </c>
      <c r="AK3967" s="201">
        <f t="shared" si="1202"/>
        <v>0.12000000000000001</v>
      </c>
      <c r="AL3967" s="24"/>
      <c r="AM3967" s="24"/>
      <c r="AN3967" s="24"/>
      <c r="AO3967" s="24"/>
      <c r="AP3967" s="165" t="str">
        <f t="shared" si="1203"/>
        <v>20253</v>
      </c>
      <c r="AQ3967" s="203" t="str">
        <f t="shared" si="1204"/>
        <v>20253RMB</v>
      </c>
      <c r="AR3967" s="206" t="str">
        <f t="shared" si="1205"/>
        <v>YAMAHA_Mounter</v>
      </c>
      <c r="AS3967" s="22">
        <f t="shared" si="1206"/>
        <v>0</v>
      </c>
      <c r="AT3967" s="24" t="str">
        <f t="shared" si="1207"/>
        <v>0-3 months</v>
      </c>
      <c r="AU3967" s="22" t="s">
        <v>3751</v>
      </c>
    </row>
    <row r="3968" spans="1:47">
      <c r="A3968" s="33" t="str">
        <f t="shared" si="1198"/>
        <v>FY 24/25</v>
      </c>
      <c r="B3968" s="23">
        <v>2025</v>
      </c>
      <c r="C3968" s="23">
        <v>3</v>
      </c>
      <c r="D3968" s="202" t="str">
        <f t="shared" si="1211"/>
        <v>Q4</v>
      </c>
      <c r="E3968" s="33" t="str">
        <f t="shared" si="1197"/>
        <v>FY 24/25</v>
      </c>
      <c r="F3968" s="23">
        <v>2025</v>
      </c>
      <c r="G3968" s="23">
        <v>3</v>
      </c>
      <c r="H3968" s="29"/>
      <c r="I3968" s="204" t="str">
        <f t="shared" si="1199"/>
        <v>Q4</v>
      </c>
      <c r="J3968" s="188" t="s">
        <v>3723</v>
      </c>
      <c r="K3968" s="29" t="s">
        <v>981</v>
      </c>
      <c r="L3968" s="24" t="s">
        <v>3351</v>
      </c>
      <c r="M3968" s="13" t="s">
        <v>60</v>
      </c>
      <c r="N3968" s="22">
        <v>1</v>
      </c>
      <c r="O3968" s="22"/>
      <c r="P3968" s="202" t="str">
        <f t="shared" si="1208"/>
        <v>MAIN UNIT</v>
      </c>
      <c r="Q3968" s="22" t="s">
        <v>61</v>
      </c>
      <c r="R3968" s="22" t="s">
        <v>2055</v>
      </c>
      <c r="S3968" s="22" t="s">
        <v>49</v>
      </c>
      <c r="T3968" s="22" t="s">
        <v>78</v>
      </c>
      <c r="U3968" s="22" t="s">
        <v>1071</v>
      </c>
      <c r="V3968" s="22" t="s">
        <v>112</v>
      </c>
      <c r="W3968" s="22" t="s">
        <v>64</v>
      </c>
      <c r="X3968" s="104">
        <v>155000</v>
      </c>
      <c r="Y3968" s="195" t="str">
        <f t="shared" si="1213"/>
        <v>1.13</v>
      </c>
      <c r="Z3968" s="196">
        <f t="shared" si="1212"/>
        <v>155000</v>
      </c>
      <c r="AA3968" s="22">
        <v>1.0669999999999999</v>
      </c>
      <c r="AB3968" s="197">
        <f t="shared" si="1196"/>
        <v>146358.40707964604</v>
      </c>
      <c r="AC3968" s="198">
        <f t="shared" si="1200"/>
        <v>17563.008849557526</v>
      </c>
      <c r="AD3968" s="169">
        <v>0.12</v>
      </c>
      <c r="AE3968" s="199">
        <f t="shared" si="1201"/>
        <v>0</v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209"/>
        <v>17732428.654867258</v>
      </c>
      <c r="AJ3968" s="200">
        <f t="shared" si="1210"/>
        <v>2127891.4385840711</v>
      </c>
      <c r="AK3968" s="201">
        <f t="shared" si="1202"/>
        <v>0.12000000000000001</v>
      </c>
      <c r="AL3968" s="24"/>
      <c r="AM3968" s="24"/>
      <c r="AN3968" s="24"/>
      <c r="AO3968" s="24"/>
      <c r="AP3968" s="165" t="str">
        <f t="shared" si="1203"/>
        <v>20253</v>
      </c>
      <c r="AQ3968" s="203" t="str">
        <f t="shared" si="1204"/>
        <v>20253RMB</v>
      </c>
      <c r="AR3968" s="206" t="str">
        <f t="shared" si="1205"/>
        <v>YAMAHA_Non_Mounter</v>
      </c>
      <c r="AS3968" s="22">
        <f t="shared" si="1206"/>
        <v>0</v>
      </c>
      <c r="AT3968" s="24" t="str">
        <f t="shared" si="1207"/>
        <v>0-3 months</v>
      </c>
      <c r="AU3968" s="22" t="s">
        <v>3751</v>
      </c>
    </row>
    <row r="3969" spans="1:47">
      <c r="A3969" s="33" t="str">
        <f t="shared" si="1198"/>
        <v>FY 24/25</v>
      </c>
      <c r="B3969" s="23">
        <v>2025</v>
      </c>
      <c r="C3969" s="23">
        <v>2</v>
      </c>
      <c r="D3969" s="202" t="str">
        <f t="shared" si="1211"/>
        <v>Q4</v>
      </c>
      <c r="E3969" s="33" t="str">
        <f t="shared" si="1197"/>
        <v>FY 24/25</v>
      </c>
      <c r="F3969" s="23">
        <v>2025</v>
      </c>
      <c r="G3969" s="23">
        <v>3</v>
      </c>
      <c r="H3969" s="29"/>
      <c r="I3969" s="204" t="str">
        <f t="shared" si="1199"/>
        <v>Q4</v>
      </c>
      <c r="J3969" s="188" t="s">
        <v>3725</v>
      </c>
      <c r="K3969" s="239" t="s">
        <v>2401</v>
      </c>
      <c r="L3969" s="24" t="s">
        <v>67</v>
      </c>
      <c r="M3969" s="13" t="s">
        <v>60</v>
      </c>
      <c r="N3969" s="22">
        <v>1</v>
      </c>
      <c r="O3969" s="22"/>
      <c r="P3969" s="202" t="str">
        <f t="shared" si="1208"/>
        <v>MAIN UNIT</v>
      </c>
      <c r="Q3969" s="22" t="s">
        <v>61</v>
      </c>
      <c r="R3969" s="22" t="s">
        <v>62</v>
      </c>
      <c r="S3969" s="22" t="s">
        <v>50</v>
      </c>
      <c r="T3969" s="22" t="s">
        <v>88</v>
      </c>
      <c r="U3969" s="22" t="s">
        <v>70</v>
      </c>
      <c r="V3969" s="22" t="s">
        <v>102</v>
      </c>
      <c r="W3969" s="22" t="s">
        <v>64</v>
      </c>
      <c r="X3969" s="104">
        <v>403000</v>
      </c>
      <c r="Y3969" s="195" t="str">
        <f t="shared" si="1213"/>
        <v>1.13</v>
      </c>
      <c r="Z3969" s="196">
        <f t="shared" si="1212"/>
        <v>403000</v>
      </c>
      <c r="AA3969" s="22">
        <v>1.0669999999999999</v>
      </c>
      <c r="AB3969" s="197">
        <f>IF(AND(R3969&lt;&gt;"C66",R3969&lt;&gt;""),Z3969/Y3969*AA3969,"")</f>
        <v>380531.85840707965</v>
      </c>
      <c r="AC3969" s="198">
        <f t="shared" si="1200"/>
        <v>45663.823008849555</v>
      </c>
      <c r="AD3969" s="169">
        <v>0.12</v>
      </c>
      <c r="AE3969" s="199">
        <f t="shared" si="1201"/>
        <v>0</v>
      </c>
      <c r="AF3969" s="199" t="str">
        <f>IF(AND(COUNTIFS($J$18:J3969,J3969)=1,AE3969=1),1,"")</f>
        <v/>
      </c>
      <c r="AG3969" s="199">
        <f>IF(C3969="","",IF(AND(COUNTIFS($J$18:J3969,J3969)=1,C3969&lt;&gt;""),1,""))</f>
        <v>1</v>
      </c>
      <c r="AH3969" s="199">
        <f>IF(G3969="","",IF(AND(COUNTIFS($J$18:J3969,J3969)=1,G3969&lt;&gt;""),1,""))</f>
        <v>1</v>
      </c>
      <c r="AI3969" s="200">
        <f t="shared" si="1209"/>
        <v>17732428.654867258</v>
      </c>
      <c r="AJ3969" s="200">
        <f t="shared" si="1210"/>
        <v>2127891.4385840711</v>
      </c>
      <c r="AK3969" s="201">
        <f t="shared" si="1202"/>
        <v>0.12000000000000001</v>
      </c>
      <c r="AL3969" s="24"/>
      <c r="AM3969" s="24"/>
      <c r="AN3969" s="24"/>
      <c r="AO3969" s="24"/>
      <c r="AP3969" s="165" t="str">
        <f t="shared" si="1203"/>
        <v>20253</v>
      </c>
      <c r="AQ3969" s="203" t="str">
        <f t="shared" si="1204"/>
        <v>20253RMB</v>
      </c>
      <c r="AR3969" s="206" t="str">
        <f t="shared" si="1205"/>
        <v>YAMAHA_Mounter</v>
      </c>
      <c r="AS3969" s="22">
        <f t="shared" si="1206"/>
        <v>1</v>
      </c>
      <c r="AT3969" s="24" t="str">
        <f t="shared" si="1207"/>
        <v>0-3 months</v>
      </c>
      <c r="AU3969" s="22" t="s">
        <v>3240</v>
      </c>
    </row>
    <row r="3970" spans="1:47">
      <c r="A3970" s="33" t="str">
        <f t="shared" si="1198"/>
        <v>FY 24/25</v>
      </c>
      <c r="B3970" s="23">
        <v>2025</v>
      </c>
      <c r="C3970" s="23">
        <v>3</v>
      </c>
      <c r="D3970" s="202" t="str">
        <f t="shared" si="1211"/>
        <v>Q4</v>
      </c>
      <c r="E3970" s="33" t="str">
        <f t="shared" si="1197"/>
        <v>FY 24/25</v>
      </c>
      <c r="F3970" s="23">
        <v>2025</v>
      </c>
      <c r="G3970" s="23">
        <v>3</v>
      </c>
      <c r="H3970" s="29"/>
      <c r="I3970" s="204" t="str">
        <f t="shared" si="1199"/>
        <v>Q4</v>
      </c>
      <c r="J3970" s="188" t="s">
        <v>3724</v>
      </c>
      <c r="K3970" s="239" t="s">
        <v>1751</v>
      </c>
      <c r="L3970" s="24" t="s">
        <v>2620</v>
      </c>
      <c r="M3970" s="13" t="s">
        <v>60</v>
      </c>
      <c r="N3970" s="22">
        <v>1</v>
      </c>
      <c r="O3970" s="22"/>
      <c r="P3970" s="202" t="str">
        <f t="shared" si="1208"/>
        <v>MAIN UNIT</v>
      </c>
      <c r="Q3970" s="22" t="s">
        <v>61</v>
      </c>
      <c r="R3970" s="22" t="s">
        <v>2055</v>
      </c>
      <c r="S3970" s="22" t="s">
        <v>50</v>
      </c>
      <c r="T3970" s="22" t="s">
        <v>101</v>
      </c>
      <c r="U3970" s="22" t="s">
        <v>70</v>
      </c>
      <c r="V3970" s="22" t="s">
        <v>102</v>
      </c>
      <c r="W3970" s="22" t="s">
        <v>64</v>
      </c>
      <c r="X3970" s="104">
        <v>340000</v>
      </c>
      <c r="Y3970" s="195" t="str">
        <f t="shared" si="1213"/>
        <v>1.13</v>
      </c>
      <c r="Z3970" s="196">
        <f t="shared" si="1212"/>
        <v>340000</v>
      </c>
      <c r="AA3970" s="22">
        <v>1.0669999999999999</v>
      </c>
      <c r="AB3970" s="197">
        <f>IF(AND(R3970&lt;&gt;"C66",R3970&lt;&gt;""),Z3970/Y3970*AA3970,"")</f>
        <v>321044.24778761063</v>
      </c>
      <c r="AC3970" s="198">
        <f t="shared" si="1200"/>
        <v>38525.309734513277</v>
      </c>
      <c r="AD3970" s="169">
        <v>0.12</v>
      </c>
      <c r="AE3970" s="199">
        <f t="shared" si="1201"/>
        <v>0</v>
      </c>
      <c r="AF3970" s="199" t="str">
        <f>IF(AND(COUNTIFS($J$18:J3970,J3970)=1,AE3970=1),1,"")</f>
        <v/>
      </c>
      <c r="AG3970" s="199">
        <f>IF(C3970="","",IF(AND(COUNTIFS($J$18:J3970,J3970)=1,C3970&lt;&gt;""),1,""))</f>
        <v>1</v>
      </c>
      <c r="AH3970" s="199">
        <f>IF(G3970="","",IF(AND(COUNTIFS($J$18:J3970,J3970)=1,G3970&lt;&gt;""),1,""))</f>
        <v>1</v>
      </c>
      <c r="AI3970" s="200">
        <f t="shared" si="1209"/>
        <v>17732428.654867258</v>
      </c>
      <c r="AJ3970" s="200">
        <f t="shared" si="1210"/>
        <v>2127891.4385840711</v>
      </c>
      <c r="AK3970" s="201">
        <f t="shared" si="1202"/>
        <v>0.12000000000000001</v>
      </c>
      <c r="AL3970" s="24"/>
      <c r="AM3970" s="24"/>
      <c r="AN3970" s="24"/>
      <c r="AO3970" s="24"/>
      <c r="AP3970" s="165" t="str">
        <f t="shared" si="1203"/>
        <v>20253</v>
      </c>
      <c r="AQ3970" s="203" t="str">
        <f t="shared" si="1204"/>
        <v>20253RMB</v>
      </c>
      <c r="AR3970" s="206" t="str">
        <f t="shared" si="1205"/>
        <v>YAMAHA_Non_Mounter</v>
      </c>
      <c r="AS3970" s="22">
        <f t="shared" si="1206"/>
        <v>0</v>
      </c>
      <c r="AT3970" s="24" t="str">
        <f t="shared" si="1207"/>
        <v>0-3 months</v>
      </c>
      <c r="AU3970" s="22" t="s">
        <v>3240</v>
      </c>
    </row>
    <row r="3971" spans="1:47">
      <c r="A3971" s="33" t="str">
        <f t="shared" si="1198"/>
        <v>FY 24/25</v>
      </c>
      <c r="B3971" s="23">
        <v>2025</v>
      </c>
      <c r="C3971" s="23">
        <v>3</v>
      </c>
      <c r="D3971" s="202" t="str">
        <f t="shared" si="1211"/>
        <v>Q4</v>
      </c>
      <c r="E3971" s="33" t="str">
        <f t="shared" si="1197"/>
        <v>FY 24/25</v>
      </c>
      <c r="F3971" s="23">
        <v>2025</v>
      </c>
      <c r="G3971" s="23">
        <v>3</v>
      </c>
      <c r="H3971" s="29"/>
      <c r="I3971" s="204" t="str">
        <f t="shared" si="1199"/>
        <v>Q4</v>
      </c>
      <c r="J3971" s="188" t="s">
        <v>3726</v>
      </c>
      <c r="K3971" s="239" t="s">
        <v>3727</v>
      </c>
      <c r="L3971" s="24" t="s">
        <v>67</v>
      </c>
      <c r="M3971" s="13" t="s">
        <v>60</v>
      </c>
      <c r="N3971" s="22">
        <v>1</v>
      </c>
      <c r="O3971" s="22"/>
      <c r="P3971" s="202" t="str">
        <f t="shared" si="1208"/>
        <v>MAIN UNIT</v>
      </c>
      <c r="Q3971" s="22" t="s">
        <v>68</v>
      </c>
      <c r="R3971" s="22" t="s">
        <v>62</v>
      </c>
      <c r="S3971" s="22" t="s">
        <v>52</v>
      </c>
      <c r="T3971" s="22" t="s">
        <v>141</v>
      </c>
      <c r="U3971" s="22" t="s">
        <v>1077</v>
      </c>
      <c r="V3971" s="22" t="s">
        <v>143</v>
      </c>
      <c r="W3971" s="22" t="s">
        <v>64</v>
      </c>
      <c r="X3971" s="104">
        <v>500000</v>
      </c>
      <c r="Y3971" s="195" t="str">
        <f t="shared" si="1213"/>
        <v>1.13</v>
      </c>
      <c r="Z3971" s="196">
        <f t="shared" si="1212"/>
        <v>500000</v>
      </c>
      <c r="AA3971" s="22">
        <v>1.0669999999999999</v>
      </c>
      <c r="AB3971" s="197">
        <f>IF(AND(R3971&lt;&gt;"C66",R3971&lt;&gt;""),Z3971/Y3971*AA3971,"")</f>
        <v>472123.89380530978</v>
      </c>
      <c r="AC3971" s="198">
        <f t="shared" si="1200"/>
        <v>56654.867256637175</v>
      </c>
      <c r="AD3971" s="169">
        <v>0.12</v>
      </c>
      <c r="AE3971" s="199">
        <f t="shared" si="1201"/>
        <v>1</v>
      </c>
      <c r="AF3971" s="199">
        <f>IF(AND(COUNTIFS($J$18:J3971,J3971)=1,AE3971=1),1,"")</f>
        <v>1</v>
      </c>
      <c r="AG3971" s="199">
        <f>IF(C3971="","",IF(AND(COUNTIFS($J$18:J3971,J3971)=1,C3971&lt;&gt;""),1,""))</f>
        <v>1</v>
      </c>
      <c r="AH3971" s="199">
        <f>IF(G3971="","",IF(AND(COUNTIFS($J$18:J3971,J3971)=1,G3971&lt;&gt;""),1,""))</f>
        <v>1</v>
      </c>
      <c r="AI3971" s="200">
        <f t="shared" si="1209"/>
        <v>17732428.654867258</v>
      </c>
      <c r="AJ3971" s="200">
        <f t="shared" si="1210"/>
        <v>2127891.4385840711</v>
      </c>
      <c r="AK3971" s="201">
        <f t="shared" si="1202"/>
        <v>0.12000000000000001</v>
      </c>
      <c r="AL3971" s="24"/>
      <c r="AM3971" s="24"/>
      <c r="AN3971" s="24"/>
      <c r="AO3971" s="24"/>
      <c r="AP3971" s="165" t="str">
        <f t="shared" si="1203"/>
        <v>20253</v>
      </c>
      <c r="AQ3971" s="203" t="str">
        <f t="shared" si="1204"/>
        <v>20253RMB</v>
      </c>
      <c r="AR3971" s="206" t="str">
        <f t="shared" si="1205"/>
        <v>YAMAHA_Mounter</v>
      </c>
      <c r="AS3971" s="22">
        <f t="shared" si="1206"/>
        <v>0</v>
      </c>
      <c r="AT3971" s="24" t="str">
        <f t="shared" si="1207"/>
        <v>0-3 months</v>
      </c>
      <c r="AU3971" s="22" t="s">
        <v>3240</v>
      </c>
    </row>
    <row r="3972" spans="1:47" ht="39.6">
      <c r="A3972" s="33" t="str">
        <f t="shared" si="1198"/>
        <v/>
      </c>
      <c r="B3972" s="23"/>
      <c r="C3972" s="23"/>
      <c r="D3972" s="202" t="str">
        <f t="shared" si="1211"/>
        <v/>
      </c>
      <c r="E3972" s="33" t="s">
        <v>3172</v>
      </c>
      <c r="F3972" s="23">
        <v>2025</v>
      </c>
      <c r="G3972" s="23">
        <v>2</v>
      </c>
      <c r="H3972" s="29"/>
      <c r="I3972" s="204" t="str">
        <f t="shared" ref="I3972:I3984" si="1214">IFERROR(IF(F3972="","",IF(F3972="TBA","TBA",IF(F3972="Cancel","Cancel",IF(AND(G3972&gt;=10,G3972&lt;=12),"Q3",IF(AND(G3972&gt;=1,G3972&lt;=3),"Q4",IF(AND(G3972&gt;=7,G3972&lt;=9),"Q2",IF(AND(G3972&gt;=4,G3972&lt;=6),"Q1"))))))),"")</f>
        <v>Q4</v>
      </c>
      <c r="J3972" s="188"/>
      <c r="K3972" s="29"/>
      <c r="L3972" s="24" t="s">
        <v>43</v>
      </c>
      <c r="M3972" s="22" t="s">
        <v>43</v>
      </c>
      <c r="N3972" s="22">
        <v>0</v>
      </c>
      <c r="O3972" s="22"/>
      <c r="P3972" s="202" t="str">
        <f t="shared" ref="P3972:P3976" si="1215">IF(M3972="","",IF(AND(N3972&gt;0,L3972&lt;&gt;""),"MAIN UNIT",IF(AND(O3972&gt;0,L3972&lt;&gt;""),"SERVICE/ PARTS","C66 SERVICE/OTHERS")))</f>
        <v>C66 SERVICE/OTHERS</v>
      </c>
      <c r="Q3972" s="22" t="s">
        <v>45</v>
      </c>
      <c r="R3972" s="22" t="s">
        <v>45</v>
      </c>
      <c r="S3972" s="22" t="s">
        <v>52</v>
      </c>
      <c r="T3972" s="22"/>
      <c r="U3972" s="22"/>
      <c r="V3972" s="22"/>
      <c r="W3972" s="22"/>
      <c r="X3972" s="104"/>
      <c r="Y3972" s="195" t="str">
        <f t="shared" ref="Y3972:Y3975" si="1216">IF(W3972="","",IF(W3972="RMB","1.13", "1"))</f>
        <v/>
      </c>
      <c r="Z3972" s="196" t="str">
        <f t="shared" ref="Z3972:Z3975" si="1217">IF(X3972="","",X3972*MAX(O3972,N3972))</f>
        <v/>
      </c>
      <c r="AA3972" s="22"/>
      <c r="AB3972" s="197">
        <v>13000</v>
      </c>
      <c r="AC3972" s="198">
        <f t="shared" ref="AC3972:AC3975" si="1218">IF(R3972&lt;&gt;"",AB3972*AD3972,"")</f>
        <v>3900</v>
      </c>
      <c r="AD3972" s="162">
        <v>0.3</v>
      </c>
      <c r="AE3972" s="199">
        <f t="shared" ref="AE3972:AE3975" si="1219">IF(Q3972="","",IF(Q3972="Yes",1,0))</f>
        <v>0</v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9"/>
        <v>30691842.970796466</v>
      </c>
      <c r="AJ3972" s="200">
        <f t="shared" si="1210"/>
        <v>4088324.205777524</v>
      </c>
      <c r="AK3972" s="201">
        <f t="shared" ref="AK3972:AK3975" si="1220">IF(AJ3972&gt;0,AJ3972/AI3972,"")</f>
        <v>0.1332055624573473</v>
      </c>
      <c r="AL3972" s="24"/>
      <c r="AM3972" s="24"/>
      <c r="AN3972" s="24"/>
      <c r="AO3972" s="24"/>
      <c r="AP3972" s="165" t="str">
        <f t="shared" ref="AP3972:AP3975" si="1221">IF(F3972="","",F3972&amp;G3972)</f>
        <v>20252</v>
      </c>
      <c r="AQ3972" s="203" t="str">
        <f t="shared" ref="AQ3972:AQ3975" si="1222">IF(W3972="","",F3972&amp;G3972&amp;W3972)</f>
        <v/>
      </c>
      <c r="AR3972" s="206" t="str">
        <f t="shared" ref="AR3972:AR3975" si="1223">IFERROR(IF(AND(M3972="YAMAHA", R3972="C28"), "YAMAHA_Non_Mounter", IF(AND(M3972="YAMAHA", R3972="C49"), "YAMAHA_Mounter", M3972)),"")</f>
        <v>C66 SERVICE</v>
      </c>
      <c r="AS3972" s="22" t="str">
        <f t="shared" ref="AS3972:AS3975" si="1224">IFERROR(IF(OR(G3972="TBA", G3972=""), "", DATEDIF(DATE(B3972, C3972, 1), DATE(F3972, G3972, 1), "M")),"")</f>
        <v/>
      </c>
      <c r="AT3972" s="24" t="str">
        <f t="shared" ref="AT3972:AT3975" si="1225">IF(ISNUMBER(AS3972), IF(AS3972&gt;=0, IF(AS3972&lt;=3, "0-3 months", IF(AS3972&lt;=6, "4-6 months", "&gt; 6 months"))), "")</f>
        <v/>
      </c>
      <c r="AU3972" s="22">
        <v>0</v>
      </c>
    </row>
    <row r="3973" spans="1:47" ht="39.6">
      <c r="A3973" s="33" t="str">
        <f t="shared" si="1198"/>
        <v/>
      </c>
      <c r="B3973" s="23"/>
      <c r="C3973" s="23"/>
      <c r="D3973" s="202" t="str">
        <f t="shared" si="1211"/>
        <v/>
      </c>
      <c r="E3973" s="33" t="s">
        <v>3172</v>
      </c>
      <c r="F3973" s="23">
        <v>2025</v>
      </c>
      <c r="G3973" s="23">
        <v>2</v>
      </c>
      <c r="H3973" s="29"/>
      <c r="I3973" s="204" t="str">
        <f t="shared" si="1214"/>
        <v>Q4</v>
      </c>
      <c r="J3973" s="188"/>
      <c r="K3973" s="29"/>
      <c r="L3973" s="24" t="s">
        <v>43</v>
      </c>
      <c r="M3973" s="22" t="s">
        <v>43</v>
      </c>
      <c r="N3973" s="22">
        <v>0</v>
      </c>
      <c r="O3973" s="22"/>
      <c r="P3973" s="202" t="str">
        <f t="shared" si="1215"/>
        <v>C66 SERVICE/OTHERS</v>
      </c>
      <c r="Q3973" s="22" t="s">
        <v>45</v>
      </c>
      <c r="R3973" s="22" t="s">
        <v>45</v>
      </c>
      <c r="S3973" s="22" t="s">
        <v>51</v>
      </c>
      <c r="T3973" s="22"/>
      <c r="U3973" s="22"/>
      <c r="V3973" s="22"/>
      <c r="W3973" s="22"/>
      <c r="X3973" s="104"/>
      <c r="Y3973" s="195" t="str">
        <f t="shared" si="1216"/>
        <v/>
      </c>
      <c r="Z3973" s="196" t="str">
        <f t="shared" si="1217"/>
        <v/>
      </c>
      <c r="AA3973" s="22"/>
      <c r="AB3973" s="197">
        <v>19000</v>
      </c>
      <c r="AC3973" s="198">
        <f t="shared" si="1218"/>
        <v>5700</v>
      </c>
      <c r="AD3973" s="162">
        <v>0.3</v>
      </c>
      <c r="AE3973" s="199">
        <f t="shared" si="1219"/>
        <v>0</v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9"/>
        <v>30691842.970796466</v>
      </c>
      <c r="AJ3973" s="200">
        <f t="shared" si="1210"/>
        <v>4088324.205777524</v>
      </c>
      <c r="AK3973" s="201">
        <f t="shared" si="1220"/>
        <v>0.1332055624573473</v>
      </c>
      <c r="AL3973" s="24"/>
      <c r="AM3973" s="24"/>
      <c r="AN3973" s="24"/>
      <c r="AO3973" s="24"/>
      <c r="AP3973" s="165" t="str">
        <f t="shared" si="1221"/>
        <v>20252</v>
      </c>
      <c r="AQ3973" s="203" t="str">
        <f t="shared" si="1222"/>
        <v/>
      </c>
      <c r="AR3973" s="206" t="str">
        <f t="shared" si="1223"/>
        <v>C66 SERVICE</v>
      </c>
      <c r="AS3973" s="22" t="str">
        <f t="shared" si="1224"/>
        <v/>
      </c>
      <c r="AT3973" s="24" t="str">
        <f t="shared" si="1225"/>
        <v/>
      </c>
      <c r="AU3973" s="22">
        <v>0</v>
      </c>
    </row>
    <row r="3974" spans="1:47" ht="39.6">
      <c r="A3974" s="33" t="str">
        <f t="shared" si="1198"/>
        <v/>
      </c>
      <c r="B3974" s="23"/>
      <c r="C3974" s="23"/>
      <c r="D3974" s="202" t="str">
        <f t="shared" si="1211"/>
        <v/>
      </c>
      <c r="E3974" s="33" t="s">
        <v>3172</v>
      </c>
      <c r="F3974" s="23">
        <v>2025</v>
      </c>
      <c r="G3974" s="23">
        <v>2</v>
      </c>
      <c r="H3974" s="29"/>
      <c r="I3974" s="204" t="str">
        <f t="shared" si="1214"/>
        <v>Q4</v>
      </c>
      <c r="J3974" s="188"/>
      <c r="K3974" s="29"/>
      <c r="L3974" s="24" t="s">
        <v>43</v>
      </c>
      <c r="M3974" s="22" t="s">
        <v>43</v>
      </c>
      <c r="N3974" s="22">
        <v>0</v>
      </c>
      <c r="O3974" s="22"/>
      <c r="P3974" s="202" t="str">
        <f t="shared" si="1215"/>
        <v>C66 SERVICE/OTHERS</v>
      </c>
      <c r="Q3974" s="22" t="s">
        <v>45</v>
      </c>
      <c r="R3974" s="22" t="s">
        <v>45</v>
      </c>
      <c r="S3974" s="22" t="s">
        <v>50</v>
      </c>
      <c r="T3974" s="22"/>
      <c r="U3974" s="22"/>
      <c r="V3974" s="22"/>
      <c r="W3974" s="22"/>
      <c r="X3974" s="104"/>
      <c r="Y3974" s="195" t="str">
        <f t="shared" si="1216"/>
        <v/>
      </c>
      <c r="Z3974" s="196" t="str">
        <f t="shared" si="1217"/>
        <v/>
      </c>
      <c r="AA3974" s="22"/>
      <c r="AB3974" s="197">
        <v>17000</v>
      </c>
      <c r="AC3974" s="198">
        <f t="shared" si="1218"/>
        <v>5100</v>
      </c>
      <c r="AD3974" s="162">
        <v>0.3</v>
      </c>
      <c r="AE3974" s="199">
        <f t="shared" si="1219"/>
        <v>0</v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9"/>
        <v>30691842.970796466</v>
      </c>
      <c r="AJ3974" s="200">
        <f t="shared" si="1210"/>
        <v>4088324.205777524</v>
      </c>
      <c r="AK3974" s="201">
        <f t="shared" si="1220"/>
        <v>0.1332055624573473</v>
      </c>
      <c r="AL3974" s="24"/>
      <c r="AM3974" s="24"/>
      <c r="AN3974" s="24"/>
      <c r="AO3974" s="24"/>
      <c r="AP3974" s="165" t="str">
        <f t="shared" si="1221"/>
        <v>20252</v>
      </c>
      <c r="AQ3974" s="203" t="str">
        <f t="shared" si="1222"/>
        <v/>
      </c>
      <c r="AR3974" s="206" t="str">
        <f t="shared" si="1223"/>
        <v>C66 SERVICE</v>
      </c>
      <c r="AS3974" s="22" t="str">
        <f t="shared" si="1224"/>
        <v/>
      </c>
      <c r="AT3974" s="24" t="str">
        <f t="shared" si="1225"/>
        <v/>
      </c>
      <c r="AU3974" s="22">
        <v>0</v>
      </c>
    </row>
    <row r="3975" spans="1:47" ht="39.6">
      <c r="A3975" s="33" t="str">
        <f t="shared" si="1198"/>
        <v/>
      </c>
      <c r="B3975" s="23"/>
      <c r="C3975" s="23"/>
      <c r="D3975" s="202" t="str">
        <f t="shared" si="1211"/>
        <v/>
      </c>
      <c r="E3975" s="33" t="s">
        <v>3172</v>
      </c>
      <c r="F3975" s="23">
        <v>2025</v>
      </c>
      <c r="G3975" s="23">
        <v>2</v>
      </c>
      <c r="H3975" s="29"/>
      <c r="I3975" s="204" t="str">
        <f t="shared" si="1214"/>
        <v>Q4</v>
      </c>
      <c r="J3975" s="188"/>
      <c r="K3975" s="29"/>
      <c r="L3975" s="24" t="s">
        <v>43</v>
      </c>
      <c r="M3975" s="22" t="s">
        <v>43</v>
      </c>
      <c r="N3975" s="22">
        <v>0</v>
      </c>
      <c r="O3975" s="22"/>
      <c r="P3975" s="202" t="str">
        <f t="shared" si="1215"/>
        <v>C66 SERVICE/OTHERS</v>
      </c>
      <c r="Q3975" s="22" t="s">
        <v>45</v>
      </c>
      <c r="R3975" s="22" t="s">
        <v>45</v>
      </c>
      <c r="S3975" s="22" t="s">
        <v>49</v>
      </c>
      <c r="T3975" s="22"/>
      <c r="U3975" s="22"/>
      <c r="V3975" s="22"/>
      <c r="W3975" s="22"/>
      <c r="X3975" s="104"/>
      <c r="Y3975" s="195" t="str">
        <f t="shared" si="1216"/>
        <v/>
      </c>
      <c r="Z3975" s="196" t="str">
        <f t="shared" si="1217"/>
        <v/>
      </c>
      <c r="AA3975" s="22"/>
      <c r="AB3975" s="197">
        <v>336000</v>
      </c>
      <c r="AC3975" s="198">
        <f t="shared" si="1218"/>
        <v>100800</v>
      </c>
      <c r="AD3975" s="162">
        <v>0.3</v>
      </c>
      <c r="AE3975" s="199">
        <f t="shared" si="1219"/>
        <v>0</v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9"/>
        <v>30691842.970796466</v>
      </c>
      <c r="AJ3975" s="200">
        <f t="shared" si="1210"/>
        <v>4088324.205777524</v>
      </c>
      <c r="AK3975" s="201">
        <f t="shared" si="1220"/>
        <v>0.1332055624573473</v>
      </c>
      <c r="AL3975" s="24"/>
      <c r="AM3975" s="24"/>
      <c r="AN3975" s="24"/>
      <c r="AO3975" s="24"/>
      <c r="AP3975" s="165" t="str">
        <f t="shared" si="1221"/>
        <v>20252</v>
      </c>
      <c r="AQ3975" s="203" t="str">
        <f t="shared" si="1222"/>
        <v/>
      </c>
      <c r="AR3975" s="206" t="str">
        <f t="shared" si="1223"/>
        <v>C66 SERVICE</v>
      </c>
      <c r="AS3975" s="22" t="str">
        <f t="shared" si="1224"/>
        <v/>
      </c>
      <c r="AT3975" s="24" t="str">
        <f t="shared" si="1225"/>
        <v/>
      </c>
      <c r="AU3975" s="22">
        <v>0</v>
      </c>
    </row>
    <row r="3976" spans="1:47">
      <c r="A3976" s="33" t="str">
        <f t="shared" si="1198"/>
        <v>FY 24/25</v>
      </c>
      <c r="B3976" s="23">
        <v>2025</v>
      </c>
      <c r="C3976" s="23">
        <v>3</v>
      </c>
      <c r="D3976" s="202" t="str">
        <f t="shared" si="1211"/>
        <v>Q4</v>
      </c>
      <c r="E3976" s="33" t="str">
        <f t="shared" si="1197"/>
        <v>TBA</v>
      </c>
      <c r="F3976" s="23" t="s">
        <v>2584</v>
      </c>
      <c r="G3976" s="23" t="s">
        <v>2584</v>
      </c>
      <c r="H3976" s="29"/>
      <c r="I3976" s="204" t="str">
        <f t="shared" si="1214"/>
        <v>TBA</v>
      </c>
      <c r="J3976" s="188" t="s">
        <v>3728</v>
      </c>
      <c r="K3976" s="29" t="s">
        <v>712</v>
      </c>
      <c r="L3976" s="24" t="s">
        <v>67</v>
      </c>
      <c r="M3976" s="13" t="s">
        <v>60</v>
      </c>
      <c r="N3976" s="22">
        <v>1</v>
      </c>
      <c r="O3976" s="22"/>
      <c r="P3976" s="202" t="str">
        <f t="shared" si="1215"/>
        <v>MAIN UNIT</v>
      </c>
      <c r="Q3976" s="22" t="s">
        <v>61</v>
      </c>
      <c r="R3976" s="22" t="s">
        <v>62</v>
      </c>
      <c r="S3976" s="22" t="s">
        <v>49</v>
      </c>
      <c r="T3976" s="22" t="s">
        <v>78</v>
      </c>
      <c r="U3976" s="22" t="s">
        <v>120</v>
      </c>
      <c r="V3976" s="22" t="s">
        <v>112</v>
      </c>
      <c r="W3976" s="22" t="s">
        <v>64</v>
      </c>
      <c r="X3976" s="104">
        <v>389000</v>
      </c>
      <c r="Y3976" s="195" t="str">
        <f t="shared" ref="Y3976" si="1226">IF(W3976="","",IF(W3976="RMB","1.13", "1"))</f>
        <v>1.13</v>
      </c>
      <c r="Z3976" s="196">
        <f t="shared" ref="Z3976" si="1227">IF(X3976="","",X3976*MAX(O3976,N3976))</f>
        <v>389000</v>
      </c>
      <c r="AA3976" s="22">
        <v>1.0669999999999999</v>
      </c>
      <c r="AB3976" s="197">
        <v>336001</v>
      </c>
      <c r="AC3976" s="198">
        <f t="shared" ref="AC3976" si="1228">IF(R3976&lt;&gt;"",AB3976*AD3976,"")</f>
        <v>40320.119999999995</v>
      </c>
      <c r="AD3976" s="169">
        <v>0.12</v>
      </c>
      <c r="AE3976" s="199">
        <f t="shared" ref="AE3976:AE3990" si="1229">IF(Q3976="","",IF(Q3976="Yes",1,0))</f>
        <v>0</v>
      </c>
      <c r="AF3976" s="199" t="str">
        <f>IF(AND(COUNTIFS($J$18:J3976,J3976)=1,AE3976=1),1,"")</f>
        <v/>
      </c>
      <c r="AG3976" s="199">
        <f>IF(C3976="","",IF(AND(COUNTIFS($J$18:J3976,J3976)=1,C3976&lt;&gt;""),1,""))</f>
        <v>1</v>
      </c>
      <c r="AH3976" s="199">
        <f>IF(G3976="","",IF(AND(COUNTIFS($J$18:J3976,J3976)=1,G3976&lt;&gt;""),1,""))</f>
        <v>1</v>
      </c>
      <c r="AI3976" s="200">
        <f t="shared" si="1209"/>
        <v>30033846.584070798</v>
      </c>
      <c r="AJ3976" s="200">
        <f t="shared" si="1210"/>
        <v>3534936.4750884958</v>
      </c>
      <c r="AK3976" s="201">
        <f t="shared" ref="AK3976:AK3990" si="1230">IF(AJ3976&gt;0,AJ3976/AI3976,"")</f>
        <v>0.11769842618039268</v>
      </c>
      <c r="AL3976" s="24"/>
      <c r="AM3976" s="24"/>
      <c r="AN3976" s="24"/>
      <c r="AO3976" s="24"/>
      <c r="AP3976" s="165" t="str">
        <f t="shared" ref="AP3976:AP3986" si="1231">IF(F3976="","",F3976&amp;G3976)</f>
        <v>TBATBA</v>
      </c>
      <c r="AQ3976" s="203" t="str">
        <f t="shared" ref="AQ3976:AQ3986" si="1232">IF(W3976="","",F3976&amp;G3976&amp;W3976)</f>
        <v>TBATBARMB</v>
      </c>
      <c r="AR3976" s="206" t="str">
        <f t="shared" ref="AR3976:AR3986" si="1233">IFERROR(IF(AND(M3976="YAMAHA", R3976="C28"), "YAMAHA_Non_Mounter", IF(AND(M3976="YAMAHA", R3976="C49"), "YAMAHA_Mounter", M3976)),"")</f>
        <v>YAMAHA_Mounter</v>
      </c>
      <c r="AS3976" s="22" t="str">
        <f t="shared" ref="AS3976:AS3982" si="1234">IFERROR(IF(OR(G3976="TBA", G3976=""), "", DATEDIF(DATE(B3976, C3976, 1), DATE(F3976, G3976, 1), "M")),"")</f>
        <v/>
      </c>
      <c r="AT3976" s="24" t="str">
        <f t="shared" ref="AT3976:AT3982" si="1235">IF(ISNUMBER(AS3976), IF(AS3976&gt;=0, IF(AS3976&lt;=3, "0-3 months", IF(AS3976&lt;=6, "4-6 months", "&gt; 6 months"))), "")</f>
        <v/>
      </c>
      <c r="AU3976" s="22" t="s">
        <v>3751</v>
      </c>
    </row>
    <row r="3977" spans="1:47">
      <c r="A3977" s="33" t="str">
        <f t="shared" si="1198"/>
        <v>FY 24/25</v>
      </c>
      <c r="B3977" s="23">
        <v>2025</v>
      </c>
      <c r="C3977" s="23">
        <v>3</v>
      </c>
      <c r="D3977" s="202" t="str">
        <f t="shared" si="1211"/>
        <v>Q4</v>
      </c>
      <c r="E3977" s="33" t="str">
        <f t="shared" si="1197"/>
        <v>TBA</v>
      </c>
      <c r="F3977" s="23" t="s">
        <v>2584</v>
      </c>
      <c r="G3977" s="23" t="s">
        <v>2584</v>
      </c>
      <c r="H3977" s="29"/>
      <c r="I3977" s="204" t="str">
        <f t="shared" si="1214"/>
        <v>TBA</v>
      </c>
      <c r="J3977" s="188" t="s">
        <v>3729</v>
      </c>
      <c r="K3977" s="29" t="s">
        <v>1890</v>
      </c>
      <c r="L3977" s="24" t="s">
        <v>67</v>
      </c>
      <c r="M3977" s="13" t="s">
        <v>60</v>
      </c>
      <c r="N3977" s="22">
        <v>1</v>
      </c>
      <c r="O3977" s="22"/>
      <c r="P3977" s="202" t="str">
        <f t="shared" si="1208"/>
        <v>MAIN UNIT</v>
      </c>
      <c r="Q3977" s="22" t="s">
        <v>61</v>
      </c>
      <c r="R3977" s="22" t="s">
        <v>62</v>
      </c>
      <c r="S3977" s="22" t="s">
        <v>49</v>
      </c>
      <c r="T3977" s="22" t="s">
        <v>78</v>
      </c>
      <c r="U3977" s="22" t="s">
        <v>78</v>
      </c>
      <c r="V3977" s="22" t="s">
        <v>112</v>
      </c>
      <c r="W3977" s="22" t="s">
        <v>109</v>
      </c>
      <c r="X3977" s="104">
        <v>7080000</v>
      </c>
      <c r="Y3977" s="195" t="str">
        <f t="shared" si="1213"/>
        <v>1</v>
      </c>
      <c r="Z3977" s="196">
        <f t="shared" si="1212"/>
        <v>7080000</v>
      </c>
      <c r="AA3977" s="22">
        <v>5.2999999999999999E-2</v>
      </c>
      <c r="AB3977" s="197">
        <f t="shared" si="1196"/>
        <v>375240</v>
      </c>
      <c r="AC3977" s="198">
        <f t="shared" si="1200"/>
        <v>45028.799999999996</v>
      </c>
      <c r="AD3977" s="169">
        <v>0.12</v>
      </c>
      <c r="AE3977" s="199">
        <f t="shared" si="1229"/>
        <v>0</v>
      </c>
      <c r="AF3977" s="199" t="str">
        <f>IF(AND(COUNTIFS($J$18:J3977,J3977)=1,AE3977=1),1,"")</f>
        <v/>
      </c>
      <c r="AG3977" s="199">
        <f>IF(C3977="","",IF(AND(COUNTIFS($J$18:J3977,J3977)=1,C3977&lt;&gt;""),1,""))</f>
        <v>1</v>
      </c>
      <c r="AH3977" s="199">
        <f>IF(G3977="","",IF(AND(COUNTIFS($J$18:J3977,J3977)=1,G3977&lt;&gt;""),1,""))</f>
        <v>1</v>
      </c>
      <c r="AI3977" s="200">
        <f t="shared" si="1209"/>
        <v>30033846.584070798</v>
      </c>
      <c r="AJ3977" s="200">
        <f t="shared" si="1210"/>
        <v>3534936.4750884958</v>
      </c>
      <c r="AK3977" s="201">
        <f t="shared" si="1230"/>
        <v>0.11769842618039268</v>
      </c>
      <c r="AL3977" s="24"/>
      <c r="AM3977" s="24"/>
      <c r="AN3977" s="24"/>
      <c r="AO3977" s="24"/>
      <c r="AP3977" s="165" t="str">
        <f t="shared" si="1231"/>
        <v>TBATBA</v>
      </c>
      <c r="AQ3977" s="203" t="str">
        <f t="shared" si="1232"/>
        <v>TBATBAJPY</v>
      </c>
      <c r="AR3977" s="206" t="str">
        <f t="shared" si="1233"/>
        <v>YAMAHA_Mounter</v>
      </c>
      <c r="AS3977" s="22" t="str">
        <f t="shared" si="1234"/>
        <v/>
      </c>
      <c r="AT3977" s="24" t="str">
        <f t="shared" si="1235"/>
        <v/>
      </c>
      <c r="AU3977" s="22" t="s">
        <v>3745</v>
      </c>
    </row>
    <row r="3978" spans="1:47">
      <c r="A3978" s="33" t="str">
        <f t="shared" si="1198"/>
        <v>FY 24/25</v>
      </c>
      <c r="B3978" s="23">
        <v>2025</v>
      </c>
      <c r="C3978" s="23">
        <v>3</v>
      </c>
      <c r="D3978" s="202" t="str">
        <f t="shared" si="1211"/>
        <v>Q4</v>
      </c>
      <c r="E3978" s="33" t="str">
        <f t="shared" si="1197"/>
        <v>TBA</v>
      </c>
      <c r="F3978" s="23" t="s">
        <v>2584</v>
      </c>
      <c r="G3978" s="23" t="s">
        <v>2584</v>
      </c>
      <c r="H3978" s="29"/>
      <c r="I3978" s="204" t="str">
        <f t="shared" si="1214"/>
        <v>TBA</v>
      </c>
      <c r="J3978" s="188" t="s">
        <v>3730</v>
      </c>
      <c r="K3978" s="29" t="s">
        <v>3731</v>
      </c>
      <c r="L3978" s="24" t="s">
        <v>67</v>
      </c>
      <c r="M3978" s="13" t="s">
        <v>60</v>
      </c>
      <c r="N3978" s="22">
        <v>1</v>
      </c>
      <c r="O3978" s="22"/>
      <c r="P3978" s="202" t="str">
        <f t="shared" si="1208"/>
        <v>MAIN UNIT</v>
      </c>
      <c r="Q3978" s="22" t="s">
        <v>68</v>
      </c>
      <c r="R3978" s="22" t="s">
        <v>62</v>
      </c>
      <c r="S3978" s="22" t="s">
        <v>49</v>
      </c>
      <c r="T3978" s="22" t="s">
        <v>78</v>
      </c>
      <c r="U3978" s="22" t="s">
        <v>78</v>
      </c>
      <c r="V3978" s="22" t="s">
        <v>2534</v>
      </c>
      <c r="W3978" s="22" t="s">
        <v>109</v>
      </c>
      <c r="X3978" s="104">
        <v>8299000</v>
      </c>
      <c r="Y3978" s="195" t="str">
        <f t="shared" si="1213"/>
        <v>1</v>
      </c>
      <c r="Z3978" s="196">
        <f t="shared" si="1212"/>
        <v>8299000</v>
      </c>
      <c r="AA3978" s="22">
        <v>5.2999999999999999E-2</v>
      </c>
      <c r="AB3978" s="197">
        <f t="shared" si="1196"/>
        <v>439847</v>
      </c>
      <c r="AC3978" s="198">
        <f t="shared" si="1200"/>
        <v>52781.64</v>
      </c>
      <c r="AD3978" s="169">
        <v>0.12</v>
      </c>
      <c r="AE3978" s="199">
        <f t="shared" si="1229"/>
        <v>1</v>
      </c>
      <c r="AF3978" s="199">
        <f>IF(AND(COUNTIFS($J$18:J3978,J3978)=1,AE3978=1),1,"")</f>
        <v>1</v>
      </c>
      <c r="AG3978" s="199">
        <f>IF(C3978="","",IF(AND(COUNTIFS($J$18:J3978,J3978)=1,C3978&lt;&gt;""),1,""))</f>
        <v>1</v>
      </c>
      <c r="AH3978" s="199">
        <f>IF(G3978="","",IF(AND(COUNTIFS($J$18:J3978,J3978)=1,G3978&lt;&gt;""),1,""))</f>
        <v>1</v>
      </c>
      <c r="AI3978" s="200">
        <f t="shared" si="1209"/>
        <v>30033846.584070798</v>
      </c>
      <c r="AJ3978" s="200">
        <f t="shared" si="1210"/>
        <v>3534936.4750884958</v>
      </c>
      <c r="AK3978" s="201">
        <f t="shared" si="1230"/>
        <v>0.11769842618039268</v>
      </c>
      <c r="AL3978" s="24"/>
      <c r="AM3978" s="24"/>
      <c r="AN3978" s="24"/>
      <c r="AO3978" s="24"/>
      <c r="AP3978" s="165" t="str">
        <f t="shared" si="1231"/>
        <v>TBATBA</v>
      </c>
      <c r="AQ3978" s="203" t="str">
        <f t="shared" si="1232"/>
        <v>TBATBAJPY</v>
      </c>
      <c r="AR3978" s="206" t="str">
        <f t="shared" si="1233"/>
        <v>YAMAHA_Mounter</v>
      </c>
      <c r="AS3978" s="22" t="str">
        <f t="shared" si="1234"/>
        <v/>
      </c>
      <c r="AT3978" s="24" t="str">
        <f t="shared" si="1235"/>
        <v/>
      </c>
      <c r="AU3978" s="22" t="s">
        <v>3745</v>
      </c>
    </row>
    <row r="3979" spans="1:47">
      <c r="A3979" s="33" t="str">
        <f t="shared" si="1198"/>
        <v>FY 24/25</v>
      </c>
      <c r="B3979" s="23">
        <v>2025</v>
      </c>
      <c r="C3979" s="23">
        <v>3</v>
      </c>
      <c r="D3979" s="202" t="str">
        <f t="shared" si="1211"/>
        <v>Q4</v>
      </c>
      <c r="E3979" s="33" t="str">
        <f t="shared" si="1197"/>
        <v>TBA</v>
      </c>
      <c r="F3979" s="23" t="s">
        <v>2584</v>
      </c>
      <c r="G3979" s="23" t="s">
        <v>2584</v>
      </c>
      <c r="H3979" s="29"/>
      <c r="I3979" s="204" t="str">
        <f t="shared" si="1214"/>
        <v>TBA</v>
      </c>
      <c r="J3979" s="188" t="s">
        <v>3732</v>
      </c>
      <c r="K3979" s="29" t="s">
        <v>903</v>
      </c>
      <c r="L3979" s="24" t="s">
        <v>67</v>
      </c>
      <c r="M3979" s="13" t="s">
        <v>60</v>
      </c>
      <c r="N3979" s="22">
        <v>1</v>
      </c>
      <c r="O3979" s="22"/>
      <c r="P3979" s="202" t="str">
        <f t="shared" si="1208"/>
        <v>MAIN UNIT</v>
      </c>
      <c r="Q3979" s="22" t="s">
        <v>61</v>
      </c>
      <c r="R3979" s="22" t="s">
        <v>62</v>
      </c>
      <c r="S3979" s="22" t="s">
        <v>49</v>
      </c>
      <c r="T3979" s="22" t="s">
        <v>78</v>
      </c>
      <c r="U3979" s="22" t="s">
        <v>120</v>
      </c>
      <c r="V3979" s="22" t="s">
        <v>112</v>
      </c>
      <c r="W3979" s="22" t="s">
        <v>64</v>
      </c>
      <c r="X3979" s="104">
        <v>393000</v>
      </c>
      <c r="Y3979" s="195" t="str">
        <f t="shared" si="1213"/>
        <v>1.13</v>
      </c>
      <c r="Z3979" s="196">
        <f t="shared" si="1212"/>
        <v>393000</v>
      </c>
      <c r="AA3979" s="22">
        <v>1.0669999999999999</v>
      </c>
      <c r="AB3979" s="197">
        <f t="shared" si="1196"/>
        <v>371089.38053097349</v>
      </c>
      <c r="AC3979" s="198">
        <f t="shared" si="1200"/>
        <v>44530.725663716818</v>
      </c>
      <c r="AD3979" s="169">
        <v>0.12</v>
      </c>
      <c r="AE3979" s="199">
        <f t="shared" si="1229"/>
        <v>0</v>
      </c>
      <c r="AF3979" s="199" t="str">
        <f>IF(AND(COUNTIFS($J$18:J3979,J3979)=1,AE3979=1),1,"")</f>
        <v/>
      </c>
      <c r="AG3979" s="199">
        <f>IF(C3979="","",IF(AND(COUNTIFS($J$18:J3979,J3979)=1,C3979&lt;&gt;""),1,""))</f>
        <v>1</v>
      </c>
      <c r="AH3979" s="199">
        <f>IF(G3979="","",IF(AND(COUNTIFS($J$18:J3979,J3979)=1,G3979&lt;&gt;""),1,""))</f>
        <v>1</v>
      </c>
      <c r="AI3979" s="200">
        <f t="shared" ref="AI3979:AI3994" si="1236">IF(P3979="C66 SERVICE","",SUMIFS(AB:AB,F:F,F3979,G:G,G3979,E:E,E3979))</f>
        <v>30033846.584070798</v>
      </c>
      <c r="AJ3979" s="200">
        <f t="shared" ref="AJ3979:AJ3994" si="1237">IF(P3979="C66 SERVICE","",SUMIFS(AC:AC,F:F,F3979,G:G,G3979,E:E,E3979))</f>
        <v>3534936.4750884958</v>
      </c>
      <c r="AK3979" s="201">
        <f t="shared" si="1230"/>
        <v>0.11769842618039268</v>
      </c>
      <c r="AL3979" s="24"/>
      <c r="AM3979" s="24"/>
      <c r="AN3979" s="24"/>
      <c r="AO3979" s="24"/>
      <c r="AP3979" s="165" t="str">
        <f t="shared" si="1231"/>
        <v>TBATBA</v>
      </c>
      <c r="AQ3979" s="203" t="str">
        <f t="shared" si="1232"/>
        <v>TBATBARMB</v>
      </c>
      <c r="AR3979" s="206" t="str">
        <f t="shared" si="1233"/>
        <v>YAMAHA_Mounter</v>
      </c>
      <c r="AS3979" s="22" t="str">
        <f t="shared" si="1234"/>
        <v/>
      </c>
      <c r="AT3979" s="24" t="str">
        <f t="shared" si="1235"/>
        <v/>
      </c>
      <c r="AU3979" s="22" t="s">
        <v>3751</v>
      </c>
    </row>
    <row r="3980" spans="1:47">
      <c r="A3980" s="33" t="str">
        <f t="shared" si="1198"/>
        <v>FY 24/25</v>
      </c>
      <c r="B3980" s="23">
        <v>2025</v>
      </c>
      <c r="C3980" s="23">
        <v>3</v>
      </c>
      <c r="D3980" s="202" t="str">
        <f t="shared" si="1211"/>
        <v>Q4</v>
      </c>
      <c r="E3980" s="33" t="str">
        <f t="shared" si="1197"/>
        <v>TBA</v>
      </c>
      <c r="F3980" s="23" t="s">
        <v>2584</v>
      </c>
      <c r="G3980" s="23" t="s">
        <v>2584</v>
      </c>
      <c r="H3980" s="29"/>
      <c r="I3980" s="204" t="str">
        <f t="shared" si="1214"/>
        <v>TBA</v>
      </c>
      <c r="J3980" s="188" t="s">
        <v>3732</v>
      </c>
      <c r="K3980" s="29" t="s">
        <v>903</v>
      </c>
      <c r="L3980" s="24" t="s">
        <v>67</v>
      </c>
      <c r="M3980" s="13" t="s">
        <v>60</v>
      </c>
      <c r="N3980" s="22">
        <v>1</v>
      </c>
      <c r="O3980" s="22"/>
      <c r="P3980" s="202" t="str">
        <f t="shared" si="1208"/>
        <v>MAIN UNIT</v>
      </c>
      <c r="Q3980" s="22" t="s">
        <v>61</v>
      </c>
      <c r="R3980" s="22" t="s">
        <v>62</v>
      </c>
      <c r="S3980" s="22" t="s">
        <v>49</v>
      </c>
      <c r="T3980" s="22" t="s">
        <v>78</v>
      </c>
      <c r="U3980" s="22" t="s">
        <v>78</v>
      </c>
      <c r="V3980" s="22" t="s">
        <v>112</v>
      </c>
      <c r="W3980" s="22" t="s">
        <v>64</v>
      </c>
      <c r="X3980" s="104">
        <v>393000</v>
      </c>
      <c r="Y3980" s="195" t="str">
        <f t="shared" si="1213"/>
        <v>1.13</v>
      </c>
      <c r="Z3980" s="196">
        <f t="shared" si="1212"/>
        <v>393000</v>
      </c>
      <c r="AA3980" s="22">
        <v>1.0669999999999999</v>
      </c>
      <c r="AB3980" s="197">
        <f t="shared" si="1196"/>
        <v>371089.38053097349</v>
      </c>
      <c r="AC3980" s="198">
        <f t="shared" si="1200"/>
        <v>44530.725663716818</v>
      </c>
      <c r="AD3980" s="169">
        <v>0.12</v>
      </c>
      <c r="AE3980" s="199">
        <f t="shared" si="1229"/>
        <v>0</v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36"/>
        <v>30033846.584070798</v>
      </c>
      <c r="AJ3980" s="200">
        <f t="shared" si="1237"/>
        <v>3534936.4750884958</v>
      </c>
      <c r="AK3980" s="201">
        <f t="shared" si="1230"/>
        <v>0.11769842618039268</v>
      </c>
      <c r="AL3980" s="24"/>
      <c r="AM3980" s="24"/>
      <c r="AN3980" s="24"/>
      <c r="AO3980" s="24"/>
      <c r="AP3980" s="165" t="str">
        <f t="shared" si="1231"/>
        <v>TBATBA</v>
      </c>
      <c r="AQ3980" s="203" t="str">
        <f t="shared" si="1232"/>
        <v>TBATBARMB</v>
      </c>
      <c r="AR3980" s="206" t="str">
        <f t="shared" si="1233"/>
        <v>YAMAHA_Mounter</v>
      </c>
      <c r="AS3980" s="22" t="str">
        <f t="shared" si="1234"/>
        <v/>
      </c>
      <c r="AT3980" s="24" t="str">
        <f t="shared" si="1235"/>
        <v/>
      </c>
      <c r="AU3980" s="22" t="s">
        <v>3751</v>
      </c>
    </row>
    <row r="3981" spans="1:47">
      <c r="A3981" s="33" t="str">
        <f t="shared" si="1198"/>
        <v>FY 24/25</v>
      </c>
      <c r="B3981" s="23">
        <v>2025</v>
      </c>
      <c r="C3981" s="23">
        <v>3</v>
      </c>
      <c r="D3981" s="202" t="str">
        <f t="shared" si="1211"/>
        <v>Q4</v>
      </c>
      <c r="E3981" s="33" t="str">
        <f t="shared" si="1197"/>
        <v>TBA</v>
      </c>
      <c r="F3981" s="23" t="s">
        <v>2584</v>
      </c>
      <c r="G3981" s="23" t="s">
        <v>2584</v>
      </c>
      <c r="H3981" s="29"/>
      <c r="I3981" s="204" t="str">
        <f t="shared" si="1214"/>
        <v>TBA</v>
      </c>
      <c r="J3981" s="188" t="s">
        <v>3732</v>
      </c>
      <c r="K3981" s="29" t="s">
        <v>903</v>
      </c>
      <c r="L3981" s="24" t="s">
        <v>67</v>
      </c>
      <c r="M3981" s="13" t="s">
        <v>60</v>
      </c>
      <c r="N3981" s="22">
        <v>1</v>
      </c>
      <c r="O3981" s="22"/>
      <c r="P3981" s="202" t="str">
        <f t="shared" si="1208"/>
        <v>MAIN UNIT</v>
      </c>
      <c r="Q3981" s="22" t="s">
        <v>61</v>
      </c>
      <c r="R3981" s="22" t="s">
        <v>62</v>
      </c>
      <c r="S3981" s="22" t="s">
        <v>49</v>
      </c>
      <c r="T3981" s="22" t="s">
        <v>78</v>
      </c>
      <c r="U3981" s="22" t="s">
        <v>78</v>
      </c>
      <c r="V3981" s="22" t="s">
        <v>112</v>
      </c>
      <c r="W3981" s="22" t="s">
        <v>64</v>
      </c>
      <c r="X3981" s="104">
        <v>393000</v>
      </c>
      <c r="Y3981" s="195" t="str">
        <f t="shared" si="1213"/>
        <v>1.13</v>
      </c>
      <c r="Z3981" s="196">
        <f t="shared" si="1212"/>
        <v>393000</v>
      </c>
      <c r="AA3981" s="22">
        <v>1.0669999999999999</v>
      </c>
      <c r="AB3981" s="197">
        <f t="shared" si="1196"/>
        <v>371089.38053097349</v>
      </c>
      <c r="AC3981" s="198">
        <f t="shared" si="1200"/>
        <v>44530.725663716818</v>
      </c>
      <c r="AD3981" s="169">
        <v>0.12</v>
      </c>
      <c r="AE3981" s="199">
        <f t="shared" si="1229"/>
        <v>0</v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36"/>
        <v>30033846.584070798</v>
      </c>
      <c r="AJ3981" s="200">
        <f t="shared" si="1237"/>
        <v>3534936.4750884958</v>
      </c>
      <c r="AK3981" s="201">
        <f t="shared" si="1230"/>
        <v>0.11769842618039268</v>
      </c>
      <c r="AL3981" s="24"/>
      <c r="AM3981" s="24"/>
      <c r="AN3981" s="24"/>
      <c r="AO3981" s="24"/>
      <c r="AP3981" s="165" t="str">
        <f t="shared" si="1231"/>
        <v>TBATBA</v>
      </c>
      <c r="AQ3981" s="203" t="str">
        <f t="shared" si="1232"/>
        <v>TBATBARMB</v>
      </c>
      <c r="AR3981" s="206" t="str">
        <f t="shared" si="1233"/>
        <v>YAMAHA_Mounter</v>
      </c>
      <c r="AS3981" s="22" t="str">
        <f t="shared" si="1234"/>
        <v/>
      </c>
      <c r="AT3981" s="24" t="str">
        <f t="shared" si="1235"/>
        <v/>
      </c>
      <c r="AU3981" s="22" t="s">
        <v>3751</v>
      </c>
    </row>
    <row r="3982" spans="1:47">
      <c r="A3982" s="33" t="str">
        <f t="shared" si="1198"/>
        <v>FY 24/25</v>
      </c>
      <c r="B3982" s="23">
        <v>2025</v>
      </c>
      <c r="C3982" s="23">
        <v>3</v>
      </c>
      <c r="D3982" s="202" t="str">
        <f t="shared" si="1211"/>
        <v>Q4</v>
      </c>
      <c r="E3982" s="33" t="str">
        <f t="shared" si="1197"/>
        <v>TBA</v>
      </c>
      <c r="F3982" s="23" t="s">
        <v>2584</v>
      </c>
      <c r="G3982" s="23" t="s">
        <v>2584</v>
      </c>
      <c r="H3982" s="29"/>
      <c r="I3982" s="204" t="str">
        <f t="shared" si="1214"/>
        <v>TBA</v>
      </c>
      <c r="J3982" s="188" t="s">
        <v>3733</v>
      </c>
      <c r="K3982" s="29" t="s">
        <v>3734</v>
      </c>
      <c r="L3982" s="24" t="s">
        <v>3698</v>
      </c>
      <c r="M3982" s="13" t="s">
        <v>60</v>
      </c>
      <c r="N3982" s="22">
        <v>1</v>
      </c>
      <c r="O3982" s="22"/>
      <c r="P3982" s="202" t="str">
        <f t="shared" si="1208"/>
        <v>MAIN UNIT</v>
      </c>
      <c r="Q3982" s="22" t="s">
        <v>61</v>
      </c>
      <c r="R3982" s="22" t="s">
        <v>62</v>
      </c>
      <c r="S3982" s="22" t="s">
        <v>49</v>
      </c>
      <c r="T3982" s="22" t="s">
        <v>78</v>
      </c>
      <c r="U3982" s="22" t="s">
        <v>839</v>
      </c>
      <c r="V3982" s="22" t="s">
        <v>1407</v>
      </c>
      <c r="W3982" s="22" t="s">
        <v>64</v>
      </c>
      <c r="X3982" s="104">
        <v>980000</v>
      </c>
      <c r="Y3982" s="195" t="str">
        <f t="shared" si="1213"/>
        <v>1.13</v>
      </c>
      <c r="Z3982" s="196">
        <f t="shared" si="1212"/>
        <v>980000</v>
      </c>
      <c r="AA3982" s="22">
        <v>1.0669999999999999</v>
      </c>
      <c r="AB3982" s="197">
        <f t="shared" si="1196"/>
        <v>925362.83185840712</v>
      </c>
      <c r="AC3982" s="198">
        <f t="shared" si="1200"/>
        <v>111043.53982300885</v>
      </c>
      <c r="AD3982" s="169">
        <v>0.12</v>
      </c>
      <c r="AE3982" s="199">
        <f t="shared" si="1229"/>
        <v>0</v>
      </c>
      <c r="AF3982" s="199" t="str">
        <f>IF(AND(COUNTIFS($J$18:J3982,J3982)=1,AE3982=1),1,"")</f>
        <v/>
      </c>
      <c r="AG3982" s="199">
        <f>IF(C3982="","",IF(AND(COUNTIFS($J$18:J3982,J3982)=1,C3982&lt;&gt;""),1,""))</f>
        <v>1</v>
      </c>
      <c r="AH3982" s="199">
        <f>IF(G3982="","",IF(AND(COUNTIFS($J$18:J3982,J3982)=1,G3982&lt;&gt;""),1,""))</f>
        <v>1</v>
      </c>
      <c r="AI3982" s="200">
        <f t="shared" si="1236"/>
        <v>30033846.584070798</v>
      </c>
      <c r="AJ3982" s="200">
        <f t="shared" si="1237"/>
        <v>3534936.4750884958</v>
      </c>
      <c r="AK3982" s="201">
        <f t="shared" si="1230"/>
        <v>0.11769842618039268</v>
      </c>
      <c r="AL3982" s="24"/>
      <c r="AM3982" s="24"/>
      <c r="AN3982" s="24"/>
      <c r="AO3982" s="24"/>
      <c r="AP3982" s="165" t="str">
        <f t="shared" si="1231"/>
        <v>TBATBA</v>
      </c>
      <c r="AQ3982" s="203" t="str">
        <f t="shared" si="1232"/>
        <v>TBATBARMB</v>
      </c>
      <c r="AR3982" s="206" t="str">
        <f t="shared" si="1233"/>
        <v>YAMAHA_Mounter</v>
      </c>
      <c r="AS3982" s="22" t="str">
        <f t="shared" si="1234"/>
        <v/>
      </c>
      <c r="AT3982" s="24" t="str">
        <f t="shared" si="1235"/>
        <v/>
      </c>
      <c r="AU3982" s="22" t="s">
        <v>3751</v>
      </c>
    </row>
    <row r="3983" spans="1:47">
      <c r="A3983" s="33" t="str">
        <f t="shared" si="1198"/>
        <v>FY 24/25</v>
      </c>
      <c r="B3983" s="23">
        <v>2025</v>
      </c>
      <c r="C3983" s="23">
        <v>3</v>
      </c>
      <c r="D3983" s="202" t="str">
        <f t="shared" si="1211"/>
        <v>Q4</v>
      </c>
      <c r="E3983" s="33" t="str">
        <f t="shared" si="1197"/>
        <v>TBA</v>
      </c>
      <c r="F3983" s="23" t="s">
        <v>2584</v>
      </c>
      <c r="G3983" s="23" t="s">
        <v>2584</v>
      </c>
      <c r="H3983" s="29"/>
      <c r="I3983" s="204" t="str">
        <f t="shared" si="1214"/>
        <v>TBA</v>
      </c>
      <c r="J3983" s="188" t="s">
        <v>3733</v>
      </c>
      <c r="K3983" s="29" t="s">
        <v>3734</v>
      </c>
      <c r="L3983" s="24" t="s">
        <v>3698</v>
      </c>
      <c r="M3983" s="13" t="s">
        <v>60</v>
      </c>
      <c r="N3983" s="22">
        <v>1</v>
      </c>
      <c r="O3983" s="22"/>
      <c r="P3983" s="202" t="str">
        <f t="shared" si="1208"/>
        <v>MAIN UNIT</v>
      </c>
      <c r="Q3983" s="22" t="s">
        <v>61</v>
      </c>
      <c r="R3983" s="22" t="s">
        <v>62</v>
      </c>
      <c r="S3983" s="22" t="s">
        <v>49</v>
      </c>
      <c r="T3983" s="22" t="s">
        <v>78</v>
      </c>
      <c r="U3983" s="22" t="s">
        <v>839</v>
      </c>
      <c r="V3983" s="22" t="s">
        <v>1407</v>
      </c>
      <c r="W3983" s="22" t="s">
        <v>64</v>
      </c>
      <c r="X3983" s="104">
        <v>980000</v>
      </c>
      <c r="Y3983" s="195" t="str">
        <f t="shared" si="1213"/>
        <v>1.13</v>
      </c>
      <c r="Z3983" s="196">
        <f t="shared" si="1212"/>
        <v>980000</v>
      </c>
      <c r="AA3983" s="22">
        <v>1.0669999999999999</v>
      </c>
      <c r="AB3983" s="197">
        <f t="shared" si="1196"/>
        <v>925362.83185840712</v>
      </c>
      <c r="AC3983" s="198">
        <f t="shared" si="1200"/>
        <v>111043.53982300885</v>
      </c>
      <c r="AD3983" s="169">
        <v>0.12</v>
      </c>
      <c r="AE3983" s="199">
        <f t="shared" si="1229"/>
        <v>0</v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36"/>
        <v>30033846.584070798</v>
      </c>
      <c r="AJ3983" s="200">
        <f t="shared" si="1237"/>
        <v>3534936.4750884958</v>
      </c>
      <c r="AK3983" s="201">
        <f t="shared" si="1230"/>
        <v>0.11769842618039268</v>
      </c>
      <c r="AL3983" s="24"/>
      <c r="AM3983" s="24"/>
      <c r="AN3983" s="24"/>
      <c r="AO3983" s="24"/>
      <c r="AP3983" s="165" t="str">
        <f t="shared" si="1231"/>
        <v>TBATBA</v>
      </c>
      <c r="AQ3983" s="203" t="str">
        <f t="shared" si="1232"/>
        <v>TBATBARMB</v>
      </c>
      <c r="AR3983" s="206" t="str">
        <f t="shared" si="1233"/>
        <v>YAMAHA_Mounter</v>
      </c>
      <c r="AS3983" s="22" t="str">
        <f t="shared" si="1206"/>
        <v/>
      </c>
      <c r="AT3983" s="24" t="str">
        <f t="shared" si="1207"/>
        <v/>
      </c>
      <c r="AU3983" s="22" t="s">
        <v>3751</v>
      </c>
    </row>
    <row r="3984" spans="1:47">
      <c r="A3984" s="33" t="str">
        <f t="shared" si="1198"/>
        <v>FY 24/25</v>
      </c>
      <c r="B3984" s="23">
        <v>2025</v>
      </c>
      <c r="C3984" s="23">
        <v>3</v>
      </c>
      <c r="D3984" s="202" t="str">
        <f t="shared" si="1211"/>
        <v>Q4</v>
      </c>
      <c r="E3984" s="33" t="str">
        <f t="shared" si="1197"/>
        <v>TBA</v>
      </c>
      <c r="F3984" s="23" t="s">
        <v>2584</v>
      </c>
      <c r="G3984" s="23" t="s">
        <v>2584</v>
      </c>
      <c r="H3984" s="29"/>
      <c r="I3984" s="204" t="str">
        <f t="shared" si="1214"/>
        <v>TBA</v>
      </c>
      <c r="J3984" s="188" t="s">
        <v>3733</v>
      </c>
      <c r="K3984" s="29" t="s">
        <v>3734</v>
      </c>
      <c r="L3984" s="24" t="s">
        <v>3698</v>
      </c>
      <c r="M3984" s="13" t="s">
        <v>60</v>
      </c>
      <c r="N3984" s="22">
        <v>1</v>
      </c>
      <c r="O3984" s="22"/>
      <c r="P3984" s="202" t="str">
        <f t="shared" si="1208"/>
        <v>MAIN UNIT</v>
      </c>
      <c r="Q3984" s="22" t="s">
        <v>61</v>
      </c>
      <c r="R3984" s="22" t="s">
        <v>62</v>
      </c>
      <c r="S3984" s="22" t="s">
        <v>49</v>
      </c>
      <c r="T3984" s="22" t="s">
        <v>78</v>
      </c>
      <c r="U3984" s="22" t="s">
        <v>839</v>
      </c>
      <c r="V3984" s="22" t="s">
        <v>1407</v>
      </c>
      <c r="W3984" s="22" t="s">
        <v>64</v>
      </c>
      <c r="X3984" s="104">
        <v>980000</v>
      </c>
      <c r="Y3984" s="195" t="str">
        <f t="shared" si="1213"/>
        <v>1.13</v>
      </c>
      <c r="Z3984" s="196">
        <f t="shared" si="1212"/>
        <v>980000</v>
      </c>
      <c r="AA3984" s="22">
        <v>1.0669999999999999</v>
      </c>
      <c r="AB3984" s="197">
        <f t="shared" si="1196"/>
        <v>925362.83185840712</v>
      </c>
      <c r="AC3984" s="198">
        <f t="shared" si="1200"/>
        <v>111043.53982300885</v>
      </c>
      <c r="AD3984" s="169">
        <v>0.12</v>
      </c>
      <c r="AE3984" s="199">
        <f t="shared" si="1229"/>
        <v>0</v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36"/>
        <v>30033846.584070798</v>
      </c>
      <c r="AJ3984" s="200">
        <f t="shared" si="1237"/>
        <v>3534936.4750884958</v>
      </c>
      <c r="AK3984" s="201">
        <f t="shared" si="1230"/>
        <v>0.11769842618039268</v>
      </c>
      <c r="AL3984" s="24"/>
      <c r="AM3984" s="24"/>
      <c r="AN3984" s="24"/>
      <c r="AO3984" s="24"/>
      <c r="AP3984" s="165" t="str">
        <f t="shared" si="1231"/>
        <v>TBATBA</v>
      </c>
      <c r="AQ3984" s="203" t="str">
        <f t="shared" si="1232"/>
        <v>TBATBARMB</v>
      </c>
      <c r="AR3984" s="206" t="str">
        <f t="shared" si="1233"/>
        <v>YAMAHA_Mounter</v>
      </c>
      <c r="AS3984" s="22" t="str">
        <f t="shared" si="1206"/>
        <v/>
      </c>
      <c r="AT3984" s="24" t="str">
        <f t="shared" si="1207"/>
        <v/>
      </c>
      <c r="AU3984" s="22" t="s">
        <v>3751</v>
      </c>
    </row>
    <row r="3985" spans="1:47">
      <c r="A3985" s="33" t="str">
        <f t="shared" si="1198"/>
        <v>FY 24/25</v>
      </c>
      <c r="B3985" s="23">
        <v>2025</v>
      </c>
      <c r="C3985" s="23">
        <v>3</v>
      </c>
      <c r="D3985" s="202" t="str">
        <f t="shared" si="1211"/>
        <v>Q4</v>
      </c>
      <c r="E3985" s="33" t="str">
        <f t="shared" si="1197"/>
        <v>TBA</v>
      </c>
      <c r="F3985" s="23" t="s">
        <v>2584</v>
      </c>
      <c r="G3985" s="23" t="s">
        <v>2584</v>
      </c>
      <c r="H3985" s="29"/>
      <c r="I3985" s="204" t="str">
        <f t="shared" si="1199"/>
        <v>TBA</v>
      </c>
      <c r="J3985" s="188" t="s">
        <v>3733</v>
      </c>
      <c r="K3985" s="29" t="s">
        <v>3734</v>
      </c>
      <c r="L3985" s="24" t="s">
        <v>92</v>
      </c>
      <c r="M3985" s="13" t="s">
        <v>60</v>
      </c>
      <c r="N3985" s="22">
        <v>1</v>
      </c>
      <c r="O3985" s="22"/>
      <c r="P3985" s="202" t="str">
        <f t="shared" si="1208"/>
        <v>MAIN UNIT</v>
      </c>
      <c r="Q3985" s="22" t="s">
        <v>61</v>
      </c>
      <c r="R3985" s="22" t="s">
        <v>62</v>
      </c>
      <c r="S3985" s="22" t="s">
        <v>49</v>
      </c>
      <c r="T3985" s="22" t="s">
        <v>78</v>
      </c>
      <c r="U3985" s="22" t="s">
        <v>839</v>
      </c>
      <c r="V3985" s="22" t="s">
        <v>1407</v>
      </c>
      <c r="W3985" s="22" t="s">
        <v>64</v>
      </c>
      <c r="X3985" s="104">
        <v>900000</v>
      </c>
      <c r="Y3985" s="195" t="str">
        <f t="shared" si="1213"/>
        <v>1.13</v>
      </c>
      <c r="Z3985" s="196">
        <f t="shared" si="1212"/>
        <v>900000</v>
      </c>
      <c r="AA3985" s="22">
        <v>1.0669999999999999</v>
      </c>
      <c r="AB3985" s="197">
        <f t="shared" si="1196"/>
        <v>849823.00884955749</v>
      </c>
      <c r="AC3985" s="198">
        <f t="shared" si="1200"/>
        <v>101978.76106194689</v>
      </c>
      <c r="AD3985" s="169">
        <v>0.12</v>
      </c>
      <c r="AE3985" s="199">
        <f t="shared" si="1229"/>
        <v>0</v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36"/>
        <v>30033846.584070798</v>
      </c>
      <c r="AJ3985" s="200">
        <f t="shared" si="1237"/>
        <v>3534936.4750884958</v>
      </c>
      <c r="AK3985" s="201">
        <f t="shared" si="1230"/>
        <v>0.11769842618039268</v>
      </c>
      <c r="AL3985" s="24"/>
      <c r="AM3985" s="24"/>
      <c r="AN3985" s="24"/>
      <c r="AO3985" s="24"/>
      <c r="AP3985" s="165" t="str">
        <f t="shared" si="1231"/>
        <v>TBATBA</v>
      </c>
      <c r="AQ3985" s="203" t="str">
        <f t="shared" si="1232"/>
        <v>TBATBARMB</v>
      </c>
      <c r="AR3985" s="206" t="str">
        <f t="shared" si="1233"/>
        <v>YAMAHA_Mounter</v>
      </c>
      <c r="AS3985" s="22" t="str">
        <f t="shared" si="1206"/>
        <v/>
      </c>
      <c r="AT3985" s="24" t="str">
        <f t="shared" si="1207"/>
        <v/>
      </c>
      <c r="AU3985" s="22" t="s">
        <v>3751</v>
      </c>
    </row>
    <row r="3986" spans="1:47">
      <c r="A3986" s="33" t="str">
        <f t="shared" si="1198"/>
        <v>FY 24/25</v>
      </c>
      <c r="B3986" s="23">
        <v>2025</v>
      </c>
      <c r="C3986" s="23">
        <v>3</v>
      </c>
      <c r="D3986" s="202" t="str">
        <f t="shared" si="1211"/>
        <v>Q4</v>
      </c>
      <c r="E3986" s="33" t="str">
        <f t="shared" si="1197"/>
        <v>TBA</v>
      </c>
      <c r="F3986" s="23" t="s">
        <v>2584</v>
      </c>
      <c r="G3986" s="23" t="s">
        <v>2584</v>
      </c>
      <c r="H3986" s="29"/>
      <c r="I3986" s="204" t="str">
        <f t="shared" si="1199"/>
        <v>TBA</v>
      </c>
      <c r="J3986" s="188" t="s">
        <v>3733</v>
      </c>
      <c r="K3986" s="29" t="s">
        <v>3734</v>
      </c>
      <c r="L3986" s="24" t="s">
        <v>67</v>
      </c>
      <c r="M3986" s="13" t="s">
        <v>60</v>
      </c>
      <c r="N3986" s="22">
        <v>1</v>
      </c>
      <c r="O3986" s="22"/>
      <c r="P3986" s="202" t="str">
        <f t="shared" si="1208"/>
        <v>MAIN UNIT</v>
      </c>
      <c r="Q3986" s="22" t="s">
        <v>61</v>
      </c>
      <c r="R3986" s="22" t="s">
        <v>62</v>
      </c>
      <c r="S3986" s="22" t="s">
        <v>49</v>
      </c>
      <c r="T3986" s="22" t="s">
        <v>78</v>
      </c>
      <c r="U3986" s="22" t="s">
        <v>839</v>
      </c>
      <c r="V3986" s="22" t="s">
        <v>1407</v>
      </c>
      <c r="W3986" s="22" t="s">
        <v>64</v>
      </c>
      <c r="X3986" s="104">
        <v>680000</v>
      </c>
      <c r="Y3986" s="195" t="str">
        <f t="shared" si="1213"/>
        <v>1.13</v>
      </c>
      <c r="Z3986" s="196">
        <f t="shared" si="1212"/>
        <v>680000</v>
      </c>
      <c r="AA3986" s="22">
        <v>1.0669999999999999</v>
      </c>
      <c r="AB3986" s="197">
        <f t="shared" ref="AB3986:AB3994" si="1238">IF(AND(R3986&lt;&gt;"C66",R3986&lt;&gt;""),Z3986/Y3986*AA3986,"")</f>
        <v>642088.49557522126</v>
      </c>
      <c r="AC3986" s="198">
        <f t="shared" si="1200"/>
        <v>77050.619469026555</v>
      </c>
      <c r="AD3986" s="169">
        <v>0.12</v>
      </c>
      <c r="AE3986" s="199">
        <f t="shared" si="1229"/>
        <v>0</v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36"/>
        <v>30033846.584070798</v>
      </c>
      <c r="AJ3986" s="200">
        <f t="shared" si="1237"/>
        <v>3534936.4750884958</v>
      </c>
      <c r="AK3986" s="201">
        <f t="shared" si="1230"/>
        <v>0.11769842618039268</v>
      </c>
      <c r="AL3986" s="24"/>
      <c r="AM3986" s="24"/>
      <c r="AN3986" s="24"/>
      <c r="AO3986" s="24"/>
      <c r="AP3986" s="165" t="str">
        <f t="shared" si="1231"/>
        <v>TBATBA</v>
      </c>
      <c r="AQ3986" s="203" t="str">
        <f t="shared" si="1232"/>
        <v>TBATBARMB</v>
      </c>
      <c r="AR3986" s="206" t="str">
        <f t="shared" si="1233"/>
        <v>YAMAHA_Mounter</v>
      </c>
      <c r="AS3986" s="22" t="str">
        <f t="shared" si="1206"/>
        <v/>
      </c>
      <c r="AT3986" s="24" t="str">
        <f t="shared" si="1207"/>
        <v/>
      </c>
      <c r="AU3986" s="22" t="s">
        <v>3751</v>
      </c>
    </row>
    <row r="3987" spans="1:47">
      <c r="A3987" s="33" t="str">
        <f t="shared" si="1198"/>
        <v>FY 24/25</v>
      </c>
      <c r="B3987" s="23">
        <v>2025</v>
      </c>
      <c r="C3987" s="23">
        <v>3</v>
      </c>
      <c r="D3987" s="202" t="str">
        <f t="shared" si="1211"/>
        <v>Q4</v>
      </c>
      <c r="E3987" s="33" t="str">
        <f t="shared" si="1197"/>
        <v>TBA</v>
      </c>
      <c r="F3987" s="23" t="s">
        <v>2584</v>
      </c>
      <c r="G3987" s="23" t="s">
        <v>2584</v>
      </c>
      <c r="H3987" s="29"/>
      <c r="I3987" s="204" t="str">
        <f t="shared" si="1199"/>
        <v>TBA</v>
      </c>
      <c r="J3987" s="188" t="s">
        <v>3733</v>
      </c>
      <c r="K3987" s="29" t="s">
        <v>3734</v>
      </c>
      <c r="L3987" s="24" t="s">
        <v>67</v>
      </c>
      <c r="M3987" s="13" t="s">
        <v>60</v>
      </c>
      <c r="N3987" s="22">
        <v>1</v>
      </c>
      <c r="O3987" s="22"/>
      <c r="P3987" s="202" t="str">
        <f t="shared" si="1208"/>
        <v>MAIN UNIT</v>
      </c>
      <c r="Q3987" s="22" t="s">
        <v>61</v>
      </c>
      <c r="R3987" s="22" t="s">
        <v>62</v>
      </c>
      <c r="S3987" s="22" t="s">
        <v>49</v>
      </c>
      <c r="T3987" s="22" t="s">
        <v>78</v>
      </c>
      <c r="U3987" s="22" t="s">
        <v>839</v>
      </c>
      <c r="V3987" s="22" t="s">
        <v>1407</v>
      </c>
      <c r="W3987" s="22" t="s">
        <v>64</v>
      </c>
      <c r="X3987" s="104">
        <v>680000</v>
      </c>
      <c r="Y3987" s="195" t="str">
        <f t="shared" si="1213"/>
        <v>1.13</v>
      </c>
      <c r="Z3987" s="196">
        <f t="shared" si="1212"/>
        <v>680000</v>
      </c>
      <c r="AA3987" s="22">
        <v>1.0669999999999999</v>
      </c>
      <c r="AB3987" s="197">
        <f t="shared" si="1238"/>
        <v>642088.49557522126</v>
      </c>
      <c r="AC3987" s="198">
        <f t="shared" si="1200"/>
        <v>77050.619469026555</v>
      </c>
      <c r="AD3987" s="169">
        <v>0.12</v>
      </c>
      <c r="AE3987" s="199">
        <f t="shared" si="1229"/>
        <v>0</v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36"/>
        <v>30033846.584070798</v>
      </c>
      <c r="AJ3987" s="200">
        <f t="shared" si="1237"/>
        <v>3534936.4750884958</v>
      </c>
      <c r="AK3987" s="201">
        <f t="shared" si="1230"/>
        <v>0.11769842618039268</v>
      </c>
      <c r="AL3987" s="24"/>
      <c r="AM3987" s="24"/>
      <c r="AN3987" s="24"/>
      <c r="AO3987" s="24"/>
      <c r="AP3987" s="165" t="str">
        <f t="shared" si="1203"/>
        <v>TBATBA</v>
      </c>
      <c r="AQ3987" s="203" t="str">
        <f t="shared" si="1204"/>
        <v>TBATBARMB</v>
      </c>
      <c r="AR3987" s="206" t="str">
        <f t="shared" si="1205"/>
        <v>YAMAHA_Mounter</v>
      </c>
      <c r="AS3987" s="22" t="str">
        <f t="shared" si="1206"/>
        <v/>
      </c>
      <c r="AT3987" s="24" t="str">
        <f t="shared" si="1207"/>
        <v/>
      </c>
      <c r="AU3987" s="22" t="s">
        <v>3751</v>
      </c>
    </row>
    <row r="3988" spans="1:47">
      <c r="A3988" s="33" t="str">
        <f t="shared" si="1198"/>
        <v>FY 24/25</v>
      </c>
      <c r="B3988" s="23">
        <v>2025</v>
      </c>
      <c r="C3988" s="23">
        <v>3</v>
      </c>
      <c r="D3988" s="202" t="str">
        <f t="shared" si="1211"/>
        <v>Q4</v>
      </c>
      <c r="E3988" s="33" t="str">
        <f t="shared" si="1197"/>
        <v>TBA</v>
      </c>
      <c r="F3988" s="23" t="s">
        <v>2584</v>
      </c>
      <c r="G3988" s="23" t="s">
        <v>2584</v>
      </c>
      <c r="H3988" s="29"/>
      <c r="I3988" s="204" t="str">
        <f t="shared" si="1199"/>
        <v>TBA</v>
      </c>
      <c r="J3988" s="188" t="s">
        <v>3735</v>
      </c>
      <c r="K3988" s="29" t="s">
        <v>3736</v>
      </c>
      <c r="L3988" s="24" t="s">
        <v>67</v>
      </c>
      <c r="M3988" s="13" t="s">
        <v>60</v>
      </c>
      <c r="N3988" s="22">
        <v>1</v>
      </c>
      <c r="O3988" s="22"/>
      <c r="P3988" s="202" t="str">
        <f t="shared" si="1208"/>
        <v>MAIN UNIT</v>
      </c>
      <c r="Q3988" s="22" t="s">
        <v>68</v>
      </c>
      <c r="R3988" s="22" t="s">
        <v>62</v>
      </c>
      <c r="S3988" s="22" t="s">
        <v>50</v>
      </c>
      <c r="T3988" s="22" t="s">
        <v>88</v>
      </c>
      <c r="U3988" s="22" t="s">
        <v>70</v>
      </c>
      <c r="V3988" s="22" t="s">
        <v>1400</v>
      </c>
      <c r="W3988" s="22" t="s">
        <v>64</v>
      </c>
      <c r="X3988" s="104">
        <v>410000</v>
      </c>
      <c r="Y3988" s="195" t="str">
        <f t="shared" si="1213"/>
        <v>1.13</v>
      </c>
      <c r="Z3988" s="196">
        <f t="shared" si="1212"/>
        <v>410000</v>
      </c>
      <c r="AA3988" s="22">
        <v>1.0669999999999999</v>
      </c>
      <c r="AB3988" s="197">
        <f t="shared" si="1238"/>
        <v>387141.59292035404</v>
      </c>
      <c r="AC3988" s="198">
        <f t="shared" si="1200"/>
        <v>46456.991150442482</v>
      </c>
      <c r="AD3988" s="169">
        <v>0.12</v>
      </c>
      <c r="AE3988" s="199">
        <f t="shared" si="1229"/>
        <v>1</v>
      </c>
      <c r="AF3988" s="199">
        <f>IF(AND(COUNTIFS($J$18:J3988,J3988)=1,AE3988=1),1,"")</f>
        <v>1</v>
      </c>
      <c r="AG3988" s="199">
        <f>IF(C3988="","",IF(AND(COUNTIFS($J$18:J3988,J3988)=1,C3988&lt;&gt;""),1,""))</f>
        <v>1</v>
      </c>
      <c r="AH3988" s="199">
        <f>IF(G3988="","",IF(AND(COUNTIFS($J$18:J3988,J3988)=1,G3988&lt;&gt;""),1,""))</f>
        <v>1</v>
      </c>
      <c r="AI3988" s="200">
        <f t="shared" si="1236"/>
        <v>30033846.584070798</v>
      </c>
      <c r="AJ3988" s="200">
        <f t="shared" si="1237"/>
        <v>3534936.4750884958</v>
      </c>
      <c r="AK3988" s="201">
        <f t="shared" si="1230"/>
        <v>0.11769842618039268</v>
      </c>
      <c r="AL3988" s="24"/>
      <c r="AM3988" s="24"/>
      <c r="AN3988" s="24"/>
      <c r="AO3988" s="24"/>
      <c r="AP3988" s="165" t="str">
        <f t="shared" si="1203"/>
        <v>TBATBA</v>
      </c>
      <c r="AQ3988" s="203" t="str">
        <f t="shared" si="1204"/>
        <v>TBATBARMB</v>
      </c>
      <c r="AR3988" s="206" t="str">
        <f t="shared" si="1205"/>
        <v>YAMAHA_Mounter</v>
      </c>
      <c r="AS3988" s="22" t="str">
        <f t="shared" si="1206"/>
        <v/>
      </c>
      <c r="AT3988" s="24" t="str">
        <f t="shared" si="1207"/>
        <v/>
      </c>
      <c r="AU3988" s="22" t="s">
        <v>3240</v>
      </c>
    </row>
    <row r="3989" spans="1:47" ht="26.4">
      <c r="A3989" s="33" t="str">
        <f t="shared" si="1198"/>
        <v>FY 24/25</v>
      </c>
      <c r="B3989" s="23">
        <v>2025</v>
      </c>
      <c r="C3989" s="23">
        <v>3</v>
      </c>
      <c r="D3989" s="202" t="str">
        <f t="shared" si="1211"/>
        <v>Q4</v>
      </c>
      <c r="E3989" s="33" t="str">
        <f t="shared" si="1197"/>
        <v>TBA</v>
      </c>
      <c r="F3989" s="23" t="s">
        <v>2584</v>
      </c>
      <c r="G3989" s="23" t="s">
        <v>2584</v>
      </c>
      <c r="H3989" s="29"/>
      <c r="I3989" s="204" t="str">
        <f t="shared" si="1199"/>
        <v>TBA</v>
      </c>
      <c r="J3989" s="188" t="s">
        <v>3737</v>
      </c>
      <c r="K3989" s="29" t="s">
        <v>1446</v>
      </c>
      <c r="L3989" s="24" t="s">
        <v>3738</v>
      </c>
      <c r="M3989" s="13" t="s">
        <v>60</v>
      </c>
      <c r="N3989" s="22"/>
      <c r="O3989" s="22">
        <v>1</v>
      </c>
      <c r="P3989" s="202" t="str">
        <f t="shared" si="1208"/>
        <v>SERVICE/ PARTS</v>
      </c>
      <c r="Q3989" s="22" t="s">
        <v>61</v>
      </c>
      <c r="R3989" s="22" t="s">
        <v>62</v>
      </c>
      <c r="S3989" s="22" t="s">
        <v>52</v>
      </c>
      <c r="T3989" s="22" t="s">
        <v>1659</v>
      </c>
      <c r="U3989" s="22" t="s">
        <v>177</v>
      </c>
      <c r="V3989" s="22" t="s">
        <v>178</v>
      </c>
      <c r="W3989" s="22" t="s">
        <v>64</v>
      </c>
      <c r="X3989" s="104">
        <v>15000</v>
      </c>
      <c r="Y3989" s="195" t="str">
        <f t="shared" si="1213"/>
        <v>1.13</v>
      </c>
      <c r="Z3989" s="196">
        <f t="shared" si="1212"/>
        <v>15000</v>
      </c>
      <c r="AA3989" s="22">
        <v>1.0669999999999999</v>
      </c>
      <c r="AB3989" s="197">
        <f t="shared" si="1238"/>
        <v>14163.716814159292</v>
      </c>
      <c r="AC3989" s="198">
        <f t="shared" si="1200"/>
        <v>1699.646017699115</v>
      </c>
      <c r="AD3989" s="169">
        <v>0.12</v>
      </c>
      <c r="AE3989" s="199">
        <f t="shared" si="1229"/>
        <v>0</v>
      </c>
      <c r="AF3989" s="199" t="str">
        <f>IF(AND(COUNTIFS($J$18:J3989,J3989)=1,AE3989=1),1,"")</f>
        <v/>
      </c>
      <c r="AG3989" s="199">
        <f>IF(C3989="","",IF(AND(COUNTIFS($J$18:J3989,J3989)=1,C3989&lt;&gt;""),1,""))</f>
        <v>1</v>
      </c>
      <c r="AH3989" s="199">
        <f>IF(G3989="","",IF(AND(COUNTIFS($J$18:J3989,J3989)=1,G3989&lt;&gt;""),1,""))</f>
        <v>1</v>
      </c>
      <c r="AI3989" s="200">
        <f t="shared" si="1236"/>
        <v>30033846.584070798</v>
      </c>
      <c r="AJ3989" s="200">
        <f t="shared" si="1237"/>
        <v>3534936.4750884958</v>
      </c>
      <c r="AK3989" s="201">
        <f t="shared" si="1230"/>
        <v>0.11769842618039268</v>
      </c>
      <c r="AL3989" s="24"/>
      <c r="AM3989" s="24"/>
      <c r="AN3989" s="24"/>
      <c r="AO3989" s="24"/>
      <c r="AP3989" s="165" t="str">
        <f t="shared" si="1203"/>
        <v>TBATBA</v>
      </c>
      <c r="AQ3989" s="203" t="str">
        <f t="shared" si="1204"/>
        <v>TBATBARMB</v>
      </c>
      <c r="AR3989" s="206" t="str">
        <f t="shared" si="1205"/>
        <v>YAMAHA_Mounter</v>
      </c>
      <c r="AS3989" s="22" t="str">
        <f t="shared" si="1206"/>
        <v/>
      </c>
      <c r="AT3989" s="24" t="str">
        <f t="shared" si="1207"/>
        <v/>
      </c>
      <c r="AU3989" s="22" t="s">
        <v>3240</v>
      </c>
    </row>
    <row r="3990" spans="1:47">
      <c r="A3990" s="33" t="str">
        <f t="shared" si="1198"/>
        <v>FY 24/25</v>
      </c>
      <c r="B3990" s="23">
        <v>2025</v>
      </c>
      <c r="C3990" s="23">
        <v>3</v>
      </c>
      <c r="D3990" s="202" t="str">
        <f t="shared" si="1211"/>
        <v>Q4</v>
      </c>
      <c r="E3990" s="33" t="str">
        <f t="shared" si="1197"/>
        <v>TBA</v>
      </c>
      <c r="F3990" s="23" t="s">
        <v>2584</v>
      </c>
      <c r="G3990" s="23" t="s">
        <v>2584</v>
      </c>
      <c r="H3990" s="29"/>
      <c r="I3990" s="204" t="str">
        <f t="shared" si="1199"/>
        <v>TBA</v>
      </c>
      <c r="J3990" s="188" t="s">
        <v>3739</v>
      </c>
      <c r="K3990" s="29" t="s">
        <v>3377</v>
      </c>
      <c r="L3990" s="24" t="s">
        <v>67</v>
      </c>
      <c r="M3990" s="13" t="s">
        <v>60</v>
      </c>
      <c r="N3990" s="22">
        <v>1</v>
      </c>
      <c r="O3990" s="22"/>
      <c r="P3990" s="202" t="str">
        <f t="shared" si="1208"/>
        <v>MAIN UNIT</v>
      </c>
      <c r="Q3990" s="22" t="s">
        <v>61</v>
      </c>
      <c r="R3990" s="22" t="s">
        <v>62</v>
      </c>
      <c r="S3990" s="22" t="s">
        <v>49</v>
      </c>
      <c r="T3990" s="22" t="s">
        <v>78</v>
      </c>
      <c r="U3990" s="22" t="s">
        <v>3740</v>
      </c>
      <c r="V3990" s="22" t="s">
        <v>126</v>
      </c>
      <c r="W3990" s="22" t="s">
        <v>64</v>
      </c>
      <c r="X3990" s="104">
        <v>386000</v>
      </c>
      <c r="Y3990" s="195" t="str">
        <f t="shared" si="1213"/>
        <v>1.13</v>
      </c>
      <c r="Z3990" s="196">
        <f t="shared" si="1212"/>
        <v>386000</v>
      </c>
      <c r="AA3990" s="22">
        <v>1.0669999999999999</v>
      </c>
      <c r="AB3990" s="197">
        <f t="shared" si="1238"/>
        <v>364479.64601769909</v>
      </c>
      <c r="AC3990" s="198">
        <f t="shared" si="1200"/>
        <v>43737.557522123891</v>
      </c>
      <c r="AD3990" s="169">
        <v>0.12</v>
      </c>
      <c r="AE3990" s="199">
        <f t="shared" si="1229"/>
        <v>0</v>
      </c>
      <c r="AF3990" s="199" t="str">
        <f>IF(AND(COUNTIFS($J$18:J3990,J3990)=1,AE3990=1),1,"")</f>
        <v/>
      </c>
      <c r="AG3990" s="199">
        <f>IF(C3990="","",IF(AND(COUNTIFS($J$18:J3990,J3990)=1,C3990&lt;&gt;""),1,""))</f>
        <v>1</v>
      </c>
      <c r="AH3990" s="199">
        <f>IF(G3990="","",IF(AND(COUNTIFS($J$18:J3990,J3990)=1,G3990&lt;&gt;""),1,""))</f>
        <v>1</v>
      </c>
      <c r="AI3990" s="200">
        <f t="shared" si="1236"/>
        <v>30033846.584070798</v>
      </c>
      <c r="AJ3990" s="200">
        <f t="shared" si="1237"/>
        <v>3534936.4750884958</v>
      </c>
      <c r="AK3990" s="201">
        <f t="shared" si="1230"/>
        <v>0.11769842618039268</v>
      </c>
      <c r="AL3990" s="24"/>
      <c r="AM3990" s="24"/>
      <c r="AN3990" s="24"/>
      <c r="AO3990" s="24"/>
      <c r="AP3990" s="165" t="str">
        <f t="shared" si="1203"/>
        <v>TBATBA</v>
      </c>
      <c r="AQ3990" s="203" t="str">
        <f t="shared" si="1204"/>
        <v>TBATBARMB</v>
      </c>
      <c r="AR3990" s="206" t="str">
        <f t="shared" si="1205"/>
        <v>YAMAHA_Mounter</v>
      </c>
      <c r="AS3990" s="22" t="str">
        <f t="shared" si="1206"/>
        <v/>
      </c>
      <c r="AT3990" s="24" t="str">
        <f t="shared" si="1207"/>
        <v/>
      </c>
      <c r="AU3990" s="22" t="s">
        <v>3751</v>
      </c>
    </row>
    <row r="3991" spans="1:47">
      <c r="A3991" s="33" t="str">
        <f t="shared" si="1198"/>
        <v>FY 24/25</v>
      </c>
      <c r="B3991" s="23">
        <v>2025</v>
      </c>
      <c r="C3991" s="23">
        <v>3</v>
      </c>
      <c r="D3991" s="202" t="str">
        <f t="shared" si="1211"/>
        <v>Q4</v>
      </c>
      <c r="E3991" s="33" t="str">
        <f t="shared" si="1197"/>
        <v>TBA</v>
      </c>
      <c r="F3991" s="23" t="s">
        <v>2584</v>
      </c>
      <c r="G3991" s="23" t="s">
        <v>2584</v>
      </c>
      <c r="H3991" s="29"/>
      <c r="I3991" s="204" t="str">
        <f t="shared" si="1199"/>
        <v>TBA</v>
      </c>
      <c r="J3991" s="188" t="s">
        <v>3741</v>
      </c>
      <c r="K3991" s="29" t="s">
        <v>1536</v>
      </c>
      <c r="L3991" s="24" t="s">
        <v>67</v>
      </c>
      <c r="M3991" s="13" t="s">
        <v>60</v>
      </c>
      <c r="N3991" s="22">
        <v>1</v>
      </c>
      <c r="O3991" s="22"/>
      <c r="P3991" s="202" t="str">
        <f t="shared" si="1208"/>
        <v>MAIN UNIT</v>
      </c>
      <c r="Q3991" s="22" t="s">
        <v>61</v>
      </c>
      <c r="R3991" s="22" t="s">
        <v>62</v>
      </c>
      <c r="S3991" s="22" t="s">
        <v>49</v>
      </c>
      <c r="T3991" s="22" t="s">
        <v>78</v>
      </c>
      <c r="U3991" s="22" t="s">
        <v>78</v>
      </c>
      <c r="V3991" s="22" t="s">
        <v>311</v>
      </c>
      <c r="W3991" s="22" t="s">
        <v>64</v>
      </c>
      <c r="X3991" s="104">
        <v>410000</v>
      </c>
      <c r="Y3991" s="195" t="str">
        <f t="shared" si="1213"/>
        <v>1.13</v>
      </c>
      <c r="Z3991" s="196">
        <f t="shared" si="1212"/>
        <v>410000</v>
      </c>
      <c r="AA3991" s="22">
        <v>1.0669999999999999</v>
      </c>
      <c r="AB3991" s="197">
        <f t="shared" si="1238"/>
        <v>387141.59292035404</v>
      </c>
      <c r="AC3991" s="198">
        <f t="shared" si="1200"/>
        <v>46456.991150442482</v>
      </c>
      <c r="AD3991" s="169">
        <v>0.12</v>
      </c>
      <c r="AE3991" s="199">
        <f t="shared" si="1201"/>
        <v>0</v>
      </c>
      <c r="AF3991" s="199" t="str">
        <f>IF(AND(COUNTIFS($J$18:J3991,J3991)=1,AE3991=1),1,"")</f>
        <v/>
      </c>
      <c r="AG3991" s="199">
        <f>IF(C3991="","",IF(AND(COUNTIFS($J$18:J3991,J3991)=1,C3991&lt;&gt;""),1,""))</f>
        <v>1</v>
      </c>
      <c r="AH3991" s="199">
        <f>IF(G3991="","",IF(AND(COUNTIFS($J$18:J3991,J3991)=1,G3991&lt;&gt;""),1,""))</f>
        <v>1</v>
      </c>
      <c r="AI3991" s="200">
        <f t="shared" si="1236"/>
        <v>30033846.584070798</v>
      </c>
      <c r="AJ3991" s="200">
        <f t="shared" si="1237"/>
        <v>3534936.4750884958</v>
      </c>
      <c r="AK3991" s="201">
        <f t="shared" si="1202"/>
        <v>0.11769842618039268</v>
      </c>
      <c r="AL3991" s="24"/>
      <c r="AM3991" s="24"/>
      <c r="AN3991" s="24"/>
      <c r="AO3991" s="24"/>
      <c r="AP3991" s="165" t="str">
        <f t="shared" si="1203"/>
        <v>TBATBA</v>
      </c>
      <c r="AQ3991" s="203" t="str">
        <f t="shared" si="1204"/>
        <v>TBATBARMB</v>
      </c>
      <c r="AR3991" s="206" t="str">
        <f t="shared" si="1205"/>
        <v>YAMAHA_Mounter</v>
      </c>
      <c r="AS3991" s="22" t="str">
        <f t="shared" si="1206"/>
        <v/>
      </c>
      <c r="AT3991" s="24" t="str">
        <f t="shared" si="1207"/>
        <v/>
      </c>
      <c r="AU3991" s="22" t="s">
        <v>3751</v>
      </c>
    </row>
    <row r="3992" spans="1:47">
      <c r="A3992" s="33" t="str">
        <f t="shared" si="1198"/>
        <v>FY 24/25</v>
      </c>
      <c r="B3992" s="23">
        <v>2025</v>
      </c>
      <c r="C3992" s="23">
        <v>3</v>
      </c>
      <c r="D3992" s="202" t="str">
        <f t="shared" si="1211"/>
        <v>Q4</v>
      </c>
      <c r="E3992" s="33" t="str">
        <f t="shared" ref="E3992:E4001" si="1239">IF(G3992="Cancel","Cancel",IF(G3992="TBA","TBA",IFERROR(IF(I3992="Q4","FY "&amp;RIGHT(F3992,2)-1&amp;"/"&amp;RIGHT(F3992,2),"FY "&amp;RIGHT(F3992,2)&amp;"/"&amp;RIGHT(F3992,2)+1),"")))</f>
        <v>TBA</v>
      </c>
      <c r="F3992" s="23" t="s">
        <v>2584</v>
      </c>
      <c r="G3992" s="23" t="s">
        <v>2584</v>
      </c>
      <c r="H3992" s="29"/>
      <c r="I3992" s="204" t="str">
        <f t="shared" si="1199"/>
        <v>TBA</v>
      </c>
      <c r="J3992" s="188" t="s">
        <v>3742</v>
      </c>
      <c r="K3992" s="29" t="s">
        <v>903</v>
      </c>
      <c r="L3992" s="24" t="s">
        <v>67</v>
      </c>
      <c r="M3992" s="13" t="s">
        <v>60</v>
      </c>
      <c r="N3992" s="22">
        <v>1</v>
      </c>
      <c r="O3992" s="22"/>
      <c r="P3992" s="202" t="str">
        <f t="shared" si="1208"/>
        <v>MAIN UNIT</v>
      </c>
      <c r="Q3992" s="22" t="s">
        <v>61</v>
      </c>
      <c r="R3992" s="22" t="s">
        <v>62</v>
      </c>
      <c r="S3992" s="22" t="s">
        <v>49</v>
      </c>
      <c r="T3992" s="22" t="s">
        <v>78</v>
      </c>
      <c r="U3992" s="22" t="s">
        <v>78</v>
      </c>
      <c r="V3992" s="22" t="s">
        <v>112</v>
      </c>
      <c r="W3992" s="22" t="s">
        <v>64</v>
      </c>
      <c r="X3992" s="104">
        <v>393000</v>
      </c>
      <c r="Y3992" s="195" t="str">
        <f t="shared" si="1213"/>
        <v>1.13</v>
      </c>
      <c r="Z3992" s="196">
        <f t="shared" si="1212"/>
        <v>393000</v>
      </c>
      <c r="AA3992" s="22">
        <v>1.0669999999999999</v>
      </c>
      <c r="AB3992" s="197">
        <f t="shared" si="1238"/>
        <v>371089.38053097349</v>
      </c>
      <c r="AC3992" s="198">
        <f t="shared" si="1200"/>
        <v>44530.725663716818</v>
      </c>
      <c r="AD3992" s="169">
        <v>0.12</v>
      </c>
      <c r="AE3992" s="199">
        <f t="shared" si="1201"/>
        <v>0</v>
      </c>
      <c r="AF3992" s="199" t="str">
        <f>IF(AND(COUNTIFS($J$18:J3992,J3992)=1,AE3992=1),1,"")</f>
        <v/>
      </c>
      <c r="AG3992" s="199">
        <f>IF(C3992="","",IF(AND(COUNTIFS($J$18:J3992,J3992)=1,C3992&lt;&gt;""),1,""))</f>
        <v>1</v>
      </c>
      <c r="AH3992" s="199">
        <f>IF(G3992="","",IF(AND(COUNTIFS($J$18:J3992,J3992)=1,G3992&lt;&gt;""),1,""))</f>
        <v>1</v>
      </c>
      <c r="AI3992" s="200">
        <f t="shared" si="1236"/>
        <v>30033846.584070798</v>
      </c>
      <c r="AJ3992" s="200">
        <f t="shared" si="1237"/>
        <v>3534936.4750884958</v>
      </c>
      <c r="AK3992" s="201">
        <f t="shared" si="1202"/>
        <v>0.11769842618039268</v>
      </c>
      <c r="AL3992" s="24"/>
      <c r="AM3992" s="24"/>
      <c r="AN3992" s="24"/>
      <c r="AO3992" s="24"/>
      <c r="AP3992" s="165" t="str">
        <f t="shared" si="1203"/>
        <v>TBATBA</v>
      </c>
      <c r="AQ3992" s="203" t="str">
        <f t="shared" si="1204"/>
        <v>TBATBARMB</v>
      </c>
      <c r="AR3992" s="206" t="str">
        <f t="shared" si="1205"/>
        <v>YAMAHA_Mounter</v>
      </c>
      <c r="AS3992" s="22" t="str">
        <f t="shared" si="1206"/>
        <v/>
      </c>
      <c r="AT3992" s="24" t="str">
        <f t="shared" si="1207"/>
        <v/>
      </c>
      <c r="AU3992" s="22" t="str" cm="1">
        <f t="array" ref="AU3992">IFERROR(
    IF(ISNUMBER(SEARCH("DAP", INDEX('[1]Raw data'!$AG:$AG, MATCH(1, ('[1]Raw data'!$C:$C=J3992) * ('[1]Raw data'!$Y:$Y=X3992), 0)))), "DAP",
    IF(ISNUMBER(SEARCH("CIF", INDEX('[1]Raw data'!$AG:$AG, MATCH(1, ('[1]Raw data'!$C:$C=J3992) * ('[1]Raw data'!$Y:$Y=X3992), 0)))), "CIF",
    IF(ISNUMBER(SEARCH("DDP", INDEX('[1]Raw data'!$AG:$AG, MATCH(1, ('[1]Raw data'!$C:$C=J3992) * ('[1]Raw data'!$Y:$Y=X3992), 0)))), "DDP",
    INDEX('[1]Raw data'!$AG:$AG, MATCH(1, ('[1]Raw data'!$C:$C=J3992) * ('[1]Raw data'!$Y:$Y=X3992), 0))))),
"NA")</f>
        <v>NA</v>
      </c>
    </row>
    <row r="3993" spans="1:47">
      <c r="A3993" s="33" t="str">
        <f t="shared" si="1198"/>
        <v>FY 24/25</v>
      </c>
      <c r="B3993" s="23">
        <v>2025</v>
      </c>
      <c r="C3993" s="23">
        <v>3</v>
      </c>
      <c r="D3993" s="202" t="str">
        <f t="shared" si="1211"/>
        <v>Q4</v>
      </c>
      <c r="E3993" s="33" t="str">
        <f t="shared" si="1239"/>
        <v>TBA</v>
      </c>
      <c r="F3993" s="23" t="s">
        <v>2584</v>
      </c>
      <c r="G3993" s="23" t="s">
        <v>2584</v>
      </c>
      <c r="H3993" s="29"/>
      <c r="I3993" s="204" t="str">
        <f t="shared" si="1199"/>
        <v>TBA</v>
      </c>
      <c r="J3993" s="188" t="s">
        <v>3742</v>
      </c>
      <c r="K3993" s="29" t="s">
        <v>903</v>
      </c>
      <c r="L3993" s="24" t="s">
        <v>67</v>
      </c>
      <c r="M3993" s="13" t="s">
        <v>60</v>
      </c>
      <c r="N3993" s="22">
        <v>1</v>
      </c>
      <c r="O3993" s="22"/>
      <c r="P3993" s="202" t="str">
        <f t="shared" si="1208"/>
        <v>MAIN UNIT</v>
      </c>
      <c r="Q3993" s="22" t="s">
        <v>61</v>
      </c>
      <c r="R3993" s="22" t="s">
        <v>62</v>
      </c>
      <c r="S3993" s="22" t="s">
        <v>49</v>
      </c>
      <c r="T3993" s="22" t="s">
        <v>78</v>
      </c>
      <c r="U3993" s="22" t="s">
        <v>78</v>
      </c>
      <c r="V3993" s="22" t="s">
        <v>112</v>
      </c>
      <c r="W3993" s="22" t="s">
        <v>64</v>
      </c>
      <c r="X3993" s="104">
        <v>393000</v>
      </c>
      <c r="Y3993" s="195" t="str">
        <f t="shared" si="1213"/>
        <v>1.13</v>
      </c>
      <c r="Z3993" s="196">
        <f t="shared" si="1212"/>
        <v>393000</v>
      </c>
      <c r="AA3993" s="22">
        <v>1.0669999999999999</v>
      </c>
      <c r="AB3993" s="197">
        <f t="shared" si="1238"/>
        <v>371089.38053097349</v>
      </c>
      <c r="AC3993" s="198">
        <f t="shared" si="1200"/>
        <v>44530.725663716818</v>
      </c>
      <c r="AD3993" s="169">
        <v>0.12</v>
      </c>
      <c r="AE3993" s="199">
        <f t="shared" si="1201"/>
        <v>0</v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36"/>
        <v>30033846.584070798</v>
      </c>
      <c r="AJ3993" s="200">
        <f t="shared" si="1237"/>
        <v>3534936.4750884958</v>
      </c>
      <c r="AK3993" s="201">
        <f t="shared" si="1202"/>
        <v>0.11769842618039268</v>
      </c>
      <c r="AL3993" s="24"/>
      <c r="AM3993" s="24"/>
      <c r="AN3993" s="24"/>
      <c r="AO3993" s="24"/>
      <c r="AP3993" s="165" t="str">
        <f t="shared" si="1203"/>
        <v>TBATBA</v>
      </c>
      <c r="AQ3993" s="203" t="str">
        <f t="shared" si="1204"/>
        <v>TBATBARMB</v>
      </c>
      <c r="AR3993" s="206" t="str">
        <f t="shared" si="1205"/>
        <v>YAMAHA_Mounter</v>
      </c>
      <c r="AS3993" s="22" t="str">
        <f t="shared" si="1206"/>
        <v/>
      </c>
      <c r="AT3993" s="24" t="str">
        <f t="shared" si="1207"/>
        <v/>
      </c>
      <c r="AU3993" s="22" t="str" cm="1">
        <f t="array" ref="AU3993">IFERROR(
    IF(ISNUMBER(SEARCH("DAP", INDEX('[1]Raw data'!$AG:$AG, MATCH(1, ('[1]Raw data'!$C:$C=J3993) * ('[1]Raw data'!$Y:$Y=X3993), 0)))), "DAP",
    IF(ISNUMBER(SEARCH("CIF", INDEX('[1]Raw data'!$AG:$AG, MATCH(1, ('[1]Raw data'!$C:$C=J3993) * ('[1]Raw data'!$Y:$Y=X3993), 0)))), "CIF",
    IF(ISNUMBER(SEARCH("DDP", INDEX('[1]Raw data'!$AG:$AG, MATCH(1, ('[1]Raw data'!$C:$C=J3993) * ('[1]Raw data'!$Y:$Y=X3993), 0)))), "DDP",
    INDEX('[1]Raw data'!$AG:$AG, MATCH(1, ('[1]Raw data'!$C:$C=J3993) * ('[1]Raw data'!$Y:$Y=X3993), 0))))),
"NA")</f>
        <v>NA</v>
      </c>
    </row>
    <row r="3994" spans="1:47">
      <c r="A3994" s="33" t="str">
        <f t="shared" si="1198"/>
        <v>FY 24/25</v>
      </c>
      <c r="B3994" s="23">
        <v>2025</v>
      </c>
      <c r="C3994" s="23">
        <v>3</v>
      </c>
      <c r="D3994" s="202" t="str">
        <f t="shared" si="1211"/>
        <v>Q4</v>
      </c>
      <c r="E3994" s="33" t="str">
        <f t="shared" si="1239"/>
        <v>TBA</v>
      </c>
      <c r="F3994" s="23" t="s">
        <v>2584</v>
      </c>
      <c r="G3994" s="23" t="s">
        <v>2584</v>
      </c>
      <c r="H3994" s="29"/>
      <c r="I3994" s="204" t="str">
        <f t="shared" si="1199"/>
        <v>TBA</v>
      </c>
      <c r="J3994" s="188" t="s">
        <v>3755</v>
      </c>
      <c r="K3994" s="29" t="s">
        <v>91</v>
      </c>
      <c r="L3994" s="24" t="s">
        <v>3717</v>
      </c>
      <c r="M3994" s="13" t="s">
        <v>60</v>
      </c>
      <c r="N3994" s="22">
        <v>1</v>
      </c>
      <c r="O3994" s="22"/>
      <c r="P3994" s="202" t="str">
        <f t="shared" si="1208"/>
        <v>MAIN UNIT</v>
      </c>
      <c r="Q3994" s="22" t="s">
        <v>61</v>
      </c>
      <c r="R3994" s="22" t="s">
        <v>62</v>
      </c>
      <c r="S3994" s="22" t="s">
        <v>50</v>
      </c>
      <c r="T3994" s="22" t="s">
        <v>83</v>
      </c>
      <c r="U3994" s="22" t="s">
        <v>70</v>
      </c>
      <c r="V3994" s="22" t="s">
        <v>94</v>
      </c>
      <c r="W3994" s="22" t="s">
        <v>64</v>
      </c>
      <c r="X3994" s="104">
        <v>789386</v>
      </c>
      <c r="Y3994" s="195" t="str">
        <f t="shared" si="1213"/>
        <v>1.13</v>
      </c>
      <c r="Z3994" s="196">
        <f t="shared" si="1212"/>
        <v>789386</v>
      </c>
      <c r="AA3994" s="22">
        <v>1.0669999999999999</v>
      </c>
      <c r="AB3994" s="197">
        <f t="shared" si="1238"/>
        <v>745375.9840707964</v>
      </c>
      <c r="AC3994" s="198">
        <f t="shared" si="1200"/>
        <v>89445.118088495568</v>
      </c>
      <c r="AD3994" s="169">
        <v>0.12</v>
      </c>
      <c r="AE3994" s="199">
        <f t="shared" si="1201"/>
        <v>0</v>
      </c>
      <c r="AF3994" s="199" t="str">
        <f>IF(AND(COUNTIFS($J$18:J3994,J3994)=1,AE3994=1),1,"")</f>
        <v/>
      </c>
      <c r="AG3994" s="199">
        <f>IF(C3994="","",IF(AND(COUNTIFS($J$18:J3994,J3994)=1,C3994&lt;&gt;""),1,""))</f>
        <v>1</v>
      </c>
      <c r="AH3994" s="199">
        <f>IF(G3994="","",IF(AND(COUNTIFS($J$18:J3994,J3994)=1,G3994&lt;&gt;""),1,""))</f>
        <v>1</v>
      </c>
      <c r="AI3994" s="200">
        <f t="shared" si="1236"/>
        <v>30033846.584070798</v>
      </c>
      <c r="AJ3994" s="200">
        <f t="shared" si="1237"/>
        <v>3534936.4750884958</v>
      </c>
      <c r="AK3994" s="201">
        <f t="shared" si="1202"/>
        <v>0.11769842618039268</v>
      </c>
      <c r="AL3994" s="24"/>
      <c r="AM3994" s="24"/>
      <c r="AN3994" s="24"/>
      <c r="AO3994" s="24"/>
      <c r="AP3994" s="165" t="str">
        <f t="shared" si="1203"/>
        <v>TBATBA</v>
      </c>
      <c r="AQ3994" s="203" t="str">
        <f t="shared" si="1204"/>
        <v>TBATBARMB</v>
      </c>
      <c r="AR3994" s="206" t="str">
        <f t="shared" si="1205"/>
        <v>YAMAHA_Mounter</v>
      </c>
      <c r="AS3994" s="22" t="str">
        <f t="shared" si="1206"/>
        <v/>
      </c>
      <c r="AT3994" s="24" t="str">
        <f t="shared" si="1207"/>
        <v/>
      </c>
      <c r="AU3994" s="22" t="str" cm="1">
        <f t="array" ref="AU3994">IFERROR(
    IF(ISNUMBER(SEARCH("DAP", INDEX('[1]Raw data'!$AG:$AG, MATCH(1, ('[1]Raw data'!$C:$C=J3994) * ('[1]Raw data'!$Y:$Y=X3994), 0)))), "DAP",
    IF(ISNUMBER(SEARCH("CIF", INDEX('[1]Raw data'!$AG:$AG, MATCH(1, ('[1]Raw data'!$C:$C=J3994) * ('[1]Raw data'!$Y:$Y=X3994), 0)))), "CIF",
    IF(ISNUMBER(SEARCH("DDP", INDEX('[1]Raw data'!$AG:$AG, MATCH(1, ('[1]Raw data'!$C:$C=J3994) * ('[1]Raw data'!$Y:$Y=X3994), 0)))), "DDP",
    INDEX('[1]Raw data'!$AG:$AG, MATCH(1, ('[1]Raw data'!$C:$C=J3994) * ('[1]Raw data'!$Y:$Y=X3994), 0))))),
"NA")</f>
        <v>NA</v>
      </c>
    </row>
    <row r="3995" spans="1:47">
      <c r="A3995" s="33" t="str">
        <f t="shared" si="1198"/>
        <v>FY 24/25</v>
      </c>
      <c r="B3995" s="23">
        <v>2025</v>
      </c>
      <c r="C3995" s="23">
        <v>3</v>
      </c>
      <c r="D3995" s="202" t="str">
        <f t="shared" si="1211"/>
        <v>Q4</v>
      </c>
      <c r="E3995" s="33" t="str">
        <f t="shared" si="1239"/>
        <v>TBA</v>
      </c>
      <c r="F3995" s="23" t="s">
        <v>2584</v>
      </c>
      <c r="G3995" s="23" t="s">
        <v>2584</v>
      </c>
      <c r="H3995" s="29"/>
      <c r="I3995" s="204" t="str">
        <f t="shared" si="1199"/>
        <v>TBA</v>
      </c>
      <c r="J3995" s="188" t="s">
        <v>3755</v>
      </c>
      <c r="K3995" s="29" t="s">
        <v>91</v>
      </c>
      <c r="L3995" s="24" t="s">
        <v>3717</v>
      </c>
      <c r="M3995" s="13" t="s">
        <v>60</v>
      </c>
      <c r="N3995" s="22">
        <v>1</v>
      </c>
      <c r="O3995" s="22"/>
      <c r="P3995" s="93"/>
      <c r="Q3995" s="22" t="s">
        <v>61</v>
      </c>
      <c r="R3995" s="22" t="s">
        <v>62</v>
      </c>
      <c r="S3995" s="22" t="s">
        <v>50</v>
      </c>
      <c r="T3995" s="22" t="s">
        <v>83</v>
      </c>
      <c r="U3995" s="22" t="s">
        <v>70</v>
      </c>
      <c r="V3995" s="22" t="s">
        <v>94</v>
      </c>
      <c r="W3995" s="22" t="s">
        <v>64</v>
      </c>
      <c r="X3995" s="104">
        <v>789386</v>
      </c>
      <c r="Y3995" s="195" t="str">
        <f t="shared" ref="Y3995:Y4001" si="1240">IF(W3995="","",IF(W3995="RMB","1.13", "1"))</f>
        <v>1.13</v>
      </c>
      <c r="Z3995" s="196">
        <f t="shared" ref="Z3995:Z4001" si="1241">IF(X3995="","",X3995*MAX(O3995,N3995))</f>
        <v>789386</v>
      </c>
      <c r="AA3995" s="22">
        <v>1.0669999999999999</v>
      </c>
      <c r="AB3995" s="197">
        <f t="shared" ref="AB3995:AB4001" si="1242">IF(AND(R3995&lt;&gt;"C66",R3995&lt;&gt;""),Z3995/Y3995*AA3995,"")</f>
        <v>745375.9840707964</v>
      </c>
      <c r="AC3995" s="198">
        <f t="shared" ref="AC3995:AC4001" si="1243">IF(R3995&lt;&gt;"",AB3995*AD3995,"")</f>
        <v>89445.118088495568</v>
      </c>
      <c r="AD3995" s="169">
        <v>0.12</v>
      </c>
      <c r="AE3995" s="199">
        <f t="shared" ref="AE3995:AE4001" si="1244">IF(Q3995="","",IF(Q3995="Yes",1,0))</f>
        <v>0</v>
      </c>
      <c r="AF3995" s="199" t="str">
        <f>IF(AND(COUNTIFS($J$18:J3995,J3995)=1,AE3995=1),1,"")</f>
        <v/>
      </c>
      <c r="AG3995" s="199" t="str">
        <f>IF(C3995="","",IF(AND(COUNTIFS($J$18:J3995,J3995)=1,C3995&lt;&gt;""),1,""))</f>
        <v/>
      </c>
      <c r="AH3995" s="199" t="str">
        <f>IF(G3995="","",IF(AND(COUNTIFS($J$18:J3995,J3995)=1,G3995&lt;&gt;""),1,""))</f>
        <v/>
      </c>
      <c r="AI3995" s="200">
        <f t="shared" ref="AI3995:AI4001" si="1245">IF(P3995="C66 SERVICE","",SUMIFS(AB:AB,F:F,F3995,G:G,G3995,E:E,E3995))</f>
        <v>30033846.584070798</v>
      </c>
      <c r="AJ3995" s="200">
        <f t="shared" ref="AJ3995:AJ4001" si="1246">IF(P3995="C66 SERVICE","",SUMIFS(AC:AC,F:F,F3995,G:G,G3995,E:E,E3995))</f>
        <v>3534936.4750884958</v>
      </c>
      <c r="AK3995" s="201">
        <f t="shared" ref="AK3995:AK4001" si="1247">IF(AJ3995&gt;0,AJ3995/AI3995,"")</f>
        <v>0.11769842618039268</v>
      </c>
      <c r="AL3995" s="24"/>
      <c r="AM3995" s="24"/>
      <c r="AN3995" s="24"/>
      <c r="AO3995" s="24"/>
      <c r="AP3995" s="165" t="str">
        <f t="shared" si="1203"/>
        <v>TBATBA</v>
      </c>
      <c r="AQ3995" s="203" t="str">
        <f t="shared" si="1204"/>
        <v>TBATBARMB</v>
      </c>
      <c r="AR3995" s="206" t="str">
        <f t="shared" si="1205"/>
        <v>YAMAHA_Mounter</v>
      </c>
      <c r="AS3995" s="22" t="str">
        <f t="shared" si="1206"/>
        <v/>
      </c>
      <c r="AT3995" s="24" t="str">
        <f t="shared" si="1207"/>
        <v/>
      </c>
      <c r="AU3995" s="22" t="str" cm="1">
        <f t="array" ref="AU3995">IFERROR(
    IF(ISNUMBER(SEARCH("DAP", INDEX('[1]Raw data'!$AG:$AG, MATCH(1, ('[1]Raw data'!$C:$C=J3995) * ('[1]Raw data'!$Y:$Y=X3995), 0)))), "DAP",
    IF(ISNUMBER(SEARCH("CIF", INDEX('[1]Raw data'!$AG:$AG, MATCH(1, ('[1]Raw data'!$C:$C=J3995) * ('[1]Raw data'!$Y:$Y=X3995), 0)))), "CIF",
    IF(ISNUMBER(SEARCH("DDP", INDEX('[1]Raw data'!$AG:$AG, MATCH(1, ('[1]Raw data'!$C:$C=J3995) * ('[1]Raw data'!$Y:$Y=X3995), 0)))), "DDP",
    INDEX('[1]Raw data'!$AG:$AG, MATCH(1, ('[1]Raw data'!$C:$C=J3995) * ('[1]Raw data'!$Y:$Y=X3995), 0))))),
"NA")</f>
        <v>NA</v>
      </c>
    </row>
    <row r="3996" spans="1:47">
      <c r="A3996" s="33" t="str">
        <f t="shared" si="1198"/>
        <v>FY 24/25</v>
      </c>
      <c r="B3996" s="23">
        <v>2025</v>
      </c>
      <c r="C3996" s="23">
        <v>3</v>
      </c>
      <c r="D3996" s="202" t="str">
        <f t="shared" si="1211"/>
        <v>Q4</v>
      </c>
      <c r="E3996" s="33" t="str">
        <f t="shared" si="1239"/>
        <v>TBA</v>
      </c>
      <c r="F3996" s="23" t="s">
        <v>2584</v>
      </c>
      <c r="G3996" s="23" t="s">
        <v>2584</v>
      </c>
      <c r="H3996" s="29"/>
      <c r="I3996" s="204" t="str">
        <f t="shared" si="1199"/>
        <v>TBA</v>
      </c>
      <c r="J3996" s="188" t="s">
        <v>3755</v>
      </c>
      <c r="K3996" s="29" t="s">
        <v>91</v>
      </c>
      <c r="L3996" s="24" t="s">
        <v>3717</v>
      </c>
      <c r="M3996" s="13" t="s">
        <v>60</v>
      </c>
      <c r="N3996" s="22">
        <v>1</v>
      </c>
      <c r="O3996" s="22"/>
      <c r="P3996" s="93"/>
      <c r="Q3996" s="22" t="s">
        <v>61</v>
      </c>
      <c r="R3996" s="22" t="s">
        <v>62</v>
      </c>
      <c r="S3996" s="22" t="s">
        <v>50</v>
      </c>
      <c r="T3996" s="22" t="s">
        <v>83</v>
      </c>
      <c r="U3996" s="22" t="s">
        <v>70</v>
      </c>
      <c r="V3996" s="22" t="s">
        <v>94</v>
      </c>
      <c r="W3996" s="22" t="s">
        <v>64</v>
      </c>
      <c r="X3996" s="104">
        <v>789386</v>
      </c>
      <c r="Y3996" s="195" t="str">
        <f t="shared" si="1240"/>
        <v>1.13</v>
      </c>
      <c r="Z3996" s="196">
        <f t="shared" si="1241"/>
        <v>789386</v>
      </c>
      <c r="AA3996" s="22">
        <v>1.0669999999999999</v>
      </c>
      <c r="AB3996" s="197">
        <f t="shared" si="1242"/>
        <v>745375.9840707964</v>
      </c>
      <c r="AC3996" s="198">
        <f t="shared" si="1243"/>
        <v>89445.118088495568</v>
      </c>
      <c r="AD3996" s="169">
        <v>0.12</v>
      </c>
      <c r="AE3996" s="199">
        <f t="shared" si="1244"/>
        <v>0</v>
      </c>
      <c r="AF3996" s="199" t="str">
        <f>IF(AND(COUNTIFS($J$18:J3996,J3996)=1,AE3996=1),1,"")</f>
        <v/>
      </c>
      <c r="AG3996" s="199" t="str">
        <f>IF(C3996="","",IF(AND(COUNTIFS($J$18:J3996,J3996)=1,C3996&lt;&gt;""),1,""))</f>
        <v/>
      </c>
      <c r="AH3996" s="199" t="str">
        <f>IF(G3996="","",IF(AND(COUNTIFS($J$18:J3996,J3996)=1,G3996&lt;&gt;""),1,""))</f>
        <v/>
      </c>
      <c r="AI3996" s="200">
        <f t="shared" si="1245"/>
        <v>30033846.584070798</v>
      </c>
      <c r="AJ3996" s="200">
        <f t="shared" si="1246"/>
        <v>3534936.4750884958</v>
      </c>
      <c r="AK3996" s="201">
        <f t="shared" si="1247"/>
        <v>0.11769842618039268</v>
      </c>
      <c r="AL3996" s="24"/>
      <c r="AM3996" s="24"/>
      <c r="AN3996" s="24"/>
      <c r="AO3996" s="24"/>
      <c r="AP3996" s="165" t="str">
        <f t="shared" si="1203"/>
        <v>TBATBA</v>
      </c>
      <c r="AQ3996" s="203" t="str">
        <f t="shared" si="1204"/>
        <v>TBATBARMB</v>
      </c>
      <c r="AR3996" s="206" t="str">
        <f t="shared" si="1205"/>
        <v>YAMAHA_Mounter</v>
      </c>
      <c r="AS3996" s="22" t="str">
        <f t="shared" si="1206"/>
        <v/>
      </c>
      <c r="AT3996" s="24" t="str">
        <f t="shared" si="1207"/>
        <v/>
      </c>
      <c r="AU3996" s="22" t="str" cm="1">
        <f t="array" ref="AU3996">IFERROR(
    IF(ISNUMBER(SEARCH("DAP", INDEX('[1]Raw data'!$AG:$AG, MATCH(1, ('[1]Raw data'!$C:$C=J3996) * ('[1]Raw data'!$Y:$Y=X3996), 0)))), "DAP",
    IF(ISNUMBER(SEARCH("CIF", INDEX('[1]Raw data'!$AG:$AG, MATCH(1, ('[1]Raw data'!$C:$C=J3996) * ('[1]Raw data'!$Y:$Y=X3996), 0)))), "CIF",
    IF(ISNUMBER(SEARCH("DDP", INDEX('[1]Raw data'!$AG:$AG, MATCH(1, ('[1]Raw data'!$C:$C=J3996) * ('[1]Raw data'!$Y:$Y=X3996), 0)))), "DDP",
    INDEX('[1]Raw data'!$AG:$AG, MATCH(1, ('[1]Raw data'!$C:$C=J3996) * ('[1]Raw data'!$Y:$Y=X3996), 0))))),
"NA")</f>
        <v>NA</v>
      </c>
    </row>
    <row r="3997" spans="1:47">
      <c r="A3997" s="33" t="str">
        <f t="shared" si="1198"/>
        <v>FY 24/25</v>
      </c>
      <c r="B3997" s="23">
        <v>2025</v>
      </c>
      <c r="C3997" s="23">
        <v>3</v>
      </c>
      <c r="D3997" s="202" t="str">
        <f t="shared" si="1211"/>
        <v>Q4</v>
      </c>
      <c r="E3997" s="33" t="str">
        <f t="shared" si="1239"/>
        <v>TBA</v>
      </c>
      <c r="F3997" s="23" t="s">
        <v>2584</v>
      </c>
      <c r="G3997" s="23" t="s">
        <v>2584</v>
      </c>
      <c r="H3997" s="29"/>
      <c r="I3997" s="204" t="str">
        <f t="shared" si="1199"/>
        <v>TBA</v>
      </c>
      <c r="J3997" s="188" t="s">
        <v>3755</v>
      </c>
      <c r="K3997" s="29" t="s">
        <v>91</v>
      </c>
      <c r="L3997" s="24" t="s">
        <v>67</v>
      </c>
      <c r="M3997" s="13" t="s">
        <v>60</v>
      </c>
      <c r="N3997" s="22">
        <v>1</v>
      </c>
      <c r="O3997" s="22"/>
      <c r="P3997" s="93"/>
      <c r="Q3997" s="22" t="s">
        <v>61</v>
      </c>
      <c r="R3997" s="22" t="s">
        <v>62</v>
      </c>
      <c r="S3997" s="22" t="s">
        <v>50</v>
      </c>
      <c r="T3997" s="22" t="s">
        <v>83</v>
      </c>
      <c r="U3997" s="22" t="s">
        <v>70</v>
      </c>
      <c r="V3997" s="22" t="s">
        <v>94</v>
      </c>
      <c r="W3997" s="22" t="s">
        <v>64</v>
      </c>
      <c r="X3997" s="104">
        <v>495471</v>
      </c>
      <c r="Y3997" s="195" t="str">
        <f t="shared" si="1240"/>
        <v>1.13</v>
      </c>
      <c r="Z3997" s="196">
        <f t="shared" si="1241"/>
        <v>495471</v>
      </c>
      <c r="AA3997" s="22">
        <v>1.0669999999999999</v>
      </c>
      <c r="AB3997" s="197">
        <f t="shared" si="1242"/>
        <v>467847.39557522128</v>
      </c>
      <c r="AC3997" s="198">
        <f t="shared" si="1243"/>
        <v>56141.687469026554</v>
      </c>
      <c r="AD3997" s="169">
        <v>0.12</v>
      </c>
      <c r="AE3997" s="199">
        <f t="shared" si="1244"/>
        <v>0</v>
      </c>
      <c r="AF3997" s="199" t="str">
        <f>IF(AND(COUNTIFS($J$18:J3997,J3997)=1,AE3997=1),1,"")</f>
        <v/>
      </c>
      <c r="AG3997" s="199" t="str">
        <f>IF(C3997="","",IF(AND(COUNTIFS($J$18:J3997,J3997)=1,C3997&lt;&gt;""),1,""))</f>
        <v/>
      </c>
      <c r="AH3997" s="199" t="str">
        <f>IF(G3997="","",IF(AND(COUNTIFS($J$18:J3997,J3997)=1,G3997&lt;&gt;""),1,""))</f>
        <v/>
      </c>
      <c r="AI3997" s="200">
        <f t="shared" si="1245"/>
        <v>30033846.584070798</v>
      </c>
      <c r="AJ3997" s="200">
        <f t="shared" si="1246"/>
        <v>3534936.4750884958</v>
      </c>
      <c r="AK3997" s="201">
        <f t="shared" si="1247"/>
        <v>0.11769842618039268</v>
      </c>
      <c r="AL3997" s="24"/>
      <c r="AM3997" s="24"/>
      <c r="AN3997" s="24"/>
      <c r="AO3997" s="24"/>
      <c r="AP3997" s="165" t="str">
        <f>IF(F3997="","",F3997&amp;G3997)</f>
        <v>TBATBA</v>
      </c>
      <c r="AQ3997" s="166" t="str">
        <f>IF(W3997="","",F3997&amp;G3997&amp;W3997)</f>
        <v>TBATBARMB</v>
      </c>
      <c r="AR3997" s="206" t="str">
        <f>IFERROR(IF(AND(M3997="YAMAHA", R3997="C28"), "YAMAHA_Non_Mounter", IF(AND(M3997="YAMAHA", R3997="C49"), "YAMAHA_Mounter", M3997)),"")</f>
        <v>YAMAHA_Mounter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  <c r="AU3997" s="22" t="str" cm="1">
        <f t="array" ref="AU3997">IFERROR(
    IF(ISNUMBER(SEARCH("DAP", INDEX('[1]Raw data'!$AG:$AG, MATCH(1, ('[1]Raw data'!$C:$C=J3997) * ('[1]Raw data'!$Y:$Y=X3997), 0)))), "DAP",
    IF(ISNUMBER(SEARCH("CIF", INDEX('[1]Raw data'!$AG:$AG, MATCH(1, ('[1]Raw data'!$C:$C=J3997) * ('[1]Raw data'!$Y:$Y=X3997), 0)))), "CIF",
    IF(ISNUMBER(SEARCH("DDP", INDEX('[1]Raw data'!$AG:$AG, MATCH(1, ('[1]Raw data'!$C:$C=J3997) * ('[1]Raw data'!$Y:$Y=X3997), 0)))), "DDP",
    INDEX('[1]Raw data'!$AG:$AG, MATCH(1, ('[1]Raw data'!$C:$C=J3997) * ('[1]Raw data'!$Y:$Y=X3997), 0))))),
"NA")</f>
        <v>NA</v>
      </c>
    </row>
    <row r="3998" spans="1:47">
      <c r="A3998" s="33" t="str">
        <f t="shared" si="1198"/>
        <v>FY 24/25</v>
      </c>
      <c r="B3998" s="23">
        <v>2025</v>
      </c>
      <c r="C3998" s="23">
        <v>3</v>
      </c>
      <c r="D3998" s="202" t="str">
        <f t="shared" si="1211"/>
        <v>Q4</v>
      </c>
      <c r="E3998" s="33" t="str">
        <f t="shared" si="1239"/>
        <v>TBA</v>
      </c>
      <c r="F3998" s="23" t="s">
        <v>2584</v>
      </c>
      <c r="G3998" s="23" t="s">
        <v>2584</v>
      </c>
      <c r="H3998" s="29"/>
      <c r="I3998" s="204" t="str">
        <f t="shared" si="1199"/>
        <v>TBA</v>
      </c>
      <c r="J3998" s="188" t="s">
        <v>3755</v>
      </c>
      <c r="K3998" s="29" t="s">
        <v>91</v>
      </c>
      <c r="L3998" s="24" t="s">
        <v>67</v>
      </c>
      <c r="M3998" s="13" t="s">
        <v>60</v>
      </c>
      <c r="N3998" s="22">
        <v>1</v>
      </c>
      <c r="O3998" s="22"/>
      <c r="P3998" s="93"/>
      <c r="Q3998" s="22" t="s">
        <v>61</v>
      </c>
      <c r="R3998" s="22" t="s">
        <v>62</v>
      </c>
      <c r="S3998" s="22" t="s">
        <v>50</v>
      </c>
      <c r="T3998" s="22" t="s">
        <v>83</v>
      </c>
      <c r="U3998" s="22" t="s">
        <v>70</v>
      </c>
      <c r="V3998" s="22" t="s">
        <v>94</v>
      </c>
      <c r="W3998" s="22" t="s">
        <v>64</v>
      </c>
      <c r="X3998" s="104">
        <v>495471</v>
      </c>
      <c r="Y3998" s="195" t="str">
        <f t="shared" si="1240"/>
        <v>1.13</v>
      </c>
      <c r="Z3998" s="196">
        <f t="shared" si="1241"/>
        <v>495471</v>
      </c>
      <c r="AA3998" s="22">
        <v>1.0669999999999999</v>
      </c>
      <c r="AB3998" s="197">
        <f t="shared" si="1242"/>
        <v>467847.39557522128</v>
      </c>
      <c r="AC3998" s="198">
        <f t="shared" si="1243"/>
        <v>56141.687469026554</v>
      </c>
      <c r="AD3998" s="169">
        <v>0.12</v>
      </c>
      <c r="AE3998" s="199">
        <f t="shared" si="1244"/>
        <v>0</v>
      </c>
      <c r="AF3998" s="199" t="str">
        <f>IF(AND(COUNTIFS($J$18:J3998,J3998)=1,AE3998=1),1,"")</f>
        <v/>
      </c>
      <c r="AG3998" s="199" t="str">
        <f>IF(C3998="","",IF(AND(COUNTIFS($J$18:J3998,J3998)=1,C3998&lt;&gt;""),1,""))</f>
        <v/>
      </c>
      <c r="AH3998" s="199" t="str">
        <f>IF(G3998="","",IF(AND(COUNTIFS($J$18:J3998,J3998)=1,G3998&lt;&gt;""),1,""))</f>
        <v/>
      </c>
      <c r="AI3998" s="200">
        <f t="shared" si="1245"/>
        <v>30033846.584070798</v>
      </c>
      <c r="AJ3998" s="200">
        <f t="shared" si="1246"/>
        <v>3534936.4750884958</v>
      </c>
      <c r="AK3998" s="201">
        <f t="shared" si="1247"/>
        <v>0.11769842618039268</v>
      </c>
      <c r="AL3998" s="24"/>
      <c r="AM3998" s="24"/>
      <c r="AN3998" s="24"/>
      <c r="AO3998" s="24"/>
      <c r="AP3998" s="165" t="str">
        <f t="shared" ref="AP3998:AP4001" si="1248">IF(F3998="","",F3998&amp;G3998)</f>
        <v>TBATBA</v>
      </c>
      <c r="AQ3998" s="203" t="str">
        <f t="shared" ref="AQ3998:AQ4001" si="1249">IF(W3998="","",F3998&amp;G3998&amp;W3998)</f>
        <v>TBATBARMB</v>
      </c>
      <c r="AR3998" s="206" t="str">
        <f t="shared" ref="AR3998:AR4001" si="1250">IFERROR(IF(AND(M3998="YAMAHA", R3998="C28"), "YAMAHA_Non_Mounter", IF(AND(M3998="YAMAHA", R3998="C49"), "YAMAHA_Mounter", M3998)),"")</f>
        <v>YAMAHA_Mounter</v>
      </c>
      <c r="AS3998" s="22" t="str">
        <f t="shared" ref="AS3998:AS4001" si="1251">IFERROR(IF(OR(G3998="TBA", G3998=""), "", DATEDIF(DATE(B3998, C3998, 1), DATE(F3998, G3998, 1), "M")),"")</f>
        <v/>
      </c>
      <c r="AT3998" s="24" t="str">
        <f t="shared" ref="AT3998:AT4001" si="1252">IF(ISNUMBER(AS3998), IF(AS3998&gt;=0, IF(AS3998&lt;=3, "0-3 months", IF(AS3998&lt;=6, "4-6 months", "&gt; 6 months"))), "")</f>
        <v/>
      </c>
      <c r="AU3998" s="22" t="str" cm="1">
        <f t="array" ref="AU3998">IFERROR(
    IF(ISNUMBER(SEARCH("DAP", INDEX('[1]Raw data'!$AG:$AG, MATCH(1, ('[1]Raw data'!$C:$C=J3998) * ('[1]Raw data'!$Y:$Y=X3998), 0)))), "DAP",
    IF(ISNUMBER(SEARCH("CIF", INDEX('[1]Raw data'!$AG:$AG, MATCH(1, ('[1]Raw data'!$C:$C=J3998) * ('[1]Raw data'!$Y:$Y=X3998), 0)))), "CIF",
    IF(ISNUMBER(SEARCH("DDP", INDEX('[1]Raw data'!$AG:$AG, MATCH(1, ('[1]Raw data'!$C:$C=J3998) * ('[1]Raw data'!$Y:$Y=X3998), 0)))), "DDP",
    INDEX('[1]Raw data'!$AG:$AG, MATCH(1, ('[1]Raw data'!$C:$C=J3998) * ('[1]Raw data'!$Y:$Y=X3998), 0))))),
"NA")</f>
        <v>NA</v>
      </c>
    </row>
    <row r="3999" spans="1:47">
      <c r="A3999" s="33" t="str">
        <f t="shared" si="1198"/>
        <v>FY 24/25</v>
      </c>
      <c r="B3999" s="23">
        <v>2025</v>
      </c>
      <c r="C3999" s="23">
        <v>3</v>
      </c>
      <c r="D3999" s="202" t="str">
        <f t="shared" si="1211"/>
        <v>Q4</v>
      </c>
      <c r="E3999" s="33" t="str">
        <f t="shared" si="1239"/>
        <v>TBA</v>
      </c>
      <c r="F3999" s="23" t="s">
        <v>2584</v>
      </c>
      <c r="G3999" s="23" t="s">
        <v>2584</v>
      </c>
      <c r="H3999" s="29"/>
      <c r="I3999" s="204" t="str">
        <f t="shared" si="1199"/>
        <v>TBA</v>
      </c>
      <c r="J3999" s="188" t="s">
        <v>3756</v>
      </c>
      <c r="K3999" s="29" t="s">
        <v>91</v>
      </c>
      <c r="L3999" s="24" t="s">
        <v>2620</v>
      </c>
      <c r="M3999" s="13" t="s">
        <v>60</v>
      </c>
      <c r="N3999" s="22">
        <v>1</v>
      </c>
      <c r="O3999" s="22"/>
      <c r="P3999" s="93"/>
      <c r="Q3999" s="22" t="s">
        <v>61</v>
      </c>
      <c r="R3999" s="22" t="s">
        <v>2055</v>
      </c>
      <c r="S3999" s="22" t="s">
        <v>50</v>
      </c>
      <c r="T3999" s="22" t="s">
        <v>83</v>
      </c>
      <c r="U3999" s="22" t="s">
        <v>70</v>
      </c>
      <c r="V3999" s="22" t="s">
        <v>94</v>
      </c>
      <c r="W3999" s="22" t="s">
        <v>64</v>
      </c>
      <c r="X3999" s="104">
        <v>420000</v>
      </c>
      <c r="Y3999" s="195" t="str">
        <f t="shared" si="1240"/>
        <v>1.13</v>
      </c>
      <c r="Z3999" s="196">
        <f t="shared" si="1241"/>
        <v>420000</v>
      </c>
      <c r="AA3999" s="22">
        <v>1.0669999999999999</v>
      </c>
      <c r="AB3999" s="197">
        <f t="shared" si="1242"/>
        <v>396584.0707964602</v>
      </c>
      <c r="AC3999" s="198">
        <f t="shared" si="1243"/>
        <v>47590.088495575226</v>
      </c>
      <c r="AD3999" s="169">
        <v>0.12</v>
      </c>
      <c r="AE3999" s="199">
        <f t="shared" si="1244"/>
        <v>0</v>
      </c>
      <c r="AF3999" s="199" t="str">
        <f>IF(AND(COUNTIFS($J$18:J3999,J3999)=1,AE3999=1),1,"")</f>
        <v/>
      </c>
      <c r="AG3999" s="199">
        <f>IF(C3999="","",IF(AND(COUNTIFS($J$18:J3999,J3999)=1,C3999&lt;&gt;""),1,""))</f>
        <v>1</v>
      </c>
      <c r="AH3999" s="199">
        <f>IF(G3999="","",IF(AND(COUNTIFS($J$18:J3999,J3999)=1,G3999&lt;&gt;""),1,""))</f>
        <v>1</v>
      </c>
      <c r="AI3999" s="200">
        <f t="shared" si="1245"/>
        <v>30033846.584070798</v>
      </c>
      <c r="AJ3999" s="200">
        <f t="shared" si="1246"/>
        <v>3534936.4750884958</v>
      </c>
      <c r="AK3999" s="201">
        <f t="shared" si="1247"/>
        <v>0.11769842618039268</v>
      </c>
      <c r="AL3999" s="24"/>
      <c r="AM3999" s="24"/>
      <c r="AN3999" s="24"/>
      <c r="AO3999" s="24"/>
      <c r="AP3999" s="165" t="str">
        <f t="shared" si="1248"/>
        <v>TBATBA</v>
      </c>
      <c r="AQ3999" s="203" t="str">
        <f t="shared" si="1249"/>
        <v>TBATBARMB</v>
      </c>
      <c r="AR3999" s="206" t="str">
        <f t="shared" si="1250"/>
        <v>YAMAHA_Non_Mounter</v>
      </c>
      <c r="AS3999" s="22" t="str">
        <f t="shared" si="1251"/>
        <v/>
      </c>
      <c r="AT3999" s="24" t="str">
        <f t="shared" si="1252"/>
        <v/>
      </c>
      <c r="AU3999" s="22" t="str" cm="1">
        <f t="array" ref="AU3999">IFERROR(
    IF(ISNUMBER(SEARCH("DAP", INDEX('[1]Raw data'!$AG:$AG, MATCH(1, ('[1]Raw data'!$C:$C=J3999) * ('[1]Raw data'!$Y:$Y=X3999), 0)))), "DAP",
    IF(ISNUMBER(SEARCH("CIF", INDEX('[1]Raw data'!$AG:$AG, MATCH(1, ('[1]Raw data'!$C:$C=J3999) * ('[1]Raw data'!$Y:$Y=X3999), 0)))), "CIF",
    IF(ISNUMBER(SEARCH("DDP", INDEX('[1]Raw data'!$AG:$AG, MATCH(1, ('[1]Raw data'!$C:$C=J3999) * ('[1]Raw data'!$Y:$Y=X3999), 0)))), "DDP",
    INDEX('[1]Raw data'!$AG:$AG, MATCH(1, ('[1]Raw data'!$C:$C=J3999) * ('[1]Raw data'!$Y:$Y=X3999), 0))))),
"NA")</f>
        <v>NA</v>
      </c>
    </row>
    <row r="4000" spans="1:47">
      <c r="A4000" s="33" t="str">
        <f t="shared" ref="A4000:A4001" si="1253">IF(C4000="cancel","cancel",IFERROR(IF(D4000="Q4","FY "&amp;RIGHT(B4000,2)-1&amp;"/"&amp;RIGHT(B4000,2),"FY "&amp;RIGHT(B4000,2)&amp;"/"&amp;RIGHT(B4000,2)+1),""))</f>
        <v>FY 24/25</v>
      </c>
      <c r="B4000" s="23">
        <v>2025</v>
      </c>
      <c r="C4000" s="23">
        <v>3</v>
      </c>
      <c r="D4000" s="202" t="str">
        <f t="shared" si="1211"/>
        <v>Q4</v>
      </c>
      <c r="E4000" s="33" t="str">
        <f t="shared" si="1239"/>
        <v>TBA</v>
      </c>
      <c r="F4000" s="23" t="s">
        <v>2584</v>
      </c>
      <c r="G4000" s="23" t="s">
        <v>2584</v>
      </c>
      <c r="H4000" s="29"/>
      <c r="I4000" s="204" t="str">
        <f t="shared" ref="I4000:I4001" si="1254">IFERROR(IF(F4000="","",IF(F4000="TBA","TBA",IF(F4000="Cancel","Cancel",IF(AND(G4000&gt;=10,G4000&lt;=12),"Q3",IF(AND(G4000&gt;=1,G4000&lt;=3),"Q4",IF(AND(G4000&gt;=7,G4000&lt;=9),"Q2",IF(AND(G4000&gt;=4,G4000&lt;=6),"Q1"))))))),"")</f>
        <v>TBA</v>
      </c>
      <c r="J4000" s="188" t="s">
        <v>3756</v>
      </c>
      <c r="K4000" s="29" t="s">
        <v>91</v>
      </c>
      <c r="L4000" s="24" t="s">
        <v>2620</v>
      </c>
      <c r="M4000" s="13" t="s">
        <v>60</v>
      </c>
      <c r="N4000" s="22">
        <v>1</v>
      </c>
      <c r="O4000" s="22"/>
      <c r="P4000" s="93"/>
      <c r="Q4000" s="22" t="s">
        <v>61</v>
      </c>
      <c r="R4000" s="22" t="s">
        <v>2055</v>
      </c>
      <c r="S4000" s="22" t="s">
        <v>50</v>
      </c>
      <c r="T4000" s="22" t="s">
        <v>83</v>
      </c>
      <c r="U4000" s="22" t="s">
        <v>70</v>
      </c>
      <c r="V4000" s="22" t="s">
        <v>94</v>
      </c>
      <c r="W4000" s="22" t="s">
        <v>64</v>
      </c>
      <c r="X4000" s="104">
        <v>420000</v>
      </c>
      <c r="Y4000" s="195" t="str">
        <f t="shared" si="1240"/>
        <v>1.13</v>
      </c>
      <c r="Z4000" s="196">
        <f t="shared" si="1241"/>
        <v>420000</v>
      </c>
      <c r="AA4000" s="22">
        <v>1.0669999999999999</v>
      </c>
      <c r="AB4000" s="197">
        <f t="shared" si="1242"/>
        <v>396584.0707964602</v>
      </c>
      <c r="AC4000" s="198">
        <f t="shared" si="1243"/>
        <v>47590.088495575226</v>
      </c>
      <c r="AD4000" s="169">
        <v>0.12</v>
      </c>
      <c r="AE4000" s="199">
        <f t="shared" si="1244"/>
        <v>0</v>
      </c>
      <c r="AF4000" s="199" t="str">
        <f>IF(AND(COUNTIFS($J$18:J4000,J4000)=1,AE4000=1),1,"")</f>
        <v/>
      </c>
      <c r="AG4000" s="199" t="str">
        <f>IF(C4000="","",IF(AND(COUNTIFS($J$18:J4000,J4000)=1,C4000&lt;&gt;""),1,""))</f>
        <v/>
      </c>
      <c r="AH4000" s="199" t="str">
        <f>IF(G4000="","",IF(AND(COUNTIFS($J$18:J4000,J4000)=1,G4000&lt;&gt;""),1,""))</f>
        <v/>
      </c>
      <c r="AI4000" s="200">
        <f t="shared" si="1245"/>
        <v>30033846.584070798</v>
      </c>
      <c r="AJ4000" s="200">
        <f t="shared" si="1246"/>
        <v>3534936.4750884958</v>
      </c>
      <c r="AK4000" s="201">
        <f t="shared" si="1247"/>
        <v>0.11769842618039268</v>
      </c>
      <c r="AL4000" s="24"/>
      <c r="AM4000" s="24"/>
      <c r="AN4000" s="24"/>
      <c r="AO4000" s="24"/>
      <c r="AP4000" s="165" t="str">
        <f t="shared" si="1248"/>
        <v>TBATBA</v>
      </c>
      <c r="AQ4000" s="203" t="str">
        <f t="shared" si="1249"/>
        <v>TBATBARMB</v>
      </c>
      <c r="AR4000" s="206" t="str">
        <f t="shared" si="1250"/>
        <v>YAMAHA_Non_Mounter</v>
      </c>
      <c r="AS4000" s="22" t="str">
        <f t="shared" si="1251"/>
        <v/>
      </c>
      <c r="AT4000" s="24" t="str">
        <f t="shared" si="1252"/>
        <v/>
      </c>
      <c r="AU4000" s="22" t="str" cm="1">
        <f t="array" ref="AU4000">IFERROR(
    IF(ISNUMBER(SEARCH("DAP", INDEX('[1]Raw data'!$AG:$AG, MATCH(1, ('[1]Raw data'!$C:$C=J4000) * ('[1]Raw data'!$Y:$Y=X4000), 0)))), "DAP",
    IF(ISNUMBER(SEARCH("CIF", INDEX('[1]Raw data'!$AG:$AG, MATCH(1, ('[1]Raw data'!$C:$C=J4000) * ('[1]Raw data'!$Y:$Y=X4000), 0)))), "CIF",
    IF(ISNUMBER(SEARCH("DDP", INDEX('[1]Raw data'!$AG:$AG, MATCH(1, ('[1]Raw data'!$C:$C=J4000) * ('[1]Raw data'!$Y:$Y=X4000), 0)))), "DDP",
    INDEX('[1]Raw data'!$AG:$AG, MATCH(1, ('[1]Raw data'!$C:$C=J4000) * ('[1]Raw data'!$Y:$Y=X4000), 0))))),
"NA")</f>
        <v>NA</v>
      </c>
    </row>
    <row r="4001" spans="1:47">
      <c r="A4001" s="33" t="str">
        <f t="shared" si="1253"/>
        <v>FY 24/25</v>
      </c>
      <c r="B4001" s="23">
        <v>2025</v>
      </c>
      <c r="C4001" s="23">
        <v>3</v>
      </c>
      <c r="D4001" s="202" t="str">
        <f t="shared" si="1211"/>
        <v>Q4</v>
      </c>
      <c r="E4001" s="33" t="str">
        <f t="shared" si="1239"/>
        <v>TBA</v>
      </c>
      <c r="F4001" s="23" t="s">
        <v>2584</v>
      </c>
      <c r="G4001" s="23" t="s">
        <v>2584</v>
      </c>
      <c r="H4001" s="29"/>
      <c r="I4001" s="204" t="str">
        <f t="shared" si="1254"/>
        <v>TBA</v>
      </c>
      <c r="J4001" s="188" t="s">
        <v>3756</v>
      </c>
      <c r="K4001" s="29" t="s">
        <v>91</v>
      </c>
      <c r="L4001" s="24" t="s">
        <v>2620</v>
      </c>
      <c r="M4001" s="13" t="s">
        <v>60</v>
      </c>
      <c r="N4001" s="22">
        <v>1</v>
      </c>
      <c r="O4001" s="22"/>
      <c r="P4001" s="93"/>
      <c r="Q4001" s="22" t="s">
        <v>61</v>
      </c>
      <c r="R4001" s="22" t="s">
        <v>2055</v>
      </c>
      <c r="S4001" s="22" t="s">
        <v>50</v>
      </c>
      <c r="T4001" s="22" t="s">
        <v>83</v>
      </c>
      <c r="U4001" s="22" t="s">
        <v>70</v>
      </c>
      <c r="V4001" s="22" t="s">
        <v>94</v>
      </c>
      <c r="W4001" s="22" t="s">
        <v>64</v>
      </c>
      <c r="X4001" s="104">
        <v>420000</v>
      </c>
      <c r="Y4001" s="195" t="str">
        <f t="shared" si="1240"/>
        <v>1.13</v>
      </c>
      <c r="Z4001" s="196">
        <f t="shared" si="1241"/>
        <v>420000</v>
      </c>
      <c r="AA4001" s="22">
        <v>1.0669999999999999</v>
      </c>
      <c r="AB4001" s="197">
        <f t="shared" si="1242"/>
        <v>396584.0707964602</v>
      </c>
      <c r="AC4001" s="198">
        <f t="shared" si="1243"/>
        <v>47590.088495575226</v>
      </c>
      <c r="AD4001" s="169">
        <v>0.12</v>
      </c>
      <c r="AE4001" s="199">
        <f t="shared" si="1244"/>
        <v>0</v>
      </c>
      <c r="AF4001" s="199" t="str">
        <f>IF(AND(COUNTIFS($J$18:J4001,J4001)=1,AE4001=1),1,"")</f>
        <v/>
      </c>
      <c r="AG4001" s="199" t="str">
        <f>IF(C4001="","",IF(AND(COUNTIFS($J$18:J4001,J4001)=1,C4001&lt;&gt;""),1,""))</f>
        <v/>
      </c>
      <c r="AH4001" s="199" t="str">
        <f>IF(G4001="","",IF(AND(COUNTIFS($J$18:J4001,J4001)=1,G4001&lt;&gt;""),1,""))</f>
        <v/>
      </c>
      <c r="AI4001" s="200">
        <f t="shared" si="1245"/>
        <v>30033846.584070798</v>
      </c>
      <c r="AJ4001" s="200">
        <f t="shared" si="1246"/>
        <v>3534936.4750884958</v>
      </c>
      <c r="AK4001" s="201">
        <f t="shared" si="1247"/>
        <v>0.11769842618039268</v>
      </c>
      <c r="AL4001" s="24"/>
      <c r="AM4001" s="24"/>
      <c r="AN4001" s="24"/>
      <c r="AO4001" s="24"/>
      <c r="AP4001" s="165" t="str">
        <f t="shared" si="1248"/>
        <v>TBATBA</v>
      </c>
      <c r="AQ4001" s="203" t="str">
        <f t="shared" si="1249"/>
        <v>TBATBARMB</v>
      </c>
      <c r="AR4001" s="206" t="str">
        <f t="shared" si="1250"/>
        <v>YAMAHA_Non_Mounter</v>
      </c>
      <c r="AS4001" s="22" t="str">
        <f t="shared" si="1251"/>
        <v/>
      </c>
      <c r="AT4001" s="24" t="str">
        <f t="shared" si="1252"/>
        <v/>
      </c>
      <c r="AU4001" s="22" t="str" cm="1">
        <f t="array" ref="AU4001">IFERROR(
    IF(ISNUMBER(SEARCH("DAP", INDEX('[1]Raw data'!$AG:$AG, MATCH(1, ('[1]Raw data'!$C:$C=J4001) * ('[1]Raw data'!$Y:$Y=X4001), 0)))), "DAP",
    IF(ISNUMBER(SEARCH("CIF", INDEX('[1]Raw data'!$AG:$AG, MATCH(1, ('[1]Raw data'!$C:$C=J4001) * ('[1]Raw data'!$Y:$Y=X4001), 0)))), "CIF",
    IF(ISNUMBER(SEARCH("DDP", INDEX('[1]Raw data'!$AG:$AG, MATCH(1, ('[1]Raw data'!$C:$C=J4001) * ('[1]Raw data'!$Y:$Y=X4001), 0)))), "DDP",
    INDEX('[1]Raw data'!$AG:$AG, MATCH(1, ('[1]Raw data'!$C:$C=J4001) * ('[1]Raw data'!$Y:$Y=X4001), 0))))),
"NA")</f>
        <v>NA</v>
      </c>
    </row>
    <row r="4002" spans="1:47">
      <c r="J4002" s="186"/>
    </row>
    <row r="4003" spans="1:47">
      <c r="AA4003" s="22"/>
    </row>
    <row r="4004" spans="1:47">
      <c r="F4004" s="229"/>
    </row>
    <row r="4007" spans="1:47">
      <c r="AD4007" s="220"/>
    </row>
    <row r="4011" spans="1:47">
      <c r="I4011" s="229"/>
    </row>
    <row r="7020" spans="43:44">
      <c r="AQ7020" s="8"/>
      <c r="AR7020" s="207"/>
    </row>
    <row r="10531" spans="43:44">
      <c r="AQ10531" s="8"/>
      <c r="AR10531" s="207"/>
    </row>
    <row r="14042" spans="43:44">
      <c r="AQ14042" s="8"/>
      <c r="AR14042" s="207"/>
    </row>
    <row r="17553" spans="43:44">
      <c r="AQ17553" s="8"/>
      <c r="AR17553" s="207"/>
    </row>
    <row r="21064" spans="43:44">
      <c r="AQ21064" s="8"/>
      <c r="AR21064" s="207"/>
    </row>
    <row r="24575" spans="43:44">
      <c r="AQ24575" s="8"/>
      <c r="AR24575" s="207"/>
    </row>
    <row r="28086" spans="43:44">
      <c r="AQ28086" s="8"/>
      <c r="AR28086" s="207"/>
    </row>
    <row r="31597" spans="43:44">
      <c r="AQ31597" s="8"/>
      <c r="AR31597" s="207"/>
    </row>
    <row r="35108" spans="43:44">
      <c r="AQ35108" s="8"/>
      <c r="AR35108" s="207"/>
    </row>
    <row r="38619" spans="43:44">
      <c r="AQ38619" s="8"/>
      <c r="AR38619" s="207"/>
    </row>
    <row r="42130" spans="43:44">
      <c r="AQ42130" s="8"/>
      <c r="AR42130" s="207"/>
    </row>
    <row r="45641" spans="43:44">
      <c r="AQ45641" s="8"/>
      <c r="AR45641" s="207"/>
    </row>
    <row r="49152" spans="43:44">
      <c r="AQ49152" s="8"/>
      <c r="AR49152" s="207"/>
    </row>
    <row r="52663" spans="43:44">
      <c r="AQ52663" s="8"/>
      <c r="AR52663" s="207"/>
    </row>
    <row r="56174" spans="43:44">
      <c r="AQ56174" s="8"/>
      <c r="AR56174" s="207"/>
    </row>
    <row r="59685" spans="43:44">
      <c r="AQ59685" s="8"/>
      <c r="AR59685" s="207"/>
    </row>
    <row r="63196" spans="43:44">
      <c r="AQ63196" s="8"/>
      <c r="AR63196" s="207"/>
    </row>
    <row r="66707" spans="43:44">
      <c r="AQ66707" s="8"/>
      <c r="AR66707" s="207"/>
    </row>
    <row r="70218" spans="43:44">
      <c r="AQ70218" s="8"/>
      <c r="AR70218" s="207"/>
    </row>
    <row r="73729" spans="43:44">
      <c r="AQ73729" s="8"/>
      <c r="AR73729" s="207"/>
    </row>
    <row r="77240" spans="43:44">
      <c r="AQ77240" s="8"/>
      <c r="AR77240" s="207"/>
    </row>
    <row r="80751" spans="43:44">
      <c r="AQ80751" s="8"/>
      <c r="AR80751" s="207"/>
    </row>
    <row r="84262" spans="43:44">
      <c r="AQ84262" s="8"/>
      <c r="AR84262" s="207"/>
    </row>
    <row r="87773" spans="43:44">
      <c r="AQ87773" s="8"/>
      <c r="AR87773" s="207"/>
    </row>
    <row r="91284" spans="43:44">
      <c r="AQ91284" s="8"/>
      <c r="AR91284" s="207"/>
    </row>
    <row r="94795" spans="43:44">
      <c r="AQ94795" s="8"/>
      <c r="AR94795" s="207"/>
    </row>
    <row r="98306" spans="43:44">
      <c r="AQ98306" s="8"/>
      <c r="AR98306" s="207"/>
    </row>
    <row r="101817" spans="43:44">
      <c r="AQ101817" s="8"/>
      <c r="AR101817" s="207"/>
    </row>
    <row r="105328" spans="43:44">
      <c r="AQ105328" s="8"/>
      <c r="AR105328" s="207"/>
    </row>
    <row r="108839" spans="43:44">
      <c r="AQ108839" s="8"/>
      <c r="AR108839" s="207"/>
    </row>
    <row r="112350" spans="43:44">
      <c r="AQ112350" s="8"/>
      <c r="AR112350" s="207"/>
    </row>
    <row r="115861" spans="43:44">
      <c r="AQ115861" s="8"/>
      <c r="AR115861" s="207"/>
    </row>
    <row r="119372" spans="43:44">
      <c r="AQ119372" s="8"/>
      <c r="AR119372" s="207"/>
    </row>
    <row r="122883" spans="43:44">
      <c r="AQ122883" s="8"/>
      <c r="AR122883" s="207"/>
    </row>
    <row r="126394" spans="43:44">
      <c r="AQ126394" s="8"/>
      <c r="AR126394" s="207"/>
    </row>
    <row r="129905" spans="43:44">
      <c r="AQ129905" s="8"/>
      <c r="AR129905" s="207"/>
    </row>
    <row r="133416" spans="43:44">
      <c r="AQ133416" s="8"/>
      <c r="AR133416" s="207"/>
    </row>
    <row r="136927" spans="43:44">
      <c r="AQ136927" s="8"/>
      <c r="AR136927" s="207"/>
    </row>
    <row r="140438" spans="43:44">
      <c r="AQ140438" s="8"/>
      <c r="AR140438" s="207"/>
    </row>
    <row r="143949" spans="43:44">
      <c r="AQ143949" s="8"/>
      <c r="AR143949" s="207"/>
    </row>
    <row r="147460" spans="43:44">
      <c r="AQ147460" s="8"/>
      <c r="AR147460" s="207"/>
    </row>
    <row r="150971" spans="43:44">
      <c r="AQ150971" s="8"/>
      <c r="AR150971" s="207"/>
    </row>
    <row r="154482" spans="43:44">
      <c r="AQ154482" s="8"/>
      <c r="AR154482" s="207"/>
    </row>
    <row r="157993" spans="43:44">
      <c r="AQ157993" s="8"/>
      <c r="AR157993" s="207"/>
    </row>
    <row r="161504" spans="43:44">
      <c r="AQ161504" s="8"/>
      <c r="AR161504" s="207"/>
    </row>
    <row r="165015" spans="43:44">
      <c r="AQ165015" s="8"/>
      <c r="AR165015" s="207"/>
    </row>
    <row r="168526" spans="43:44">
      <c r="AQ168526" s="8"/>
      <c r="AR168526" s="207"/>
    </row>
    <row r="172037" spans="43:44">
      <c r="AQ172037" s="8"/>
      <c r="AR172037" s="207"/>
    </row>
    <row r="175548" spans="43:44">
      <c r="AQ175548" s="8"/>
      <c r="AR175548" s="207"/>
    </row>
    <row r="179059" spans="43:44">
      <c r="AQ179059" s="8"/>
      <c r="AR179059" s="207"/>
    </row>
    <row r="182570" spans="43:44">
      <c r="AQ182570" s="8"/>
      <c r="AR182570" s="207"/>
    </row>
    <row r="186081" spans="43:44">
      <c r="AQ186081" s="8"/>
      <c r="AR186081" s="207"/>
    </row>
    <row r="189592" spans="43:44">
      <c r="AQ189592" s="8"/>
      <c r="AR189592" s="207"/>
    </row>
    <row r="193103" spans="43:44">
      <c r="AQ193103" s="8"/>
      <c r="AR193103" s="207"/>
    </row>
    <row r="196614" spans="43:44">
      <c r="AQ196614" s="8"/>
      <c r="AR196614" s="207"/>
    </row>
    <row r="200125" spans="43:44">
      <c r="AQ200125" s="8"/>
      <c r="AR200125" s="207"/>
    </row>
    <row r="203636" spans="43:44">
      <c r="AQ203636" s="8"/>
      <c r="AR203636" s="207"/>
    </row>
    <row r="207147" spans="43:44">
      <c r="AQ207147" s="8"/>
      <c r="AR207147" s="207"/>
    </row>
    <row r="210658" spans="43:44">
      <c r="AQ210658" s="8"/>
      <c r="AR210658" s="207"/>
    </row>
    <row r="214169" spans="43:44">
      <c r="AQ214169" s="8"/>
      <c r="AR214169" s="207"/>
    </row>
    <row r="217680" spans="43:44">
      <c r="AQ217680" s="8"/>
      <c r="AR217680" s="207"/>
    </row>
    <row r="221191" spans="43:44">
      <c r="AQ221191" s="8"/>
      <c r="AR221191" s="207"/>
    </row>
    <row r="224702" spans="43:44">
      <c r="AQ224702" s="8"/>
      <c r="AR224702" s="207"/>
    </row>
    <row r="228213" spans="43:44">
      <c r="AQ228213" s="8"/>
      <c r="AR228213" s="207"/>
    </row>
    <row r="231724" spans="43:44">
      <c r="AQ231724" s="8"/>
      <c r="AR231724" s="207"/>
    </row>
    <row r="235235" spans="43:44">
      <c r="AQ235235" s="8"/>
      <c r="AR235235" s="207"/>
    </row>
    <row r="238746" spans="43:44">
      <c r="AQ238746" s="8"/>
      <c r="AR238746" s="207"/>
    </row>
    <row r="242257" spans="43:44">
      <c r="AQ242257" s="8"/>
      <c r="AR242257" s="207"/>
    </row>
    <row r="245768" spans="43:44">
      <c r="AQ245768" s="8"/>
      <c r="AR245768" s="207"/>
    </row>
    <row r="249279" spans="43:44">
      <c r="AQ249279" s="8"/>
      <c r="AR249279" s="207"/>
    </row>
    <row r="252790" spans="43:44">
      <c r="AQ252790" s="8"/>
      <c r="AR252790" s="207"/>
    </row>
    <row r="256301" spans="43:44">
      <c r="AQ256301" s="8"/>
      <c r="AR256301" s="207"/>
    </row>
    <row r="259812" spans="43:44">
      <c r="AQ259812" s="8"/>
      <c r="AR259812" s="207"/>
    </row>
    <row r="263323" spans="43:44">
      <c r="AQ263323" s="8"/>
      <c r="AR263323" s="207"/>
    </row>
    <row r="266834" spans="43:44">
      <c r="AQ266834" s="8"/>
      <c r="AR266834" s="207"/>
    </row>
    <row r="270345" spans="43:44">
      <c r="AQ270345" s="8"/>
      <c r="AR270345" s="207"/>
    </row>
    <row r="273856" spans="43:44">
      <c r="AQ273856" s="8"/>
      <c r="AR273856" s="207"/>
    </row>
    <row r="277367" spans="43:44">
      <c r="AQ277367" s="8"/>
      <c r="AR277367" s="207"/>
    </row>
    <row r="280878" spans="43:44">
      <c r="AQ280878" s="8"/>
      <c r="AR280878" s="207"/>
    </row>
    <row r="284389" spans="43:44">
      <c r="AQ284389" s="8"/>
      <c r="AR284389" s="207"/>
    </row>
    <row r="287900" spans="43:44">
      <c r="AQ287900" s="8"/>
      <c r="AR287900" s="207"/>
    </row>
    <row r="291411" spans="43:44">
      <c r="AQ291411" s="8"/>
      <c r="AR291411" s="207"/>
    </row>
    <row r="294922" spans="43:44">
      <c r="AQ294922" s="8"/>
      <c r="AR294922" s="207"/>
    </row>
    <row r="298433" spans="43:44">
      <c r="AQ298433" s="8"/>
      <c r="AR298433" s="207"/>
    </row>
    <row r="301944" spans="43:44">
      <c r="AQ301944" s="8"/>
      <c r="AR301944" s="207"/>
    </row>
    <row r="305455" spans="43:44">
      <c r="AQ305455" s="8"/>
      <c r="AR305455" s="207"/>
    </row>
    <row r="308966" spans="43:44">
      <c r="AQ308966" s="8"/>
      <c r="AR308966" s="207"/>
    </row>
    <row r="312477" spans="43:44">
      <c r="AQ312477" s="8"/>
      <c r="AR312477" s="207"/>
    </row>
    <row r="315988" spans="43:44">
      <c r="AQ315988" s="8"/>
      <c r="AR315988" s="207"/>
    </row>
    <row r="319499" spans="43:44">
      <c r="AQ319499" s="8"/>
      <c r="AR319499" s="207"/>
    </row>
    <row r="323010" spans="43:44">
      <c r="AQ323010" s="8"/>
      <c r="AR323010" s="207"/>
    </row>
    <row r="326521" spans="43:44">
      <c r="AQ326521" s="8"/>
      <c r="AR326521" s="207"/>
    </row>
    <row r="330032" spans="43:44">
      <c r="AQ330032" s="8"/>
      <c r="AR330032" s="207"/>
    </row>
    <row r="333543" spans="43:44">
      <c r="AQ333543" s="8"/>
      <c r="AR333543" s="207"/>
    </row>
    <row r="337054" spans="43:44">
      <c r="AQ337054" s="8"/>
      <c r="AR337054" s="207"/>
    </row>
    <row r="340565" spans="43:44">
      <c r="AQ340565" s="8"/>
      <c r="AR340565" s="207"/>
    </row>
    <row r="344076" spans="43:44">
      <c r="AQ344076" s="8"/>
      <c r="AR344076" s="207"/>
    </row>
    <row r="347587" spans="43:44">
      <c r="AQ347587" s="8"/>
      <c r="AR347587" s="207"/>
    </row>
    <row r="351098" spans="43:44">
      <c r="AQ351098" s="8"/>
      <c r="AR351098" s="207"/>
    </row>
    <row r="354609" spans="43:44">
      <c r="AQ354609" s="8"/>
      <c r="AR354609" s="207"/>
    </row>
    <row r="358120" spans="43:44">
      <c r="AQ358120" s="8"/>
      <c r="AR358120" s="207"/>
    </row>
    <row r="361631" spans="43:44">
      <c r="AQ361631" s="8"/>
      <c r="AR361631" s="207"/>
    </row>
    <row r="365142" spans="43:44">
      <c r="AQ365142" s="8"/>
      <c r="AR365142" s="207"/>
    </row>
    <row r="368653" spans="43:44">
      <c r="AQ368653" s="8"/>
      <c r="AR368653" s="207"/>
    </row>
    <row r="372164" spans="43:44">
      <c r="AQ372164" s="8"/>
      <c r="AR372164" s="207"/>
    </row>
    <row r="375675" spans="43:44">
      <c r="AQ375675" s="8"/>
      <c r="AR375675" s="207"/>
    </row>
    <row r="379186" spans="43:44">
      <c r="AQ379186" s="8"/>
      <c r="AR379186" s="207"/>
    </row>
    <row r="382697" spans="43:44">
      <c r="AQ382697" s="8"/>
      <c r="AR382697" s="207"/>
    </row>
    <row r="386208" spans="43:44">
      <c r="AQ386208" s="8"/>
      <c r="AR386208" s="207"/>
    </row>
    <row r="389719" spans="43:44">
      <c r="AQ389719" s="8"/>
      <c r="AR389719" s="207"/>
    </row>
    <row r="393230" spans="43:44">
      <c r="AQ393230" s="8"/>
      <c r="AR393230" s="207"/>
    </row>
    <row r="396741" spans="43:44">
      <c r="AQ396741" s="8"/>
      <c r="AR396741" s="207"/>
    </row>
    <row r="400252" spans="43:44">
      <c r="AQ400252" s="8"/>
      <c r="AR400252" s="207"/>
    </row>
    <row r="403763" spans="43:44">
      <c r="AQ403763" s="8"/>
      <c r="AR403763" s="207"/>
    </row>
    <row r="407274" spans="43:44">
      <c r="AQ407274" s="8"/>
      <c r="AR407274" s="207"/>
    </row>
    <row r="410785" spans="43:44">
      <c r="AQ410785" s="8"/>
      <c r="AR410785" s="207"/>
    </row>
    <row r="414296" spans="43:44">
      <c r="AQ414296" s="8"/>
      <c r="AR414296" s="207"/>
    </row>
    <row r="417807" spans="43:44">
      <c r="AQ417807" s="8"/>
      <c r="AR417807" s="207"/>
    </row>
    <row r="421318" spans="43:44">
      <c r="AQ421318" s="8"/>
      <c r="AR421318" s="207"/>
    </row>
    <row r="424829" spans="43:44">
      <c r="AQ424829" s="8"/>
      <c r="AR424829" s="207"/>
    </row>
    <row r="428340" spans="43:44">
      <c r="AQ428340" s="8"/>
      <c r="AR428340" s="207"/>
    </row>
    <row r="431851" spans="43:44">
      <c r="AQ431851" s="8"/>
      <c r="AR431851" s="207"/>
    </row>
    <row r="435362" spans="43:44">
      <c r="AQ435362" s="8"/>
      <c r="AR435362" s="207"/>
    </row>
    <row r="438873" spans="43:44">
      <c r="AQ438873" s="8"/>
      <c r="AR438873" s="207"/>
    </row>
    <row r="442384" spans="43:44">
      <c r="AQ442384" s="8"/>
      <c r="AR442384" s="207"/>
    </row>
    <row r="445895" spans="43:44">
      <c r="AQ445895" s="8"/>
      <c r="AR445895" s="207"/>
    </row>
    <row r="449406" spans="43:44">
      <c r="AQ449406" s="8"/>
      <c r="AR449406" s="207"/>
    </row>
    <row r="452917" spans="43:44">
      <c r="AQ452917" s="8"/>
      <c r="AR452917" s="207"/>
    </row>
    <row r="456428" spans="43:44">
      <c r="AQ456428" s="8"/>
      <c r="AR456428" s="207"/>
    </row>
    <row r="459939" spans="43:44">
      <c r="AQ459939" s="8"/>
      <c r="AR459939" s="207"/>
    </row>
    <row r="463450" spans="43:44">
      <c r="AQ463450" s="8"/>
      <c r="AR463450" s="207"/>
    </row>
    <row r="466961" spans="43:44">
      <c r="AQ466961" s="8"/>
      <c r="AR466961" s="207"/>
    </row>
    <row r="470472" spans="43:44">
      <c r="AQ470472" s="8"/>
      <c r="AR470472" s="207"/>
    </row>
    <row r="473983" spans="43:44">
      <c r="AQ473983" s="8"/>
      <c r="AR473983" s="207"/>
    </row>
    <row r="477494" spans="43:44">
      <c r="AQ477494" s="8"/>
      <c r="AR477494" s="207"/>
    </row>
    <row r="481005" spans="43:44">
      <c r="AQ481005" s="8"/>
      <c r="AR481005" s="207"/>
    </row>
    <row r="484516" spans="43:44">
      <c r="AQ484516" s="8"/>
      <c r="AR484516" s="207"/>
    </row>
    <row r="488027" spans="43:44">
      <c r="AQ488027" s="8"/>
      <c r="AR488027" s="207"/>
    </row>
    <row r="491538" spans="43:44">
      <c r="AQ491538" s="8"/>
      <c r="AR491538" s="207"/>
    </row>
    <row r="495049" spans="43:44">
      <c r="AQ495049" s="8"/>
      <c r="AR495049" s="207"/>
    </row>
    <row r="498560" spans="43:44">
      <c r="AQ498560" s="8"/>
      <c r="AR498560" s="207"/>
    </row>
    <row r="502071" spans="43:44">
      <c r="AQ502071" s="8"/>
      <c r="AR502071" s="207"/>
    </row>
    <row r="505582" spans="43:44">
      <c r="AQ505582" s="8"/>
      <c r="AR505582" s="207"/>
    </row>
    <row r="509093" spans="43:44">
      <c r="AQ509093" s="8"/>
      <c r="AR509093" s="207"/>
    </row>
    <row r="512604" spans="43:44">
      <c r="AQ512604" s="8"/>
      <c r="AR512604" s="207"/>
    </row>
    <row r="516115" spans="43:44">
      <c r="AQ516115" s="8"/>
      <c r="AR516115" s="207"/>
    </row>
    <row r="519626" spans="43:44">
      <c r="AQ519626" s="8"/>
      <c r="AR519626" s="207"/>
    </row>
    <row r="523137" spans="43:44">
      <c r="AQ523137" s="8"/>
      <c r="AR523137" s="207"/>
    </row>
    <row r="526648" spans="43:44">
      <c r="AQ526648" s="8"/>
      <c r="AR526648" s="207"/>
    </row>
    <row r="530159" spans="43:44">
      <c r="AQ530159" s="8"/>
      <c r="AR530159" s="207"/>
    </row>
    <row r="533670" spans="43:44">
      <c r="AQ533670" s="8"/>
      <c r="AR533670" s="207"/>
    </row>
    <row r="537181" spans="43:44">
      <c r="AQ537181" s="8"/>
      <c r="AR537181" s="207"/>
    </row>
    <row r="540692" spans="43:44">
      <c r="AQ540692" s="8"/>
      <c r="AR540692" s="207"/>
    </row>
    <row r="544203" spans="43:44">
      <c r="AQ544203" s="8"/>
      <c r="AR544203" s="207"/>
    </row>
    <row r="547714" spans="43:44">
      <c r="AQ547714" s="8"/>
      <c r="AR547714" s="207"/>
    </row>
    <row r="551225" spans="43:44">
      <c r="AQ551225" s="8"/>
      <c r="AR551225" s="207"/>
    </row>
    <row r="554736" spans="43:44">
      <c r="AQ554736" s="8"/>
      <c r="AR554736" s="207"/>
    </row>
    <row r="558247" spans="43:44">
      <c r="AQ558247" s="8"/>
      <c r="AR558247" s="207"/>
    </row>
    <row r="561758" spans="43:44">
      <c r="AQ561758" s="8"/>
      <c r="AR561758" s="207"/>
    </row>
    <row r="565269" spans="43:44">
      <c r="AQ565269" s="8"/>
      <c r="AR565269" s="207"/>
    </row>
    <row r="568780" spans="43:44">
      <c r="AQ568780" s="8"/>
      <c r="AR568780" s="207"/>
    </row>
    <row r="572291" spans="43:44">
      <c r="AQ572291" s="8"/>
      <c r="AR572291" s="207"/>
    </row>
    <row r="575802" spans="43:44">
      <c r="AQ575802" s="8"/>
      <c r="AR575802" s="207"/>
    </row>
    <row r="579313" spans="43:44">
      <c r="AQ579313" s="8"/>
      <c r="AR579313" s="207"/>
    </row>
    <row r="582824" spans="43:44">
      <c r="AQ582824" s="8"/>
      <c r="AR582824" s="207"/>
    </row>
    <row r="586335" spans="43:44">
      <c r="AQ586335" s="8"/>
      <c r="AR586335" s="207"/>
    </row>
    <row r="589846" spans="43:44">
      <c r="AQ589846" s="8"/>
      <c r="AR589846" s="207"/>
    </row>
    <row r="593357" spans="43:44">
      <c r="AQ593357" s="8"/>
      <c r="AR593357" s="207"/>
    </row>
    <row r="596868" spans="43:44">
      <c r="AQ596868" s="8"/>
      <c r="AR596868" s="207"/>
    </row>
    <row r="600379" spans="43:44">
      <c r="AQ600379" s="8"/>
      <c r="AR600379" s="207"/>
    </row>
    <row r="603890" spans="43:44">
      <c r="AQ603890" s="8"/>
      <c r="AR603890" s="207"/>
    </row>
    <row r="607401" spans="43:44">
      <c r="AQ607401" s="8"/>
      <c r="AR607401" s="207"/>
    </row>
    <row r="610912" spans="43:44">
      <c r="AQ610912" s="8"/>
      <c r="AR610912" s="207"/>
    </row>
    <row r="614423" spans="43:44">
      <c r="AQ614423" s="8"/>
      <c r="AR614423" s="207"/>
    </row>
    <row r="617934" spans="43:44">
      <c r="AQ617934" s="8"/>
      <c r="AR617934" s="207"/>
    </row>
    <row r="621445" spans="43:44">
      <c r="AQ621445" s="8"/>
      <c r="AR621445" s="207"/>
    </row>
    <row r="624956" spans="43:44">
      <c r="AQ624956" s="8"/>
      <c r="AR624956" s="207"/>
    </row>
    <row r="628467" spans="43:44">
      <c r="AQ628467" s="8"/>
      <c r="AR628467" s="207"/>
    </row>
    <row r="631978" spans="43:44">
      <c r="AQ631978" s="8"/>
      <c r="AR631978" s="207"/>
    </row>
    <row r="635489" spans="43:44">
      <c r="AQ635489" s="8"/>
      <c r="AR635489" s="207"/>
    </row>
    <row r="639000" spans="43:44">
      <c r="AQ639000" s="8"/>
      <c r="AR639000" s="207"/>
    </row>
    <row r="642511" spans="43:44">
      <c r="AQ642511" s="8"/>
      <c r="AR642511" s="207"/>
    </row>
    <row r="646022" spans="43:44">
      <c r="AQ646022" s="8"/>
      <c r="AR646022" s="207"/>
    </row>
    <row r="649533" spans="43:44">
      <c r="AQ649533" s="8"/>
      <c r="AR649533" s="207"/>
    </row>
    <row r="653044" spans="43:44">
      <c r="AQ653044" s="8"/>
      <c r="AR653044" s="207"/>
    </row>
    <row r="656555" spans="43:44">
      <c r="AQ656555" s="8"/>
      <c r="AR656555" s="207"/>
    </row>
    <row r="660066" spans="43:44">
      <c r="AQ660066" s="8"/>
      <c r="AR660066" s="207"/>
    </row>
    <row r="663577" spans="43:44">
      <c r="AQ663577" s="8"/>
      <c r="AR663577" s="207"/>
    </row>
    <row r="667088" spans="43:44">
      <c r="AQ667088" s="8"/>
      <c r="AR667088" s="207"/>
    </row>
    <row r="670599" spans="43:44">
      <c r="AQ670599" s="8"/>
      <c r="AR670599" s="207"/>
    </row>
    <row r="674110" spans="43:44">
      <c r="AQ674110" s="8"/>
      <c r="AR674110" s="207"/>
    </row>
    <row r="677621" spans="43:44">
      <c r="AQ677621" s="8"/>
      <c r="AR677621" s="207"/>
    </row>
    <row r="681132" spans="43:44">
      <c r="AQ681132" s="8"/>
      <c r="AR681132" s="207"/>
    </row>
    <row r="684643" spans="43:44">
      <c r="AQ684643" s="8"/>
      <c r="AR684643" s="207"/>
    </row>
    <row r="688154" spans="43:44">
      <c r="AQ688154" s="8"/>
      <c r="AR688154" s="207"/>
    </row>
    <row r="691665" spans="43:44">
      <c r="AQ691665" s="8"/>
      <c r="AR691665" s="207"/>
    </row>
    <row r="695176" spans="43:44">
      <c r="AQ695176" s="8"/>
      <c r="AR695176" s="207"/>
    </row>
    <row r="698687" spans="43:44">
      <c r="AQ698687" s="8"/>
      <c r="AR698687" s="207"/>
    </row>
    <row r="702198" spans="43:44">
      <c r="AQ702198" s="8"/>
      <c r="AR702198" s="207"/>
    </row>
    <row r="705709" spans="43:44">
      <c r="AQ705709" s="8"/>
      <c r="AR705709" s="207"/>
    </row>
    <row r="709220" spans="43:44">
      <c r="AQ709220" s="8"/>
      <c r="AR709220" s="207"/>
    </row>
    <row r="712731" spans="43:44">
      <c r="AQ712731" s="8"/>
      <c r="AR712731" s="207"/>
    </row>
    <row r="716242" spans="43:44">
      <c r="AQ716242" s="8"/>
      <c r="AR716242" s="207"/>
    </row>
    <row r="719753" spans="43:44">
      <c r="AQ719753" s="8"/>
      <c r="AR719753" s="207"/>
    </row>
    <row r="723264" spans="43:44">
      <c r="AQ723264" s="8"/>
      <c r="AR723264" s="207"/>
    </row>
    <row r="726775" spans="43:44">
      <c r="AQ726775" s="8"/>
      <c r="AR726775" s="207"/>
    </row>
    <row r="730286" spans="43:44">
      <c r="AQ730286" s="8"/>
      <c r="AR730286" s="207"/>
    </row>
    <row r="733797" spans="43:44">
      <c r="AQ733797" s="8"/>
      <c r="AR733797" s="207"/>
    </row>
    <row r="737308" spans="43:44">
      <c r="AQ737308" s="8"/>
      <c r="AR737308" s="207"/>
    </row>
    <row r="740819" spans="43:44">
      <c r="AQ740819" s="8"/>
      <c r="AR740819" s="207"/>
    </row>
    <row r="744330" spans="43:44">
      <c r="AQ744330" s="8"/>
      <c r="AR744330" s="207"/>
    </row>
    <row r="747841" spans="43:44">
      <c r="AQ747841" s="8"/>
      <c r="AR747841" s="207"/>
    </row>
    <row r="751352" spans="43:44">
      <c r="AQ751352" s="8"/>
      <c r="AR751352" s="207"/>
    </row>
    <row r="754863" spans="43:44">
      <c r="AQ754863" s="8"/>
      <c r="AR754863" s="207"/>
    </row>
    <row r="758374" spans="43:44">
      <c r="AQ758374" s="8"/>
      <c r="AR758374" s="207"/>
    </row>
    <row r="761885" spans="43:44">
      <c r="AQ761885" s="8"/>
      <c r="AR761885" s="207"/>
    </row>
    <row r="765396" spans="43:44">
      <c r="AQ765396" s="8"/>
      <c r="AR765396" s="207"/>
    </row>
    <row r="768907" spans="43:44">
      <c r="AQ768907" s="8"/>
      <c r="AR768907" s="207"/>
    </row>
    <row r="772418" spans="43:44">
      <c r="AQ772418" s="8"/>
      <c r="AR772418" s="207"/>
    </row>
    <row r="775929" spans="43:44">
      <c r="AQ775929" s="8"/>
      <c r="AR775929" s="207"/>
    </row>
    <row r="779440" spans="43:44">
      <c r="AQ779440" s="8"/>
      <c r="AR779440" s="207"/>
    </row>
    <row r="782951" spans="43:44">
      <c r="AQ782951" s="8"/>
      <c r="AR782951" s="207"/>
    </row>
    <row r="786462" spans="43:44">
      <c r="AQ786462" s="8"/>
      <c r="AR786462" s="207"/>
    </row>
    <row r="789973" spans="43:44">
      <c r="AQ789973" s="8"/>
      <c r="AR789973" s="207"/>
    </row>
    <row r="793484" spans="43:44">
      <c r="AQ793484" s="8"/>
      <c r="AR793484" s="207"/>
    </row>
    <row r="796995" spans="43:44">
      <c r="AQ796995" s="8"/>
      <c r="AR796995" s="207"/>
    </row>
    <row r="800506" spans="43:44">
      <c r="AQ800506" s="8"/>
      <c r="AR800506" s="207"/>
    </row>
    <row r="804017" spans="43:44">
      <c r="AQ804017" s="8"/>
      <c r="AR804017" s="207"/>
    </row>
    <row r="807528" spans="43:44">
      <c r="AQ807528" s="8"/>
      <c r="AR807528" s="207"/>
    </row>
    <row r="811039" spans="43:44">
      <c r="AQ811039" s="8"/>
      <c r="AR811039" s="207"/>
    </row>
    <row r="814550" spans="43:44">
      <c r="AQ814550" s="8"/>
      <c r="AR814550" s="207"/>
    </row>
    <row r="818061" spans="43:44">
      <c r="AQ818061" s="8"/>
      <c r="AR818061" s="207"/>
    </row>
    <row r="821572" spans="43:44">
      <c r="AQ821572" s="8"/>
      <c r="AR821572" s="207"/>
    </row>
    <row r="825083" spans="43:44">
      <c r="AQ825083" s="8"/>
      <c r="AR825083" s="207"/>
    </row>
    <row r="828594" spans="43:44">
      <c r="AQ828594" s="8"/>
      <c r="AR828594" s="207"/>
    </row>
    <row r="832105" spans="43:44">
      <c r="AQ832105" s="8"/>
      <c r="AR832105" s="207"/>
    </row>
    <row r="835616" spans="43:44">
      <c r="AQ835616" s="8"/>
      <c r="AR835616" s="207"/>
    </row>
    <row r="839127" spans="43:44">
      <c r="AQ839127" s="8"/>
      <c r="AR839127" s="207"/>
    </row>
    <row r="842638" spans="43:44">
      <c r="AQ842638" s="8"/>
      <c r="AR842638" s="207"/>
    </row>
    <row r="846149" spans="43:44">
      <c r="AQ846149" s="8"/>
      <c r="AR846149" s="207"/>
    </row>
    <row r="849660" spans="43:44">
      <c r="AQ849660" s="8"/>
      <c r="AR849660" s="207"/>
    </row>
    <row r="853171" spans="43:44">
      <c r="AQ853171" s="8"/>
      <c r="AR853171" s="207"/>
    </row>
    <row r="856682" spans="43:44">
      <c r="AQ856682" s="8"/>
      <c r="AR856682" s="207"/>
    </row>
    <row r="860193" spans="43:44">
      <c r="AQ860193" s="8"/>
      <c r="AR860193" s="207"/>
    </row>
    <row r="863704" spans="43:44">
      <c r="AQ863704" s="8"/>
      <c r="AR863704" s="207"/>
    </row>
    <row r="867215" spans="43:44">
      <c r="AQ867215" s="8"/>
      <c r="AR867215" s="207"/>
    </row>
    <row r="870726" spans="43:44">
      <c r="AQ870726" s="8"/>
      <c r="AR870726" s="207"/>
    </row>
    <row r="874237" spans="43:44">
      <c r="AQ874237" s="8"/>
      <c r="AR874237" s="207"/>
    </row>
    <row r="877748" spans="43:44">
      <c r="AQ877748" s="8"/>
      <c r="AR877748" s="207"/>
    </row>
    <row r="881259" spans="43:44">
      <c r="AQ881259" s="8"/>
      <c r="AR881259" s="207"/>
    </row>
    <row r="884770" spans="43:44">
      <c r="AQ884770" s="8"/>
      <c r="AR884770" s="207"/>
    </row>
    <row r="888281" spans="43:44">
      <c r="AQ888281" s="8"/>
      <c r="AR888281" s="207"/>
    </row>
    <row r="891792" spans="43:44">
      <c r="AQ891792" s="8"/>
      <c r="AR891792" s="207"/>
    </row>
    <row r="895303" spans="43:44">
      <c r="AQ895303" s="8"/>
      <c r="AR895303" s="207"/>
    </row>
    <row r="898814" spans="43:44">
      <c r="AQ898814" s="8"/>
      <c r="AR898814" s="207"/>
    </row>
    <row r="902325" spans="43:44">
      <c r="AQ902325" s="8"/>
      <c r="AR902325" s="207"/>
    </row>
    <row r="905836" spans="43:44">
      <c r="AQ905836" s="8"/>
      <c r="AR905836" s="207"/>
    </row>
    <row r="909347" spans="43:44">
      <c r="AQ909347" s="8"/>
      <c r="AR909347" s="207"/>
    </row>
    <row r="912858" spans="43:44">
      <c r="AQ912858" s="8"/>
      <c r="AR912858" s="207"/>
    </row>
    <row r="916369" spans="43:44">
      <c r="AQ916369" s="8"/>
      <c r="AR916369" s="207"/>
    </row>
    <row r="919880" spans="43:44">
      <c r="AQ919880" s="8"/>
      <c r="AR919880" s="207"/>
    </row>
    <row r="923391" spans="43:44">
      <c r="AQ923391" s="8"/>
      <c r="AR923391" s="207"/>
    </row>
    <row r="926902" spans="43:44">
      <c r="AQ926902" s="8"/>
      <c r="AR926902" s="207"/>
    </row>
    <row r="930413" spans="43:44">
      <c r="AQ930413" s="8"/>
      <c r="AR930413" s="207"/>
    </row>
    <row r="933924" spans="43:44">
      <c r="AQ933924" s="8"/>
      <c r="AR933924" s="207"/>
    </row>
    <row r="937435" spans="43:44">
      <c r="AQ937435" s="8"/>
      <c r="AR937435" s="207"/>
    </row>
    <row r="940946" spans="43:44">
      <c r="AQ940946" s="8"/>
      <c r="AR940946" s="207"/>
    </row>
    <row r="944457" spans="43:44">
      <c r="AQ944457" s="8"/>
      <c r="AR944457" s="207"/>
    </row>
    <row r="947968" spans="43:44">
      <c r="AQ947968" s="8"/>
      <c r="AR947968" s="207"/>
    </row>
    <row r="951479" spans="43:44">
      <c r="AQ951479" s="8"/>
      <c r="AR951479" s="207"/>
    </row>
    <row r="954990" spans="43:44">
      <c r="AQ954990" s="8"/>
      <c r="AR954990" s="207"/>
    </row>
    <row r="958501" spans="43:44">
      <c r="AQ958501" s="8"/>
      <c r="AR958501" s="207"/>
    </row>
    <row r="962012" spans="43:44">
      <c r="AQ962012" s="8"/>
      <c r="AR962012" s="207"/>
    </row>
    <row r="965523" spans="43:44">
      <c r="AQ965523" s="8"/>
      <c r="AR965523" s="207"/>
    </row>
    <row r="969034" spans="43:44">
      <c r="AQ969034" s="8"/>
      <c r="AR969034" s="207"/>
    </row>
    <row r="972545" spans="43:44">
      <c r="AQ972545" s="8"/>
      <c r="AR972545" s="207"/>
    </row>
    <row r="976056" spans="43:44">
      <c r="AQ976056" s="8"/>
      <c r="AR976056" s="207"/>
    </row>
    <row r="979567" spans="43:44">
      <c r="AQ979567" s="8"/>
      <c r="AR979567" s="207"/>
    </row>
    <row r="983078" spans="43:44">
      <c r="AQ983078" s="8"/>
      <c r="AR983078" s="207"/>
    </row>
    <row r="986589" spans="43:44">
      <c r="AQ986589" s="8"/>
      <c r="AR986589" s="207"/>
    </row>
    <row r="990100" spans="43:44">
      <c r="AQ990100" s="8"/>
      <c r="AR990100" s="207"/>
    </row>
    <row r="993611" spans="43:44">
      <c r="AQ993611" s="8"/>
      <c r="AR993611" s="207"/>
    </row>
    <row r="997122" spans="43:44">
      <c r="AQ997122" s="8"/>
      <c r="AR997122" s="207"/>
    </row>
    <row r="1000633" spans="43:44">
      <c r="AQ1000633" s="8"/>
      <c r="AR1000633" s="207"/>
    </row>
    <row r="1004144" spans="43:44">
      <c r="AQ1004144" s="8"/>
      <c r="AR1004144" s="207"/>
    </row>
    <row r="1007655" spans="43:44">
      <c r="AQ1007655" s="8"/>
      <c r="AR1007655" s="207"/>
    </row>
    <row r="1011166" spans="43:44">
      <c r="AQ1011166" s="8"/>
      <c r="AR1011166" s="207"/>
    </row>
    <row r="1014677" spans="43:44">
      <c r="AQ1014677" s="8"/>
      <c r="AR1014677" s="207"/>
    </row>
    <row r="1018188" spans="43:44">
      <c r="AQ1018188" s="8"/>
      <c r="AR1018188" s="207"/>
    </row>
    <row r="1021699" spans="43:44">
      <c r="AQ1021699" s="8"/>
      <c r="AR1021699" s="207"/>
    </row>
    <row r="1025210" spans="43:44">
      <c r="AQ1025210" s="8"/>
      <c r="AR1025210" s="207"/>
    </row>
    <row r="1028721" spans="43:44">
      <c r="AQ1028721" s="8"/>
      <c r="AR1028721" s="207"/>
    </row>
    <row r="1032232" spans="43:44">
      <c r="AQ1032232" s="8"/>
      <c r="AR1032232" s="207"/>
    </row>
    <row r="1035743" spans="43:44">
      <c r="AQ1035743" s="8"/>
      <c r="AR1035743" s="207"/>
    </row>
    <row r="1039254" spans="43:44">
      <c r="AQ1039254" s="8"/>
      <c r="AR1039254" s="207"/>
    </row>
    <row r="1042765" spans="43:44">
      <c r="AQ1042765" s="8"/>
      <c r="AR1042765" s="207"/>
    </row>
    <row r="1046276" spans="43:44">
      <c r="AQ1046276" s="8"/>
      <c r="AR1046276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15" priority="153"/>
  </conditionalFormatting>
  <conditionalFormatting sqref="J3509 J3502:J3507 J3255:J3500">
    <cfRule type="duplicateValues" dxfId="114" priority="33"/>
  </conditionalFormatting>
  <conditionalFormatting sqref="Z3255:Z3500 Z3502:Z3674 Z3677:Z4001">
    <cfRule type="cellIs" dxfId="113" priority="31" operator="lessThanOrEqual">
      <formula>0</formula>
    </cfRule>
  </conditionalFormatting>
  <conditionalFormatting sqref="J856">
    <cfRule type="duplicateValues" dxfId="112" priority="18"/>
  </conditionalFormatting>
  <conditionalFormatting sqref="J1670:J1673">
    <cfRule type="duplicateValues" dxfId="111" priority="28"/>
  </conditionalFormatting>
  <conditionalFormatting sqref="J2327:J2902">
    <cfRule type="duplicateValues" dxfId="110" priority="30"/>
  </conditionalFormatting>
  <conditionalFormatting sqref="J2910:J2911">
    <cfRule type="duplicateValues" dxfId="109" priority="23"/>
  </conditionalFormatting>
  <conditionalFormatting sqref="J2912">
    <cfRule type="duplicateValues" dxfId="108" priority="27"/>
  </conditionalFormatting>
  <conditionalFormatting sqref="J2913">
    <cfRule type="duplicateValues" dxfId="107" priority="26"/>
  </conditionalFormatting>
  <conditionalFormatting sqref="J2995:J2996">
    <cfRule type="duplicateValues" dxfId="106" priority="22"/>
  </conditionalFormatting>
  <conditionalFormatting sqref="J3018 J3020:J3023">
    <cfRule type="duplicateValues" dxfId="105" priority="25"/>
  </conditionalFormatting>
  <conditionalFormatting sqref="J3019">
    <cfRule type="duplicateValues" dxfId="104" priority="24"/>
  </conditionalFormatting>
  <conditionalFormatting sqref="J3115">
    <cfRule type="duplicateValues" dxfId="103" priority="21"/>
  </conditionalFormatting>
  <conditionalFormatting sqref="J3148">
    <cfRule type="duplicateValues" dxfId="102" priority="20"/>
  </conditionalFormatting>
  <conditionalFormatting sqref="J3191:J3192">
    <cfRule type="duplicateValues" dxfId="101" priority="19"/>
  </conditionalFormatting>
  <conditionalFormatting sqref="J3196:J3201 J3203 J3205:J3213">
    <cfRule type="duplicateValues" dxfId="100" priority="17"/>
  </conditionalFormatting>
  <conditionalFormatting sqref="J3214:J3254 J2931:J3195 J2079:J2929 J2:J2077">
    <cfRule type="duplicateValues" dxfId="99" priority="29"/>
  </conditionalFormatting>
  <conditionalFormatting sqref="Z2:Z3254">
    <cfRule type="cellIs" dxfId="98" priority="16" operator="lessThanOrEqual">
      <formula>0</formula>
    </cfRule>
  </conditionalFormatting>
  <conditionalFormatting sqref="J3202">
    <cfRule type="duplicateValues" dxfId="97" priority="15"/>
  </conditionalFormatting>
  <conditionalFormatting sqref="J2930">
    <cfRule type="duplicateValues" dxfId="96" priority="14"/>
  </conditionalFormatting>
  <conditionalFormatting sqref="J3204">
    <cfRule type="duplicateValues" dxfId="95" priority="13"/>
  </conditionalFormatting>
  <conditionalFormatting sqref="J2078">
    <cfRule type="duplicateValues" dxfId="94" priority="12"/>
  </conditionalFormatting>
  <conditionalFormatting sqref="J3515">
    <cfRule type="duplicateValues" dxfId="93" priority="11"/>
  </conditionalFormatting>
  <conditionalFormatting sqref="J3501">
    <cfRule type="duplicateValues" dxfId="92" priority="9"/>
  </conditionalFormatting>
  <conditionalFormatting sqref="Z3501">
    <cfRule type="cellIs" dxfId="91" priority="8" operator="lessThanOrEqual">
      <formula>0</formula>
    </cfRule>
  </conditionalFormatting>
  <conditionalFormatting sqref="K3738:K3749">
    <cfRule type="duplicateValues" dxfId="90" priority="7"/>
  </conditionalFormatting>
  <conditionalFormatting sqref="Z3675">
    <cfRule type="cellIs" dxfId="89" priority="6" operator="lessThanOrEqual">
      <formula>0</formula>
    </cfRule>
  </conditionalFormatting>
  <conditionalFormatting sqref="Z3676">
    <cfRule type="cellIs" dxfId="88" priority="5" operator="lessThanOrEqual">
      <formula>0</formula>
    </cfRule>
  </conditionalFormatting>
  <conditionalFormatting sqref="J4002">
    <cfRule type="duplicateValues" dxfId="87" priority="4"/>
  </conditionalFormatting>
  <conditionalFormatting sqref="J4002">
    <cfRule type="duplicateValues" dxfId="86" priority="3"/>
  </conditionalFormatting>
  <conditionalFormatting sqref="J3964">
    <cfRule type="duplicateValues" dxfId="85" priority="2"/>
  </conditionalFormatting>
  <conditionalFormatting sqref="J3964">
    <cfRule type="duplicateValues" dxfId="84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B1" zoomScale="55" zoomScaleNormal="55" workbookViewId="0">
      <selection activeCell="N36" sqref="N36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1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3379</v>
      </c>
      <c r="B1" s="168">
        <v>0.2321</v>
      </c>
      <c r="C1" s="73"/>
      <c r="D1" s="74"/>
      <c r="E1" s="75"/>
      <c r="F1" s="44" t="s">
        <v>3194</v>
      </c>
      <c r="G1" s="45" t="s">
        <v>3195</v>
      </c>
      <c r="H1" s="35" t="s">
        <v>3196</v>
      </c>
      <c r="I1" s="36" t="s">
        <v>3196</v>
      </c>
      <c r="J1" s="37" t="s">
        <v>3196</v>
      </c>
      <c r="K1" s="34" t="s">
        <v>3197</v>
      </c>
      <c r="L1" s="181" t="s">
        <v>3198</v>
      </c>
      <c r="M1" s="46"/>
      <c r="N1" s="106"/>
      <c r="O1" s="43"/>
      <c r="P1" s="263" t="s">
        <v>3199</v>
      </c>
      <c r="Q1" s="68" t="s">
        <v>3200</v>
      </c>
      <c r="R1" s="179" t="s">
        <v>3201</v>
      </c>
      <c r="S1" s="180" t="s">
        <v>3202</v>
      </c>
      <c r="T1" s="58"/>
      <c r="U1" s="59"/>
    </row>
    <row r="2" spans="1:36" ht="16.8" thickTop="1" thickBot="1">
      <c r="A2" s="167" t="s">
        <v>3332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64"/>
      <c r="Q2" s="176" t="s">
        <v>52</v>
      </c>
      <c r="R2" s="238">
        <v>13000</v>
      </c>
      <c r="S2" s="148">
        <v>0.3</v>
      </c>
      <c r="T2" s="60"/>
      <c r="U2" s="61"/>
    </row>
    <row r="3" spans="1:36" ht="16.8" thickTop="1" thickBot="1">
      <c r="A3" s="167" t="s">
        <v>3332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5.2999999999999999E-2</v>
      </c>
      <c r="L3" s="182">
        <v>1.0669999999999999</v>
      </c>
      <c r="M3" s="47"/>
      <c r="N3" s="107"/>
      <c r="O3" s="48"/>
      <c r="P3" s="265" t="s">
        <v>3203</v>
      </c>
      <c r="Q3" s="177" t="s">
        <v>51</v>
      </c>
      <c r="R3" s="238">
        <v>19000</v>
      </c>
      <c r="S3" s="148">
        <v>0.3</v>
      </c>
      <c r="T3" s="60"/>
      <c r="U3" s="61"/>
    </row>
    <row r="4" spans="1:36" ht="16.8" thickTop="1" thickBot="1">
      <c r="A4" s="167" t="s">
        <v>3343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5.2999999999999999E-2</v>
      </c>
      <c r="L4" s="182">
        <v>1.0669999999999999</v>
      </c>
      <c r="M4" s="47"/>
      <c r="N4" s="107"/>
      <c r="O4" s="48"/>
      <c r="P4" s="265"/>
      <c r="Q4" s="177" t="s">
        <v>50</v>
      </c>
      <c r="R4" s="238">
        <v>17000</v>
      </c>
      <c r="S4" s="148">
        <v>0.3</v>
      </c>
      <c r="T4" s="60"/>
      <c r="U4" s="61"/>
    </row>
    <row r="5" spans="1:36" ht="16.8" thickTop="1" thickBot="1">
      <c r="A5" s="167" t="s">
        <v>3343</v>
      </c>
      <c r="B5" s="168">
        <v>0.17780000000000001</v>
      </c>
      <c r="C5" s="76"/>
      <c r="D5" s="69"/>
      <c r="E5" s="77"/>
      <c r="F5" s="146">
        <v>2025</v>
      </c>
      <c r="G5" s="146">
        <v>5</v>
      </c>
      <c r="H5" s="147" t="str">
        <f t="shared" si="0"/>
        <v>20255</v>
      </c>
      <c r="I5" s="147" t="str">
        <f t="shared" si="1"/>
        <v>20255JPY</v>
      </c>
      <c r="J5" s="147" t="str">
        <f t="shared" si="2"/>
        <v>20255RMB</v>
      </c>
      <c r="K5" s="146">
        <v>5.2999999999999999E-2</v>
      </c>
      <c r="L5" s="182">
        <v>1.0669999999999999</v>
      </c>
      <c r="M5" s="47"/>
      <c r="N5" s="107"/>
      <c r="O5" s="48"/>
      <c r="P5" s="265"/>
      <c r="Q5" s="178" t="s">
        <v>49</v>
      </c>
      <c r="R5" s="238">
        <v>336000</v>
      </c>
      <c r="S5" s="149">
        <v>0.3</v>
      </c>
      <c r="T5" s="60"/>
      <c r="U5" s="61"/>
    </row>
    <row r="6" spans="1:36" ht="16.2" thickBot="1">
      <c r="A6" s="167" t="s">
        <v>3343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3344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3345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3346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3348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53" t="s">
        <v>3387</v>
      </c>
      <c r="Q10" s="254"/>
      <c r="R10" s="254"/>
      <c r="S10" s="254"/>
      <c r="T10" s="254"/>
      <c r="U10" s="254"/>
      <c r="V10" s="254"/>
      <c r="AB10" s="257" t="s">
        <v>3388</v>
      </c>
      <c r="AC10" s="258"/>
      <c r="AD10" s="258"/>
      <c r="AE10" s="258"/>
      <c r="AF10" s="258"/>
      <c r="AG10" s="258"/>
      <c r="AH10" s="258"/>
      <c r="AI10" s="259"/>
      <c r="AJ10" s="117"/>
    </row>
    <row r="11" spans="1:36" ht="16.2" thickBot="1">
      <c r="A11" s="167" t="s">
        <v>3350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55"/>
      <c r="Q11" s="256"/>
      <c r="R11" s="256"/>
      <c r="S11" s="256"/>
      <c r="T11" s="256"/>
      <c r="U11" s="256"/>
      <c r="V11" s="256"/>
      <c r="AB11" s="260"/>
      <c r="AC11" s="261"/>
      <c r="AD11" s="261"/>
      <c r="AE11" s="261"/>
      <c r="AF11" s="261"/>
      <c r="AG11" s="261"/>
      <c r="AH11" s="261"/>
      <c r="AI11" s="262"/>
      <c r="AJ11" s="117"/>
    </row>
    <row r="12" spans="1:36" ht="16.2" thickBot="1">
      <c r="A12" s="167" t="s">
        <v>3367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3204</v>
      </c>
      <c r="Q12" s="83" t="s">
        <v>3194</v>
      </c>
      <c r="R12" s="84" t="s">
        <v>3195</v>
      </c>
      <c r="S12" s="85" t="s">
        <v>3205</v>
      </c>
      <c r="T12" s="86" t="s">
        <v>3206</v>
      </c>
      <c r="U12" s="88" t="s">
        <v>3207</v>
      </c>
      <c r="V12" s="78" t="s">
        <v>3322</v>
      </c>
      <c r="AB12" s="82" t="s">
        <v>3204</v>
      </c>
      <c r="AC12" s="83" t="s">
        <v>3194</v>
      </c>
      <c r="AD12" s="84" t="s">
        <v>3195</v>
      </c>
      <c r="AE12" s="85" t="s">
        <v>3208</v>
      </c>
      <c r="AF12" s="86" t="s">
        <v>50</v>
      </c>
      <c r="AG12" s="87" t="s">
        <v>52</v>
      </c>
      <c r="AH12" s="88" t="s">
        <v>51</v>
      </c>
      <c r="AI12" s="78" t="s">
        <v>3322</v>
      </c>
      <c r="AJ12" s="117"/>
    </row>
    <row r="13" spans="1:36" ht="16.2" thickBot="1">
      <c r="A13" s="167" t="s">
        <v>3367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3172</v>
      </c>
      <c r="Q13" s="150">
        <v>2025</v>
      </c>
      <c r="R13" s="150">
        <v>3</v>
      </c>
      <c r="S13" s="79">
        <f>IF(R13="","",SUMIFS(raw_sheet!AB:AB,raw_sheet!E:E,list!P13,raw_sheet!F:F,list!Q13,raw_sheet!G:G,list!R13,raw_sheet!R:R,list!$S$12))</f>
        <v>15744648.566371687</v>
      </c>
      <c r="T13" s="79">
        <f>IF(R13="","",SUMIFS(raw_sheet!AB:AB,raw_sheet!E:E,list!P13,raw_sheet!F:F,list!Q13,raw_sheet!G:G,list!R13,raw_sheet!R:R,list!$T$12))</f>
        <v>1987780.0884955754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17732428.654867258</v>
      </c>
      <c r="AB13" s="150" t="s">
        <v>3172</v>
      </c>
      <c r="AC13" s="150">
        <v>2025</v>
      </c>
      <c r="AD13" s="150">
        <v>3</v>
      </c>
      <c r="AE13" s="79">
        <f>IF(AD13="","",SUMIFS(raw_sheet!AB:AB,raw_sheet!A:A,list!AB13,raw_sheet!B:B,list!AC13,raw_sheet!C:C,list!AD13,raw_sheet!S:S,list!$AE$12))</f>
        <v>9187580.9203539826</v>
      </c>
      <c r="AF13" s="79">
        <f>IF(AD13="","",SUMIFS(raw_sheet!AB:AB,raw_sheet!A:A,list!AB13,raw_sheet!B:B,list!AC13,raw_sheet!C:C,list!AD13,raw_sheet!S:S,list!$AF$12))</f>
        <v>5069760.7964601768</v>
      </c>
      <c r="AG13" s="79">
        <f>IF(AD13="","",SUMIFS(raw_sheet!AB:AB,raw_sheet!A:A,list!AB13,raw_sheet!B:B,list!AC13,raw_sheet!C:C,list!AD13,raw_sheet!S:S,list!$AG$12))</f>
        <v>486287.61061946908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14743629.327433627</v>
      </c>
      <c r="AJ13" s="117"/>
    </row>
    <row r="14" spans="1:36" ht="16.2" thickBot="1">
      <c r="A14" s="167" t="s">
        <v>3367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3690</v>
      </c>
      <c r="Q14" s="150">
        <v>2025</v>
      </c>
      <c r="R14" s="150">
        <v>4</v>
      </c>
      <c r="S14" s="79">
        <f>IF(R14="","",SUMIFS(raw_sheet!AB:AB,raw_sheet!E:E,list!P14,raw_sheet!F:F,list!Q14,raw_sheet!G:G,list!R14,raw_sheet!R:R,list!$S$12))</f>
        <v>21497532.991150454</v>
      </c>
      <c r="T14" s="79">
        <f>IF(R14="","",SUMIFS(raw_sheet!AB:AB,raw_sheet!E:E,list!P14,raw_sheet!F:F,list!Q14,raw_sheet!G:G,list!R14,raw_sheet!R:R,list!$T$12))</f>
        <v>7999950.1681415914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29497483.159292053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3367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3690</v>
      </c>
      <c r="Q15" s="150">
        <v>2025</v>
      </c>
      <c r="R15" s="150">
        <v>5</v>
      </c>
      <c r="S15" s="79">
        <f>IF(R15="","",SUMIFS(raw_sheet!AB:AB,raw_sheet!E:E,list!P15,raw_sheet!F:F,list!Q15,raw_sheet!G:G,list!R15,raw_sheet!R:R,list!$S$12))</f>
        <v>14766529.81520354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14766529.81520354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3383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3383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3209</v>
      </c>
      <c r="AK17" s="121" t="s">
        <v>3210</v>
      </c>
      <c r="AL17" s="122" t="s">
        <v>3211</v>
      </c>
      <c r="AM17" s="123" t="s">
        <v>3212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24279000</v>
      </c>
      <c r="AK18" s="124" cm="1">
        <f t="array" ref="AK18">IFERROR(SUMPRODUCT((AD21:AD150="EAST")*(AJ21:AJ150)),0)</f>
        <v>5369100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515000</v>
      </c>
    </row>
    <row r="19" spans="1:39" ht="21.6" thickBot="1">
      <c r="A19" s="167"/>
      <c r="B19" s="168"/>
      <c r="C19" s="248" t="s">
        <v>3311</v>
      </c>
      <c r="D19" s="249"/>
      <c r="E19" s="250"/>
      <c r="F19" s="38"/>
      <c r="M19" s="47"/>
      <c r="N19" s="107"/>
      <c r="O19" s="39"/>
      <c r="P19" s="266" t="s">
        <v>3339</v>
      </c>
      <c r="Q19" s="267"/>
      <c r="R19" s="267"/>
      <c r="S19" s="267"/>
      <c r="T19" s="267"/>
      <c r="U19" s="267"/>
      <c r="V19" s="267"/>
      <c r="W19" s="267"/>
      <c r="X19" s="267"/>
      <c r="Y19" s="267"/>
      <c r="Z19" s="267"/>
      <c r="AB19" s="268" t="s">
        <v>3213</v>
      </c>
      <c r="AC19" s="269"/>
      <c r="AD19" s="269"/>
      <c r="AE19" s="269"/>
      <c r="AF19" s="269"/>
      <c r="AG19" s="269"/>
      <c r="AH19" s="269"/>
      <c r="AI19" s="269"/>
      <c r="AJ19" s="269"/>
      <c r="AK19" s="269"/>
      <c r="AL19" s="269"/>
      <c r="AM19" s="269"/>
    </row>
    <row r="20" spans="1:39" ht="16.2" thickBot="1">
      <c r="A20" s="167"/>
      <c r="B20" s="168"/>
      <c r="C20" s="248" t="s">
        <v>3214</v>
      </c>
      <c r="D20" s="249"/>
      <c r="E20" s="146" t="s">
        <v>3172</v>
      </c>
      <c r="M20" s="47"/>
      <c r="N20" s="107"/>
      <c r="O20" s="39"/>
      <c r="P20" s="91" t="s">
        <v>3215</v>
      </c>
      <c r="Q20" s="91" t="s">
        <v>3216</v>
      </c>
      <c r="R20" s="91" t="s">
        <v>16</v>
      </c>
      <c r="S20" s="91" t="s">
        <v>9</v>
      </c>
      <c r="T20" s="91" t="s">
        <v>3217</v>
      </c>
      <c r="U20" s="91" t="s">
        <v>3218</v>
      </c>
      <c r="V20" s="91" t="s">
        <v>12</v>
      </c>
      <c r="W20" s="91" t="s">
        <v>3219</v>
      </c>
      <c r="X20" s="91" t="s">
        <v>3220</v>
      </c>
      <c r="Y20" s="91" t="s">
        <v>3221</v>
      </c>
      <c r="Z20" s="217" t="s">
        <v>3471</v>
      </c>
      <c r="AB20" s="91" t="s">
        <v>3222</v>
      </c>
      <c r="AC20" s="91" t="s">
        <v>3223</v>
      </c>
      <c r="AD20" s="91" t="s">
        <v>16</v>
      </c>
      <c r="AE20" s="91" t="s">
        <v>9</v>
      </c>
      <c r="AF20" s="91" t="s">
        <v>3217</v>
      </c>
      <c r="AG20" s="91" t="s">
        <v>3218</v>
      </c>
      <c r="AH20" s="91" t="s">
        <v>12</v>
      </c>
      <c r="AI20" s="91" t="s">
        <v>3219</v>
      </c>
      <c r="AJ20" s="91" t="s">
        <v>3224</v>
      </c>
      <c r="AK20" s="91" t="s">
        <v>3220</v>
      </c>
      <c r="AL20" s="218" t="s">
        <v>3221</v>
      </c>
      <c r="AM20" s="91" t="s">
        <v>3471</v>
      </c>
    </row>
    <row r="21" spans="1:39" ht="16.2" thickBot="1">
      <c r="A21" s="167"/>
      <c r="B21" s="168"/>
      <c r="C21" s="248" t="s">
        <v>3225</v>
      </c>
      <c r="D21" s="249"/>
      <c r="E21" s="146">
        <v>2025</v>
      </c>
      <c r="M21" s="47"/>
      <c r="N21" s="107"/>
      <c r="O21" s="39"/>
      <c r="P21" s="15" cm="1">
        <f t="array" ref="P21:Z57">_xlfn.CHOOSECOLS(_xlfn._xlws.FILTER(raw_sheet!E:AQ,(raw_sheet!F:F=list!Q13)*(raw_sheet!E:E=list!P13)*(raw_sheet!G:G=list!R13)*(raw_sheet!G:G&lt;&gt;"Cancel"),""),2,3,15,6,7,8,10,19,23,24,26)</f>
        <v>2025</v>
      </c>
      <c r="Q21" s="13">
        <v>3</v>
      </c>
      <c r="R21" s="13" t="str">
        <v>SOUTH</v>
      </c>
      <c r="S21" s="13" t="str">
        <v>C49SZX20240191BY</v>
      </c>
      <c r="T21" s="13" t="str">
        <v>凯迪炫</v>
      </c>
      <c r="U21" s="13" t="str">
        <v>YSM20R</v>
      </c>
      <c r="V21" s="13">
        <v>1</v>
      </c>
      <c r="W21" s="92" t="str">
        <v>JPY</v>
      </c>
      <c r="X21" s="97">
        <v>5.2999999999999999E-2</v>
      </c>
      <c r="Y21" s="92">
        <v>858600</v>
      </c>
      <c r="Z21" s="219">
        <v>0.12</v>
      </c>
      <c r="AB21" s="15" cm="1">
        <f t="array" ref="AB21:AM50">_xlfn.CHOOSECOLS(_xlfn._xlws.FILTER(raw_sheet!A:AZ,(raw_sheet!B:B=list!AC13)*(raw_sheet!A:A=list!AB13)*(raw_sheet!C:C=list!AD13)*(raw_sheet!C:C&lt;&gt;"Cancel"),""),2,3,19,10,11,12,14,23,26,27,28,30)</f>
        <v>2025</v>
      </c>
      <c r="AC21" s="13">
        <v>3</v>
      </c>
      <c r="AD21" s="13" t="str">
        <v>SOUTH</v>
      </c>
      <c r="AE21" s="13" t="str">
        <v>C49SZX20250033SX</v>
      </c>
      <c r="AF21" s="13" t="str">
        <v>君泽</v>
      </c>
      <c r="AG21" s="13" t="str">
        <v>YSM10</v>
      </c>
      <c r="AH21" s="13">
        <v>1</v>
      </c>
      <c r="AI21" s="92" t="str">
        <v>RMB</v>
      </c>
      <c r="AJ21" s="118">
        <v>395000</v>
      </c>
      <c r="AK21" s="97">
        <v>1.0669999999999999</v>
      </c>
      <c r="AL21" s="92">
        <v>372977.87610619469</v>
      </c>
      <c r="AM21" s="219">
        <v>0.12</v>
      </c>
    </row>
    <row r="22" spans="1:39" ht="16.2" thickBot="1">
      <c r="A22" s="167"/>
      <c r="B22" s="168"/>
      <c r="C22" s="251" t="s">
        <v>3226</v>
      </c>
      <c r="D22" s="252"/>
      <c r="E22" s="150">
        <v>2</v>
      </c>
      <c r="F22" s="38"/>
      <c r="M22" s="47"/>
      <c r="N22" s="107"/>
      <c r="O22" s="39"/>
      <c r="P22" s="13">
        <v>2025</v>
      </c>
      <c r="Q22" s="13">
        <v>3</v>
      </c>
      <c r="R22" s="13" t="str">
        <v>SOUTH</v>
      </c>
      <c r="S22" s="13" t="str">
        <v>C49SZX20240191BY</v>
      </c>
      <c r="T22" s="13" t="str">
        <v>凯迪炫</v>
      </c>
      <c r="U22" s="13" t="str">
        <v>YSM10</v>
      </c>
      <c r="V22" s="13">
        <v>1</v>
      </c>
      <c r="W22" s="92" t="str">
        <v>JPY</v>
      </c>
      <c r="X22" s="97">
        <v>5.2999999999999999E-2</v>
      </c>
      <c r="Y22" s="92">
        <v>424000</v>
      </c>
      <c r="Z22" s="219">
        <v>0.12</v>
      </c>
      <c r="AB22" s="13">
        <v>2025</v>
      </c>
      <c r="AC22" s="13">
        <v>3</v>
      </c>
      <c r="AD22" s="13" t="str">
        <v>SOUTH</v>
      </c>
      <c r="AE22" s="13" t="str">
        <v>C49SZX20250033SX</v>
      </c>
      <c r="AF22" s="13" t="str">
        <v>君泽</v>
      </c>
      <c r="AG22" s="13" t="str">
        <v>DESEN DSP-10-YMH</v>
      </c>
      <c r="AH22" s="13">
        <v>1</v>
      </c>
      <c r="AI22" s="92" t="str">
        <v>RMB</v>
      </c>
      <c r="AJ22" s="118">
        <v>155000</v>
      </c>
      <c r="AK22" s="97">
        <v>1.0669999999999999</v>
      </c>
      <c r="AL22" s="92">
        <v>146358.40707964604</v>
      </c>
      <c r="AM22" s="21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3</v>
      </c>
      <c r="R23" s="13" t="str">
        <v>SOUTH</v>
      </c>
      <c r="S23" s="13" t="str">
        <v>C49SZX20240208MZ</v>
      </c>
      <c r="T23" s="13" t="str">
        <v>深圳卓昌(end user:惠州卓昌）</v>
      </c>
      <c r="U23" s="13" t="str">
        <v>YSM10</v>
      </c>
      <c r="V23" s="13">
        <v>1</v>
      </c>
      <c r="W23" s="92" t="str">
        <v>JPY</v>
      </c>
      <c r="X23" s="97">
        <v>5.2999999999999999E-2</v>
      </c>
      <c r="Y23" s="92">
        <v>424000</v>
      </c>
      <c r="Z23" s="219">
        <v>0.12</v>
      </c>
      <c r="AB23" s="13">
        <v>2025</v>
      </c>
      <c r="AC23" s="13">
        <v>3</v>
      </c>
      <c r="AD23" s="13" t="str">
        <v>EAST</v>
      </c>
      <c r="AE23" s="13" t="str">
        <v>C28SHA20250228</v>
      </c>
      <c r="AF23" s="13" t="str">
        <v>上海多越</v>
      </c>
      <c r="AG23" s="13" t="str">
        <v>YSi-V</v>
      </c>
      <c r="AH23" s="13">
        <v>1</v>
      </c>
      <c r="AI23" s="92" t="str">
        <v>RMB</v>
      </c>
      <c r="AJ23" s="118">
        <v>340000</v>
      </c>
      <c r="AK23" s="97">
        <v>1.0669999999999999</v>
      </c>
      <c r="AL23" s="92">
        <v>321044.24778761063</v>
      </c>
      <c r="AM23" s="21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3</v>
      </c>
      <c r="R24" s="13" t="str">
        <v>EAST</v>
      </c>
      <c r="S24" s="13" t="str">
        <v>C49SHA20241203/HZY</v>
      </c>
      <c r="T24" s="13" t="str">
        <v>浙江德茵</v>
      </c>
      <c r="U24" s="13" t="str">
        <v>YSM10</v>
      </c>
      <c r="V24" s="13">
        <v>1</v>
      </c>
      <c r="W24" s="92" t="str">
        <v>RMB</v>
      </c>
      <c r="X24" s="97">
        <v>1.0669999999999999</v>
      </c>
      <c r="Y24" s="92">
        <v>585433.62831858417</v>
      </c>
      <c r="Z24" s="219">
        <v>0.12</v>
      </c>
      <c r="AB24" s="13">
        <v>2025</v>
      </c>
      <c r="AC24" s="13">
        <v>3</v>
      </c>
      <c r="AD24" s="13" t="str">
        <v>WEST</v>
      </c>
      <c r="AE24" s="13" t="str">
        <v>C49XIY20250228LJY</v>
      </c>
      <c r="AF24" s="13" t="str">
        <v>西安康发</v>
      </c>
      <c r="AG24" s="13" t="str">
        <v>YSM10</v>
      </c>
      <c r="AH24" s="13">
        <v>1</v>
      </c>
      <c r="AI24" s="92" t="str">
        <v>RMB</v>
      </c>
      <c r="AJ24" s="118">
        <v>500000</v>
      </c>
      <c r="AK24" s="97">
        <v>1.0669999999999999</v>
      </c>
      <c r="AL24" s="92">
        <v>472123.89380530978</v>
      </c>
      <c r="AM24" s="21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3</v>
      </c>
      <c r="R25" s="13" t="str">
        <v>SOUTH</v>
      </c>
      <c r="S25" s="13" t="str">
        <v>C49SZX20240219SX</v>
      </c>
      <c r="T25" s="13" t="str">
        <v>兴原星</v>
      </c>
      <c r="U25" s="13" t="str">
        <v>YSM20R</v>
      </c>
      <c r="V25" s="13">
        <v>1</v>
      </c>
      <c r="W25" s="92" t="str">
        <v>JPY</v>
      </c>
      <c r="X25" s="97">
        <v>5.2999999999999999E-2</v>
      </c>
      <c r="Y25" s="92">
        <v>771680</v>
      </c>
      <c r="Z25" s="219">
        <v>0.12</v>
      </c>
      <c r="AB25" s="13">
        <v>2025</v>
      </c>
      <c r="AC25" s="13">
        <v>3</v>
      </c>
      <c r="AD25" s="13" t="str">
        <v>SOUTH</v>
      </c>
      <c r="AE25" s="13" t="str">
        <v>C49SZX20250036SX</v>
      </c>
      <c r="AF25" s="13" t="str">
        <v>锐诚</v>
      </c>
      <c r="AG25" s="13" t="str">
        <v>YSM10</v>
      </c>
      <c r="AH25" s="13">
        <v>1</v>
      </c>
      <c r="AI25" s="92" t="str">
        <v>RMB</v>
      </c>
      <c r="AJ25" s="118">
        <v>389000</v>
      </c>
      <c r="AK25" s="97">
        <v>1.0669999999999999</v>
      </c>
      <c r="AL25" s="92">
        <v>336001</v>
      </c>
      <c r="AM25" s="219">
        <v>0.12</v>
      </c>
    </row>
    <row r="26" spans="1:39">
      <c r="A26" s="167"/>
      <c r="B26" s="168"/>
      <c r="P26" s="13">
        <v>2025</v>
      </c>
      <c r="Q26" s="13">
        <v>3</v>
      </c>
      <c r="R26" s="13" t="str">
        <v>SOUTH</v>
      </c>
      <c r="S26" s="13" t="str">
        <v>C28SZX20240213DX</v>
      </c>
      <c r="T26" s="13" t="str">
        <v>欧洋佳优</v>
      </c>
      <c r="U26" s="13" t="str">
        <v>DESEN DSP-10-YMH</v>
      </c>
      <c r="V26" s="13">
        <v>1</v>
      </c>
      <c r="W26" s="92" t="str">
        <v>RMB</v>
      </c>
      <c r="X26" s="97">
        <v>1.0669999999999999</v>
      </c>
      <c r="Y26" s="92">
        <v>174213.7168141593</v>
      </c>
      <c r="Z26" s="219">
        <v>0.12</v>
      </c>
      <c r="AB26" s="13">
        <v>2025</v>
      </c>
      <c r="AC26" s="13">
        <v>3</v>
      </c>
      <c r="AD26" s="13" t="str">
        <v>SOUTH</v>
      </c>
      <c r="AE26" s="13" t="str">
        <v>C49SZX20250035SX</v>
      </c>
      <c r="AF26" s="13" t="str">
        <v>龙腾共创</v>
      </c>
      <c r="AG26" s="13" t="str">
        <v>YSM10</v>
      </c>
      <c r="AH26" s="13">
        <v>1</v>
      </c>
      <c r="AI26" s="92" t="str">
        <v>JPY</v>
      </c>
      <c r="AJ26" s="118">
        <v>7080000</v>
      </c>
      <c r="AK26" s="97">
        <v>5.2999999999999999E-2</v>
      </c>
      <c r="AL26" s="92">
        <v>375240</v>
      </c>
      <c r="AM26" s="219">
        <v>0.12</v>
      </c>
    </row>
    <row r="27" spans="1:39">
      <c r="A27" s="167"/>
      <c r="B27" s="168"/>
      <c r="P27" s="13">
        <v>2025</v>
      </c>
      <c r="Q27" s="13">
        <v>3</v>
      </c>
      <c r="R27" s="13" t="str">
        <v>SOUTH</v>
      </c>
      <c r="S27" s="13" t="str">
        <v>C49SZX20250009SX</v>
      </c>
      <c r="T27" s="13" t="str">
        <v>加一</v>
      </c>
      <c r="U27" s="13" t="str">
        <v>YSM20R</v>
      </c>
      <c r="V27" s="13">
        <v>1</v>
      </c>
      <c r="W27" s="92" t="str">
        <v>RMB</v>
      </c>
      <c r="X27" s="97">
        <v>1.0669999999999999</v>
      </c>
      <c r="Y27" s="92">
        <v>793168.14159292041</v>
      </c>
      <c r="Z27" s="219">
        <v>0.12</v>
      </c>
      <c r="AB27" s="13">
        <v>2025</v>
      </c>
      <c r="AC27" s="13">
        <v>3</v>
      </c>
      <c r="AD27" s="13" t="str">
        <v>SOUTH</v>
      </c>
      <c r="AE27" s="13" t="str">
        <v>C49SZX20250038HC</v>
      </c>
      <c r="AF27" s="13" t="str">
        <v>旺利兴</v>
      </c>
      <c r="AG27" s="13" t="str">
        <v>YSM10</v>
      </c>
      <c r="AH27" s="13">
        <v>1</v>
      </c>
      <c r="AI27" s="92" t="str">
        <v>JPY</v>
      </c>
      <c r="AJ27" s="118">
        <v>8299000</v>
      </c>
      <c r="AK27" s="97">
        <v>5.2999999999999999E-2</v>
      </c>
      <c r="AL27" s="92">
        <v>439847</v>
      </c>
      <c r="AM27" s="219">
        <v>0.12</v>
      </c>
    </row>
    <row r="28" spans="1:39">
      <c r="A28" s="167"/>
      <c r="B28" s="168"/>
      <c r="P28" s="13">
        <v>2025</v>
      </c>
      <c r="Q28" s="13">
        <v>3</v>
      </c>
      <c r="R28" s="13" t="str">
        <v>SOUTH</v>
      </c>
      <c r="S28" s="13" t="str">
        <v>C49SZX20250009SX</v>
      </c>
      <c r="T28" s="13" t="str">
        <v>加一</v>
      </c>
      <c r="U28" s="13" t="str">
        <v>YSM10</v>
      </c>
      <c r="V28" s="13">
        <v>1</v>
      </c>
      <c r="W28" s="92" t="str">
        <v>RMB</v>
      </c>
      <c r="X28" s="97">
        <v>1.0669999999999999</v>
      </c>
      <c r="Y28" s="92">
        <v>380531.85840707965</v>
      </c>
      <c r="Z28" s="219">
        <v>0.12</v>
      </c>
      <c r="AB28" s="13">
        <v>2025</v>
      </c>
      <c r="AC28" s="13">
        <v>3</v>
      </c>
      <c r="AD28" s="13" t="str">
        <v>SOUTH</v>
      </c>
      <c r="AE28" s="13" t="str">
        <v>C49SZX20250040SX</v>
      </c>
      <c r="AF28" s="13" t="str">
        <v>悦之彩</v>
      </c>
      <c r="AG28" s="13" t="str">
        <v>YSM10</v>
      </c>
      <c r="AH28" s="13">
        <v>1</v>
      </c>
      <c r="AI28" s="92" t="str">
        <v>RMB</v>
      </c>
      <c r="AJ28" s="118">
        <v>393000</v>
      </c>
      <c r="AK28" s="97">
        <v>1.0669999999999999</v>
      </c>
      <c r="AL28" s="92">
        <v>371089.38053097349</v>
      </c>
      <c r="AM28" s="219">
        <v>0.12</v>
      </c>
    </row>
    <row r="29" spans="1:39">
      <c r="A29" s="167"/>
      <c r="B29" s="168"/>
      <c r="P29" s="13">
        <v>2025</v>
      </c>
      <c r="Q29" s="13">
        <v>3</v>
      </c>
      <c r="R29" s="13" t="str">
        <v>EAST</v>
      </c>
      <c r="S29" s="13" t="str">
        <v>C49SHA20250103/TWB</v>
      </c>
      <c r="T29" s="13" t="str">
        <v>鹰潭鼎桥</v>
      </c>
      <c r="U29" s="13" t="str">
        <v>YSM20R</v>
      </c>
      <c r="V29" s="13">
        <v>1</v>
      </c>
      <c r="W29" s="92" t="str">
        <v>RMB</v>
      </c>
      <c r="X29" s="97">
        <v>1.0669999999999999</v>
      </c>
      <c r="Y29" s="92">
        <v>622297.06194690266</v>
      </c>
      <c r="Z29" s="219">
        <v>0.12</v>
      </c>
      <c r="AB29" s="13">
        <v>2025</v>
      </c>
      <c r="AC29" s="13">
        <v>3</v>
      </c>
      <c r="AD29" s="13" t="str">
        <v>SOUTH</v>
      </c>
      <c r="AE29" s="13" t="str">
        <v>C49SZX20250040SX</v>
      </c>
      <c r="AF29" s="13" t="str">
        <v>悦之彩</v>
      </c>
      <c r="AG29" s="13" t="str">
        <v>YSM10</v>
      </c>
      <c r="AH29" s="13">
        <v>1</v>
      </c>
      <c r="AI29" s="92" t="str">
        <v>RMB</v>
      </c>
      <c r="AJ29" s="118">
        <v>393000</v>
      </c>
      <c r="AK29" s="97">
        <v>1.0669999999999999</v>
      </c>
      <c r="AL29" s="92">
        <v>371089.38053097349</v>
      </c>
      <c r="AM29" s="219">
        <v>0.12</v>
      </c>
    </row>
    <row r="30" spans="1:39">
      <c r="A30" s="167"/>
      <c r="B30" s="168"/>
      <c r="J30" s="17" t="s">
        <v>543</v>
      </c>
      <c r="P30" s="13">
        <v>2025</v>
      </c>
      <c r="Q30" s="13">
        <v>3</v>
      </c>
      <c r="R30" s="13" t="str">
        <v>SOUTH</v>
      </c>
      <c r="S30" s="13" t="str">
        <v>C28SZX20240214LH</v>
      </c>
      <c r="T30" s="13" t="str">
        <v>中山得意</v>
      </c>
      <c r="U30" s="13" t="str">
        <v>Heller 1913MK5N2</v>
      </c>
      <c r="V30" s="13">
        <v>1</v>
      </c>
      <c r="W30" s="92" t="str">
        <v>RMB</v>
      </c>
      <c r="X30" s="97">
        <v>1.0669999999999999</v>
      </c>
      <c r="Y30" s="92">
        <v>590343.7168141593</v>
      </c>
      <c r="Z30" s="219">
        <v>0.12</v>
      </c>
      <c r="AB30" s="13">
        <v>2025</v>
      </c>
      <c r="AC30" s="13">
        <v>3</v>
      </c>
      <c r="AD30" s="13" t="str">
        <v>SOUTH</v>
      </c>
      <c r="AE30" s="13" t="str">
        <v>C49SZX20250040SX</v>
      </c>
      <c r="AF30" s="13" t="str">
        <v>悦之彩</v>
      </c>
      <c r="AG30" s="13" t="str">
        <v>YSM10</v>
      </c>
      <c r="AH30" s="13">
        <v>1</v>
      </c>
      <c r="AI30" s="92" t="str">
        <v>RMB</v>
      </c>
      <c r="AJ30" s="118">
        <v>393000</v>
      </c>
      <c r="AK30" s="97">
        <v>1.0669999999999999</v>
      </c>
      <c r="AL30" s="92">
        <v>371089.38053097349</v>
      </c>
      <c r="AM30" s="219">
        <v>0.12</v>
      </c>
    </row>
    <row r="31" spans="1:39">
      <c r="A31" s="167"/>
      <c r="B31" s="168"/>
      <c r="P31" s="13">
        <v>2025</v>
      </c>
      <c r="Q31" s="13">
        <v>3</v>
      </c>
      <c r="R31" s="13" t="str">
        <v>SOUTH</v>
      </c>
      <c r="S31" s="13" t="str">
        <v>C49SZX20250012BH</v>
      </c>
      <c r="T31" s="13" t="str">
        <v>炬轩</v>
      </c>
      <c r="U31" s="13" t="str">
        <v>YSM20R</v>
      </c>
      <c r="V31" s="13">
        <v>1</v>
      </c>
      <c r="W31" s="92" t="str">
        <v>JPY</v>
      </c>
      <c r="X31" s="97">
        <v>5.2999999999999999E-2</v>
      </c>
      <c r="Y31" s="92">
        <v>662500</v>
      </c>
      <c r="Z31" s="219">
        <v>0.12</v>
      </c>
      <c r="AB31" s="13">
        <v>2025</v>
      </c>
      <c r="AC31" s="13">
        <v>3</v>
      </c>
      <c r="AD31" s="13" t="str">
        <v>SOUTH</v>
      </c>
      <c r="AE31" s="13" t="str">
        <v>C49SZX20250039EC</v>
      </c>
      <c r="AF31" s="13" t="str">
        <v>海红天远（end user: 珠海海红）</v>
      </c>
      <c r="AG31" s="13" t="str">
        <v>YRM20</v>
      </c>
      <c r="AH31" s="13">
        <v>1</v>
      </c>
      <c r="AI31" s="92" t="str">
        <v>RMB</v>
      </c>
      <c r="AJ31" s="118">
        <v>980000</v>
      </c>
      <c r="AK31" s="97">
        <v>1.0669999999999999</v>
      </c>
      <c r="AL31" s="92">
        <v>925362.83185840712</v>
      </c>
      <c r="AM31" s="219">
        <v>0.12</v>
      </c>
    </row>
    <row r="32" spans="1:39">
      <c r="A32" s="167"/>
      <c r="B32" s="168"/>
      <c r="P32" s="13">
        <v>2025</v>
      </c>
      <c r="Q32" s="13">
        <v>3</v>
      </c>
      <c r="R32" s="13" t="str">
        <v>SOUTH</v>
      </c>
      <c r="S32" s="13" t="str">
        <v>C49SZX20250012BH</v>
      </c>
      <c r="T32" s="13" t="str">
        <v>炬轩</v>
      </c>
      <c r="U32" s="13" t="str">
        <v>YSM10</v>
      </c>
      <c r="V32" s="13">
        <v>1</v>
      </c>
      <c r="W32" s="92" t="str">
        <v>JPY</v>
      </c>
      <c r="X32" s="97">
        <v>5.2999999999999999E-2</v>
      </c>
      <c r="Y32" s="92">
        <v>406510</v>
      </c>
      <c r="Z32" s="219">
        <v>0.12</v>
      </c>
      <c r="AB32" s="13">
        <v>2025</v>
      </c>
      <c r="AC32" s="13">
        <v>3</v>
      </c>
      <c r="AD32" s="13" t="str">
        <v>SOUTH</v>
      </c>
      <c r="AE32" s="13" t="str">
        <v>C49SZX20250039EC</v>
      </c>
      <c r="AF32" s="13" t="str">
        <v>海红天远（end user: 珠海海红）</v>
      </c>
      <c r="AG32" s="13" t="str">
        <v>YRM20</v>
      </c>
      <c r="AH32" s="13">
        <v>1</v>
      </c>
      <c r="AI32" s="92" t="str">
        <v>RMB</v>
      </c>
      <c r="AJ32" s="118">
        <v>980000</v>
      </c>
      <c r="AK32" s="97">
        <v>1.0669999999999999</v>
      </c>
      <c r="AL32" s="92">
        <v>925362.83185840712</v>
      </c>
      <c r="AM32" s="219">
        <v>0.12</v>
      </c>
    </row>
    <row r="33" spans="1:39">
      <c r="A33" s="167"/>
      <c r="B33" s="168"/>
      <c r="P33" s="13">
        <v>2025</v>
      </c>
      <c r="Q33" s="13">
        <v>3</v>
      </c>
      <c r="R33" s="13" t="str">
        <v>NORTH</v>
      </c>
      <c r="S33" s="13">
        <v>71375</v>
      </c>
      <c r="T33" s="13" t="str">
        <v>歌尔微电子</v>
      </c>
      <c r="U33" s="13" t="str">
        <v>HELLER 1936MK5</v>
      </c>
      <c r="V33" s="13">
        <v>1</v>
      </c>
      <c r="W33" s="92" t="str">
        <v>USD</v>
      </c>
      <c r="X33" s="97">
        <v>7.8</v>
      </c>
      <c r="Y33" s="92">
        <v>755820</v>
      </c>
      <c r="Z33" s="219">
        <v>0.12</v>
      </c>
      <c r="AB33" s="13">
        <v>2025</v>
      </c>
      <c r="AC33" s="13">
        <v>3</v>
      </c>
      <c r="AD33" s="13" t="str">
        <v>SOUTH</v>
      </c>
      <c r="AE33" s="13" t="str">
        <v>C49SZX20250039EC</v>
      </c>
      <c r="AF33" s="13" t="str">
        <v>海红天远（end user: 珠海海红）</v>
      </c>
      <c r="AG33" s="13" t="str">
        <v>YRM20</v>
      </c>
      <c r="AH33" s="13">
        <v>1</v>
      </c>
      <c r="AI33" s="92" t="str">
        <v>RMB</v>
      </c>
      <c r="AJ33" s="118">
        <v>980000</v>
      </c>
      <c r="AK33" s="97">
        <v>1.0669999999999999</v>
      </c>
      <c r="AL33" s="92">
        <v>925362.83185840712</v>
      </c>
      <c r="AM33" s="219">
        <v>0.12</v>
      </c>
    </row>
    <row r="34" spans="1:39">
      <c r="A34" s="167"/>
      <c r="B34" s="168"/>
      <c r="P34" s="13">
        <v>2025</v>
      </c>
      <c r="Q34" s="13">
        <v>3</v>
      </c>
      <c r="R34" s="13" t="str">
        <v>NORTH</v>
      </c>
      <c r="S34" s="13" t="str">
        <v>C49BJS20250109ZX</v>
      </c>
      <c r="T34" s="13" t="str">
        <v>营口新山鹰</v>
      </c>
      <c r="U34" s="13" t="str">
        <v>YSM20R</v>
      </c>
      <c r="V34" s="13">
        <v>1</v>
      </c>
      <c r="W34" s="92" t="str">
        <v>RMB</v>
      </c>
      <c r="X34" s="97">
        <v>1.0669999999999999</v>
      </c>
      <c r="Y34" s="92">
        <v>708185.84070796473</v>
      </c>
      <c r="Z34" s="219">
        <v>0.12</v>
      </c>
      <c r="AB34" s="13">
        <v>2025</v>
      </c>
      <c r="AC34" s="13">
        <v>3</v>
      </c>
      <c r="AD34" s="13" t="str">
        <v>SOUTH</v>
      </c>
      <c r="AE34" s="13" t="str">
        <v>C49SZX20250039EC</v>
      </c>
      <c r="AF34" s="13" t="str">
        <v>海红天远（end user: 珠海海红）</v>
      </c>
      <c r="AG34" s="13" t="str">
        <v>YSM20R</v>
      </c>
      <c r="AH34" s="13">
        <v>1</v>
      </c>
      <c r="AI34" s="92" t="str">
        <v>RMB</v>
      </c>
      <c r="AJ34" s="118">
        <v>900000</v>
      </c>
      <c r="AK34" s="97">
        <v>1.0669999999999999</v>
      </c>
      <c r="AL34" s="92">
        <v>849823.00884955749</v>
      </c>
      <c r="AM34" s="219">
        <v>0.12</v>
      </c>
    </row>
    <row r="35" spans="1:39">
      <c r="A35" s="167"/>
      <c r="B35" s="168"/>
      <c r="P35" s="13">
        <v>2025</v>
      </c>
      <c r="Q35" s="13">
        <v>3</v>
      </c>
      <c r="R35" s="13" t="str">
        <v>NORTH</v>
      </c>
      <c r="S35" s="13" t="str">
        <v>C49BJS20250109ZX</v>
      </c>
      <c r="T35" s="13" t="str">
        <v>营口新山鹰</v>
      </c>
      <c r="U35" s="13" t="str">
        <v>YSM10</v>
      </c>
      <c r="V35" s="13">
        <v>1</v>
      </c>
      <c r="W35" s="92" t="str">
        <v>RMB</v>
      </c>
      <c r="X35" s="97">
        <v>1.0669999999999999</v>
      </c>
      <c r="Y35" s="92">
        <v>585433.62831858417</v>
      </c>
      <c r="Z35" s="219">
        <v>0.12</v>
      </c>
      <c r="AB35" s="13">
        <v>2025</v>
      </c>
      <c r="AC35" s="13">
        <v>3</v>
      </c>
      <c r="AD35" s="13" t="str">
        <v>SOUTH</v>
      </c>
      <c r="AE35" s="13" t="str">
        <v>C49SZX20250039EC</v>
      </c>
      <c r="AF35" s="13" t="str">
        <v>海红天远（end user: 珠海海红）</v>
      </c>
      <c r="AG35" s="13" t="str">
        <v>YSM10</v>
      </c>
      <c r="AH35" s="13">
        <v>1</v>
      </c>
      <c r="AI35" s="92" t="str">
        <v>RMB</v>
      </c>
      <c r="AJ35" s="118">
        <v>680000</v>
      </c>
      <c r="AK35" s="97">
        <v>1.0669999999999999</v>
      </c>
      <c r="AL35" s="92">
        <v>642088.49557522126</v>
      </c>
      <c r="AM35" s="219">
        <v>0.12</v>
      </c>
    </row>
    <row r="36" spans="1:39">
      <c r="A36" s="167"/>
      <c r="B36" s="168"/>
      <c r="P36" s="13">
        <v>2025</v>
      </c>
      <c r="Q36" s="13">
        <v>3</v>
      </c>
      <c r="R36" s="13" t="str">
        <v>EAST</v>
      </c>
      <c r="S36" s="13" t="str">
        <v>C49SHA20250213/JXD</v>
      </c>
      <c r="T36" s="13" t="str">
        <v>丹阳市新欧普</v>
      </c>
      <c r="U36" s="13" t="str">
        <v>YSM10</v>
      </c>
      <c r="V36" s="13">
        <v>1</v>
      </c>
      <c r="W36" s="92" t="str">
        <v>RMB</v>
      </c>
      <c r="X36" s="97">
        <v>1.0669999999999999</v>
      </c>
      <c r="Y36" s="92">
        <v>400172.2123893805</v>
      </c>
      <c r="Z36" s="219">
        <v>0.12</v>
      </c>
      <c r="AB36" s="13">
        <v>2025</v>
      </c>
      <c r="AC36" s="13">
        <v>3</v>
      </c>
      <c r="AD36" s="13" t="str">
        <v>SOUTH</v>
      </c>
      <c r="AE36" s="13" t="str">
        <v>C49SZX20250039EC</v>
      </c>
      <c r="AF36" s="13" t="str">
        <v>海红天远（end user: 珠海海红）</v>
      </c>
      <c r="AG36" s="13" t="str">
        <v>YSM10</v>
      </c>
      <c r="AH36" s="13">
        <v>1</v>
      </c>
      <c r="AI36" s="92" t="str">
        <v>RMB</v>
      </c>
      <c r="AJ36" s="118">
        <v>680000</v>
      </c>
      <c r="AK36" s="97">
        <v>1.0669999999999999</v>
      </c>
      <c r="AL36" s="92">
        <v>642088.49557522126</v>
      </c>
      <c r="AM36" s="219">
        <v>0.12</v>
      </c>
    </row>
    <row r="37" spans="1:39">
      <c r="A37" s="167"/>
      <c r="B37" s="168"/>
      <c r="P37" s="13">
        <v>2025</v>
      </c>
      <c r="Q37" s="13">
        <v>3</v>
      </c>
      <c r="R37" s="13" t="str">
        <v>NORTH</v>
      </c>
      <c r="S37" s="13" t="str">
        <v>C49BJS20250220ZX</v>
      </c>
      <c r="T37" s="13" t="str">
        <v>北京星际智控</v>
      </c>
      <c r="U37" s="13" t="str">
        <v>YSM20R</v>
      </c>
      <c r="V37" s="13">
        <v>1</v>
      </c>
      <c r="W37" s="92" t="str">
        <v>RMB</v>
      </c>
      <c r="X37" s="97">
        <v>1.0669999999999999</v>
      </c>
      <c r="Y37" s="92">
        <v>769561.94690265495</v>
      </c>
      <c r="Z37" s="219">
        <v>0.12</v>
      </c>
      <c r="AB37" s="13">
        <v>2025</v>
      </c>
      <c r="AC37" s="13">
        <v>3</v>
      </c>
      <c r="AD37" s="13" t="str">
        <v>EAST</v>
      </c>
      <c r="AE37" s="13" t="str">
        <v>C49SHA20250313/TWB</v>
      </c>
      <c r="AF37" s="13" t="str">
        <v>丽水市长新</v>
      </c>
      <c r="AG37" s="13" t="str">
        <v>YSM10</v>
      </c>
      <c r="AH37" s="13">
        <v>1</v>
      </c>
      <c r="AI37" s="92" t="str">
        <v>RMB</v>
      </c>
      <c r="AJ37" s="118">
        <v>410000</v>
      </c>
      <c r="AK37" s="97">
        <v>1.0669999999999999</v>
      </c>
      <c r="AL37" s="92">
        <v>387141.59292035404</v>
      </c>
      <c r="AM37" s="219">
        <v>0.12</v>
      </c>
    </row>
    <row r="38" spans="1:39">
      <c r="A38" s="167"/>
      <c r="B38" s="168"/>
      <c r="P38" s="13">
        <v>2025</v>
      </c>
      <c r="Q38" s="13">
        <v>3</v>
      </c>
      <c r="R38" s="13" t="str">
        <v>NORTH</v>
      </c>
      <c r="S38" s="13" t="str">
        <v>C49BJS20250220ZX</v>
      </c>
      <c r="T38" s="13" t="str">
        <v>北京星际智控</v>
      </c>
      <c r="U38" s="13" t="str">
        <v>YSM10</v>
      </c>
      <c r="V38" s="13">
        <v>1</v>
      </c>
      <c r="W38" s="92" t="str">
        <v>RMB</v>
      </c>
      <c r="X38" s="97">
        <v>1.0669999999999999</v>
      </c>
      <c r="Y38" s="92">
        <v>679858.40707964601</v>
      </c>
      <c r="Z38" s="219">
        <v>0.12</v>
      </c>
      <c r="AB38" s="13">
        <v>2025</v>
      </c>
      <c r="AC38" s="13">
        <v>3</v>
      </c>
      <c r="AD38" s="13" t="str">
        <v>WEST</v>
      </c>
      <c r="AE38" s="13" t="str">
        <v>C49CTU20250307/FZM</v>
      </c>
      <c r="AF38" s="13" t="str">
        <v>四川蓝景光电</v>
      </c>
      <c r="AG38" s="13" t="str">
        <v>MVC</v>
      </c>
      <c r="AH38" s="13">
        <v>0</v>
      </c>
      <c r="AI38" s="92" t="str">
        <v>RMB</v>
      </c>
      <c r="AJ38" s="118">
        <v>15000</v>
      </c>
      <c r="AK38" s="97">
        <v>1.0669999999999999</v>
      </c>
      <c r="AL38" s="92">
        <v>14163.716814159292</v>
      </c>
      <c r="AM38" s="219">
        <v>0.12</v>
      </c>
    </row>
    <row r="39" spans="1:39">
      <c r="A39" s="167"/>
      <c r="B39" s="168"/>
      <c r="P39" s="13">
        <v>2025</v>
      </c>
      <c r="Q39" s="13">
        <v>3</v>
      </c>
      <c r="R39" s="13" t="str">
        <v>SOUTH</v>
      </c>
      <c r="S39" s="13" t="str">
        <v>C49SZX20250023JY</v>
      </c>
      <c r="T39" s="13" t="str">
        <v>晟锦威</v>
      </c>
      <c r="U39" s="13" t="str">
        <v>YSM10</v>
      </c>
      <c r="V39" s="13">
        <v>1</v>
      </c>
      <c r="W39" s="92" t="str">
        <v>RMB</v>
      </c>
      <c r="X39" s="97">
        <v>1.0669999999999999</v>
      </c>
      <c r="Y39" s="92">
        <v>369295.30973451328</v>
      </c>
      <c r="Z39" s="219">
        <v>0.12</v>
      </c>
      <c r="AB39" s="13">
        <v>2025</v>
      </c>
      <c r="AC39" s="13">
        <v>3</v>
      </c>
      <c r="AD39" s="13" t="str">
        <v>SOUTH</v>
      </c>
      <c r="AE39" s="13" t="str">
        <v>C49SZX20250031JY</v>
      </c>
      <c r="AF39" s="13" t="str">
        <v>宏翔福（end user:迪爱）</v>
      </c>
      <c r="AG39" s="13" t="str">
        <v>YSM10</v>
      </c>
      <c r="AH39" s="13">
        <v>1</v>
      </c>
      <c r="AI39" s="92" t="str">
        <v>RMB</v>
      </c>
      <c r="AJ39" s="118">
        <v>386000</v>
      </c>
      <c r="AK39" s="97">
        <v>1.0669999999999999</v>
      </c>
      <c r="AL39" s="92">
        <v>364479.64601769909</v>
      </c>
      <c r="AM39" s="219">
        <v>0.12</v>
      </c>
    </row>
    <row r="40" spans="1:39">
      <c r="A40" s="103"/>
      <c r="B40" s="40"/>
      <c r="P40" s="13">
        <v>2025</v>
      </c>
      <c r="Q40" s="13">
        <v>3</v>
      </c>
      <c r="R40" s="13" t="str">
        <v>SOUTH</v>
      </c>
      <c r="S40" s="13" t="str">
        <v>C49SZX20250023JY</v>
      </c>
      <c r="T40" s="13" t="str">
        <v>晟锦威</v>
      </c>
      <c r="U40" s="13" t="str">
        <v>YSM10</v>
      </c>
      <c r="V40" s="13">
        <v>1</v>
      </c>
      <c r="W40" s="92" t="str">
        <v>RMB</v>
      </c>
      <c r="X40" s="97">
        <v>1.0669999999999999</v>
      </c>
      <c r="Y40" s="92">
        <v>369295.30973451328</v>
      </c>
      <c r="Z40" s="219">
        <v>0.12</v>
      </c>
      <c r="AB40" s="13">
        <v>2025</v>
      </c>
      <c r="AC40" s="13">
        <v>3</v>
      </c>
      <c r="AD40" s="13" t="str">
        <v>SOUTH</v>
      </c>
      <c r="AE40" s="13" t="str">
        <v>C49SZX20250041SS</v>
      </c>
      <c r="AF40" s="13" t="str">
        <v>盈通恒翼</v>
      </c>
      <c r="AG40" s="13" t="str">
        <v>YSM10</v>
      </c>
      <c r="AH40" s="13">
        <v>1</v>
      </c>
      <c r="AI40" s="92" t="str">
        <v>RMB</v>
      </c>
      <c r="AJ40" s="118">
        <v>410000</v>
      </c>
      <c r="AK40" s="97">
        <v>1.0669999999999999</v>
      </c>
      <c r="AL40" s="92">
        <v>387141.59292035404</v>
      </c>
      <c r="AM40" s="219">
        <v>0.12</v>
      </c>
    </row>
    <row r="41" spans="1:39">
      <c r="A41" s="103"/>
      <c r="B41" s="40"/>
      <c r="P41" s="13">
        <v>2025</v>
      </c>
      <c r="Q41" s="13">
        <v>3</v>
      </c>
      <c r="R41" s="13" t="str">
        <v>SOUTH</v>
      </c>
      <c r="S41" s="13" t="str">
        <v>C49SZX20250045EC</v>
      </c>
      <c r="T41" s="13" t="str">
        <v>仟朝</v>
      </c>
      <c r="U41" s="13" t="str">
        <v>YSM10</v>
      </c>
      <c r="V41" s="13">
        <v>1</v>
      </c>
      <c r="W41" s="92" t="str">
        <v>RMB</v>
      </c>
      <c r="X41" s="97">
        <v>1.0669999999999999</v>
      </c>
      <c r="Y41" s="92">
        <v>349371.68141592923</v>
      </c>
      <c r="Z41" s="219">
        <v>0.12</v>
      </c>
      <c r="AB41" s="13">
        <v>2025</v>
      </c>
      <c r="AC41" s="13">
        <v>3</v>
      </c>
      <c r="AD41" s="13" t="str">
        <v>SOUTH</v>
      </c>
      <c r="AE41" s="13" t="str">
        <v>C49SZX20250042SX</v>
      </c>
      <c r="AF41" s="13" t="str">
        <v>悦之彩</v>
      </c>
      <c r="AG41" s="13" t="str">
        <v>YSM10</v>
      </c>
      <c r="AH41" s="13">
        <v>1</v>
      </c>
      <c r="AI41" s="92" t="str">
        <v>RMB</v>
      </c>
      <c r="AJ41" s="118">
        <v>393000</v>
      </c>
      <c r="AK41" s="97">
        <v>1.0669999999999999</v>
      </c>
      <c r="AL41" s="92">
        <v>371089.38053097349</v>
      </c>
      <c r="AM41" s="219">
        <v>0.12</v>
      </c>
    </row>
    <row r="42" spans="1:39">
      <c r="A42" s="103"/>
      <c r="B42" s="40"/>
      <c r="P42" s="13">
        <v>2025</v>
      </c>
      <c r="Q42" s="13">
        <v>3</v>
      </c>
      <c r="R42" s="13" t="str">
        <v>SOUTH</v>
      </c>
      <c r="S42" s="13" t="str">
        <v>C49SZX20250045EC</v>
      </c>
      <c r="T42" s="13" t="str">
        <v>仟朝</v>
      </c>
      <c r="U42" s="13" t="str">
        <v>YSM10</v>
      </c>
      <c r="V42" s="13">
        <v>1</v>
      </c>
      <c r="W42" s="92" t="str">
        <v>RMB</v>
      </c>
      <c r="X42" s="97">
        <v>1.0669999999999999</v>
      </c>
      <c r="Y42" s="92">
        <v>349371.68141592923</v>
      </c>
      <c r="Z42" s="219">
        <v>0.12</v>
      </c>
      <c r="AB42" s="13">
        <v>2025</v>
      </c>
      <c r="AC42" s="13">
        <v>3</v>
      </c>
      <c r="AD42" s="13" t="str">
        <v>SOUTH</v>
      </c>
      <c r="AE42" s="13" t="str">
        <v>C49SZX20250042SX</v>
      </c>
      <c r="AF42" s="13" t="str">
        <v>悦之彩</v>
      </c>
      <c r="AG42" s="13" t="str">
        <v>YSM10</v>
      </c>
      <c r="AH42" s="13">
        <v>1</v>
      </c>
      <c r="AI42" s="92" t="str">
        <v>RMB</v>
      </c>
      <c r="AJ42" s="118">
        <v>393000</v>
      </c>
      <c r="AK42" s="97">
        <v>1.0669999999999999</v>
      </c>
      <c r="AL42" s="92">
        <v>371089.38053097349</v>
      </c>
      <c r="AM42" s="219">
        <v>0.12</v>
      </c>
    </row>
    <row r="43" spans="1:39">
      <c r="A43" s="103"/>
      <c r="B43" s="40"/>
      <c r="P43" s="13">
        <v>2025</v>
      </c>
      <c r="Q43" s="13">
        <v>3</v>
      </c>
      <c r="R43" s="13" t="str">
        <v>SOUTH</v>
      </c>
      <c r="S43" s="13" t="str">
        <v>C49SZX20250030SX</v>
      </c>
      <c r="T43" s="13" t="str">
        <v>锐诚</v>
      </c>
      <c r="U43" s="13" t="str">
        <v>YSM10</v>
      </c>
      <c r="V43" s="13">
        <v>1</v>
      </c>
      <c r="W43" s="92" t="str">
        <v>RMB</v>
      </c>
      <c r="X43" s="97">
        <v>1.0669999999999999</v>
      </c>
      <c r="Y43" s="92">
        <v>427980.30973451328</v>
      </c>
      <c r="Z43" s="219">
        <v>0.12</v>
      </c>
      <c r="AB43" s="13">
        <v>2025</v>
      </c>
      <c r="AC43" s="13">
        <v>3</v>
      </c>
      <c r="AD43" s="13" t="str">
        <v>EAST</v>
      </c>
      <c r="AE43" s="13" t="str">
        <v>C49SHA20250320/LQM</v>
      </c>
      <c r="AF43" s="13" t="str">
        <v>江苏信利</v>
      </c>
      <c r="AG43" s="13" t="str">
        <v>YRM20R</v>
      </c>
      <c r="AH43" s="13">
        <v>1</v>
      </c>
      <c r="AI43" s="92" t="str">
        <v>RMB</v>
      </c>
      <c r="AJ43" s="118">
        <v>789386</v>
      </c>
      <c r="AK43" s="97">
        <v>1.0669999999999999</v>
      </c>
      <c r="AL43" s="92">
        <v>745375.9840707964</v>
      </c>
      <c r="AM43" s="219">
        <v>0.12</v>
      </c>
    </row>
    <row r="44" spans="1:39">
      <c r="A44" s="103"/>
      <c r="B44" s="40"/>
      <c r="P44" s="13">
        <v>2025</v>
      </c>
      <c r="Q44" s="13">
        <v>3</v>
      </c>
      <c r="R44" s="13" t="str">
        <v>SOUTH</v>
      </c>
      <c r="S44" s="13" t="str">
        <v>C49SZX20250030SX</v>
      </c>
      <c r="T44" s="13" t="str">
        <v>锐诚</v>
      </c>
      <c r="U44" s="13" t="str">
        <v>YSM10</v>
      </c>
      <c r="V44" s="13">
        <v>1</v>
      </c>
      <c r="W44" s="92" t="str">
        <v>RMB</v>
      </c>
      <c r="X44" s="97">
        <v>1.0669999999999999</v>
      </c>
      <c r="Y44" s="92">
        <v>427980.30973451328</v>
      </c>
      <c r="Z44" s="219">
        <v>0.12</v>
      </c>
      <c r="AB44" s="13">
        <v>2025</v>
      </c>
      <c r="AC44" s="13">
        <v>3</v>
      </c>
      <c r="AD44" s="13" t="str">
        <v>EAST</v>
      </c>
      <c r="AE44" s="13" t="str">
        <v>C49SHA20250320/LQM</v>
      </c>
      <c r="AF44" s="13" t="str">
        <v>江苏信利</v>
      </c>
      <c r="AG44" s="13" t="str">
        <v>YRM20R</v>
      </c>
      <c r="AH44" s="13">
        <v>1</v>
      </c>
      <c r="AI44" s="92" t="str">
        <v>RMB</v>
      </c>
      <c r="AJ44" s="118">
        <v>789386</v>
      </c>
      <c r="AK44" s="97">
        <v>1.0669999999999999</v>
      </c>
      <c r="AL44" s="92">
        <v>745375.9840707964</v>
      </c>
      <c r="AM44" s="219">
        <v>0.12</v>
      </c>
    </row>
    <row r="45" spans="1:39">
      <c r="A45" s="103"/>
      <c r="B45" s="40"/>
      <c r="P45" s="13">
        <v>2025</v>
      </c>
      <c r="Q45" s="13">
        <v>3</v>
      </c>
      <c r="R45" s="13" t="str">
        <v>EAST</v>
      </c>
      <c r="S45" s="13" t="str">
        <v>C49SHA20250221/TWB</v>
      </c>
      <c r="T45" s="13" t="str">
        <v>宁波朗能</v>
      </c>
      <c r="U45" s="13" t="str">
        <v>YSM20R</v>
      </c>
      <c r="V45" s="13">
        <v>1</v>
      </c>
      <c r="W45" s="92" t="str">
        <v>RMB</v>
      </c>
      <c r="X45" s="97">
        <v>1.0669999999999999</v>
      </c>
      <c r="Y45" s="92">
        <v>613761.06194690266</v>
      </c>
      <c r="Z45" s="219">
        <v>0.12</v>
      </c>
      <c r="AB45" s="13">
        <v>2025</v>
      </c>
      <c r="AC45" s="13">
        <v>3</v>
      </c>
      <c r="AD45" s="13" t="str">
        <v>EAST</v>
      </c>
      <c r="AE45" s="13" t="str">
        <v>C49SHA20250320/LQM</v>
      </c>
      <c r="AF45" s="13" t="str">
        <v>江苏信利</v>
      </c>
      <c r="AG45" s="13" t="str">
        <v>YRM20R</v>
      </c>
      <c r="AH45" s="13">
        <v>1</v>
      </c>
      <c r="AI45" s="92" t="str">
        <v>RMB</v>
      </c>
      <c r="AJ45" s="118">
        <v>789386</v>
      </c>
      <c r="AK45" s="97">
        <v>1.0669999999999999</v>
      </c>
      <c r="AL45" s="92">
        <v>745375.9840707964</v>
      </c>
      <c r="AM45" s="219">
        <v>0.12</v>
      </c>
    </row>
    <row r="46" spans="1:39">
      <c r="A46" s="103"/>
      <c r="B46" s="40"/>
      <c r="P46" s="13">
        <v>2025</v>
      </c>
      <c r="Q46" s="13">
        <v>3</v>
      </c>
      <c r="R46" s="13" t="str">
        <v>EAST</v>
      </c>
      <c r="S46" s="13" t="str">
        <v>C49SHA20250221/TWB</v>
      </c>
      <c r="T46" s="13" t="str">
        <v>宁波朗能</v>
      </c>
      <c r="U46" s="13" t="str">
        <v>YSM10</v>
      </c>
      <c r="V46" s="13">
        <v>1</v>
      </c>
      <c r="W46" s="92" t="str">
        <v>RMB</v>
      </c>
      <c r="X46" s="97">
        <v>1.0669999999999999</v>
      </c>
      <c r="Y46" s="92">
        <v>367312.38938053098</v>
      </c>
      <c r="Z46" s="219">
        <v>0.12</v>
      </c>
      <c r="AB46" s="13">
        <v>2025</v>
      </c>
      <c r="AC46" s="13">
        <v>3</v>
      </c>
      <c r="AD46" s="13" t="str">
        <v>EAST</v>
      </c>
      <c r="AE46" s="13" t="str">
        <v>C49SHA20250320/LQM</v>
      </c>
      <c r="AF46" s="13" t="str">
        <v>江苏信利</v>
      </c>
      <c r="AG46" s="13" t="str">
        <v>YSM10</v>
      </c>
      <c r="AH46" s="13">
        <v>1</v>
      </c>
      <c r="AI46" s="92" t="str">
        <v>RMB</v>
      </c>
      <c r="AJ46" s="118">
        <v>495471</v>
      </c>
      <c r="AK46" s="97">
        <v>1.0669999999999999</v>
      </c>
      <c r="AL46" s="92">
        <v>467847.39557522128</v>
      </c>
      <c r="AM46" s="219">
        <v>0.12</v>
      </c>
    </row>
    <row r="47" spans="1:39">
      <c r="A47" s="103"/>
      <c r="B47" s="40"/>
      <c r="P47" s="13">
        <v>2025</v>
      </c>
      <c r="Q47" s="13">
        <v>3</v>
      </c>
      <c r="R47" s="13" t="str">
        <v>EAST</v>
      </c>
      <c r="S47" s="13" t="str">
        <v>C49SHA20250221/TWB</v>
      </c>
      <c r="T47" s="13" t="str">
        <v>宁波朗能</v>
      </c>
      <c r="U47" s="13" t="str">
        <v>Feeder</v>
      </c>
      <c r="V47" s="13">
        <v>0</v>
      </c>
      <c r="W47" s="92" t="str">
        <v>RMB</v>
      </c>
      <c r="X47" s="97">
        <v>1.0669999999999999</v>
      </c>
      <c r="Y47" s="92">
        <v>152023.89380530975</v>
      </c>
      <c r="Z47" s="219">
        <v>0.12</v>
      </c>
      <c r="AB47" s="13">
        <v>2025</v>
      </c>
      <c r="AC47" s="13">
        <v>3</v>
      </c>
      <c r="AD47" s="13" t="str">
        <v>EAST</v>
      </c>
      <c r="AE47" s="13" t="str">
        <v>C49SHA20250320/LQM</v>
      </c>
      <c r="AF47" s="13" t="str">
        <v>江苏信利</v>
      </c>
      <c r="AG47" s="13" t="str">
        <v>YSM10</v>
      </c>
      <c r="AH47" s="13">
        <v>1</v>
      </c>
      <c r="AI47" s="92" t="str">
        <v>RMB</v>
      </c>
      <c r="AJ47" s="118">
        <v>495471</v>
      </c>
      <c r="AK47" s="97">
        <v>1.0669999999999999</v>
      </c>
      <c r="AL47" s="92">
        <v>467847.39557522128</v>
      </c>
      <c r="AM47" s="219">
        <v>0.12</v>
      </c>
    </row>
    <row r="48" spans="1:39">
      <c r="A48" s="103"/>
      <c r="B48" s="40"/>
      <c r="P48" s="13">
        <v>2025</v>
      </c>
      <c r="Q48" s="13">
        <v>3</v>
      </c>
      <c r="R48" s="13" t="str">
        <v>SOUTH</v>
      </c>
      <c r="S48" s="13" t="str">
        <v>C49SZX20250029JY</v>
      </c>
      <c r="T48" s="13" t="str">
        <v>建航</v>
      </c>
      <c r="U48" s="13" t="str">
        <v>YSM10</v>
      </c>
      <c r="V48" s="13">
        <v>1</v>
      </c>
      <c r="W48" s="92" t="str">
        <v>RMB</v>
      </c>
      <c r="X48" s="97">
        <v>1.0669999999999999</v>
      </c>
      <c r="Y48" s="92">
        <v>380059.73451327439</v>
      </c>
      <c r="Z48" s="219">
        <v>0.12</v>
      </c>
      <c r="AB48" s="13">
        <v>2025</v>
      </c>
      <c r="AC48" s="13">
        <v>3</v>
      </c>
      <c r="AD48" s="13" t="str">
        <v>EAST</v>
      </c>
      <c r="AE48" s="13" t="str">
        <v>C28SHA20250320/LQM</v>
      </c>
      <c r="AF48" s="13" t="str">
        <v>江苏信利</v>
      </c>
      <c r="AG48" s="13" t="str">
        <v>YSi-V</v>
      </c>
      <c r="AH48" s="13">
        <v>1</v>
      </c>
      <c r="AI48" s="92" t="str">
        <v>RMB</v>
      </c>
      <c r="AJ48" s="118">
        <v>420000</v>
      </c>
      <c r="AK48" s="97">
        <v>1.0669999999999999</v>
      </c>
      <c r="AL48" s="92">
        <v>396584.0707964602</v>
      </c>
      <c r="AM48" s="219">
        <v>0.12</v>
      </c>
    </row>
    <row r="49" spans="1:39">
      <c r="A49" s="103"/>
      <c r="B49" s="40"/>
      <c r="P49" s="13">
        <v>2025</v>
      </c>
      <c r="Q49" s="13">
        <v>3</v>
      </c>
      <c r="R49" s="13" t="str">
        <v>SOUTH</v>
      </c>
      <c r="S49" s="13" t="str">
        <v>C49SZX20250029JY</v>
      </c>
      <c r="T49" s="13" t="str">
        <v>建航</v>
      </c>
      <c r="U49" s="13" t="str">
        <v>YSM10</v>
      </c>
      <c r="V49" s="13">
        <v>1</v>
      </c>
      <c r="W49" s="92" t="str">
        <v>RMB</v>
      </c>
      <c r="X49" s="97">
        <v>1.0669999999999999</v>
      </c>
      <c r="Y49" s="92">
        <v>380059.73451327439</v>
      </c>
      <c r="Z49" s="219">
        <v>0.12</v>
      </c>
      <c r="AB49" s="13">
        <v>2025</v>
      </c>
      <c r="AC49" s="13">
        <v>3</v>
      </c>
      <c r="AD49" s="13" t="str">
        <v>EAST</v>
      </c>
      <c r="AE49" s="13" t="str">
        <v>C28SHA20250320/LQM</v>
      </c>
      <c r="AF49" s="13" t="str">
        <v>江苏信利</v>
      </c>
      <c r="AG49" s="13" t="str">
        <v>YSi-V</v>
      </c>
      <c r="AH49" s="13">
        <v>1</v>
      </c>
      <c r="AI49" s="92" t="str">
        <v>RMB</v>
      </c>
      <c r="AJ49" s="118">
        <v>420000</v>
      </c>
      <c r="AK49" s="97">
        <v>1.0669999999999999</v>
      </c>
      <c r="AL49" s="92">
        <v>396584.0707964602</v>
      </c>
      <c r="AM49" s="219">
        <v>0.12</v>
      </c>
    </row>
    <row r="50" spans="1:39">
      <c r="A50" s="103"/>
      <c r="B50" s="40"/>
      <c r="P50" s="13">
        <v>2025</v>
      </c>
      <c r="Q50" s="13">
        <v>3</v>
      </c>
      <c r="R50" s="13" t="str">
        <v>SOUTH</v>
      </c>
      <c r="S50" s="13" t="str">
        <v>C49SZX20250026JY</v>
      </c>
      <c r="T50" s="13" t="str">
        <v>捷舜诚</v>
      </c>
      <c r="U50" s="13" t="str">
        <v>YSM10</v>
      </c>
      <c r="V50" s="13">
        <v>1</v>
      </c>
      <c r="W50" s="92" t="str">
        <v>RMB</v>
      </c>
      <c r="X50" s="97">
        <v>1.0669999999999999</v>
      </c>
      <c r="Y50" s="92">
        <v>354092.92035398236</v>
      </c>
      <c r="Z50" s="219">
        <v>0.12</v>
      </c>
      <c r="AB50" s="13">
        <v>2025</v>
      </c>
      <c r="AC50" s="13">
        <v>3</v>
      </c>
      <c r="AD50" s="13" t="str">
        <v>EAST</v>
      </c>
      <c r="AE50" s="13" t="str">
        <v>C28SHA20250320/LQM</v>
      </c>
      <c r="AF50" s="13" t="str">
        <v>江苏信利</v>
      </c>
      <c r="AG50" s="13" t="str">
        <v>YSi-V</v>
      </c>
      <c r="AH50" s="13">
        <v>1</v>
      </c>
      <c r="AI50" s="92" t="str">
        <v>RMB</v>
      </c>
      <c r="AJ50" s="118">
        <v>420000</v>
      </c>
      <c r="AK50" s="97">
        <v>1.0669999999999999</v>
      </c>
      <c r="AL50" s="92">
        <v>396584.0707964602</v>
      </c>
      <c r="AM50" s="219">
        <v>0.12</v>
      </c>
    </row>
    <row r="51" spans="1:39">
      <c r="A51" s="103"/>
      <c r="B51" s="40"/>
      <c r="P51" s="13">
        <v>2025</v>
      </c>
      <c r="Q51" s="13">
        <v>3</v>
      </c>
      <c r="R51" s="13" t="str">
        <v>SOUTH</v>
      </c>
      <c r="S51" s="13" t="str">
        <v>C49SZX20250032SX</v>
      </c>
      <c r="T51" s="13" t="str">
        <v>众一卓越</v>
      </c>
      <c r="U51" s="13" t="str">
        <v>YSM10</v>
      </c>
      <c r="V51" s="13">
        <v>1</v>
      </c>
      <c r="W51" s="92" t="str">
        <v>RMB</v>
      </c>
      <c r="X51" s="97">
        <v>1.0669999999999999</v>
      </c>
      <c r="Y51" s="92">
        <v>453238.93805309734</v>
      </c>
      <c r="Z51" s="21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19"/>
    </row>
    <row r="52" spans="1:39">
      <c r="A52" s="103"/>
      <c r="B52" s="40"/>
      <c r="P52" s="13">
        <v>2025</v>
      </c>
      <c r="Q52" s="13">
        <v>3</v>
      </c>
      <c r="R52" s="13" t="str">
        <v>SOUTH</v>
      </c>
      <c r="S52" s="13" t="str">
        <v>C49SZX20250032SX</v>
      </c>
      <c r="T52" s="13" t="str">
        <v>众一卓越</v>
      </c>
      <c r="U52" s="13" t="str">
        <v>YSM10</v>
      </c>
      <c r="V52" s="13">
        <v>1</v>
      </c>
      <c r="W52" s="92" t="str">
        <v>RMB</v>
      </c>
      <c r="X52" s="97">
        <v>1.0669999999999999</v>
      </c>
      <c r="Y52" s="92">
        <v>453238.93805309734</v>
      </c>
      <c r="Z52" s="21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19"/>
    </row>
    <row r="53" spans="1:39">
      <c r="A53" s="103"/>
      <c r="B53" s="40"/>
      <c r="P53" s="13">
        <v>2025</v>
      </c>
      <c r="Q53" s="13">
        <v>3</v>
      </c>
      <c r="R53" s="13" t="str">
        <v>SOUTH</v>
      </c>
      <c r="S53" s="13" t="str">
        <v>C49SZX20250033SX</v>
      </c>
      <c r="T53" s="13" t="str">
        <v>君泽</v>
      </c>
      <c r="U53" s="13" t="str">
        <v>YSM10</v>
      </c>
      <c r="V53" s="13">
        <v>1</v>
      </c>
      <c r="W53" s="92" t="str">
        <v>RMB</v>
      </c>
      <c r="X53" s="97">
        <v>1.0669999999999999</v>
      </c>
      <c r="Y53" s="92">
        <v>372977.87610619469</v>
      </c>
      <c r="Z53" s="21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19"/>
    </row>
    <row r="54" spans="1:39">
      <c r="A54" s="103"/>
      <c r="B54" s="40"/>
      <c r="P54" s="13">
        <v>2025</v>
      </c>
      <c r="Q54" s="13">
        <v>3</v>
      </c>
      <c r="R54" s="13" t="str">
        <v>SOUTH</v>
      </c>
      <c r="S54" s="13" t="str">
        <v>C49SZX20250033SX</v>
      </c>
      <c r="T54" s="13" t="str">
        <v>君泽</v>
      </c>
      <c r="U54" s="13" t="str">
        <v>DESEN DSP-10-YMH</v>
      </c>
      <c r="V54" s="13">
        <v>1</v>
      </c>
      <c r="W54" s="92" t="str">
        <v>RMB</v>
      </c>
      <c r="X54" s="97">
        <v>1.0669999999999999</v>
      </c>
      <c r="Y54" s="92">
        <v>146358.40707964604</v>
      </c>
      <c r="Z54" s="21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19"/>
    </row>
    <row r="55" spans="1:39">
      <c r="A55" s="103"/>
      <c r="B55" s="40"/>
      <c r="P55" s="13">
        <v>2025</v>
      </c>
      <c r="Q55" s="13">
        <v>3</v>
      </c>
      <c r="R55" s="13" t="str">
        <v>EAST</v>
      </c>
      <c r="S55" s="13" t="str">
        <v>C49SHA20250228ZQR</v>
      </c>
      <c r="T55" s="13" t="str">
        <v>宁波月立</v>
      </c>
      <c r="U55" s="13" t="str">
        <v>YSM10</v>
      </c>
      <c r="V55" s="13">
        <v>1</v>
      </c>
      <c r="W55" s="92" t="str">
        <v>RMB</v>
      </c>
      <c r="X55" s="97">
        <v>1.0669999999999999</v>
      </c>
      <c r="Y55" s="92">
        <v>380531.85840707965</v>
      </c>
      <c r="Z55" s="21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19"/>
    </row>
    <row r="56" spans="1:39">
      <c r="A56" s="103"/>
      <c r="B56" s="40"/>
      <c r="P56" s="13">
        <v>2025</v>
      </c>
      <c r="Q56" s="13">
        <v>3</v>
      </c>
      <c r="R56" s="13" t="str">
        <v>EAST</v>
      </c>
      <c r="S56" s="13" t="str">
        <v>C28SHA20250228</v>
      </c>
      <c r="T56" s="13" t="str">
        <v>上海多越</v>
      </c>
      <c r="U56" s="13" t="str">
        <v>YSi-V</v>
      </c>
      <c r="V56" s="13">
        <v>1</v>
      </c>
      <c r="W56" s="92" t="str">
        <v>RMB</v>
      </c>
      <c r="X56" s="97">
        <v>1.0669999999999999</v>
      </c>
      <c r="Y56" s="92">
        <v>321044.24778761063</v>
      </c>
      <c r="Z56" s="21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19"/>
    </row>
    <row r="57" spans="1:39">
      <c r="A57" s="103"/>
      <c r="B57" s="40"/>
      <c r="P57" s="13">
        <v>2025</v>
      </c>
      <c r="Q57" s="13">
        <v>3</v>
      </c>
      <c r="R57" s="13" t="str">
        <v>WEST</v>
      </c>
      <c r="S57" s="13" t="str">
        <v>C49XIY20250228LJY</v>
      </c>
      <c r="T57" s="13" t="str">
        <v>西安康发</v>
      </c>
      <c r="U57" s="13" t="str">
        <v>YSM10</v>
      </c>
      <c r="V57" s="13">
        <v>1</v>
      </c>
      <c r="W57" s="92" t="str">
        <v>RMB</v>
      </c>
      <c r="X57" s="97">
        <v>1.0669999999999999</v>
      </c>
      <c r="Y57" s="92">
        <v>472123.89380530978</v>
      </c>
      <c r="Z57" s="21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19"/>
    </row>
    <row r="58" spans="1:39">
      <c r="A58" s="103"/>
      <c r="B58" s="40"/>
      <c r="P58" s="13"/>
      <c r="T58" s="13"/>
      <c r="U58" s="13"/>
      <c r="V58" s="13"/>
      <c r="W58" s="92"/>
      <c r="X58" s="97"/>
      <c r="Y58" s="92"/>
      <c r="Z58" s="219"/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19"/>
    </row>
    <row r="59" spans="1:39">
      <c r="A59" s="103"/>
      <c r="B59" s="40"/>
      <c r="P59" s="13"/>
      <c r="T59" s="13"/>
      <c r="U59" s="13"/>
      <c r="V59" s="13"/>
      <c r="W59" s="92"/>
      <c r="X59" s="97"/>
      <c r="Y59" s="92"/>
      <c r="Z59" s="219"/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19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19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19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19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19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19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19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19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19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19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19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19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1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1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1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1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1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1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1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19"/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1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19"/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1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19"/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1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19"/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1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19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1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19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1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19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1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19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1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19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1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19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1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19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1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19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1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19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1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19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1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19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1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19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1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19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1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19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1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19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1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19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1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19"/>
      <c r="AA89" s="13"/>
      <c r="AB89" s="13"/>
      <c r="AC89" s="13"/>
      <c r="AD89" s="13"/>
      <c r="AE89" s="13"/>
      <c r="AF89" s="13"/>
      <c r="AM89" s="21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19"/>
      <c r="AA90" s="13"/>
      <c r="AB90" s="13"/>
      <c r="AC90" s="13"/>
      <c r="AD90" s="13"/>
      <c r="AE90" s="13"/>
      <c r="AF90" s="13"/>
      <c r="AM90" s="21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19"/>
      <c r="AA91" s="13"/>
      <c r="AB91" s="13"/>
      <c r="AC91" s="13"/>
      <c r="AD91" s="13"/>
      <c r="AE91" s="13"/>
      <c r="AF91" s="13"/>
      <c r="AM91" s="21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19"/>
      <c r="AA92" s="13"/>
      <c r="AB92" s="13"/>
      <c r="AC92" s="13"/>
      <c r="AD92" s="13"/>
      <c r="AE92" s="13"/>
      <c r="AF92" s="13"/>
      <c r="AM92" s="21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19"/>
      <c r="AA93" s="13"/>
      <c r="AB93" s="13"/>
      <c r="AC93" s="13"/>
      <c r="AD93" s="13"/>
      <c r="AE93" s="13"/>
      <c r="AF93" s="13"/>
      <c r="AM93" s="21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19"/>
      <c r="AA94" s="13"/>
      <c r="AB94" s="13"/>
      <c r="AC94" s="13"/>
      <c r="AD94" s="13"/>
      <c r="AE94" s="13"/>
      <c r="AF94" s="13"/>
      <c r="AM94" s="21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19"/>
      <c r="AA95" s="13"/>
      <c r="AB95" s="13"/>
      <c r="AC95" s="13"/>
      <c r="AD95" s="13"/>
      <c r="AE95" s="13"/>
      <c r="AF95" s="13"/>
      <c r="AM95" s="21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19"/>
      <c r="AA96" s="13"/>
      <c r="AB96" s="13"/>
      <c r="AC96" s="13"/>
      <c r="AM96" s="21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19"/>
      <c r="AA97" s="13"/>
      <c r="AB97" s="13"/>
      <c r="AC97" s="13"/>
      <c r="AM97" s="219"/>
    </row>
    <row r="98" spans="1:39">
      <c r="A98" s="103"/>
      <c r="B98" s="40"/>
      <c r="T98" s="13"/>
      <c r="U98" s="13"/>
      <c r="V98" s="13"/>
      <c r="W98" s="90"/>
      <c r="X98" s="97"/>
      <c r="Y98" s="90"/>
      <c r="Z98" s="219"/>
      <c r="AA98" s="13"/>
      <c r="AB98" s="13"/>
      <c r="AC98" s="13"/>
      <c r="AM98" s="219"/>
    </row>
    <row r="99" spans="1:39">
      <c r="A99" s="103"/>
      <c r="B99" s="40"/>
      <c r="T99" s="13"/>
      <c r="U99" s="13"/>
      <c r="V99" s="13"/>
      <c r="W99" s="90"/>
      <c r="X99" s="97"/>
      <c r="Y99" s="90"/>
      <c r="Z99" s="219"/>
      <c r="AA99" s="13"/>
      <c r="AB99" s="13"/>
      <c r="AC99" s="13"/>
      <c r="AM99" s="21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19"/>
      <c r="AA100" s="13"/>
      <c r="AB100" s="13"/>
      <c r="AC100" s="13"/>
      <c r="AM100" s="21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19"/>
      <c r="AA101" s="13"/>
      <c r="AB101" s="13"/>
      <c r="AC101" s="13"/>
      <c r="AM101" s="21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19"/>
      <c r="AA102" s="13"/>
      <c r="AB102" s="13"/>
      <c r="AC102" s="13"/>
      <c r="AM102" s="219"/>
    </row>
    <row r="103" spans="1:39">
      <c r="A103" s="103"/>
      <c r="B103" s="40"/>
      <c r="V103" s="13"/>
      <c r="W103" s="90"/>
      <c r="X103" s="97"/>
      <c r="Y103" s="90"/>
      <c r="Z103" s="219"/>
      <c r="AA103" s="13"/>
      <c r="AB103" s="13"/>
      <c r="AC103" s="13"/>
      <c r="AM103" s="219"/>
    </row>
    <row r="104" spans="1:39">
      <c r="A104" s="103"/>
      <c r="B104" s="40"/>
      <c r="V104" s="13"/>
      <c r="W104" s="90"/>
      <c r="X104" s="97"/>
      <c r="Y104" s="90"/>
      <c r="Z104" s="219"/>
      <c r="AA104" s="13"/>
      <c r="AB104" s="13"/>
      <c r="AC104" s="13"/>
      <c r="AM104" s="219"/>
    </row>
    <row r="105" spans="1:39">
      <c r="A105" s="103"/>
      <c r="B105" s="40"/>
      <c r="V105" s="13"/>
      <c r="W105" s="90"/>
      <c r="X105" s="97"/>
      <c r="Y105" s="90"/>
      <c r="Z105" s="219"/>
      <c r="AA105" s="13"/>
      <c r="AB105" s="13"/>
      <c r="AC105" s="13"/>
      <c r="AM105" s="219"/>
    </row>
    <row r="106" spans="1:39">
      <c r="A106" s="103"/>
      <c r="B106" s="40"/>
      <c r="V106" s="13"/>
      <c r="W106" s="90"/>
      <c r="X106" s="97"/>
      <c r="Y106" s="90"/>
      <c r="Z106" s="219"/>
      <c r="AA106" s="13"/>
      <c r="AB106" s="13"/>
      <c r="AC106" s="13"/>
      <c r="AM106" s="21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1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1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1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1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1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1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1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1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1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1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1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1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1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1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1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1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1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1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1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1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19"/>
    </row>
    <row r="128" spans="1:39">
      <c r="A128" s="103"/>
      <c r="B128" s="40"/>
      <c r="V128" s="13"/>
      <c r="X128" s="97"/>
      <c r="AA128" s="13"/>
      <c r="AB128" s="13"/>
      <c r="AC128" s="13"/>
      <c r="AM128" s="219"/>
    </row>
    <row r="129" spans="1:39">
      <c r="A129" s="103"/>
      <c r="B129" s="40"/>
      <c r="V129" s="13"/>
      <c r="X129" s="97"/>
      <c r="AA129" s="13"/>
      <c r="AB129" s="13"/>
      <c r="AC129" s="13"/>
      <c r="AM129" s="219"/>
    </row>
    <row r="130" spans="1:39">
      <c r="A130" s="103"/>
      <c r="B130" s="40"/>
      <c r="V130" s="13"/>
      <c r="X130" s="97"/>
      <c r="AA130" s="13"/>
      <c r="AB130" s="13"/>
      <c r="AC130" s="13"/>
      <c r="AM130" s="219"/>
    </row>
    <row r="131" spans="1:39">
      <c r="A131" s="103"/>
      <c r="B131" s="40"/>
      <c r="V131" s="13"/>
      <c r="X131" s="97"/>
      <c r="AA131" s="13"/>
      <c r="AB131" s="13"/>
      <c r="AC131" s="13"/>
      <c r="AM131" s="219"/>
    </row>
    <row r="132" spans="1:39">
      <c r="A132" s="103"/>
      <c r="B132" s="40"/>
      <c r="V132" s="13"/>
      <c r="X132" s="97"/>
      <c r="AA132" s="13"/>
      <c r="AB132" s="13"/>
      <c r="AC132" s="13"/>
      <c r="AM132" s="219"/>
    </row>
    <row r="133" spans="1:39">
      <c r="A133" s="103"/>
      <c r="B133" s="40"/>
      <c r="V133" s="13"/>
      <c r="X133" s="97"/>
      <c r="AA133" s="13"/>
      <c r="AB133" s="13"/>
      <c r="AC133" s="13"/>
      <c r="AM133" s="219"/>
    </row>
    <row r="134" spans="1:39">
      <c r="A134" s="103"/>
      <c r="B134" s="40"/>
      <c r="V134" s="13"/>
      <c r="X134" s="97"/>
      <c r="AA134" s="13"/>
      <c r="AB134" s="13"/>
      <c r="AC134" s="13"/>
      <c r="AM134" s="219"/>
    </row>
    <row r="135" spans="1:39">
      <c r="A135" s="103"/>
      <c r="B135" s="40"/>
      <c r="V135" s="13"/>
      <c r="X135" s="97"/>
      <c r="AA135" s="13"/>
      <c r="AB135" s="13"/>
      <c r="AC135" s="13"/>
      <c r="AM135" s="219"/>
    </row>
    <row r="136" spans="1:39">
      <c r="A136" s="103"/>
      <c r="B136" s="40"/>
      <c r="V136" s="13"/>
      <c r="X136" s="97"/>
      <c r="AA136" s="13"/>
      <c r="AB136" s="13"/>
      <c r="AC136" s="13"/>
      <c r="AM136" s="219"/>
    </row>
    <row r="137" spans="1:39">
      <c r="A137" s="103"/>
      <c r="B137" s="40"/>
      <c r="V137" s="13"/>
      <c r="X137" s="97"/>
      <c r="AA137" s="13"/>
      <c r="AB137" s="13"/>
      <c r="AC137" s="13"/>
      <c r="AM137" s="219"/>
    </row>
    <row r="138" spans="1:39">
      <c r="A138" s="103"/>
      <c r="B138" s="40"/>
      <c r="V138" s="13"/>
      <c r="X138" s="97"/>
      <c r="AA138" s="13"/>
      <c r="AB138" s="13"/>
      <c r="AC138" s="13"/>
      <c r="AM138" s="219"/>
    </row>
    <row r="139" spans="1:39">
      <c r="A139" s="103"/>
      <c r="B139" s="40"/>
      <c r="V139" s="13"/>
      <c r="X139" s="97"/>
      <c r="AA139" s="13"/>
      <c r="AB139" s="13"/>
      <c r="AC139" s="13"/>
      <c r="AM139" s="219"/>
    </row>
    <row r="140" spans="1:39">
      <c r="A140" s="103"/>
      <c r="B140" s="40"/>
      <c r="V140" s="13"/>
      <c r="X140" s="97"/>
      <c r="AA140" s="13"/>
      <c r="AB140" s="13"/>
      <c r="AC140" s="13"/>
      <c r="AM140" s="219"/>
    </row>
    <row r="141" spans="1:39">
      <c r="A141" s="103"/>
      <c r="B141" s="40"/>
      <c r="V141" s="13"/>
      <c r="X141" s="97"/>
      <c r="AA141" s="13"/>
      <c r="AB141" s="13"/>
      <c r="AC141" s="13"/>
      <c r="AM141" s="219"/>
    </row>
    <row r="142" spans="1:39">
      <c r="A142" s="103"/>
      <c r="B142" s="40"/>
      <c r="V142" s="13"/>
      <c r="X142" s="97"/>
      <c r="AA142" s="13"/>
      <c r="AB142" s="13"/>
      <c r="AC142" s="13"/>
      <c r="AM142" s="219"/>
    </row>
    <row r="143" spans="1:39">
      <c r="A143" s="103"/>
      <c r="B143" s="40"/>
      <c r="V143" s="13"/>
      <c r="X143" s="97"/>
      <c r="AA143" s="13"/>
      <c r="AB143" s="13"/>
      <c r="AC143" s="13"/>
      <c r="AM143" s="219"/>
    </row>
    <row r="144" spans="1:39">
      <c r="A144" s="103"/>
      <c r="B144" s="40"/>
      <c r="X144" s="97"/>
      <c r="AA144" s="13"/>
      <c r="AB144" s="13"/>
      <c r="AC144" s="13"/>
      <c r="AM144" s="219"/>
    </row>
    <row r="145" spans="1:39">
      <c r="A145" s="103"/>
      <c r="B145" s="40"/>
      <c r="X145" s="97"/>
      <c r="AM145" s="219"/>
    </row>
    <row r="146" spans="1:39">
      <c r="A146" s="103"/>
      <c r="B146" s="40"/>
      <c r="X146" s="97"/>
      <c r="AM146" s="219"/>
    </row>
    <row r="147" spans="1:39">
      <c r="A147" s="103"/>
      <c r="B147" s="40"/>
      <c r="X147" s="97"/>
      <c r="AM147" s="21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AB10:AI11"/>
    <mergeCell ref="P1:P2"/>
    <mergeCell ref="P3:P5"/>
    <mergeCell ref="P19:Z19"/>
    <mergeCell ref="AB19:AM19"/>
    <mergeCell ref="C19:E19"/>
    <mergeCell ref="C21:D21"/>
    <mergeCell ref="C22:D22"/>
    <mergeCell ref="C20:D20"/>
    <mergeCell ref="P10:V11"/>
  </mergeCells>
  <phoneticPr fontId="5" type="noConversion"/>
  <conditionalFormatting sqref="A1:A151 Q13:R17">
    <cfRule type="notContainsBlanks" dxfId="32" priority="39" stopIfTrue="1">
      <formula>LEN(TRIM(A1))&gt;0</formula>
    </cfRule>
    <cfRule type="containsBlanks" dxfId="31" priority="40" stopIfTrue="1">
      <formula>LEN(TRIM(A1))=0</formula>
    </cfRule>
  </conditionalFormatting>
  <conditionalFormatting sqref="F2:L13">
    <cfRule type="notContainsBlanks" dxfId="30" priority="33" stopIfTrue="1">
      <formula>LEN(TRIM(F2))&gt;0</formula>
    </cfRule>
    <cfRule type="containsBlanks" dxfId="29" priority="34" stopIfTrue="1">
      <formula>LEN(TRIM(F2))=0</formula>
    </cfRule>
  </conditionalFormatting>
  <conditionalFormatting sqref="E21">
    <cfRule type="notContainsBlanks" dxfId="28" priority="31" stopIfTrue="1">
      <formula>LEN(TRIM(E21))&gt;0</formula>
    </cfRule>
    <cfRule type="containsBlanks" dxfId="27" priority="32" stopIfTrue="1">
      <formula>LEN(TRIM(E21))=0</formula>
    </cfRule>
  </conditionalFormatting>
  <conditionalFormatting sqref="E22">
    <cfRule type="notContainsBlanks" dxfId="26" priority="29" stopIfTrue="1">
      <formula>LEN(TRIM(E22))&gt;0</formula>
    </cfRule>
    <cfRule type="containsBlanks" dxfId="25" priority="30" stopIfTrue="1">
      <formula>LEN(TRIM(E22))=0</formula>
    </cfRule>
  </conditionalFormatting>
  <conditionalFormatting sqref="E20">
    <cfRule type="notContainsBlanks" dxfId="24" priority="27" stopIfTrue="1">
      <formula>LEN(TRIM(E20))&gt;0</formula>
    </cfRule>
    <cfRule type="containsBlanks" dxfId="23" priority="28" stopIfTrue="1">
      <formula>LEN(TRIM(E20))=0</formula>
    </cfRule>
  </conditionalFormatting>
  <conditionalFormatting sqref="R2:S5">
    <cfRule type="notContainsBlanks" dxfId="22" priority="25" stopIfTrue="1">
      <formula>LEN(TRIM(R2))&gt;0</formula>
    </cfRule>
    <cfRule type="containsBlanks" dxfId="21" priority="26" stopIfTrue="1">
      <formula>LEN(TRIM(R2))=0</formula>
    </cfRule>
  </conditionalFormatting>
  <conditionalFormatting sqref="P13 P15:P17">
    <cfRule type="notContainsBlanks" dxfId="20" priority="17" stopIfTrue="1">
      <formula>LEN(TRIM(P13))&gt;0</formula>
    </cfRule>
    <cfRule type="containsBlanks" dxfId="19" priority="18" stopIfTrue="1">
      <formula>LEN(TRIM(P13))=0</formula>
    </cfRule>
  </conditionalFormatting>
  <conditionalFormatting sqref="AC13:AD17">
    <cfRule type="notContainsBlanks" dxfId="18" priority="15" stopIfTrue="1">
      <formula>LEN(TRIM(AC13))&gt;0</formula>
    </cfRule>
    <cfRule type="containsBlanks" dxfId="17" priority="16" stopIfTrue="1">
      <formula>LEN(TRIM(AC13))=0</formula>
    </cfRule>
  </conditionalFormatting>
  <conditionalFormatting sqref="AB13:AB17">
    <cfRule type="notContainsBlanks" dxfId="16" priority="13" stopIfTrue="1">
      <formula>LEN(TRIM(AB13))&gt;0</formula>
    </cfRule>
    <cfRule type="containsBlanks" dxfId="15" priority="14" stopIfTrue="1">
      <formula>LEN(TRIM(AB13))=0</formula>
    </cfRule>
  </conditionalFormatting>
  <conditionalFormatting sqref="AC1:AC9 AC89:AC1048576 AD10:AD18 AD20:AD88">
    <cfRule type="containsText" dxfId="14" priority="9" operator="containsText" text="NORTH">
      <formula>NOT(ISERROR(SEARCH("NORTH",AC1)))</formula>
    </cfRule>
    <cfRule type="containsText" dxfId="13" priority="10" operator="containsText" text="EAST">
      <formula>NOT(ISERROR(SEARCH("EAST",AC1)))</formula>
    </cfRule>
    <cfRule type="containsText" dxfId="12" priority="11" operator="containsText" text="WEST">
      <formula>NOT(ISERROR(SEARCH("WEST",AC1)))</formula>
    </cfRule>
    <cfRule type="containsText" dxfId="11" priority="12" operator="containsText" text="SOUTH">
      <formula>NOT(ISERROR(SEARCH("SOUTH",AC1)))</formula>
    </cfRule>
  </conditionalFormatting>
  <conditionalFormatting sqref="R21:R111">
    <cfRule type="containsText" dxfId="10" priority="5" operator="containsText" text="NORTH">
      <formula>NOT(ISERROR(SEARCH("NORTH",R21)))</formula>
    </cfRule>
    <cfRule type="containsText" dxfId="9" priority="6" operator="containsText" text="EAST">
      <formula>NOT(ISERROR(SEARCH("EAST",R21)))</formula>
    </cfRule>
    <cfRule type="containsText" dxfId="8" priority="7" operator="containsText" text="WEST">
      <formula>NOT(ISERROR(SEARCH("WEST",R21)))</formula>
    </cfRule>
    <cfRule type="containsText" dxfId="7" priority="8" operator="containsText" text="SOUTH">
      <formula>NOT(ISERROR(SEARCH("SOUTH",R21)))</formula>
    </cfRule>
  </conditionalFormatting>
  <conditionalFormatting sqref="P14">
    <cfRule type="notContainsBlanks" dxfId="6" priority="3" stopIfTrue="1">
      <formula>LEN(TRIM(P14))&gt;0</formula>
    </cfRule>
    <cfRule type="containsBlanks" dxfId="5" priority="4" stopIfTrue="1">
      <formula>LEN(TRIM(P14))=0</formula>
    </cfRule>
  </conditionalFormatting>
  <conditionalFormatting sqref="Z21:Z108">
    <cfRule type="cellIs" dxfId="4" priority="2" operator="lessThan">
      <formula>0.12</formula>
    </cfRule>
  </conditionalFormatting>
  <conditionalFormatting sqref="AM21:AM108">
    <cfRule type="cellIs" dxfId="3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sqref="A1:D1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3227</v>
      </c>
      <c r="B1" s="111" t="s">
        <v>3228</v>
      </c>
      <c r="C1" s="112" t="s">
        <v>3229</v>
      </c>
      <c r="D1" s="113" t="s">
        <v>3230</v>
      </c>
    </row>
    <row r="2" spans="1:4">
      <c r="A2" s="116">
        <v>2024</v>
      </c>
      <c r="B2" s="15" t="s">
        <v>3231</v>
      </c>
      <c r="C2" s="114">
        <v>2400000000</v>
      </c>
      <c r="D2" s="114">
        <v>10000000</v>
      </c>
    </row>
    <row r="3" spans="1:4">
      <c r="A3" s="116">
        <v>2024</v>
      </c>
      <c r="B3" s="15" t="s">
        <v>3232</v>
      </c>
      <c r="C3" s="114">
        <v>800000000</v>
      </c>
      <c r="D3" s="114">
        <v>10000000</v>
      </c>
    </row>
    <row r="4" spans="1:4">
      <c r="A4" s="116">
        <v>2024</v>
      </c>
      <c r="B4" s="15" t="s">
        <v>3233</v>
      </c>
      <c r="C4" s="114">
        <v>480000000</v>
      </c>
      <c r="D4" s="114">
        <v>10000000</v>
      </c>
    </row>
    <row r="5" spans="1:4">
      <c r="A5" s="116">
        <v>2024</v>
      </c>
      <c r="B5" s="15" t="s">
        <v>3234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F94596-2C31-4631-8FE6-AE3F5345A4C4}">
  <dimension ref="A1:G5"/>
  <sheetViews>
    <sheetView workbookViewId="0">
      <selection activeCell="E1" sqref="E1"/>
    </sheetView>
  </sheetViews>
  <sheetFormatPr defaultRowHeight="15.6"/>
  <cols>
    <col min="1" max="1" width="10.69921875" style="15" bestFit="1" customWidth="1"/>
    <col min="2" max="2" width="16.69921875" style="15" bestFit="1" customWidth="1"/>
    <col min="3" max="3" width="33.19921875" style="114" bestFit="1" customWidth="1"/>
    <col min="4" max="4" width="12.296875" style="245" bestFit="1" customWidth="1"/>
    <col min="5" max="5" width="11.09765625" style="15" bestFit="1" customWidth="1"/>
    <col min="6" max="6" width="11.296875" style="15" bestFit="1" customWidth="1"/>
    <col min="7" max="7" width="11.09765625" style="15" bestFit="1" customWidth="1"/>
  </cols>
  <sheetData>
    <row r="1" spans="1:7">
      <c r="A1" s="241" t="s">
        <v>4</v>
      </c>
      <c r="B1" s="241" t="s">
        <v>15</v>
      </c>
      <c r="C1" s="241" t="s">
        <v>3753</v>
      </c>
      <c r="D1" s="240" t="s">
        <v>49</v>
      </c>
      <c r="E1" s="242" t="s">
        <v>50</v>
      </c>
      <c r="F1" s="243" t="s">
        <v>51</v>
      </c>
      <c r="G1" s="244" t="s">
        <v>52</v>
      </c>
    </row>
    <row r="2" spans="1:7">
      <c r="A2" s="15" t="s">
        <v>3690</v>
      </c>
      <c r="B2" s="15" t="s">
        <v>62</v>
      </c>
      <c r="C2" s="114">
        <v>312000000</v>
      </c>
      <c r="D2" s="245">
        <f>C2*0.6</f>
        <v>187200000</v>
      </c>
      <c r="E2" s="246">
        <f>C2*0.25</f>
        <v>78000000</v>
      </c>
      <c r="F2" s="247">
        <f>C2*0.08</f>
        <v>24960000</v>
      </c>
      <c r="G2" s="246">
        <f>C2*0.07</f>
        <v>21840000.000000004</v>
      </c>
    </row>
    <row r="3" spans="1:7">
      <c r="A3" s="15" t="s">
        <v>3690</v>
      </c>
      <c r="B3" s="15" t="s">
        <v>2055</v>
      </c>
      <c r="C3" s="114">
        <v>40000000</v>
      </c>
      <c r="D3" s="245">
        <f t="shared" ref="D3:D4" si="0">C3*0.6</f>
        <v>24000000</v>
      </c>
      <c r="E3" s="246">
        <f t="shared" ref="E3:E4" si="1">C3*0.25</f>
        <v>10000000</v>
      </c>
      <c r="F3" s="247">
        <f t="shared" ref="F3:F4" si="2">C3*0.08</f>
        <v>3200000</v>
      </c>
      <c r="G3" s="246">
        <f t="shared" ref="G3:G4" si="3">C3*0.07</f>
        <v>2800000.0000000005</v>
      </c>
    </row>
    <row r="4" spans="1:7">
      <c r="A4" s="15" t="s">
        <v>3690</v>
      </c>
      <c r="B4" s="15" t="s">
        <v>45</v>
      </c>
      <c r="C4" s="114">
        <v>8000000</v>
      </c>
      <c r="D4" s="245">
        <f t="shared" si="0"/>
        <v>4800000</v>
      </c>
      <c r="E4" s="246">
        <f t="shared" si="1"/>
        <v>2000000</v>
      </c>
      <c r="F4" s="247">
        <f t="shared" si="2"/>
        <v>640000</v>
      </c>
      <c r="G4" s="246">
        <f t="shared" si="3"/>
        <v>560000</v>
      </c>
    </row>
    <row r="5" spans="1:7">
      <c r="E5" s="246"/>
    </row>
  </sheetData>
  <autoFilter ref="A1:G1" xr:uid="{F4F94596-2C31-4631-8FE6-AE3F5345A4C4}"/>
  <conditionalFormatting sqref="B1:B1048576">
    <cfRule type="containsText" dxfId="2" priority="1" operator="containsText" text="C66">
      <formula>NOT(ISERROR(SEARCH("C66",B1)))</formula>
    </cfRule>
    <cfRule type="containsText" dxfId="1" priority="2" operator="containsText" text="C28">
      <formula>NOT(ISERROR(SEARCH("C28",B1)))</formula>
    </cfRule>
    <cfRule type="containsText" dxfId="0" priority="3" operator="containsText" text="C49">
      <formula>NOT(ISERROR(SEARCH("C49",B1)))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3235</v>
      </c>
      <c r="B1" s="15" t="s">
        <v>3235</v>
      </c>
      <c r="C1" t="s">
        <v>2584</v>
      </c>
      <c r="D1" t="s">
        <v>68</v>
      </c>
      <c r="E1" t="s">
        <v>3236</v>
      </c>
      <c r="F1" t="s">
        <v>3237</v>
      </c>
      <c r="G1" s="110">
        <v>43435</v>
      </c>
    </row>
    <row r="2" spans="1:7">
      <c r="A2" s="15">
        <v>2026</v>
      </c>
      <c r="B2" s="15">
        <v>12</v>
      </c>
      <c r="C2" t="s">
        <v>3691</v>
      </c>
      <c r="D2" t="s">
        <v>61</v>
      </c>
      <c r="E2" t="s">
        <v>3238</v>
      </c>
      <c r="F2" t="s">
        <v>3239</v>
      </c>
      <c r="G2" s="110">
        <v>43466</v>
      </c>
    </row>
    <row r="3" spans="1:7">
      <c r="A3" s="15">
        <v>2025</v>
      </c>
      <c r="B3" s="15">
        <v>11</v>
      </c>
      <c r="C3" t="s">
        <v>3690</v>
      </c>
      <c r="D3" t="s">
        <v>3240</v>
      </c>
      <c r="E3" t="s">
        <v>3241</v>
      </c>
      <c r="F3" t="s">
        <v>3242</v>
      </c>
      <c r="G3" s="110">
        <v>43497</v>
      </c>
    </row>
    <row r="4" spans="1:7">
      <c r="A4" s="15">
        <v>2024</v>
      </c>
      <c r="B4" s="15">
        <v>10</v>
      </c>
      <c r="C4" t="s">
        <v>3172</v>
      </c>
      <c r="D4" t="s">
        <v>3238</v>
      </c>
      <c r="E4" t="s">
        <v>3243</v>
      </c>
      <c r="F4" t="s">
        <v>3244</v>
      </c>
      <c r="G4" s="110">
        <v>43525</v>
      </c>
    </row>
    <row r="5" spans="1:7">
      <c r="A5" s="15">
        <v>2023</v>
      </c>
      <c r="B5" s="15">
        <v>9</v>
      </c>
      <c r="C5" t="s">
        <v>55</v>
      </c>
      <c r="E5" t="s">
        <v>3245</v>
      </c>
      <c r="F5" t="s">
        <v>3246</v>
      </c>
      <c r="G5" s="110">
        <v>43556</v>
      </c>
    </row>
    <row r="6" spans="1:7">
      <c r="A6" s="15">
        <v>2022</v>
      </c>
      <c r="B6" s="15">
        <v>8</v>
      </c>
      <c r="C6" t="s">
        <v>54</v>
      </c>
      <c r="E6" t="s">
        <v>3247</v>
      </c>
      <c r="F6" t="s">
        <v>3248</v>
      </c>
      <c r="G6" s="110">
        <v>43586</v>
      </c>
    </row>
    <row r="7" spans="1:7">
      <c r="A7" s="15">
        <v>2021</v>
      </c>
      <c r="B7" s="15">
        <v>7</v>
      </c>
      <c r="C7" t="s">
        <v>53</v>
      </c>
      <c r="E7" t="s">
        <v>3249</v>
      </c>
      <c r="F7" t="s">
        <v>2070</v>
      </c>
      <c r="G7" s="110">
        <v>43617</v>
      </c>
    </row>
    <row r="8" spans="1:7">
      <c r="A8" s="15">
        <v>2020</v>
      </c>
      <c r="B8" s="15">
        <v>6</v>
      </c>
      <c r="C8" t="s">
        <v>48</v>
      </c>
      <c r="E8" t="s">
        <v>3250</v>
      </c>
      <c r="F8" t="s">
        <v>2074</v>
      </c>
      <c r="G8" s="110">
        <v>43647</v>
      </c>
    </row>
    <row r="9" spans="1:7">
      <c r="A9" s="15">
        <v>2019</v>
      </c>
      <c r="B9" s="15">
        <v>5</v>
      </c>
      <c r="C9" t="s">
        <v>47</v>
      </c>
      <c r="E9" t="s">
        <v>3251</v>
      </c>
      <c r="F9" t="s">
        <v>3252</v>
      </c>
      <c r="G9" s="110">
        <v>43678</v>
      </c>
    </row>
    <row r="10" spans="1:7">
      <c r="A10" s="15">
        <v>2018</v>
      </c>
      <c r="B10" s="15">
        <v>4</v>
      </c>
      <c r="C10" t="s">
        <v>41</v>
      </c>
      <c r="E10" t="s">
        <v>3253</v>
      </c>
      <c r="F10" t="s">
        <v>3254</v>
      </c>
      <c r="G10" s="110">
        <v>43709</v>
      </c>
    </row>
    <row r="11" spans="1:7">
      <c r="A11" s="15">
        <v>2017</v>
      </c>
      <c r="B11" s="15">
        <v>3</v>
      </c>
      <c r="C11" s="15" t="s">
        <v>185</v>
      </c>
      <c r="E11" t="s">
        <v>3255</v>
      </c>
      <c r="F11" t="s">
        <v>3256</v>
      </c>
      <c r="G11" s="110">
        <v>43739</v>
      </c>
    </row>
    <row r="12" spans="1:7">
      <c r="A12" s="15" t="s">
        <v>185</v>
      </c>
      <c r="B12" s="15">
        <v>2</v>
      </c>
      <c r="E12" t="s">
        <v>3257</v>
      </c>
      <c r="F12" t="s">
        <v>3258</v>
      </c>
      <c r="G12" s="110">
        <v>43770</v>
      </c>
    </row>
    <row r="13" spans="1:7">
      <c r="B13" s="15">
        <v>1</v>
      </c>
      <c r="E13" t="s">
        <v>3259</v>
      </c>
      <c r="F13" t="s">
        <v>3260</v>
      </c>
      <c r="G13" s="110">
        <v>43800</v>
      </c>
    </row>
    <row r="14" spans="1:7">
      <c r="B14" s="15" t="s">
        <v>185</v>
      </c>
      <c r="E14" t="s">
        <v>3261</v>
      </c>
      <c r="F14" t="s">
        <v>3262</v>
      </c>
      <c r="G14" s="110">
        <v>43831</v>
      </c>
    </row>
    <row r="15" spans="1:7">
      <c r="E15" t="s">
        <v>3263</v>
      </c>
      <c r="F15" t="s">
        <v>3264</v>
      </c>
      <c r="G15" s="110">
        <v>43862</v>
      </c>
    </row>
    <row r="16" spans="1:7">
      <c r="E16" t="s">
        <v>3265</v>
      </c>
      <c r="F16" t="s">
        <v>3266</v>
      </c>
      <c r="G16" s="110">
        <v>43891</v>
      </c>
    </row>
    <row r="17" spans="5:7">
      <c r="E17" t="s">
        <v>3267</v>
      </c>
      <c r="F17" t="s">
        <v>3268</v>
      </c>
      <c r="G17" s="110">
        <v>43922</v>
      </c>
    </row>
    <row r="18" spans="5:7">
      <c r="E18" t="s">
        <v>3269</v>
      </c>
      <c r="F18" t="s">
        <v>2081</v>
      </c>
      <c r="G18" s="110">
        <v>43952</v>
      </c>
    </row>
    <row r="19" spans="5:7">
      <c r="E19" t="s">
        <v>3270</v>
      </c>
      <c r="F19" t="s">
        <v>2349</v>
      </c>
      <c r="G19" s="110">
        <v>43983</v>
      </c>
    </row>
    <row r="20" spans="5:7">
      <c r="E20" t="s">
        <v>3271</v>
      </c>
      <c r="F20" t="s">
        <v>3272</v>
      </c>
      <c r="G20" s="110">
        <v>44013</v>
      </c>
    </row>
    <row r="21" spans="5:7">
      <c r="E21" t="s">
        <v>3273</v>
      </c>
      <c r="F21" t="s">
        <v>3274</v>
      </c>
      <c r="G21" s="110">
        <v>44044</v>
      </c>
    </row>
    <row r="22" spans="5:7">
      <c r="E22" t="s">
        <v>3275</v>
      </c>
      <c r="F22" t="s">
        <v>1617</v>
      </c>
      <c r="G22" s="110">
        <v>44075</v>
      </c>
    </row>
    <row r="23" spans="5:7">
      <c r="E23" t="s">
        <v>3276</v>
      </c>
      <c r="F23" t="s">
        <v>3277</v>
      </c>
      <c r="G23" s="110">
        <v>44105</v>
      </c>
    </row>
    <row r="24" spans="5:7">
      <c r="E24" t="s">
        <v>3278</v>
      </c>
      <c r="F24" t="s">
        <v>3279</v>
      </c>
      <c r="G24" s="110">
        <v>44136</v>
      </c>
    </row>
    <row r="25" spans="5:7">
      <c r="E25" t="s">
        <v>3280</v>
      </c>
      <c r="F25" t="s">
        <v>3281</v>
      </c>
      <c r="G25" s="110">
        <v>44166</v>
      </c>
    </row>
    <row r="26" spans="5:7">
      <c r="E26" t="s">
        <v>3282</v>
      </c>
      <c r="F26" t="s">
        <v>3283</v>
      </c>
      <c r="G26" s="110">
        <v>44197</v>
      </c>
    </row>
    <row r="27" spans="5:7">
      <c r="E27" t="s">
        <v>3284</v>
      </c>
      <c r="F27" t="s">
        <v>2758</v>
      </c>
      <c r="G27" s="110">
        <v>44228</v>
      </c>
    </row>
    <row r="28" spans="5:7">
      <c r="E28" t="s">
        <v>3285</v>
      </c>
      <c r="F28" t="s">
        <v>3286</v>
      </c>
      <c r="G28" s="110">
        <v>44256</v>
      </c>
    </row>
    <row r="29" spans="5:7">
      <c r="E29" t="s">
        <v>3287</v>
      </c>
      <c r="F29" t="s">
        <v>3288</v>
      </c>
      <c r="G29" s="110">
        <v>44287</v>
      </c>
    </row>
    <row r="30" spans="5:7">
      <c r="E30" t="s">
        <v>3289</v>
      </c>
      <c r="F30" t="s">
        <v>3290</v>
      </c>
      <c r="G30" s="110">
        <v>44317</v>
      </c>
    </row>
    <row r="31" spans="5:7">
      <c r="E31" t="s">
        <v>3291</v>
      </c>
      <c r="F31" t="s">
        <v>3292</v>
      </c>
      <c r="G31" s="110">
        <v>44348</v>
      </c>
    </row>
    <row r="32" spans="5:7">
      <c r="E32" t="s">
        <v>3293</v>
      </c>
      <c r="F32" t="s">
        <v>3294</v>
      </c>
      <c r="G32" s="110">
        <v>44378</v>
      </c>
    </row>
    <row r="33" spans="5:7">
      <c r="E33" t="s">
        <v>3295</v>
      </c>
      <c r="F33" t="s">
        <v>3296</v>
      </c>
      <c r="G33" s="110">
        <v>44409</v>
      </c>
    </row>
    <row r="34" spans="5:7">
      <c r="E34" t="s">
        <v>3297</v>
      </c>
      <c r="F34" t="s">
        <v>3298</v>
      </c>
      <c r="G34" s="110">
        <v>44440</v>
      </c>
    </row>
    <row r="35" spans="5:7">
      <c r="E35" t="s">
        <v>3299</v>
      </c>
      <c r="F35" t="s">
        <v>3300</v>
      </c>
      <c r="G35" s="110">
        <v>44470</v>
      </c>
    </row>
    <row r="36" spans="5:7">
      <c r="E36" t="s">
        <v>3301</v>
      </c>
      <c r="F36" t="s">
        <v>3302</v>
      </c>
      <c r="G36" s="110">
        <v>44501</v>
      </c>
    </row>
    <row r="37" spans="5:7">
      <c r="E37" t="s">
        <v>3303</v>
      </c>
      <c r="F37" t="s">
        <v>3247</v>
      </c>
      <c r="G37" s="110">
        <v>44531</v>
      </c>
    </row>
    <row r="38" spans="5:7">
      <c r="E38" t="s">
        <v>3304</v>
      </c>
      <c r="F38" t="s">
        <v>3249</v>
      </c>
      <c r="G38" s="110">
        <v>44562</v>
      </c>
    </row>
    <row r="39" spans="5:7">
      <c r="E39" t="s">
        <v>3305</v>
      </c>
      <c r="F39" t="s">
        <v>3250</v>
      </c>
      <c r="G39" s="110">
        <v>44593</v>
      </c>
    </row>
    <row r="40" spans="5:7">
      <c r="E40" t="s">
        <v>3306</v>
      </c>
      <c r="F40" t="s">
        <v>3251</v>
      </c>
      <c r="G40" s="110">
        <v>44621</v>
      </c>
    </row>
    <row r="41" spans="5:7">
      <c r="E41" t="s">
        <v>3307</v>
      </c>
      <c r="F41" t="s">
        <v>3253</v>
      </c>
      <c r="G41" s="110">
        <v>44652</v>
      </c>
    </row>
    <row r="42" spans="5:7">
      <c r="F42" t="s">
        <v>3255</v>
      </c>
      <c r="G42" s="110">
        <v>44682</v>
      </c>
    </row>
    <row r="43" spans="5:7">
      <c r="F43" t="s">
        <v>3257</v>
      </c>
      <c r="G43" s="110">
        <v>44713</v>
      </c>
    </row>
    <row r="44" spans="5:7">
      <c r="F44" t="s">
        <v>3259</v>
      </c>
      <c r="G44" s="110">
        <v>44743</v>
      </c>
    </row>
    <row r="45" spans="5:7">
      <c r="F45" t="s">
        <v>3261</v>
      </c>
      <c r="G45" s="110">
        <v>44774</v>
      </c>
    </row>
    <row r="46" spans="5:7">
      <c r="F46" t="s">
        <v>3263</v>
      </c>
      <c r="G46" s="110">
        <v>44805</v>
      </c>
    </row>
    <row r="47" spans="5:7">
      <c r="F47" t="s">
        <v>3265</v>
      </c>
      <c r="G47" s="110">
        <v>44835</v>
      </c>
    </row>
    <row r="48" spans="5:7">
      <c r="F48" t="s">
        <v>3267</v>
      </c>
      <c r="G48" s="110">
        <v>44866</v>
      </c>
    </row>
    <row r="49" spans="6:7">
      <c r="F49" s="235" t="s">
        <v>3269</v>
      </c>
      <c r="G49" s="110">
        <v>44896</v>
      </c>
    </row>
    <row r="50" spans="6:7">
      <c r="F50" s="235" t="s">
        <v>3270</v>
      </c>
      <c r="G50" s="110">
        <v>44927</v>
      </c>
    </row>
    <row r="51" spans="6:7">
      <c r="F51" s="235" t="s">
        <v>3271</v>
      </c>
      <c r="G51" s="110">
        <v>44958</v>
      </c>
    </row>
    <row r="52" spans="6:7">
      <c r="F52" s="235" t="s">
        <v>3273</v>
      </c>
      <c r="G52" s="110">
        <v>44986</v>
      </c>
    </row>
    <row r="53" spans="6:7">
      <c r="F53" s="235" t="s">
        <v>3275</v>
      </c>
      <c r="G53" s="110">
        <v>45017</v>
      </c>
    </row>
    <row r="54" spans="6:7">
      <c r="F54" s="235" t="s">
        <v>3276</v>
      </c>
      <c r="G54" s="110">
        <v>45047</v>
      </c>
    </row>
    <row r="55" spans="6:7">
      <c r="F55" s="235" t="s">
        <v>3278</v>
      </c>
      <c r="G55" s="110">
        <v>45078</v>
      </c>
    </row>
    <row r="56" spans="6:7">
      <c r="F56" s="235" t="s">
        <v>3280</v>
      </c>
      <c r="G56" s="110">
        <v>45108</v>
      </c>
    </row>
    <row r="57" spans="6:7">
      <c r="F57" s="235" t="s">
        <v>3282</v>
      </c>
      <c r="G57" s="110">
        <v>45139</v>
      </c>
    </row>
    <row r="58" spans="6:7">
      <c r="F58" s="235" t="s">
        <v>3284</v>
      </c>
      <c r="G58" s="110">
        <v>45170</v>
      </c>
    </row>
    <row r="59" spans="6:7">
      <c r="F59" s="235" t="s">
        <v>3285</v>
      </c>
      <c r="G59" s="110">
        <v>45200</v>
      </c>
    </row>
    <row r="60" spans="6:7">
      <c r="F60" s="235" t="s">
        <v>3287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dcec4b07-66e7-4e8f-b2bb-0bd07e3b5177"/>
    <ds:schemaRef ds:uri="efa1766b-290e-4930-94b4-5079da17b09c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raw_sheet</vt:lpstr>
      <vt:lpstr>list</vt:lpstr>
      <vt:lpstr>YAMAHA_Sales_Target</vt:lpstr>
      <vt:lpstr>SMT_Internal_Sales_Target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2025-03-28T06:29:08Z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